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financialanalyst3\Desktop\VIS (2024-25)-PL333-292-386\TEV REVISION ASSIGNMENT\RKA REVISED WORKING\Revised TEV Report\V2\"/>
    </mc:Choice>
  </mc:AlternateContent>
  <bookViews>
    <workbookView xWindow="0" yWindow="0" windowWidth="20490" windowHeight="7755" tabRatio="876"/>
  </bookViews>
  <sheets>
    <sheet name="TPC &amp; MoF" sheetId="1" r:id="rId1"/>
    <sheet name="Assumptions" sheetId="2" r:id="rId2"/>
    <sheet name="Sheet2" sheetId="13" state="hidden" r:id="rId3"/>
    <sheet name="Revenue &amp; Expenses Modeling" sheetId="4" r:id="rId4"/>
    <sheet name="IS" sheetId="5" r:id="rId5"/>
    <sheet name="BS" sheetId="6" r:id="rId6"/>
    <sheet name="CFS" sheetId="7" r:id="rId7"/>
    <sheet name="Loan Schedule" sheetId="8" r:id="rId8"/>
    <sheet name="Dep Schedule" sheetId="9" r:id="rId9"/>
    <sheet name="Tax Schedule" sheetId="10" r:id="rId10"/>
    <sheet name="Ratio" sheetId="11" r:id="rId11"/>
    <sheet name="Sheet1" sheetId="12" state="hidden" r:id="rId12"/>
  </sheets>
  <externalReferences>
    <externalReference r:id="rId13"/>
  </externalReferences>
  <definedNames>
    <definedName name="Company">'TPC &amp; MoF'!$B$1</definedName>
    <definedName name="Project">'TPC &amp; MoF'!$B$3</definedName>
  </definedNames>
  <calcPr calcId="152511" iterate="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26" i="1" l="1"/>
  <c r="E26" i="1"/>
  <c r="D27" i="1"/>
  <c r="E27" i="1"/>
  <c r="F27" i="1" s="1"/>
  <c r="H88" i="4"/>
  <c r="I88" i="4"/>
  <c r="J88" i="4" s="1"/>
  <c r="K88" i="4" s="1"/>
  <c r="L88" i="4" s="1"/>
  <c r="M88" i="4" s="1"/>
  <c r="N88" i="4" s="1"/>
  <c r="O88" i="4" s="1"/>
  <c r="P88" i="4" s="1"/>
  <c r="Q88" i="4" s="1"/>
  <c r="R88" i="4" s="1"/>
  <c r="S88" i="4" s="1"/>
  <c r="T88" i="4" s="1"/>
  <c r="U88" i="4" s="1"/>
  <c r="V88" i="4" s="1"/>
  <c r="W88" i="4" s="1"/>
  <c r="X88" i="4" s="1"/>
  <c r="Y88" i="4" s="1"/>
  <c r="Z88" i="4" s="1"/>
  <c r="AA88" i="4" s="1"/>
  <c r="AB88" i="4" s="1"/>
  <c r="AC88" i="4" s="1"/>
  <c r="AD88" i="4" s="1"/>
  <c r="AE88" i="4" s="1"/>
  <c r="G88" i="4"/>
  <c r="F88" i="4"/>
  <c r="K69" i="8" l="1"/>
  <c r="N27" i="13" l="1"/>
  <c r="L29" i="13"/>
  <c r="H26" i="13" l="1"/>
  <c r="G25" i="13"/>
  <c r="G18" i="13"/>
  <c r="I18" i="13" s="1"/>
  <c r="J18" i="13" s="1"/>
  <c r="J16" i="13"/>
  <c r="I20" i="13"/>
  <c r="J20" i="13" s="1"/>
  <c r="I16" i="13"/>
  <c r="I14" i="13"/>
  <c r="J14" i="13" s="1"/>
  <c r="I25" i="13" l="1"/>
  <c r="J25" i="13" s="1"/>
  <c r="G19" i="13"/>
  <c r="D88" i="4"/>
  <c r="C88" i="4"/>
  <c r="G26" i="13" l="1"/>
  <c r="I19" i="13"/>
  <c r="I26" i="13" s="1"/>
  <c r="AA31" i="5"/>
  <c r="AB31" i="5"/>
  <c r="AC31" i="5"/>
  <c r="AD31" i="5"/>
  <c r="AE31" i="5"/>
  <c r="B17" i="5"/>
  <c r="C90" i="4"/>
  <c r="C89" i="4"/>
  <c r="C75" i="4"/>
  <c r="J19" i="13" l="1"/>
  <c r="J26" i="13" s="1"/>
  <c r="D54" i="2"/>
  <c r="E34" i="2"/>
  <c r="D34" i="2"/>
  <c r="D29" i="2" l="1"/>
  <c r="E29" i="2"/>
  <c r="E10" i="2" l="1"/>
  <c r="D8" i="4" s="1"/>
  <c r="D13" i="8"/>
  <c r="D21" i="7"/>
  <c r="E30" i="6"/>
  <c r="E21" i="7" s="1"/>
  <c r="D30" i="6"/>
  <c r="E12" i="2" l="1"/>
  <c r="I68" i="4"/>
  <c r="K68" i="4" s="1"/>
  <c r="M68" i="4" s="1"/>
  <c r="O68" i="4" s="1"/>
  <c r="Q68" i="4" s="1"/>
  <c r="S68" i="4" s="1"/>
  <c r="U68" i="4" s="1"/>
  <c r="W68" i="4" s="1"/>
  <c r="Y68" i="4" s="1"/>
  <c r="AA68" i="4" s="1"/>
  <c r="AC68" i="4" s="1"/>
  <c r="AE68" i="4" s="1"/>
  <c r="I64" i="4"/>
  <c r="K64" i="4" s="1"/>
  <c r="D44" i="2"/>
  <c r="G63" i="4" s="1"/>
  <c r="H63" i="4" s="1"/>
  <c r="E44" i="2"/>
  <c r="G67" i="4" s="1"/>
  <c r="H67" i="4" s="1"/>
  <c r="I53" i="12"/>
  <c r="I52" i="12"/>
  <c r="F37" i="12"/>
  <c r="I67" i="4" l="1"/>
  <c r="J67" i="4" s="1"/>
  <c r="K67" i="4" s="1"/>
  <c r="L67" i="4" s="1"/>
  <c r="M67" i="4" s="1"/>
  <c r="N67" i="4" s="1"/>
  <c r="O67" i="4" s="1"/>
  <c r="P67" i="4" s="1"/>
  <c r="Q67" i="4" s="1"/>
  <c r="R67" i="4" s="1"/>
  <c r="S67" i="4" s="1"/>
  <c r="T67" i="4" s="1"/>
  <c r="U67" i="4" s="1"/>
  <c r="V67" i="4" s="1"/>
  <c r="W67" i="4" s="1"/>
  <c r="X67" i="4" s="1"/>
  <c r="Y67" i="4" s="1"/>
  <c r="Z67" i="4" s="1"/>
  <c r="AA67" i="4" s="1"/>
  <c r="AB67" i="4" s="1"/>
  <c r="AC67" i="4" s="1"/>
  <c r="AD67" i="4" s="1"/>
  <c r="AE67" i="4" s="1"/>
  <c r="I63" i="4"/>
  <c r="J63" i="4" s="1"/>
  <c r="K63" i="4" s="1"/>
  <c r="L63" i="4" s="1"/>
  <c r="M64" i="4"/>
  <c r="O64" i="4" s="1"/>
  <c r="Q64" i="4" s="1"/>
  <c r="S64" i="4" s="1"/>
  <c r="U64" i="4" s="1"/>
  <c r="W64" i="4" s="1"/>
  <c r="Y64" i="4" s="1"/>
  <c r="AA64" i="4" s="1"/>
  <c r="AC64" i="4" s="1"/>
  <c r="AE64" i="4" s="1"/>
  <c r="D72" i="2"/>
  <c r="D77" i="2"/>
  <c r="M63" i="4" l="1"/>
  <c r="N63" i="4" s="1"/>
  <c r="O63" i="4" s="1"/>
  <c r="P63" i="4" s="1"/>
  <c r="Q63" i="4" s="1"/>
  <c r="R63" i="4" s="1"/>
  <c r="S63" i="4" s="1"/>
  <c r="T63" i="4" s="1"/>
  <c r="U63" i="4" s="1"/>
  <c r="V63" i="4" s="1"/>
  <c r="W63" i="4" s="1"/>
  <c r="X63" i="4" s="1"/>
  <c r="Y63" i="4" s="1"/>
  <c r="Z63" i="4" s="1"/>
  <c r="AA63" i="4" s="1"/>
  <c r="AB63" i="4" s="1"/>
  <c r="AC63" i="4" s="1"/>
  <c r="AD63" i="4" s="1"/>
  <c r="AE63" i="4" s="1"/>
  <c r="H38" i="4"/>
  <c r="I38" i="4"/>
  <c r="J38" i="4"/>
  <c r="K38" i="4"/>
  <c r="L38" i="4"/>
  <c r="M38" i="4"/>
  <c r="N38" i="4"/>
  <c r="O38" i="4"/>
  <c r="P38" i="4"/>
  <c r="Q38" i="4"/>
  <c r="R38" i="4"/>
  <c r="S38" i="4"/>
  <c r="T38" i="4"/>
  <c r="U38" i="4"/>
  <c r="V38" i="4"/>
  <c r="W38" i="4"/>
  <c r="X38" i="4"/>
  <c r="Y38" i="4"/>
  <c r="Z38" i="4"/>
  <c r="AA38" i="4"/>
  <c r="AB38" i="4"/>
  <c r="AC38" i="4"/>
  <c r="AD38" i="4"/>
  <c r="AE38" i="4"/>
  <c r="G38" i="4"/>
  <c r="L21" i="12" l="1"/>
  <c r="AA115" i="11" l="1"/>
  <c r="AB115" i="11"/>
  <c r="AC115" i="11"/>
  <c r="AD115" i="11"/>
  <c r="AE115" i="11"/>
  <c r="F107" i="11"/>
  <c r="B57" i="11" l="1"/>
  <c r="B58" i="11" s="1"/>
  <c r="B59" i="11" s="1"/>
  <c r="B60" i="11" s="1"/>
  <c r="B61" i="11" s="1"/>
  <c r="B62" i="11" s="1"/>
  <c r="B63" i="11" s="1"/>
  <c r="B64" i="11" s="1"/>
  <c r="B65" i="11" s="1"/>
  <c r="B66" i="11" s="1"/>
  <c r="B67" i="11" s="1"/>
  <c r="B68" i="11" s="1"/>
  <c r="B69" i="11" s="1"/>
  <c r="B70" i="11" s="1"/>
  <c r="B71" i="11" s="1"/>
  <c r="B72" i="11" s="1"/>
  <c r="B73" i="11" s="1"/>
  <c r="B74" i="11" s="1"/>
  <c r="B75" i="11" s="1"/>
  <c r="B76" i="11" s="1"/>
  <c r="B77" i="11" s="1"/>
  <c r="B78" i="11" s="1"/>
  <c r="B79" i="11" s="1"/>
  <c r="B80" i="11" s="1"/>
  <c r="B81" i="11" s="1"/>
  <c r="G57" i="4" l="1"/>
  <c r="F57" i="4"/>
  <c r="H56" i="4"/>
  <c r="H51" i="4"/>
  <c r="L8" i="1"/>
  <c r="E8" i="1" s="1"/>
  <c r="L9" i="1"/>
  <c r="E9" i="1" s="1"/>
  <c r="K8" i="1"/>
  <c r="K13" i="1" s="1"/>
  <c r="K9" i="1"/>
  <c r="D9" i="1" s="1"/>
  <c r="B3" i="5"/>
  <c r="B1" i="5"/>
  <c r="D8" i="1" l="1"/>
  <c r="L13" i="1"/>
  <c r="F46" i="11"/>
  <c r="C38" i="11"/>
  <c r="C37" i="11"/>
  <c r="C36" i="11"/>
  <c r="E24" i="11" l="1"/>
  <c r="D24" i="11"/>
  <c r="E23" i="11"/>
  <c r="D23" i="11"/>
  <c r="E22" i="11"/>
  <c r="D22" i="11"/>
  <c r="C39" i="11"/>
  <c r="A76" i="8"/>
  <c r="A89" i="8" s="1"/>
  <c r="A102" i="8" s="1"/>
  <c r="A115" i="8" s="1"/>
  <c r="A128" i="8" s="1"/>
  <c r="A141" i="8" s="1"/>
  <c r="A154" i="8" s="1"/>
  <c r="A167" i="8" s="1"/>
  <c r="A180" i="8" s="1"/>
  <c r="A193" i="8" s="1"/>
  <c r="A206" i="8" s="1"/>
  <c r="A219" i="8" s="1"/>
  <c r="A232" i="8" s="1"/>
  <c r="A245" i="8" s="1"/>
  <c r="A258" i="8" s="1"/>
  <c r="A271" i="8" s="1"/>
  <c r="A284" i="8" s="1"/>
  <c r="A297" i="8" s="1"/>
  <c r="A310" i="8" s="1"/>
  <c r="H323" i="8"/>
  <c r="I323" i="8"/>
  <c r="B3" i="11"/>
  <c r="B1" i="11"/>
  <c r="G9" i="11"/>
  <c r="D25" i="11" l="1"/>
  <c r="H9" i="11"/>
  <c r="G46" i="11"/>
  <c r="E25" i="11"/>
  <c r="I9" i="11" l="1"/>
  <c r="H46" i="11"/>
  <c r="C17" i="10"/>
  <c r="C16" i="10"/>
  <c r="B3" i="10"/>
  <c r="B1" i="10"/>
  <c r="F42" i="10"/>
  <c r="F26" i="10"/>
  <c r="F25" i="10"/>
  <c r="F14" i="10"/>
  <c r="G14" i="10" s="1"/>
  <c r="H14" i="10" s="1"/>
  <c r="I14" i="10" s="1"/>
  <c r="J14" i="10" s="1"/>
  <c r="K14" i="10" s="1"/>
  <c r="L14" i="10" s="1"/>
  <c r="M14" i="10" s="1"/>
  <c r="N14" i="10" s="1"/>
  <c r="O14" i="10" s="1"/>
  <c r="P14" i="10" s="1"/>
  <c r="Q14" i="10" s="1"/>
  <c r="R14" i="10" s="1"/>
  <c r="S14" i="10" s="1"/>
  <c r="T14" i="10" s="1"/>
  <c r="U14" i="10" s="1"/>
  <c r="V14" i="10" s="1"/>
  <c r="W14" i="10" s="1"/>
  <c r="X14" i="10" s="1"/>
  <c r="Y14" i="10" s="1"/>
  <c r="Z14" i="10" s="1"/>
  <c r="AA14" i="10" s="1"/>
  <c r="AB14" i="10" s="1"/>
  <c r="AC14" i="10" s="1"/>
  <c r="AD14" i="10" s="1"/>
  <c r="AE14" i="10" s="1"/>
  <c r="G9" i="10"/>
  <c r="H9" i="10" s="1"/>
  <c r="I9" i="10" s="1"/>
  <c r="J9" i="10" s="1"/>
  <c r="K9" i="10" s="1"/>
  <c r="L9" i="10" s="1"/>
  <c r="M9" i="10" s="1"/>
  <c r="N9" i="10" s="1"/>
  <c r="O9" i="10" s="1"/>
  <c r="P9" i="10" s="1"/>
  <c r="Q9" i="10" s="1"/>
  <c r="R9" i="10" s="1"/>
  <c r="S9" i="10" s="1"/>
  <c r="T9" i="10" s="1"/>
  <c r="U9" i="10" s="1"/>
  <c r="V9" i="10" s="1"/>
  <c r="W9" i="10" s="1"/>
  <c r="X9" i="10" s="1"/>
  <c r="Y9" i="10" s="1"/>
  <c r="Z9" i="10" s="1"/>
  <c r="AA9" i="10" s="1"/>
  <c r="AB9" i="10" s="1"/>
  <c r="AC9" i="10" s="1"/>
  <c r="AD9" i="10" s="1"/>
  <c r="AE9" i="10" s="1"/>
  <c r="J9" i="11" l="1"/>
  <c r="I46" i="11"/>
  <c r="D85" i="2"/>
  <c r="D84" i="2"/>
  <c r="D83" i="2"/>
  <c r="D82" i="2"/>
  <c r="D81" i="2"/>
  <c r="K9" i="11" l="1"/>
  <c r="J46" i="11"/>
  <c r="B3" i="9"/>
  <c r="B1" i="9"/>
  <c r="B52" i="9"/>
  <c r="B51" i="9"/>
  <c r="B49" i="9"/>
  <c r="B48" i="9"/>
  <c r="B46" i="9"/>
  <c r="B45" i="9"/>
  <c r="B43" i="9"/>
  <c r="B42" i="9"/>
  <c r="B40" i="9"/>
  <c r="B39" i="9"/>
  <c r="B37" i="9"/>
  <c r="B36" i="9"/>
  <c r="B29" i="9"/>
  <c r="B27" i="9"/>
  <c r="B25" i="9"/>
  <c r="B23" i="9"/>
  <c r="B21" i="9"/>
  <c r="F14" i="9"/>
  <c r="G14" i="9" s="1"/>
  <c r="H14" i="9" s="1"/>
  <c r="I14" i="9" s="1"/>
  <c r="J14" i="9" s="1"/>
  <c r="K14" i="9" s="1"/>
  <c r="L14" i="9" s="1"/>
  <c r="M14" i="9" s="1"/>
  <c r="N14" i="9" s="1"/>
  <c r="O14" i="9" s="1"/>
  <c r="P14" i="9" s="1"/>
  <c r="Q14" i="9" s="1"/>
  <c r="R14" i="9" s="1"/>
  <c r="S14" i="9" s="1"/>
  <c r="T14" i="9" s="1"/>
  <c r="U14" i="9" s="1"/>
  <c r="V14" i="9" s="1"/>
  <c r="W14" i="9" s="1"/>
  <c r="X14" i="9" s="1"/>
  <c r="Y14" i="9" s="1"/>
  <c r="Z14" i="9" s="1"/>
  <c r="AA14" i="9" s="1"/>
  <c r="AB14" i="9" s="1"/>
  <c r="AC14" i="9" s="1"/>
  <c r="AD14" i="9" s="1"/>
  <c r="AE14" i="9" s="1"/>
  <c r="G9" i="9"/>
  <c r="H9" i="9" s="1"/>
  <c r="I9" i="9" s="1"/>
  <c r="J9" i="9" s="1"/>
  <c r="K9" i="9" s="1"/>
  <c r="L9" i="9" s="1"/>
  <c r="M9" i="9" s="1"/>
  <c r="N9" i="9" s="1"/>
  <c r="O9" i="9" s="1"/>
  <c r="P9" i="9" s="1"/>
  <c r="Q9" i="9" s="1"/>
  <c r="R9" i="9" s="1"/>
  <c r="S9" i="9" s="1"/>
  <c r="T9" i="9" s="1"/>
  <c r="U9" i="9" s="1"/>
  <c r="V9" i="9" s="1"/>
  <c r="W9" i="9" s="1"/>
  <c r="X9" i="9" s="1"/>
  <c r="Y9" i="9" s="1"/>
  <c r="Z9" i="9" s="1"/>
  <c r="AA9" i="9" s="1"/>
  <c r="AB9" i="9" s="1"/>
  <c r="AC9" i="9" s="1"/>
  <c r="AD9" i="9" s="1"/>
  <c r="AE9" i="9" s="1"/>
  <c r="L9" i="11" l="1"/>
  <c r="K46" i="11"/>
  <c r="AE17" i="6"/>
  <c r="AD17" i="6"/>
  <c r="AC17" i="6"/>
  <c r="AB17" i="6"/>
  <c r="AA17" i="6"/>
  <c r="Z17" i="6"/>
  <c r="AE22" i="7"/>
  <c r="AE16" i="11" s="1"/>
  <c r="AD22" i="7"/>
  <c r="AD16" i="11" s="1"/>
  <c r="AC22" i="7"/>
  <c r="AC16" i="11" s="1"/>
  <c r="AB22" i="7"/>
  <c r="AB16" i="11" s="1"/>
  <c r="AA22" i="7"/>
  <c r="AA16" i="11" s="1"/>
  <c r="AE14" i="7"/>
  <c r="AD14" i="7"/>
  <c r="AC14" i="7"/>
  <c r="AB14" i="7"/>
  <c r="AA14" i="7"/>
  <c r="Z14" i="7"/>
  <c r="Y14" i="7"/>
  <c r="X14" i="7"/>
  <c r="W14" i="7"/>
  <c r="V14" i="7"/>
  <c r="U14" i="7"/>
  <c r="T14" i="7"/>
  <c r="S14" i="7"/>
  <c r="R14" i="7"/>
  <c r="Q14" i="7"/>
  <c r="P14" i="7"/>
  <c r="O14" i="7"/>
  <c r="N14" i="7"/>
  <c r="M14" i="7"/>
  <c r="L14" i="7"/>
  <c r="K14" i="7"/>
  <c r="J14" i="7"/>
  <c r="I14" i="7"/>
  <c r="H14" i="7"/>
  <c r="G14" i="7"/>
  <c r="F14" i="7"/>
  <c r="AD17" i="8"/>
  <c r="AD22" i="5" s="1"/>
  <c r="AD13" i="11" s="1"/>
  <c r="AD15" i="11" s="1"/>
  <c r="AC17" i="8"/>
  <c r="AC22" i="5" s="1"/>
  <c r="AC13" i="11" s="1"/>
  <c r="AC15" i="11" s="1"/>
  <c r="AB17" i="8"/>
  <c r="AB22" i="5" s="1"/>
  <c r="AB13" i="11" s="1"/>
  <c r="AB15" i="11" s="1"/>
  <c r="AA17" i="8"/>
  <c r="AA22" i="5" s="1"/>
  <c r="AA13" i="11" s="1"/>
  <c r="AA15" i="11" s="1"/>
  <c r="AA17" i="11" s="1"/>
  <c r="C22" i="8"/>
  <c r="B3" i="8"/>
  <c r="B1" i="8"/>
  <c r="C29" i="8"/>
  <c r="E29" i="8" s="1"/>
  <c r="F29" i="8" s="1"/>
  <c r="E13" i="8"/>
  <c r="D17" i="6" s="1"/>
  <c r="D22" i="7"/>
  <c r="D11" i="8"/>
  <c r="G9" i="8"/>
  <c r="H9" i="8" s="1"/>
  <c r="I9" i="8" s="1"/>
  <c r="J9" i="8" s="1"/>
  <c r="K9" i="8" s="1"/>
  <c r="L9" i="8" s="1"/>
  <c r="M9" i="8" s="1"/>
  <c r="N9" i="8" s="1"/>
  <c r="O9" i="8" s="1"/>
  <c r="P9" i="8" s="1"/>
  <c r="Q9" i="8" s="1"/>
  <c r="R9" i="8" s="1"/>
  <c r="S9" i="8" s="1"/>
  <c r="T9" i="8" s="1"/>
  <c r="U9" i="8" s="1"/>
  <c r="V9" i="8" s="1"/>
  <c r="W9" i="8" s="1"/>
  <c r="X9" i="8" s="1"/>
  <c r="Y9" i="8" s="1"/>
  <c r="Z9" i="8" s="1"/>
  <c r="AA9" i="8" s="1"/>
  <c r="AB9" i="8" s="1"/>
  <c r="AC9" i="8" s="1"/>
  <c r="AD9" i="8" s="1"/>
  <c r="AE9" i="8" s="1"/>
  <c r="AE16" i="7"/>
  <c r="AD16" i="7"/>
  <c r="AC16" i="7"/>
  <c r="AB16" i="7"/>
  <c r="AA16" i="7"/>
  <c r="Z16" i="7"/>
  <c r="Y16" i="7"/>
  <c r="X16" i="7"/>
  <c r="W16" i="7"/>
  <c r="V16" i="7"/>
  <c r="U16" i="7"/>
  <c r="T16" i="7"/>
  <c r="S16" i="7"/>
  <c r="R16" i="7"/>
  <c r="Q16" i="7"/>
  <c r="P16" i="7"/>
  <c r="O16" i="7"/>
  <c r="N16" i="7"/>
  <c r="M16" i="7"/>
  <c r="L16" i="7"/>
  <c r="K16" i="7"/>
  <c r="J16" i="7"/>
  <c r="I16" i="7"/>
  <c r="H16" i="7"/>
  <c r="G16" i="7"/>
  <c r="F16" i="7"/>
  <c r="E16" i="7"/>
  <c r="D16" i="7"/>
  <c r="E15" i="7"/>
  <c r="D15" i="7"/>
  <c r="E12" i="7"/>
  <c r="D12" i="7"/>
  <c r="B3" i="7"/>
  <c r="B1" i="7"/>
  <c r="D13" i="6"/>
  <c r="E13" i="6" s="1"/>
  <c r="B3" i="6"/>
  <c r="B1" i="6"/>
  <c r="B1" i="4"/>
  <c r="B3" i="4"/>
  <c r="J86" i="4"/>
  <c r="O86" i="4" s="1"/>
  <c r="T86" i="4" s="1"/>
  <c r="Y86" i="4" s="1"/>
  <c r="AD86" i="4" s="1"/>
  <c r="F85" i="4"/>
  <c r="F83" i="4"/>
  <c r="C81" i="4"/>
  <c r="F81" i="4" s="1"/>
  <c r="G81" i="4" s="1"/>
  <c r="H81" i="4" s="1"/>
  <c r="I81" i="4" s="1"/>
  <c r="C80" i="4"/>
  <c r="F80" i="4" s="1"/>
  <c r="I56" i="4"/>
  <c r="J56" i="4" s="1"/>
  <c r="K56" i="4" s="1"/>
  <c r="L56" i="4" s="1"/>
  <c r="M56" i="4" s="1"/>
  <c r="N56" i="4" s="1"/>
  <c r="O56" i="4" s="1"/>
  <c r="P56" i="4" s="1"/>
  <c r="Q56" i="4" s="1"/>
  <c r="R56" i="4" s="1"/>
  <c r="S56" i="4" s="1"/>
  <c r="T56" i="4" s="1"/>
  <c r="U56" i="4" s="1"/>
  <c r="V56" i="4" s="1"/>
  <c r="W56" i="4" s="1"/>
  <c r="X56" i="4" s="1"/>
  <c r="Y56" i="4" s="1"/>
  <c r="Z56" i="4" s="1"/>
  <c r="AA56" i="4" s="1"/>
  <c r="AB56" i="4" s="1"/>
  <c r="AC56" i="4" s="1"/>
  <c r="AD56" i="4" s="1"/>
  <c r="AE56" i="4" s="1"/>
  <c r="F37" i="4"/>
  <c r="C35" i="4"/>
  <c r="G33" i="4"/>
  <c r="H33" i="4" s="1"/>
  <c r="I33" i="4" s="1"/>
  <c r="J33" i="4" s="1"/>
  <c r="K33" i="4" s="1"/>
  <c r="L33" i="4" s="1"/>
  <c r="M33" i="4" s="1"/>
  <c r="N33" i="4" s="1"/>
  <c r="O33" i="4" s="1"/>
  <c r="P33" i="4" s="1"/>
  <c r="Q33" i="4" s="1"/>
  <c r="R33" i="4" s="1"/>
  <c r="S33" i="4" s="1"/>
  <c r="T33" i="4" s="1"/>
  <c r="U33" i="4" s="1"/>
  <c r="V33" i="4" s="1"/>
  <c r="W33" i="4" s="1"/>
  <c r="X33" i="4" s="1"/>
  <c r="Y33" i="4" s="1"/>
  <c r="Z33" i="4" s="1"/>
  <c r="AA33" i="4" s="1"/>
  <c r="AB33" i="4" s="1"/>
  <c r="AC33" i="4" s="1"/>
  <c r="AD33" i="4" s="1"/>
  <c r="AE33" i="4" s="1"/>
  <c r="F33" i="4"/>
  <c r="F32" i="4"/>
  <c r="I51" i="4"/>
  <c r="J51" i="4" s="1"/>
  <c r="K51" i="4" s="1"/>
  <c r="L51" i="4" s="1"/>
  <c r="M51" i="4" s="1"/>
  <c r="N51" i="4" s="1"/>
  <c r="O51" i="4" s="1"/>
  <c r="P51" i="4" s="1"/>
  <c r="Q51" i="4" s="1"/>
  <c r="R51" i="4" s="1"/>
  <c r="S51" i="4" s="1"/>
  <c r="T51" i="4" s="1"/>
  <c r="U51" i="4" s="1"/>
  <c r="V51" i="4" s="1"/>
  <c r="W51" i="4" s="1"/>
  <c r="X51" i="4" s="1"/>
  <c r="Y51" i="4" s="1"/>
  <c r="Z51" i="4" s="1"/>
  <c r="AA51" i="4" s="1"/>
  <c r="AB51" i="4" s="1"/>
  <c r="AC51" i="4" s="1"/>
  <c r="AD51" i="4" s="1"/>
  <c r="AE51" i="4" s="1"/>
  <c r="G27" i="4"/>
  <c r="H27" i="4" s="1"/>
  <c r="I27" i="4" s="1"/>
  <c r="J27" i="4" s="1"/>
  <c r="K27" i="4" s="1"/>
  <c r="L27" i="4" s="1"/>
  <c r="M27" i="4" s="1"/>
  <c r="N27" i="4" s="1"/>
  <c r="O27" i="4" s="1"/>
  <c r="P27" i="4" s="1"/>
  <c r="Q27" i="4" s="1"/>
  <c r="R27" i="4" s="1"/>
  <c r="S27" i="4" s="1"/>
  <c r="T27" i="4" s="1"/>
  <c r="U27" i="4" s="1"/>
  <c r="V27" i="4" s="1"/>
  <c r="W27" i="4" s="1"/>
  <c r="X27" i="4" s="1"/>
  <c r="Y27" i="4" s="1"/>
  <c r="Z27" i="4" s="1"/>
  <c r="AA27" i="4" s="1"/>
  <c r="AB27" i="4" s="1"/>
  <c r="AC27" i="4" s="1"/>
  <c r="AD27" i="4" s="1"/>
  <c r="AE27" i="4" s="1"/>
  <c r="F26" i="4"/>
  <c r="C24" i="4"/>
  <c r="F22" i="4"/>
  <c r="G22" i="4"/>
  <c r="H22" i="4" s="1"/>
  <c r="I22" i="4" s="1"/>
  <c r="J22" i="4" s="1"/>
  <c r="K22" i="4" s="1"/>
  <c r="L22" i="4" s="1"/>
  <c r="M22" i="4" s="1"/>
  <c r="N22" i="4" s="1"/>
  <c r="O22" i="4" s="1"/>
  <c r="P22" i="4" s="1"/>
  <c r="Q22" i="4" s="1"/>
  <c r="R22" i="4" s="1"/>
  <c r="S22" i="4" s="1"/>
  <c r="T22" i="4" s="1"/>
  <c r="U22" i="4" s="1"/>
  <c r="V22" i="4" s="1"/>
  <c r="W22" i="4" s="1"/>
  <c r="X22" i="4" s="1"/>
  <c r="Y22" i="4" s="1"/>
  <c r="Z22" i="4" s="1"/>
  <c r="AA22" i="4" s="1"/>
  <c r="AB22" i="4" s="1"/>
  <c r="AC22" i="4" s="1"/>
  <c r="AD22" i="4" s="1"/>
  <c r="AE22" i="4" s="1"/>
  <c r="F21" i="4"/>
  <c r="AD17" i="11" l="1"/>
  <c r="M9" i="11"/>
  <c r="L46" i="11"/>
  <c r="G85" i="4"/>
  <c r="G80" i="4"/>
  <c r="H80" i="4" s="1"/>
  <c r="I80" i="4" s="1"/>
  <c r="J80" i="4" s="1"/>
  <c r="K80" i="4" s="1"/>
  <c r="L80" i="4" s="1"/>
  <c r="M80" i="4" s="1"/>
  <c r="N80" i="4" s="1"/>
  <c r="O80" i="4" s="1"/>
  <c r="P80" i="4" s="1"/>
  <c r="Q80" i="4" s="1"/>
  <c r="R80" i="4" s="1"/>
  <c r="S80" i="4" s="1"/>
  <c r="T80" i="4" s="1"/>
  <c r="U80" i="4" s="1"/>
  <c r="V80" i="4" s="1"/>
  <c r="W80" i="4" s="1"/>
  <c r="X80" i="4" s="1"/>
  <c r="Y80" i="4" s="1"/>
  <c r="Z80" i="4" s="1"/>
  <c r="AA80" i="4" s="1"/>
  <c r="AB80" i="4" s="1"/>
  <c r="AC80" i="4" s="1"/>
  <c r="AD80" i="4" s="1"/>
  <c r="AE80" i="4" s="1"/>
  <c r="AB17" i="11"/>
  <c r="AC17" i="11"/>
  <c r="E22" i="7"/>
  <c r="J81" i="4"/>
  <c r="K81" i="4" s="1"/>
  <c r="L81" i="4" s="1"/>
  <c r="M81" i="4" s="1"/>
  <c r="N81" i="4" s="1"/>
  <c r="O81" i="4" s="1"/>
  <c r="P81" i="4" s="1"/>
  <c r="Q81" i="4" s="1"/>
  <c r="R81" i="4" s="1"/>
  <c r="S81" i="4" s="1"/>
  <c r="T81" i="4" s="1"/>
  <c r="U81" i="4" s="1"/>
  <c r="V81" i="4" s="1"/>
  <c r="W81" i="4" s="1"/>
  <c r="X81" i="4" s="1"/>
  <c r="Y81" i="4" s="1"/>
  <c r="Z81" i="4" s="1"/>
  <c r="AA81" i="4" s="1"/>
  <c r="AB81" i="4" s="1"/>
  <c r="AC81" i="4" s="1"/>
  <c r="AD81" i="4" s="1"/>
  <c r="AE81" i="4" s="1"/>
  <c r="G83" i="4"/>
  <c r="G37" i="4"/>
  <c r="H37" i="4" s="1"/>
  <c r="I37" i="4" s="1"/>
  <c r="J37" i="4" s="1"/>
  <c r="K37" i="4" s="1"/>
  <c r="L37" i="4" s="1"/>
  <c r="M37" i="4" s="1"/>
  <c r="N37" i="4" s="1"/>
  <c r="O37" i="4" s="1"/>
  <c r="P37" i="4" s="1"/>
  <c r="Q37" i="4" s="1"/>
  <c r="R37" i="4" s="1"/>
  <c r="S37" i="4" s="1"/>
  <c r="T37" i="4" s="1"/>
  <c r="U37" i="4" s="1"/>
  <c r="V37" i="4" s="1"/>
  <c r="W37" i="4" s="1"/>
  <c r="X37" i="4" s="1"/>
  <c r="Y37" i="4" s="1"/>
  <c r="Z37" i="4" s="1"/>
  <c r="AA37" i="4" s="1"/>
  <c r="AB37" i="4" s="1"/>
  <c r="AC37" i="4" s="1"/>
  <c r="AD37" i="4" s="1"/>
  <c r="AE37" i="4" s="1"/>
  <c r="G32" i="4"/>
  <c r="H32" i="4" s="1"/>
  <c r="I32" i="4" s="1"/>
  <c r="J32" i="4" s="1"/>
  <c r="K32" i="4" s="1"/>
  <c r="L32" i="4" s="1"/>
  <c r="M32" i="4" s="1"/>
  <c r="N32" i="4" s="1"/>
  <c r="O32" i="4" s="1"/>
  <c r="P32" i="4" s="1"/>
  <c r="Q32" i="4" s="1"/>
  <c r="R32" i="4" s="1"/>
  <c r="S32" i="4" s="1"/>
  <c r="T32" i="4" s="1"/>
  <c r="U32" i="4" s="1"/>
  <c r="V32" i="4" s="1"/>
  <c r="W32" i="4" s="1"/>
  <c r="X32" i="4" s="1"/>
  <c r="Y32" i="4" s="1"/>
  <c r="Z32" i="4" s="1"/>
  <c r="AA32" i="4" s="1"/>
  <c r="AB32" i="4" s="1"/>
  <c r="AC32" i="4" s="1"/>
  <c r="AD32" i="4" s="1"/>
  <c r="AE32" i="4" s="1"/>
  <c r="G21" i="4"/>
  <c r="H21" i="4" s="1"/>
  <c r="I21" i="4" s="1"/>
  <c r="J21" i="4" s="1"/>
  <c r="K21" i="4" s="1"/>
  <c r="L21" i="4" s="1"/>
  <c r="M21" i="4" s="1"/>
  <c r="N21" i="4" s="1"/>
  <c r="O21" i="4" s="1"/>
  <c r="P21" i="4" s="1"/>
  <c r="Q21" i="4" s="1"/>
  <c r="R21" i="4" s="1"/>
  <c r="S21" i="4" s="1"/>
  <c r="T21" i="4" s="1"/>
  <c r="U21" i="4" s="1"/>
  <c r="V21" i="4" s="1"/>
  <c r="W21" i="4" s="1"/>
  <c r="X21" i="4" s="1"/>
  <c r="Y21" i="4" s="1"/>
  <c r="Z21" i="4" s="1"/>
  <c r="AA21" i="4" s="1"/>
  <c r="AB21" i="4" s="1"/>
  <c r="AC21" i="4" s="1"/>
  <c r="AD21" i="4" s="1"/>
  <c r="AE21" i="4" s="1"/>
  <c r="G26" i="4"/>
  <c r="H26" i="4" s="1"/>
  <c r="I26" i="4" s="1"/>
  <c r="J26" i="4" s="1"/>
  <c r="K26" i="4" s="1"/>
  <c r="L26" i="4" s="1"/>
  <c r="M26" i="4" s="1"/>
  <c r="N26" i="4" s="1"/>
  <c r="O26" i="4" s="1"/>
  <c r="P26" i="4" s="1"/>
  <c r="Q26" i="4" s="1"/>
  <c r="R26" i="4" s="1"/>
  <c r="S26" i="4" s="1"/>
  <c r="T26" i="4" s="1"/>
  <c r="U26" i="4" s="1"/>
  <c r="V26" i="4" s="1"/>
  <c r="W26" i="4" s="1"/>
  <c r="X26" i="4" s="1"/>
  <c r="Y26" i="4" s="1"/>
  <c r="Z26" i="4" s="1"/>
  <c r="AA26" i="4" s="1"/>
  <c r="AB26" i="4" s="1"/>
  <c r="AC26" i="4" s="1"/>
  <c r="AD26" i="4" s="1"/>
  <c r="AE26" i="4" s="1"/>
  <c r="E24" i="2"/>
  <c r="D24" i="2"/>
  <c r="D38" i="2" s="1"/>
  <c r="B3" i="2"/>
  <c r="B1" i="2"/>
  <c r="F12" i="1"/>
  <c r="F11" i="1"/>
  <c r="F10" i="1"/>
  <c r="F8" i="1"/>
  <c r="F7" i="1"/>
  <c r="C22" i="1"/>
  <c r="E38" i="2" l="1"/>
  <c r="C85" i="4"/>
  <c r="F38" i="2"/>
  <c r="H50" i="4"/>
  <c r="H52" i="4" s="1"/>
  <c r="G38" i="2"/>
  <c r="H55" i="4"/>
  <c r="N9" i="11"/>
  <c r="M46" i="11"/>
  <c r="H85" i="4"/>
  <c r="D16" i="1"/>
  <c r="E16" i="1"/>
  <c r="F9" i="1"/>
  <c r="F14" i="1" s="1"/>
  <c r="H83" i="4"/>
  <c r="D25" i="2"/>
  <c r="F19" i="4"/>
  <c r="E25" i="2"/>
  <c r="F30" i="4"/>
  <c r="N89" i="4" l="1"/>
  <c r="Z89" i="4"/>
  <c r="J90" i="4"/>
  <c r="R90" i="4"/>
  <c r="Z90" i="4"/>
  <c r="G89" i="4"/>
  <c r="O89" i="4"/>
  <c r="W89" i="4"/>
  <c r="AE89" i="4"/>
  <c r="J89" i="4"/>
  <c r="R89" i="4"/>
  <c r="V89" i="4"/>
  <c r="AD89" i="4"/>
  <c r="N90" i="4"/>
  <c r="V90" i="4"/>
  <c r="AD90" i="4"/>
  <c r="K89" i="4"/>
  <c r="S89" i="4"/>
  <c r="AA89" i="4"/>
  <c r="I89" i="4"/>
  <c r="M90" i="4"/>
  <c r="T89" i="4"/>
  <c r="AE90" i="4"/>
  <c r="O90" i="4"/>
  <c r="Q90" i="4"/>
  <c r="U89" i="4"/>
  <c r="AB90" i="4"/>
  <c r="L90" i="4"/>
  <c r="G90" i="4"/>
  <c r="T90" i="4"/>
  <c r="U90" i="4"/>
  <c r="X89" i="4"/>
  <c r="H89" i="4"/>
  <c r="S90" i="4"/>
  <c r="Y90" i="4"/>
  <c r="Y89" i="4"/>
  <c r="F90" i="4"/>
  <c r="P90" i="4"/>
  <c r="H90" i="4"/>
  <c r="F89" i="4"/>
  <c r="P89" i="4"/>
  <c r="AA90" i="4"/>
  <c r="K90" i="4"/>
  <c r="I90" i="4"/>
  <c r="Q89" i="4"/>
  <c r="X90" i="4"/>
  <c r="AC90" i="4"/>
  <c r="AB89" i="4"/>
  <c r="L89" i="4"/>
  <c r="W90" i="4"/>
  <c r="AC89" i="4"/>
  <c r="M89" i="4"/>
  <c r="I50" i="4"/>
  <c r="I52" i="4" s="1"/>
  <c r="H57" i="4"/>
  <c r="I55" i="4"/>
  <c r="O9" i="11"/>
  <c r="N46" i="11"/>
  <c r="F15" i="1"/>
  <c r="I85" i="4"/>
  <c r="D8" i="10"/>
  <c r="D8" i="11"/>
  <c r="D8" i="9"/>
  <c r="E8" i="4"/>
  <c r="D8" i="8"/>
  <c r="D8" i="6"/>
  <c r="D8" i="5"/>
  <c r="D8" i="7"/>
  <c r="I83" i="4"/>
  <c r="F53" i="4"/>
  <c r="F20" i="4"/>
  <c r="G19" i="4"/>
  <c r="E13" i="2"/>
  <c r="E15" i="2" s="1"/>
  <c r="F31" i="4"/>
  <c r="F58" i="4"/>
  <c r="G30" i="4"/>
  <c r="J50" i="4"/>
  <c r="J52" i="4" s="1"/>
  <c r="E18" i="1"/>
  <c r="D18" i="1"/>
  <c r="I57" i="4" l="1"/>
  <c r="J55" i="4"/>
  <c r="P9" i="11"/>
  <c r="O46" i="11"/>
  <c r="J85" i="4"/>
  <c r="E8" i="11"/>
  <c r="E8" i="10"/>
  <c r="F8" i="10" s="1"/>
  <c r="E8" i="9"/>
  <c r="D17" i="9"/>
  <c r="D34" i="9"/>
  <c r="E8" i="8"/>
  <c r="E10" i="8" s="1"/>
  <c r="D10" i="8" s="1"/>
  <c r="E8" i="5"/>
  <c r="E10" i="5" s="1"/>
  <c r="D10" i="5" s="1"/>
  <c r="E8" i="7"/>
  <c r="E10" i="7" s="1"/>
  <c r="D10" i="7" s="1"/>
  <c r="E8" i="6"/>
  <c r="J83" i="4"/>
  <c r="F60" i="4"/>
  <c r="F14" i="5" s="1"/>
  <c r="F8" i="4"/>
  <c r="E10" i="4"/>
  <c r="D10" i="4" s="1"/>
  <c r="G31" i="4"/>
  <c r="G58" i="4"/>
  <c r="H30" i="4"/>
  <c r="G20" i="4"/>
  <c r="H19" i="4"/>
  <c r="G53" i="4"/>
  <c r="K50" i="4"/>
  <c r="K52" i="4" s="1"/>
  <c r="K55" i="4" l="1"/>
  <c r="J57" i="4"/>
  <c r="Q9" i="11"/>
  <c r="P46" i="11"/>
  <c r="K85" i="4"/>
  <c r="G60" i="4"/>
  <c r="G14" i="5" s="1"/>
  <c r="F10" i="10"/>
  <c r="E10" i="10"/>
  <c r="D10" i="10" s="1"/>
  <c r="F12" i="10"/>
  <c r="G8" i="10"/>
  <c r="F8" i="11"/>
  <c r="E10" i="11"/>
  <c r="D10" i="11" s="1"/>
  <c r="F8" i="9"/>
  <c r="E10" i="9"/>
  <c r="D10" i="9" s="1"/>
  <c r="E34" i="9"/>
  <c r="E17" i="9"/>
  <c r="E10" i="6"/>
  <c r="D10" i="6" s="1"/>
  <c r="F8" i="5"/>
  <c r="F10" i="5" s="1"/>
  <c r="F8" i="8"/>
  <c r="F10" i="8" s="1"/>
  <c r="F8" i="6"/>
  <c r="F10" i="6" s="1"/>
  <c r="F8" i="7"/>
  <c r="F10" i="7" s="1"/>
  <c r="K83" i="4"/>
  <c r="I19" i="4"/>
  <c r="H53" i="4"/>
  <c r="H20" i="4"/>
  <c r="H31" i="4"/>
  <c r="H58" i="4"/>
  <c r="I30" i="4"/>
  <c r="F12" i="4"/>
  <c r="F84" i="4" s="1"/>
  <c r="G8" i="4"/>
  <c r="F10" i="4"/>
  <c r="L50" i="4"/>
  <c r="L52" i="4" s="1"/>
  <c r="L55" i="4" l="1"/>
  <c r="K57" i="4"/>
  <c r="F23" i="4"/>
  <c r="R9" i="11"/>
  <c r="Q46" i="11"/>
  <c r="L85" i="4"/>
  <c r="F82" i="4"/>
  <c r="G10" i="10"/>
  <c r="H8" i="10"/>
  <c r="G12" i="10"/>
  <c r="F10" i="11"/>
  <c r="G8" i="11"/>
  <c r="G8" i="9"/>
  <c r="F34" i="9"/>
  <c r="F12" i="9"/>
  <c r="F17" i="9"/>
  <c r="F10" i="9"/>
  <c r="G8" i="5"/>
  <c r="G10" i="5" s="1"/>
  <c r="G8" i="6"/>
  <c r="G10" i="6" s="1"/>
  <c r="G8" i="7"/>
  <c r="G10" i="7" s="1"/>
  <c r="G8" i="8"/>
  <c r="G10" i="8" s="1"/>
  <c r="L83" i="4"/>
  <c r="J30" i="4"/>
  <c r="I58" i="4"/>
  <c r="I31" i="4"/>
  <c r="G12" i="4"/>
  <c r="G84" i="4" s="1"/>
  <c r="H8" i="4"/>
  <c r="G10" i="4"/>
  <c r="H60" i="4"/>
  <c r="H14" i="5" s="1"/>
  <c r="F65" i="4"/>
  <c r="F69" i="4"/>
  <c r="F34" i="4"/>
  <c r="F35" i="4" s="1"/>
  <c r="F36" i="4" s="1"/>
  <c r="F39" i="4" s="1"/>
  <c r="J19" i="4"/>
  <c r="I20" i="4"/>
  <c r="I53" i="4"/>
  <c r="M50" i="4"/>
  <c r="M52" i="4" s="1"/>
  <c r="M55" i="4" l="1"/>
  <c r="L57" i="4"/>
  <c r="S9" i="11"/>
  <c r="R46" i="11"/>
  <c r="G82" i="4"/>
  <c r="M85" i="4"/>
  <c r="F24" i="4"/>
  <c r="F41" i="4"/>
  <c r="I8" i="10"/>
  <c r="H12" i="10"/>
  <c r="H10" i="10"/>
  <c r="G10" i="11"/>
  <c r="H8" i="11"/>
  <c r="G34" i="9"/>
  <c r="G12" i="9"/>
  <c r="H8" i="9"/>
  <c r="G17" i="9"/>
  <c r="G10" i="9"/>
  <c r="H8" i="5"/>
  <c r="H10" i="5" s="1"/>
  <c r="H8" i="7"/>
  <c r="H10" i="7" s="1"/>
  <c r="H8" i="6"/>
  <c r="H10" i="6" s="1"/>
  <c r="H8" i="8"/>
  <c r="H10" i="8" s="1"/>
  <c r="M83" i="4"/>
  <c r="I60" i="4"/>
  <c r="I14" i="5" s="1"/>
  <c r="G69" i="4"/>
  <c r="G65" i="4"/>
  <c r="G23" i="4"/>
  <c r="G34" i="4"/>
  <c r="G35" i="4" s="1"/>
  <c r="G36" i="4" s="1"/>
  <c r="G39" i="4" s="1"/>
  <c r="J58" i="4"/>
  <c r="J31" i="4"/>
  <c r="K30" i="4"/>
  <c r="K19" i="4"/>
  <c r="J53" i="4"/>
  <c r="J20" i="4"/>
  <c r="F71" i="4"/>
  <c r="F15" i="5" s="1"/>
  <c r="H12" i="4"/>
  <c r="H84" i="4" s="1"/>
  <c r="H10" i="4"/>
  <c r="I8" i="4"/>
  <c r="N50" i="4"/>
  <c r="N52" i="4" s="1"/>
  <c r="M57" i="4" l="1"/>
  <c r="N55" i="4"/>
  <c r="T9" i="11"/>
  <c r="S46" i="11"/>
  <c r="N85" i="4"/>
  <c r="H82" i="4"/>
  <c r="G24" i="4"/>
  <c r="G25" i="4" s="1"/>
  <c r="G41" i="4"/>
  <c r="F25" i="4"/>
  <c r="F42" i="4"/>
  <c r="H10" i="11"/>
  <c r="I8" i="11"/>
  <c r="J8" i="10"/>
  <c r="I10" i="10"/>
  <c r="I12" i="10"/>
  <c r="H34" i="9"/>
  <c r="I8" i="9"/>
  <c r="H17" i="9"/>
  <c r="H12" i="9"/>
  <c r="H10" i="9"/>
  <c r="J60" i="4"/>
  <c r="J14" i="5" s="1"/>
  <c r="I8" i="5"/>
  <c r="I10" i="5" s="1"/>
  <c r="I8" i="7"/>
  <c r="I10" i="7" s="1"/>
  <c r="I8" i="8"/>
  <c r="I10" i="8" s="1"/>
  <c r="I8" i="6"/>
  <c r="N83" i="4"/>
  <c r="G71" i="4"/>
  <c r="G15" i="5" s="1"/>
  <c r="K58" i="4"/>
  <c r="K31" i="4"/>
  <c r="L30" i="4"/>
  <c r="I12" i="4"/>
  <c r="I84" i="4" s="1"/>
  <c r="I10" i="4"/>
  <c r="J8" i="4"/>
  <c r="H69" i="4"/>
  <c r="H65" i="4"/>
  <c r="H23" i="4"/>
  <c r="H34" i="4"/>
  <c r="H35" i="4" s="1"/>
  <c r="H36" i="4" s="1"/>
  <c r="H39" i="4" s="1"/>
  <c r="K20" i="4"/>
  <c r="L19" i="4"/>
  <c r="K53" i="4"/>
  <c r="O50" i="4"/>
  <c r="O52" i="4" s="1"/>
  <c r="G28" i="4" l="1"/>
  <c r="G45" i="4" s="1"/>
  <c r="F79" i="4"/>
  <c r="F90" i="11" s="1"/>
  <c r="F91" i="4"/>
  <c r="F17" i="5" s="1"/>
  <c r="N57" i="4"/>
  <c r="O55" i="4"/>
  <c r="U9" i="11"/>
  <c r="T46" i="11"/>
  <c r="I82" i="4"/>
  <c r="O85" i="4"/>
  <c r="H24" i="4"/>
  <c r="H25" i="4" s="1"/>
  <c r="H41" i="4"/>
  <c r="G42" i="4"/>
  <c r="F28" i="4"/>
  <c r="F45" i="4" s="1"/>
  <c r="F12" i="5" s="1"/>
  <c r="F89" i="11" s="1"/>
  <c r="F43" i="4"/>
  <c r="J10" i="10"/>
  <c r="K8" i="10"/>
  <c r="J12" i="10"/>
  <c r="I10" i="11"/>
  <c r="J8" i="11"/>
  <c r="I10" i="9"/>
  <c r="I17" i="9"/>
  <c r="I34" i="9"/>
  <c r="I12" i="9"/>
  <c r="J8" i="9"/>
  <c r="J8" i="5"/>
  <c r="J10" i="5" s="1"/>
  <c r="J8" i="8"/>
  <c r="J10" i="8" s="1"/>
  <c r="J8" i="6"/>
  <c r="J10" i="6" s="1"/>
  <c r="J8" i="7"/>
  <c r="J10" i="7" s="1"/>
  <c r="I10" i="6"/>
  <c r="O83" i="4"/>
  <c r="K60" i="4"/>
  <c r="K14" i="5" s="1"/>
  <c r="H71" i="4"/>
  <c r="H15" i="5" s="1"/>
  <c r="L20" i="4"/>
  <c r="M19" i="4"/>
  <c r="L53" i="4"/>
  <c r="J12" i="4"/>
  <c r="J84" i="4" s="1"/>
  <c r="J10" i="4"/>
  <c r="K8" i="4"/>
  <c r="L58" i="4"/>
  <c r="L31" i="4"/>
  <c r="M30" i="4"/>
  <c r="I65" i="4"/>
  <c r="I69" i="4"/>
  <c r="I34" i="4"/>
  <c r="I35" i="4" s="1"/>
  <c r="I36" i="4" s="1"/>
  <c r="I39" i="4" s="1"/>
  <c r="I23" i="4"/>
  <c r="P50" i="4"/>
  <c r="P52" i="4" s="1"/>
  <c r="F91" i="11" l="1"/>
  <c r="F94" i="11" s="1"/>
  <c r="H28" i="4"/>
  <c r="H45" i="4" s="1"/>
  <c r="O57" i="4"/>
  <c r="P55" i="4"/>
  <c r="V9" i="11"/>
  <c r="U46" i="11"/>
  <c r="P85" i="4"/>
  <c r="J82" i="4"/>
  <c r="I24" i="4"/>
  <c r="I25" i="4" s="1"/>
  <c r="I41" i="4"/>
  <c r="G43" i="4"/>
  <c r="G79" i="4"/>
  <c r="G12" i="5"/>
  <c r="G89" i="11" s="1"/>
  <c r="F37" i="5"/>
  <c r="H42" i="4"/>
  <c r="K10" i="10"/>
  <c r="L8" i="10"/>
  <c r="K12" i="10"/>
  <c r="J10" i="11"/>
  <c r="K8" i="11"/>
  <c r="J12" i="9"/>
  <c r="J17" i="9"/>
  <c r="J10" i="9"/>
  <c r="J34" i="9"/>
  <c r="K8" i="9"/>
  <c r="K8" i="5"/>
  <c r="K10" i="5" s="1"/>
  <c r="K8" i="6"/>
  <c r="K10" i="6" s="1"/>
  <c r="K8" i="7"/>
  <c r="K10" i="7" s="1"/>
  <c r="K8" i="8"/>
  <c r="K10" i="8" s="1"/>
  <c r="P83" i="4"/>
  <c r="J65" i="4"/>
  <c r="J69" i="4"/>
  <c r="J23" i="4"/>
  <c r="J34" i="4"/>
  <c r="J35" i="4" s="1"/>
  <c r="J36" i="4" s="1"/>
  <c r="J39" i="4" s="1"/>
  <c r="I71" i="4"/>
  <c r="I15" i="5" s="1"/>
  <c r="L60" i="4"/>
  <c r="L14" i="5" s="1"/>
  <c r="K12" i="4"/>
  <c r="K84" i="4" s="1"/>
  <c r="K10" i="4"/>
  <c r="L8" i="4"/>
  <c r="M53" i="4"/>
  <c r="M20" i="4"/>
  <c r="N19" i="4"/>
  <c r="M58" i="4"/>
  <c r="N30" i="4"/>
  <c r="M31" i="4"/>
  <c r="Q50" i="4"/>
  <c r="Q52" i="4" s="1"/>
  <c r="G90" i="11" l="1"/>
  <c r="G91" i="4"/>
  <c r="I28" i="4"/>
  <c r="I45" i="4" s="1"/>
  <c r="P57" i="4"/>
  <c r="Q55" i="4"/>
  <c r="G91" i="11"/>
  <c r="G94" i="11" s="1"/>
  <c r="W9" i="11"/>
  <c r="V46" i="11"/>
  <c r="K82" i="4"/>
  <c r="Q85" i="4"/>
  <c r="H43" i="4"/>
  <c r="H12" i="5"/>
  <c r="H89" i="11" s="1"/>
  <c r="H79" i="4"/>
  <c r="G37" i="5"/>
  <c r="G48" i="5" s="1"/>
  <c r="G107" i="11" s="1"/>
  <c r="J24" i="4"/>
  <c r="J25" i="4" s="1"/>
  <c r="J41" i="4"/>
  <c r="I42" i="4"/>
  <c r="L10" i="10"/>
  <c r="M8" i="10"/>
  <c r="L12" i="10"/>
  <c r="K10" i="11"/>
  <c r="L8" i="11"/>
  <c r="L8" i="9"/>
  <c r="K34" i="9"/>
  <c r="K12" i="9"/>
  <c r="K17" i="9"/>
  <c r="K10" i="9"/>
  <c r="L8" i="5"/>
  <c r="L10" i="5" s="1"/>
  <c r="L8" i="7"/>
  <c r="L10" i="7" s="1"/>
  <c r="L8" i="8"/>
  <c r="L10" i="8" s="1"/>
  <c r="L8" i="6"/>
  <c r="L10" i="6" s="1"/>
  <c r="Q83" i="4"/>
  <c r="J71" i="4"/>
  <c r="J15" i="5" s="1"/>
  <c r="L12" i="4"/>
  <c r="L84" i="4" s="1"/>
  <c r="M8" i="4"/>
  <c r="L10" i="4"/>
  <c r="N53" i="4"/>
  <c r="N20" i="4"/>
  <c r="O19" i="4"/>
  <c r="N58" i="4"/>
  <c r="O30" i="4"/>
  <c r="N31" i="4"/>
  <c r="K69" i="4"/>
  <c r="K65" i="4"/>
  <c r="K23" i="4"/>
  <c r="K34" i="4"/>
  <c r="M60" i="4"/>
  <c r="M14" i="5" s="1"/>
  <c r="R50" i="4"/>
  <c r="R52" i="4" s="1"/>
  <c r="H90" i="11" l="1"/>
  <c r="H91" i="4"/>
  <c r="J28" i="4"/>
  <c r="J45" i="4" s="1"/>
  <c r="Q57" i="4"/>
  <c r="R55" i="4"/>
  <c r="H91" i="11"/>
  <c r="H94" i="11" s="1"/>
  <c r="X9" i="11"/>
  <c r="W46" i="11"/>
  <c r="L82" i="4"/>
  <c r="R85" i="4"/>
  <c r="I43" i="4"/>
  <c r="I79" i="4"/>
  <c r="I12" i="5"/>
  <c r="I89" i="11" s="1"/>
  <c r="J42" i="4"/>
  <c r="H37" i="5"/>
  <c r="H48" i="5" s="1"/>
  <c r="H107" i="11" s="1"/>
  <c r="K24" i="4"/>
  <c r="K25" i="4" s="1"/>
  <c r="K41" i="4"/>
  <c r="M12" i="10"/>
  <c r="N8" i="10"/>
  <c r="M10" i="10"/>
  <c r="L10" i="11"/>
  <c r="M8" i="11"/>
  <c r="L10" i="9"/>
  <c r="L17" i="9"/>
  <c r="M8" i="9"/>
  <c r="L12" i="9"/>
  <c r="L34" i="9"/>
  <c r="M8" i="5"/>
  <c r="M10" i="5" s="1"/>
  <c r="M8" i="7"/>
  <c r="M10" i="7" s="1"/>
  <c r="M8" i="8"/>
  <c r="M10" i="8" s="1"/>
  <c r="M8" i="6"/>
  <c r="R83" i="4"/>
  <c r="O58" i="4"/>
  <c r="P30" i="4"/>
  <c r="O31" i="4"/>
  <c r="M12" i="4"/>
  <c r="M84" i="4" s="1"/>
  <c r="N8" i="4"/>
  <c r="M10" i="4"/>
  <c r="K35" i="4"/>
  <c r="K36" i="4" s="1"/>
  <c r="K39" i="4" s="1"/>
  <c r="N60" i="4"/>
  <c r="N14" i="5" s="1"/>
  <c r="L69" i="4"/>
  <c r="L65" i="4"/>
  <c r="L34" i="4"/>
  <c r="L23" i="4"/>
  <c r="K71" i="4"/>
  <c r="K15" i="5" s="1"/>
  <c r="O53" i="4"/>
  <c r="O20" i="4"/>
  <c r="P19" i="4"/>
  <c r="S50" i="4"/>
  <c r="S52" i="4" s="1"/>
  <c r="I90" i="11" l="1"/>
  <c r="I91" i="4"/>
  <c r="K28" i="4"/>
  <c r="K45" i="4" s="1"/>
  <c r="S55" i="4"/>
  <c r="R57" i="4"/>
  <c r="I91" i="11"/>
  <c r="I94" i="11" s="1"/>
  <c r="Y9" i="11"/>
  <c r="X46" i="11"/>
  <c r="M82" i="4"/>
  <c r="S85" i="4"/>
  <c r="J43" i="4"/>
  <c r="J12" i="5"/>
  <c r="J89" i="11" s="1"/>
  <c r="J79" i="4"/>
  <c r="I37" i="5"/>
  <c r="I48" i="5" s="1"/>
  <c r="I107" i="11" s="1"/>
  <c r="L24" i="4"/>
  <c r="L25" i="4" s="1"/>
  <c r="L41" i="4"/>
  <c r="K42" i="4"/>
  <c r="N12" i="10"/>
  <c r="O8" i="10"/>
  <c r="N10" i="10"/>
  <c r="M10" i="11"/>
  <c r="N8" i="11"/>
  <c r="M34" i="9"/>
  <c r="M10" i="9"/>
  <c r="M12" i="9"/>
  <c r="M17" i="9"/>
  <c r="N8" i="9"/>
  <c r="M10" i="6"/>
  <c r="N8" i="5"/>
  <c r="N10" i="5" s="1"/>
  <c r="N8" i="8"/>
  <c r="N10" i="8" s="1"/>
  <c r="N8" i="6"/>
  <c r="N10" i="6" s="1"/>
  <c r="N8" i="7"/>
  <c r="N10" i="7" s="1"/>
  <c r="S83" i="4"/>
  <c r="L71" i="4"/>
  <c r="L15" i="5" s="1"/>
  <c r="O60" i="4"/>
  <c r="O14" i="5" s="1"/>
  <c r="L35" i="4"/>
  <c r="L36" i="4" s="1"/>
  <c r="L39" i="4" s="1"/>
  <c r="N12" i="4"/>
  <c r="N84" i="4" s="1"/>
  <c r="N10" i="4"/>
  <c r="O8" i="4"/>
  <c r="P58" i="4"/>
  <c r="Q30" i="4"/>
  <c r="P31" i="4"/>
  <c r="Q19" i="4"/>
  <c r="P53" i="4"/>
  <c r="P20" i="4"/>
  <c r="M69" i="4"/>
  <c r="M65" i="4"/>
  <c r="M34" i="4"/>
  <c r="M35" i="4" s="1"/>
  <c r="M36" i="4" s="1"/>
  <c r="M39" i="4" s="1"/>
  <c r="M23" i="4"/>
  <c r="T50" i="4"/>
  <c r="T52" i="4" s="1"/>
  <c r="J90" i="11" l="1"/>
  <c r="J91" i="4"/>
  <c r="L28" i="4"/>
  <c r="L45" i="4" s="1"/>
  <c r="L12" i="5" s="1"/>
  <c r="L89" i="11" s="1"/>
  <c r="T55" i="4"/>
  <c r="S57" i="4"/>
  <c r="J91" i="11"/>
  <c r="J94" i="11" s="1"/>
  <c r="Z9" i="11"/>
  <c r="Y46" i="11"/>
  <c r="K12" i="5"/>
  <c r="K89" i="11" s="1"/>
  <c r="N82" i="4"/>
  <c r="T85" i="4"/>
  <c r="K79" i="4"/>
  <c r="M24" i="4"/>
  <c r="M25" i="4" s="1"/>
  <c r="M41" i="4"/>
  <c r="L42" i="4"/>
  <c r="J37" i="5"/>
  <c r="J48" i="5" s="1"/>
  <c r="J107" i="11" s="1"/>
  <c r="K43" i="4"/>
  <c r="O10" i="10"/>
  <c r="P8" i="10"/>
  <c r="O12" i="10"/>
  <c r="N10" i="11"/>
  <c r="O8" i="11"/>
  <c r="N34" i="9"/>
  <c r="O8" i="9"/>
  <c r="N17" i="9"/>
  <c r="N12" i="9"/>
  <c r="N10" i="9"/>
  <c r="O8" i="5"/>
  <c r="O10" i="5" s="1"/>
  <c r="O8" i="6"/>
  <c r="O10" i="6" s="1"/>
  <c r="O8" i="7"/>
  <c r="O10" i="7" s="1"/>
  <c r="O8" i="8"/>
  <c r="O10" i="8" s="1"/>
  <c r="T83" i="4"/>
  <c r="M71" i="4"/>
  <c r="M15" i="5" s="1"/>
  <c r="O12" i="4"/>
  <c r="O84" i="4" s="1"/>
  <c r="O10" i="4"/>
  <c r="P8" i="4"/>
  <c r="R19" i="4"/>
  <c r="Q53" i="4"/>
  <c r="Q20" i="4"/>
  <c r="P60" i="4"/>
  <c r="P14" i="5" s="1"/>
  <c r="Q58" i="4"/>
  <c r="R30" i="4"/>
  <c r="Q31" i="4"/>
  <c r="N65" i="4"/>
  <c r="N69" i="4"/>
  <c r="N34" i="4"/>
  <c r="N35" i="4" s="1"/>
  <c r="N36" i="4" s="1"/>
  <c r="N39" i="4" s="1"/>
  <c r="N23" i="4"/>
  <c r="U50" i="4"/>
  <c r="U52" i="4" s="1"/>
  <c r="K90" i="11" l="1"/>
  <c r="K91" i="11" s="1"/>
  <c r="K94" i="11" s="1"/>
  <c r="K91" i="4"/>
  <c r="M28" i="4"/>
  <c r="M45" i="4" s="1"/>
  <c r="U55" i="4"/>
  <c r="T57" i="4"/>
  <c r="AA9" i="11"/>
  <c r="Z46" i="11"/>
  <c r="K37" i="5"/>
  <c r="K48" i="5" s="1"/>
  <c r="K107" i="11" s="1"/>
  <c r="O82" i="4"/>
  <c r="U85" i="4"/>
  <c r="L79" i="4"/>
  <c r="L43" i="4"/>
  <c r="L37" i="5"/>
  <c r="N24" i="4"/>
  <c r="N25" i="4" s="1"/>
  <c r="N41" i="4"/>
  <c r="M42" i="4"/>
  <c r="P10" i="10"/>
  <c r="Q8" i="10"/>
  <c r="P12" i="10"/>
  <c r="O10" i="11"/>
  <c r="P8" i="11"/>
  <c r="O34" i="9"/>
  <c r="P8" i="9"/>
  <c r="O17" i="9"/>
  <c r="O12" i="9"/>
  <c r="O10" i="9"/>
  <c r="P8" i="5"/>
  <c r="P10" i="5" s="1"/>
  <c r="P8" i="7"/>
  <c r="P10" i="7" s="1"/>
  <c r="P8" i="6"/>
  <c r="P10" i="6" s="1"/>
  <c r="P8" i="8"/>
  <c r="P10" i="8" s="1"/>
  <c r="U83" i="4"/>
  <c r="N71" i="4"/>
  <c r="N15" i="5" s="1"/>
  <c r="P12" i="4"/>
  <c r="P84" i="4" s="1"/>
  <c r="P10" i="4"/>
  <c r="Q8" i="4"/>
  <c r="Q60" i="4"/>
  <c r="Q14" i="5" s="1"/>
  <c r="R58" i="4"/>
  <c r="S30" i="4"/>
  <c r="R31" i="4"/>
  <c r="O69" i="4"/>
  <c r="O65" i="4"/>
  <c r="O23" i="4"/>
  <c r="O34" i="4"/>
  <c r="O35" i="4" s="1"/>
  <c r="O36" i="4" s="1"/>
  <c r="O39" i="4" s="1"/>
  <c r="S19" i="4"/>
  <c r="R53" i="4"/>
  <c r="R20" i="4"/>
  <c r="V50" i="4"/>
  <c r="V52" i="4" s="1"/>
  <c r="L90" i="11" l="1"/>
  <c r="L91" i="11" s="1"/>
  <c r="L94" i="11" s="1"/>
  <c r="L91" i="4"/>
  <c r="N28" i="4"/>
  <c r="N45" i="4" s="1"/>
  <c r="U57" i="4"/>
  <c r="V55" i="4"/>
  <c r="L48" i="5"/>
  <c r="L107" i="11" s="1"/>
  <c r="AB9" i="11"/>
  <c r="AA46" i="11"/>
  <c r="P82" i="4"/>
  <c r="V85" i="4"/>
  <c r="O24" i="4"/>
  <c r="O25" i="4" s="1"/>
  <c r="O41" i="4"/>
  <c r="M12" i="5"/>
  <c r="M89" i="11" s="1"/>
  <c r="M79" i="4"/>
  <c r="M43" i="4"/>
  <c r="N42" i="4"/>
  <c r="Q12" i="10"/>
  <c r="R8" i="10"/>
  <c r="Q10" i="10"/>
  <c r="P10" i="11"/>
  <c r="Q8" i="11"/>
  <c r="P10" i="9"/>
  <c r="P17" i="9"/>
  <c r="Q8" i="9"/>
  <c r="P12" i="9"/>
  <c r="P34" i="9"/>
  <c r="Q8" i="5"/>
  <c r="Q10" i="5" s="1"/>
  <c r="Q8" i="7"/>
  <c r="Q10" i="7" s="1"/>
  <c r="Q8" i="8"/>
  <c r="Q10" i="8" s="1"/>
  <c r="Q8" i="6"/>
  <c r="V83" i="4"/>
  <c r="O71" i="4"/>
  <c r="O15" i="5" s="1"/>
  <c r="S58" i="4"/>
  <c r="T30" i="4"/>
  <c r="S31" i="4"/>
  <c r="Q12" i="4"/>
  <c r="Q84" i="4" s="1"/>
  <c r="R8" i="4"/>
  <c r="Q10" i="4"/>
  <c r="S20" i="4"/>
  <c r="T19" i="4"/>
  <c r="S53" i="4"/>
  <c r="R60" i="4"/>
  <c r="R14" i="5" s="1"/>
  <c r="P69" i="4"/>
  <c r="P65" i="4"/>
  <c r="P34" i="4"/>
  <c r="P35" i="4" s="1"/>
  <c r="P36" i="4" s="1"/>
  <c r="P39" i="4" s="1"/>
  <c r="P23" i="4"/>
  <c r="W50" i="4"/>
  <c r="W52" i="4" s="1"/>
  <c r="M90" i="11" l="1"/>
  <c r="M91" i="4"/>
  <c r="O28" i="4"/>
  <c r="O45" i="4" s="1"/>
  <c r="V57" i="4"/>
  <c r="W55" i="4"/>
  <c r="M91" i="11"/>
  <c r="M94" i="11" s="1"/>
  <c r="AC9" i="11"/>
  <c r="AB46" i="11"/>
  <c r="Q82" i="4"/>
  <c r="W85" i="4"/>
  <c r="M37" i="5"/>
  <c r="M48" i="5" s="1"/>
  <c r="M107" i="11" s="1"/>
  <c r="P24" i="4"/>
  <c r="P25" i="4" s="1"/>
  <c r="P41" i="4"/>
  <c r="N43" i="4"/>
  <c r="N12" i="5"/>
  <c r="N89" i="11" s="1"/>
  <c r="N79" i="4"/>
  <c r="O42" i="4"/>
  <c r="R10" i="10"/>
  <c r="S8" i="10"/>
  <c r="R12" i="10"/>
  <c r="Q10" i="11"/>
  <c r="R8" i="11"/>
  <c r="R8" i="9"/>
  <c r="Q34" i="9"/>
  <c r="Q10" i="9"/>
  <c r="Q17" i="9"/>
  <c r="Q12" i="9"/>
  <c r="Q10" i="6"/>
  <c r="R8" i="5"/>
  <c r="R10" i="5" s="1"/>
  <c r="R8" i="8"/>
  <c r="R10" i="8" s="1"/>
  <c r="R8" i="6"/>
  <c r="R10" i="6" s="1"/>
  <c r="R8" i="7"/>
  <c r="R10" i="7" s="1"/>
  <c r="S60" i="4"/>
  <c r="S14" i="5" s="1"/>
  <c r="W83" i="4"/>
  <c r="T58" i="4"/>
  <c r="U30" i="4"/>
  <c r="T31" i="4"/>
  <c r="R12" i="4"/>
  <c r="R84" i="4" s="1"/>
  <c r="R10" i="4"/>
  <c r="S8" i="4"/>
  <c r="P71" i="4"/>
  <c r="P15" i="5" s="1"/>
  <c r="U19" i="4"/>
  <c r="T20" i="4"/>
  <c r="T53" i="4"/>
  <c r="Q65" i="4"/>
  <c r="Q69" i="4"/>
  <c r="Q23" i="4"/>
  <c r="Q34" i="4"/>
  <c r="Q35" i="4" s="1"/>
  <c r="Q36" i="4" s="1"/>
  <c r="Q39" i="4" s="1"/>
  <c r="X50" i="4"/>
  <c r="X52" i="4" s="1"/>
  <c r="N90" i="11" l="1"/>
  <c r="N91" i="4"/>
  <c r="P28" i="4"/>
  <c r="P45" i="4" s="1"/>
  <c r="X55" i="4"/>
  <c r="W57" i="4"/>
  <c r="N91" i="11"/>
  <c r="N94" i="11" s="1"/>
  <c r="AD9" i="11"/>
  <c r="AC46" i="11"/>
  <c r="R82" i="4"/>
  <c r="X85" i="4"/>
  <c r="Q24" i="4"/>
  <c r="Q25" i="4" s="1"/>
  <c r="Q41" i="4"/>
  <c r="O43" i="4"/>
  <c r="O12" i="5"/>
  <c r="O89" i="11" s="1"/>
  <c r="O79" i="4"/>
  <c r="P42" i="4"/>
  <c r="N37" i="5"/>
  <c r="N48" i="5" s="1"/>
  <c r="N107" i="11" s="1"/>
  <c r="T8" i="10"/>
  <c r="S12" i="10"/>
  <c r="S10" i="10"/>
  <c r="R10" i="11"/>
  <c r="S8" i="11"/>
  <c r="R17" i="9"/>
  <c r="R34" i="9"/>
  <c r="R12" i="9"/>
  <c r="R10" i="9"/>
  <c r="S8" i="9"/>
  <c r="S8" i="5"/>
  <c r="S10" i="5" s="1"/>
  <c r="S8" i="6"/>
  <c r="S10" i="6" s="1"/>
  <c r="S8" i="7"/>
  <c r="S10" i="7" s="1"/>
  <c r="S8" i="8"/>
  <c r="S10" i="8" s="1"/>
  <c r="X83" i="4"/>
  <c r="Q71" i="4"/>
  <c r="Q15" i="5" s="1"/>
  <c r="V19" i="4"/>
  <c r="U53" i="4"/>
  <c r="U20" i="4"/>
  <c r="R65" i="4"/>
  <c r="R69" i="4"/>
  <c r="R34" i="4"/>
  <c r="R35" i="4" s="1"/>
  <c r="R36" i="4" s="1"/>
  <c r="R39" i="4" s="1"/>
  <c r="R23" i="4"/>
  <c r="T60" i="4"/>
  <c r="T14" i="5" s="1"/>
  <c r="S12" i="4"/>
  <c r="S84" i="4" s="1"/>
  <c r="T8" i="4"/>
  <c r="S10" i="4"/>
  <c r="U58" i="4"/>
  <c r="U31" i="4"/>
  <c r="V30" i="4"/>
  <c r="Y50" i="4"/>
  <c r="Y52" i="4" s="1"/>
  <c r="O90" i="11" l="1"/>
  <c r="O91" i="4"/>
  <c r="Q28" i="4"/>
  <c r="Q45" i="4" s="1"/>
  <c r="Y55" i="4"/>
  <c r="X57" i="4"/>
  <c r="O91" i="11"/>
  <c r="O94" i="11" s="1"/>
  <c r="AE9" i="11"/>
  <c r="AE46" i="11" s="1"/>
  <c r="AD46" i="11"/>
  <c r="S82" i="4"/>
  <c r="Y85" i="4"/>
  <c r="O37" i="5"/>
  <c r="O48" i="5" s="1"/>
  <c r="O107" i="11" s="1"/>
  <c r="R24" i="4"/>
  <c r="R25" i="4" s="1"/>
  <c r="R41" i="4"/>
  <c r="P43" i="4"/>
  <c r="P12" i="5"/>
  <c r="P89" i="11" s="1"/>
  <c r="P79" i="4"/>
  <c r="Q42" i="4"/>
  <c r="S10" i="11"/>
  <c r="T8" i="11"/>
  <c r="T10" i="10"/>
  <c r="U8" i="10"/>
  <c r="T12" i="10"/>
  <c r="T8" i="9"/>
  <c r="S34" i="9"/>
  <c r="S12" i="9"/>
  <c r="S17" i="9"/>
  <c r="S10" i="9"/>
  <c r="T8" i="5"/>
  <c r="T10" i="5" s="1"/>
  <c r="T8" i="7"/>
  <c r="T10" i="7" s="1"/>
  <c r="T8" i="6"/>
  <c r="T10" i="6" s="1"/>
  <c r="T8" i="8"/>
  <c r="T10" i="8" s="1"/>
  <c r="Y83" i="4"/>
  <c r="R71" i="4"/>
  <c r="R15" i="5" s="1"/>
  <c r="U60" i="4"/>
  <c r="U14" i="5" s="1"/>
  <c r="V58" i="4"/>
  <c r="V31" i="4"/>
  <c r="W30" i="4"/>
  <c r="W19" i="4"/>
  <c r="V53" i="4"/>
  <c r="V20" i="4"/>
  <c r="T12" i="4"/>
  <c r="T84" i="4" s="1"/>
  <c r="U8" i="4"/>
  <c r="T10" i="4"/>
  <c r="S65" i="4"/>
  <c r="S69" i="4"/>
  <c r="S23" i="4"/>
  <c r="S34" i="4"/>
  <c r="S35" i="4" s="1"/>
  <c r="S36" i="4" s="1"/>
  <c r="S39" i="4" s="1"/>
  <c r="Z50" i="4"/>
  <c r="Z52" i="4" s="1"/>
  <c r="P90" i="11" l="1"/>
  <c r="P91" i="4"/>
  <c r="R28" i="4"/>
  <c r="R45" i="4" s="1"/>
  <c r="Z55" i="4"/>
  <c r="Y57" i="4"/>
  <c r="P91" i="11"/>
  <c r="P94" i="11" s="1"/>
  <c r="T82" i="4"/>
  <c r="Z85" i="4"/>
  <c r="V60" i="4"/>
  <c r="V14" i="5" s="1"/>
  <c r="P37" i="5"/>
  <c r="P48" i="5" s="1"/>
  <c r="P107" i="11" s="1"/>
  <c r="R42" i="4"/>
  <c r="Q43" i="4"/>
  <c r="Q12" i="5"/>
  <c r="Q89" i="11" s="1"/>
  <c r="Q79" i="4"/>
  <c r="S24" i="4"/>
  <c r="S25" i="4" s="1"/>
  <c r="S41" i="4"/>
  <c r="U12" i="10"/>
  <c r="V8" i="10"/>
  <c r="U10" i="10"/>
  <c r="T10" i="11"/>
  <c r="U8" i="11"/>
  <c r="U8" i="9"/>
  <c r="T17" i="9"/>
  <c r="T10" i="9"/>
  <c r="T12" i="9"/>
  <c r="T34" i="9"/>
  <c r="U8" i="5"/>
  <c r="U10" i="5" s="1"/>
  <c r="U8" i="7"/>
  <c r="U10" i="7" s="1"/>
  <c r="U8" i="8"/>
  <c r="U10" i="8" s="1"/>
  <c r="U8" i="6"/>
  <c r="Z83" i="4"/>
  <c r="S71" i="4"/>
  <c r="S15" i="5" s="1"/>
  <c r="U12" i="4"/>
  <c r="U84" i="4" s="1"/>
  <c r="V8" i="4"/>
  <c r="U10" i="4"/>
  <c r="W53" i="4"/>
  <c r="W20" i="4"/>
  <c r="X19" i="4"/>
  <c r="T65" i="4"/>
  <c r="T69" i="4"/>
  <c r="T23" i="4"/>
  <c r="T34" i="4"/>
  <c r="T35" i="4" s="1"/>
  <c r="T36" i="4" s="1"/>
  <c r="T39" i="4" s="1"/>
  <c r="W58" i="4"/>
  <c r="W31" i="4"/>
  <c r="X30" i="4"/>
  <c r="AA50" i="4"/>
  <c r="AA52" i="4" s="1"/>
  <c r="Q90" i="11" l="1"/>
  <c r="Q91" i="4"/>
  <c r="S28" i="4"/>
  <c r="S45" i="4" s="1"/>
  <c r="AA55" i="4"/>
  <c r="Z57" i="4"/>
  <c r="Q91" i="11"/>
  <c r="Q94" i="11" s="1"/>
  <c r="U82" i="4"/>
  <c r="AA85" i="4"/>
  <c r="T24" i="4"/>
  <c r="T25" i="4" s="1"/>
  <c r="T41" i="4"/>
  <c r="Q37" i="5"/>
  <c r="Q48" i="5" s="1"/>
  <c r="Q107" i="11" s="1"/>
  <c r="R12" i="5"/>
  <c r="R89" i="11" s="1"/>
  <c r="R79" i="4"/>
  <c r="R43" i="4"/>
  <c r="S42" i="4"/>
  <c r="V12" i="10"/>
  <c r="W8" i="10"/>
  <c r="V10" i="10"/>
  <c r="U10" i="11"/>
  <c r="V8" i="11"/>
  <c r="U10" i="9"/>
  <c r="U12" i="9"/>
  <c r="U17" i="9"/>
  <c r="U34" i="9"/>
  <c r="V8" i="9"/>
  <c r="U10" i="6"/>
  <c r="V8" i="5"/>
  <c r="V10" i="5" s="1"/>
  <c r="V8" i="8"/>
  <c r="V10" i="8" s="1"/>
  <c r="V8" i="6"/>
  <c r="V10" i="6" s="1"/>
  <c r="V8" i="7"/>
  <c r="V10" i="7" s="1"/>
  <c r="AA83" i="4"/>
  <c r="T71" i="4"/>
  <c r="T15" i="5" s="1"/>
  <c r="W60" i="4"/>
  <c r="W14" i="5" s="1"/>
  <c r="V12" i="4"/>
  <c r="V84" i="4" s="1"/>
  <c r="W8" i="4"/>
  <c r="V10" i="4"/>
  <c r="X58" i="4"/>
  <c r="Y30" i="4"/>
  <c r="X31" i="4"/>
  <c r="Y19" i="4"/>
  <c r="X20" i="4"/>
  <c r="X53" i="4"/>
  <c r="U65" i="4"/>
  <c r="U69" i="4"/>
  <c r="U23" i="4"/>
  <c r="U34" i="4"/>
  <c r="U35" i="4" s="1"/>
  <c r="U36" i="4" s="1"/>
  <c r="U39" i="4" s="1"/>
  <c r="AB50" i="4"/>
  <c r="AB52" i="4" s="1"/>
  <c r="R90" i="11" l="1"/>
  <c r="R91" i="4"/>
  <c r="T28" i="4"/>
  <c r="T45" i="4" s="1"/>
  <c r="AA57" i="4"/>
  <c r="AB55" i="4"/>
  <c r="R91" i="11"/>
  <c r="R94" i="11" s="1"/>
  <c r="V82" i="4"/>
  <c r="AB85" i="4"/>
  <c r="U24" i="4"/>
  <c r="U25" i="4" s="1"/>
  <c r="U41" i="4"/>
  <c r="R37" i="5"/>
  <c r="R48" i="5" s="1"/>
  <c r="R107" i="11" s="1"/>
  <c r="S43" i="4"/>
  <c r="S12" i="5"/>
  <c r="S89" i="11" s="1"/>
  <c r="S79" i="4"/>
  <c r="T42" i="4"/>
  <c r="W10" i="10"/>
  <c r="X8" i="10"/>
  <c r="W12" i="10"/>
  <c r="V10" i="11"/>
  <c r="W8" i="11"/>
  <c r="W8" i="9"/>
  <c r="V34" i="9"/>
  <c r="V12" i="9"/>
  <c r="V17" i="9"/>
  <c r="V10" i="9"/>
  <c r="W8" i="5"/>
  <c r="W10" i="5" s="1"/>
  <c r="W8" i="6"/>
  <c r="W10" i="6" s="1"/>
  <c r="W8" i="7"/>
  <c r="W10" i="7" s="1"/>
  <c r="W8" i="8"/>
  <c r="W10" i="8" s="1"/>
  <c r="AB83" i="4"/>
  <c r="W12" i="4"/>
  <c r="W84" i="4" s="1"/>
  <c r="X8" i="4"/>
  <c r="W10" i="4"/>
  <c r="U71" i="4"/>
  <c r="U15" i="5" s="1"/>
  <c r="X60" i="4"/>
  <c r="X14" i="5" s="1"/>
  <c r="Y58" i="4"/>
  <c r="Z30" i="4"/>
  <c r="Y31" i="4"/>
  <c r="V65" i="4"/>
  <c r="V69" i="4"/>
  <c r="V23" i="4"/>
  <c r="V34" i="4"/>
  <c r="V35" i="4" s="1"/>
  <c r="V36" i="4" s="1"/>
  <c r="V39" i="4" s="1"/>
  <c r="Y20" i="4"/>
  <c r="Y53" i="4"/>
  <c r="Z19" i="4"/>
  <c r="AC50" i="4"/>
  <c r="AC52" i="4" s="1"/>
  <c r="S90" i="11" l="1"/>
  <c r="S91" i="4"/>
  <c r="U28" i="4"/>
  <c r="U45" i="4" s="1"/>
  <c r="AB57" i="4"/>
  <c r="AC55" i="4"/>
  <c r="S91" i="11"/>
  <c r="S94" i="11" s="1"/>
  <c r="W82" i="4"/>
  <c r="AC85" i="4"/>
  <c r="S37" i="5"/>
  <c r="S48" i="5" s="1"/>
  <c r="S107" i="11" s="1"/>
  <c r="T12" i="5"/>
  <c r="T89" i="11" s="1"/>
  <c r="T79" i="4"/>
  <c r="T43" i="4"/>
  <c r="V24" i="4"/>
  <c r="V25" i="4" s="1"/>
  <c r="V41" i="4"/>
  <c r="U42" i="4"/>
  <c r="Y8" i="10"/>
  <c r="X12" i="10"/>
  <c r="X10" i="10"/>
  <c r="W10" i="11"/>
  <c r="X8" i="11"/>
  <c r="W34" i="9"/>
  <c r="W12" i="9"/>
  <c r="W17" i="9"/>
  <c r="W10" i="9"/>
  <c r="X8" i="9"/>
  <c r="X8" i="5"/>
  <c r="X10" i="5" s="1"/>
  <c r="X8" i="6"/>
  <c r="X10" i="6" s="1"/>
  <c r="X8" i="7"/>
  <c r="X10" i="7" s="1"/>
  <c r="X8" i="8"/>
  <c r="X10" i="8" s="1"/>
  <c r="AC83" i="4"/>
  <c r="Y60" i="4"/>
  <c r="Y14" i="5" s="1"/>
  <c r="V71" i="4"/>
  <c r="V15" i="5" s="1"/>
  <c r="X12" i="4"/>
  <c r="X84" i="4" s="1"/>
  <c r="X10" i="4"/>
  <c r="Y8" i="4"/>
  <c r="Z58" i="4"/>
  <c r="Z31" i="4"/>
  <c r="AA30" i="4"/>
  <c r="W65" i="4"/>
  <c r="W69" i="4"/>
  <c r="W23" i="4"/>
  <c r="W34" i="4"/>
  <c r="W35" i="4" s="1"/>
  <c r="W36" i="4" s="1"/>
  <c r="W39" i="4" s="1"/>
  <c r="Z53" i="4"/>
  <c r="Z20" i="4"/>
  <c r="AA19" i="4"/>
  <c r="AD50" i="4"/>
  <c r="AD52" i="4" s="1"/>
  <c r="T90" i="11" l="1"/>
  <c r="T91" i="4"/>
  <c r="V28" i="4"/>
  <c r="V45" i="4" s="1"/>
  <c r="AC57" i="4"/>
  <c r="AD55" i="4"/>
  <c r="T91" i="11"/>
  <c r="T94" i="11" s="1"/>
  <c r="X82" i="4"/>
  <c r="AD85" i="4"/>
  <c r="V42" i="4"/>
  <c r="U43" i="4"/>
  <c r="U12" i="5"/>
  <c r="U89" i="11" s="1"/>
  <c r="U79" i="4"/>
  <c r="W24" i="4"/>
  <c r="W25" i="4" s="1"/>
  <c r="W41" i="4"/>
  <c r="T37" i="5"/>
  <c r="T48" i="5" s="1"/>
  <c r="T107" i="11" s="1"/>
  <c r="X10" i="11"/>
  <c r="Y8" i="11"/>
  <c r="Y12" i="10"/>
  <c r="Z8" i="10"/>
  <c r="Y10" i="10"/>
  <c r="X10" i="9"/>
  <c r="X34" i="9"/>
  <c r="Y8" i="9"/>
  <c r="X17" i="9"/>
  <c r="X12" i="9"/>
  <c r="Y8" i="5"/>
  <c r="Y10" i="5" s="1"/>
  <c r="Y8" i="7"/>
  <c r="Y10" i="7" s="1"/>
  <c r="Y8" i="8"/>
  <c r="Y10" i="8" s="1"/>
  <c r="Y8" i="6"/>
  <c r="AD83" i="4"/>
  <c r="Z60" i="4"/>
  <c r="Z14" i="5" s="1"/>
  <c r="W71" i="4"/>
  <c r="W15" i="5" s="1"/>
  <c r="Y12" i="4"/>
  <c r="Y84" i="4" s="1"/>
  <c r="Z8" i="4"/>
  <c r="Y10" i="4"/>
  <c r="AA58" i="4"/>
  <c r="AB30" i="4"/>
  <c r="AA31" i="4"/>
  <c r="AA53" i="4"/>
  <c r="AB19" i="4"/>
  <c r="AA20" i="4"/>
  <c r="X65" i="4"/>
  <c r="X69" i="4"/>
  <c r="X34" i="4"/>
  <c r="X35" i="4" s="1"/>
  <c r="X36" i="4" s="1"/>
  <c r="X39" i="4" s="1"/>
  <c r="X23" i="4"/>
  <c r="AE50" i="4"/>
  <c r="AE52" i="4" s="1"/>
  <c r="U90" i="11" l="1"/>
  <c r="U91" i="4"/>
  <c r="W28" i="4"/>
  <c r="W45" i="4" s="1"/>
  <c r="AD57" i="4"/>
  <c r="AE55" i="4"/>
  <c r="AE57" i="4" s="1"/>
  <c r="U91" i="11"/>
  <c r="U94" i="11" s="1"/>
  <c r="Y82" i="4"/>
  <c r="AE85" i="4"/>
  <c r="W42" i="4"/>
  <c r="X24" i="4"/>
  <c r="X25" i="4" s="1"/>
  <c r="X41" i="4"/>
  <c r="V43" i="4"/>
  <c r="V12" i="5"/>
  <c r="V89" i="11" s="1"/>
  <c r="V79" i="4"/>
  <c r="U37" i="5"/>
  <c r="U48" i="5" s="1"/>
  <c r="U107" i="11" s="1"/>
  <c r="Z12" i="10"/>
  <c r="Z10" i="10"/>
  <c r="AA8" i="10"/>
  <c r="Y10" i="11"/>
  <c r="Z8" i="11"/>
  <c r="Z8" i="9"/>
  <c r="Y17" i="9"/>
  <c r="Y10" i="9"/>
  <c r="Y34" i="9"/>
  <c r="Y12" i="9"/>
  <c r="Y10" i="6"/>
  <c r="Z8" i="5"/>
  <c r="Z10" i="5" s="1"/>
  <c r="Z8" i="8"/>
  <c r="Z10" i="8" s="1"/>
  <c r="Z8" i="6"/>
  <c r="Z10" i="6" s="1"/>
  <c r="Z8" i="7"/>
  <c r="Z10" i="7" s="1"/>
  <c r="AE83" i="4"/>
  <c r="AA60" i="4"/>
  <c r="AA14" i="5" s="1"/>
  <c r="AB53" i="4"/>
  <c r="AB20" i="4"/>
  <c r="AC19" i="4"/>
  <c r="Y65" i="4"/>
  <c r="Y69" i="4"/>
  <c r="Y34" i="4"/>
  <c r="Y35" i="4" s="1"/>
  <c r="Y36" i="4" s="1"/>
  <c r="Y39" i="4" s="1"/>
  <c r="Y23" i="4"/>
  <c r="Z12" i="4"/>
  <c r="Z84" i="4" s="1"/>
  <c r="AA8" i="4"/>
  <c r="Z10" i="4"/>
  <c r="X71" i="4"/>
  <c r="X15" i="5" s="1"/>
  <c r="AB58" i="4"/>
  <c r="AB31" i="4"/>
  <c r="AC30" i="4"/>
  <c r="V90" i="11" l="1"/>
  <c r="V91" i="4"/>
  <c r="X28" i="4"/>
  <c r="X45" i="4" s="1"/>
  <c r="V91" i="11"/>
  <c r="V94" i="11" s="1"/>
  <c r="Z82" i="4"/>
  <c r="V37" i="5"/>
  <c r="V48" i="5" s="1"/>
  <c r="V107" i="11" s="1"/>
  <c r="X42" i="4"/>
  <c r="Y24" i="4"/>
  <c r="Y25" i="4" s="1"/>
  <c r="Y41" i="4"/>
  <c r="W43" i="4"/>
  <c r="W12" i="5"/>
  <c r="W89" i="11" s="1"/>
  <c r="W79" i="4"/>
  <c r="AA10" i="10"/>
  <c r="AB8" i="10"/>
  <c r="AA12" i="10"/>
  <c r="AA8" i="11"/>
  <c r="Z10" i="11"/>
  <c r="Z34" i="9"/>
  <c r="Z17" i="9"/>
  <c r="Z12" i="9"/>
  <c r="Z10" i="9"/>
  <c r="AA8" i="9"/>
  <c r="AA8" i="5"/>
  <c r="AA10" i="5" s="1"/>
  <c r="AA8" i="6"/>
  <c r="AA10" i="6" s="1"/>
  <c r="AA8" i="7"/>
  <c r="AA10" i="7" s="1"/>
  <c r="AA8" i="8"/>
  <c r="AA10" i="8" s="1"/>
  <c r="Y71" i="4"/>
  <c r="Y15" i="5" s="1"/>
  <c r="AA12" i="4"/>
  <c r="AA84" i="4" s="1"/>
  <c r="AA10" i="4"/>
  <c r="AB8" i="4"/>
  <c r="AC20" i="4"/>
  <c r="AC53" i="4"/>
  <c r="AD19" i="4"/>
  <c r="Z69" i="4"/>
  <c r="Z65" i="4"/>
  <c r="Z23" i="4"/>
  <c r="Z34" i="4"/>
  <c r="Z35" i="4" s="1"/>
  <c r="Z36" i="4" s="1"/>
  <c r="Z39" i="4" s="1"/>
  <c r="AC58" i="4"/>
  <c r="AD30" i="4"/>
  <c r="AC31" i="4"/>
  <c r="AB60" i="4"/>
  <c r="AB14" i="5" s="1"/>
  <c r="W90" i="11" l="1"/>
  <c r="W91" i="4"/>
  <c r="Y28" i="4"/>
  <c r="Y45" i="4" s="1"/>
  <c r="W91" i="11"/>
  <c r="W94" i="11" s="1"/>
  <c r="AA82" i="4"/>
  <c r="Y42" i="4"/>
  <c r="Z24" i="4"/>
  <c r="Z25" i="4" s="1"/>
  <c r="Z41" i="4"/>
  <c r="W37" i="5"/>
  <c r="W48" i="5" s="1"/>
  <c r="W107" i="11" s="1"/>
  <c r="X43" i="4"/>
  <c r="X12" i="5"/>
  <c r="X89" i="11" s="1"/>
  <c r="X79" i="4"/>
  <c r="AB8" i="11"/>
  <c r="AA10" i="11"/>
  <c r="AB10" i="10"/>
  <c r="AC8" i="10"/>
  <c r="AB12" i="10"/>
  <c r="AA34" i="9"/>
  <c r="AA12" i="9"/>
  <c r="AA17" i="9"/>
  <c r="AA10" i="9"/>
  <c r="AB8" i="9"/>
  <c r="AB8" i="5"/>
  <c r="AB10" i="5" s="1"/>
  <c r="AB8" i="7"/>
  <c r="AB10" i="7" s="1"/>
  <c r="AB8" i="6"/>
  <c r="AB10" i="6" s="1"/>
  <c r="AB8" i="8"/>
  <c r="AB10" i="8" s="1"/>
  <c r="Z71" i="4"/>
  <c r="Z15" i="5" s="1"/>
  <c r="AB12" i="4"/>
  <c r="AB84" i="4" s="1"/>
  <c r="AC8" i="4"/>
  <c r="AB10" i="4"/>
  <c r="AE19" i="4"/>
  <c r="AD20" i="4"/>
  <c r="AD53" i="4"/>
  <c r="AD58" i="4"/>
  <c r="AD31" i="4"/>
  <c r="AE30" i="4"/>
  <c r="AC60" i="4"/>
  <c r="AC14" i="5" s="1"/>
  <c r="AA65" i="4"/>
  <c r="AA69" i="4"/>
  <c r="AA23" i="4"/>
  <c r="AA34" i="4"/>
  <c r="AA35" i="4" s="1"/>
  <c r="AA36" i="4" s="1"/>
  <c r="AA39" i="4" s="1"/>
  <c r="X90" i="11" l="1"/>
  <c r="X91" i="4"/>
  <c r="Z28" i="4"/>
  <c r="Z45" i="4" s="1"/>
  <c r="X91" i="11"/>
  <c r="X94" i="11" s="1"/>
  <c r="AB82" i="4"/>
  <c r="Z42" i="4"/>
  <c r="X37" i="5"/>
  <c r="X48" i="5" s="1"/>
  <c r="X107" i="11" s="1"/>
  <c r="AA24" i="4"/>
  <c r="AA25" i="4" s="1"/>
  <c r="AA41" i="4"/>
  <c r="Y12" i="5"/>
  <c r="Y89" i="11" s="1"/>
  <c r="Y43" i="4"/>
  <c r="Y79" i="4"/>
  <c r="AC12" i="10"/>
  <c r="AD8" i="10"/>
  <c r="AC10" i="10"/>
  <c r="AC8" i="11"/>
  <c r="AB10" i="11"/>
  <c r="AB17" i="9"/>
  <c r="AC8" i="9"/>
  <c r="AB12" i="9"/>
  <c r="AB34" i="9"/>
  <c r="AB10" i="9"/>
  <c r="AC8" i="5"/>
  <c r="AC10" i="5" s="1"/>
  <c r="AC8" i="7"/>
  <c r="AC10" i="7" s="1"/>
  <c r="AC8" i="8"/>
  <c r="AC10" i="8" s="1"/>
  <c r="AC8" i="6"/>
  <c r="AD60" i="4"/>
  <c r="AD14" i="5" s="1"/>
  <c r="AE31" i="4"/>
  <c r="AE58" i="4"/>
  <c r="AC12" i="4"/>
  <c r="AC84" i="4" s="1"/>
  <c r="AC10" i="4"/>
  <c r="AD8" i="4"/>
  <c r="AA71" i="4"/>
  <c r="AA15" i="5" s="1"/>
  <c r="AE20" i="4"/>
  <c r="AE53" i="4"/>
  <c r="AB69" i="4"/>
  <c r="AB65" i="4"/>
  <c r="AB23" i="4"/>
  <c r="AB34" i="4"/>
  <c r="AB35" i="4" s="1"/>
  <c r="AB36" i="4" s="1"/>
  <c r="AB39" i="4" s="1"/>
  <c r="Y90" i="11" l="1"/>
  <c r="Y91" i="4"/>
  <c r="AA28" i="4"/>
  <c r="AA45" i="4" s="1"/>
  <c r="Y91" i="11"/>
  <c r="Y94" i="11" s="1"/>
  <c r="AC82" i="4"/>
  <c r="AA42" i="4"/>
  <c r="AB24" i="4"/>
  <c r="AB25" i="4" s="1"/>
  <c r="AB41" i="4"/>
  <c r="Y37" i="5"/>
  <c r="Y48" i="5" s="1"/>
  <c r="Y107" i="11" s="1"/>
  <c r="Z12" i="5"/>
  <c r="Z89" i="11" s="1"/>
  <c r="Z79" i="4"/>
  <c r="Z43" i="4"/>
  <c r="AD8" i="11"/>
  <c r="AC10" i="11"/>
  <c r="AD12" i="10"/>
  <c r="AE8" i="10"/>
  <c r="AD10" i="10"/>
  <c r="AC34" i="9"/>
  <c r="AC10" i="9"/>
  <c r="AC17" i="9"/>
  <c r="AD8" i="9"/>
  <c r="AC12" i="9"/>
  <c r="AD8" i="5"/>
  <c r="AD10" i="5" s="1"/>
  <c r="AD8" i="8"/>
  <c r="AD10" i="8" s="1"/>
  <c r="AD8" i="6"/>
  <c r="AD10" i="6" s="1"/>
  <c r="AD8" i="7"/>
  <c r="AD10" i="7" s="1"/>
  <c r="AC10" i="6"/>
  <c r="AB71" i="4"/>
  <c r="AB15" i="5" s="1"/>
  <c r="AE60" i="4"/>
  <c r="AE14" i="5" s="1"/>
  <c r="AD12" i="4"/>
  <c r="AD84" i="4" s="1"/>
  <c r="AE8" i="4"/>
  <c r="AD10" i="4"/>
  <c r="AC69" i="4"/>
  <c r="AC65" i="4"/>
  <c r="AC34" i="4"/>
  <c r="AC35" i="4" s="1"/>
  <c r="AC36" i="4" s="1"/>
  <c r="AC39" i="4" s="1"/>
  <c r="AC23" i="4"/>
  <c r="Z90" i="11" l="1"/>
  <c r="Z91" i="4"/>
  <c r="AB28" i="4"/>
  <c r="AB45" i="4" s="1"/>
  <c r="Z91" i="11"/>
  <c r="Z94" i="11" s="1"/>
  <c r="AD82" i="4"/>
  <c r="Z37" i="5"/>
  <c r="Z48" i="5" s="1"/>
  <c r="Z107" i="11" s="1"/>
  <c r="AB42" i="4"/>
  <c r="AC24" i="4"/>
  <c r="AC25" i="4" s="1"/>
  <c r="AC41" i="4"/>
  <c r="AA12" i="5"/>
  <c r="AA89" i="11" s="1"/>
  <c r="AA43" i="4"/>
  <c r="AA79" i="4"/>
  <c r="AE10" i="10"/>
  <c r="AE12" i="10"/>
  <c r="AD10" i="11"/>
  <c r="AE8" i="11"/>
  <c r="AD17" i="9"/>
  <c r="AD34" i="9"/>
  <c r="AD12" i="9"/>
  <c r="AD10" i="9"/>
  <c r="AE8" i="9"/>
  <c r="AE8" i="5"/>
  <c r="AE10" i="5" s="1"/>
  <c r="AE8" i="6"/>
  <c r="AE10" i="6" s="1"/>
  <c r="AE8" i="7"/>
  <c r="AE10" i="7" s="1"/>
  <c r="AE8" i="8"/>
  <c r="AE10" i="8" s="1"/>
  <c r="AE10" i="4"/>
  <c r="AE12" i="4"/>
  <c r="AE84" i="4" s="1"/>
  <c r="AC71" i="4"/>
  <c r="AC15" i="5" s="1"/>
  <c r="AD65" i="4"/>
  <c r="AD69" i="4"/>
  <c r="AD34" i="4"/>
  <c r="AD35" i="4" s="1"/>
  <c r="AD36" i="4" s="1"/>
  <c r="AD39" i="4" s="1"/>
  <c r="AD23" i="4"/>
  <c r="AA90" i="11" l="1"/>
  <c r="AA91" i="4"/>
  <c r="AC28" i="4"/>
  <c r="AC45" i="4" s="1"/>
  <c r="AA91" i="11"/>
  <c r="AA94" i="11" s="1"/>
  <c r="AE10" i="11"/>
  <c r="D56" i="11" a="1"/>
  <c r="AE82" i="4"/>
  <c r="AA37" i="5"/>
  <c r="AA48" i="5" s="1"/>
  <c r="AA107" i="11" s="1"/>
  <c r="AB79" i="4"/>
  <c r="AB43" i="4"/>
  <c r="AB12" i="5"/>
  <c r="AB89" i="11" s="1"/>
  <c r="AD24" i="4"/>
  <c r="AD25" i="4" s="1"/>
  <c r="AD41" i="4"/>
  <c r="AC42" i="4"/>
  <c r="AE34" i="9"/>
  <c r="AE17" i="9"/>
  <c r="AE12" i="9"/>
  <c r="AE10" i="9"/>
  <c r="AD71" i="4"/>
  <c r="AD15" i="5" s="1"/>
  <c r="AE69" i="4"/>
  <c r="AE65" i="4"/>
  <c r="AE34" i="4"/>
  <c r="AE35" i="4" s="1"/>
  <c r="AE36" i="4" s="1"/>
  <c r="AE39" i="4" s="1"/>
  <c r="AE23" i="4"/>
  <c r="AB90" i="11" l="1"/>
  <c r="AB91" i="4"/>
  <c r="AD28" i="4"/>
  <c r="AD45" i="4" s="1"/>
  <c r="AB91" i="11"/>
  <c r="AB94" i="11" s="1"/>
  <c r="D56" i="11"/>
  <c r="D79" i="11"/>
  <c r="D63" i="11"/>
  <c r="D70" i="11"/>
  <c r="D81" i="11"/>
  <c r="D65" i="11"/>
  <c r="D76" i="11"/>
  <c r="D60" i="11"/>
  <c r="D75" i="11"/>
  <c r="D59" i="11"/>
  <c r="D66" i="11"/>
  <c r="D77" i="11"/>
  <c r="D61" i="11"/>
  <c r="D72" i="11"/>
  <c r="D71" i="11"/>
  <c r="D78" i="11"/>
  <c r="D62" i="11"/>
  <c r="D73" i="11"/>
  <c r="D57" i="11"/>
  <c r="D68" i="11"/>
  <c r="D67" i="11"/>
  <c r="D74" i="11"/>
  <c r="D58" i="11"/>
  <c r="D69" i="11"/>
  <c r="D80" i="11"/>
  <c r="D64" i="11"/>
  <c r="AE24" i="4"/>
  <c r="AE25" i="4" s="1"/>
  <c r="AE41" i="4"/>
  <c r="AD42" i="4"/>
  <c r="AB37" i="5"/>
  <c r="AB48" i="5" s="1"/>
  <c r="AB107" i="11" s="1"/>
  <c r="AC79" i="4"/>
  <c r="AC43" i="4"/>
  <c r="AC12" i="5"/>
  <c r="AC89" i="11" s="1"/>
  <c r="AE71" i="4"/>
  <c r="AE15" i="5" s="1"/>
  <c r="AC90" i="11" l="1"/>
  <c r="AC91" i="4"/>
  <c r="AE28" i="4"/>
  <c r="AE45" i="4" s="1"/>
  <c r="AC91" i="11"/>
  <c r="AC94" i="11" s="1"/>
  <c r="AC37" i="5"/>
  <c r="AC48" i="5" s="1"/>
  <c r="AC107" i="11" s="1"/>
  <c r="AD79" i="4"/>
  <c r="AD43" i="4"/>
  <c r="AD12" i="5"/>
  <c r="AD89" i="11" s="1"/>
  <c r="AE42" i="4"/>
  <c r="AD90" i="11" l="1"/>
  <c r="AD91" i="11" s="1"/>
  <c r="AD94" i="11" s="1"/>
  <c r="AD91" i="4"/>
  <c r="AE12" i="5"/>
  <c r="AE89" i="11" s="1"/>
  <c r="AE79" i="4"/>
  <c r="AE43" i="4"/>
  <c r="AD37" i="5"/>
  <c r="AD48" i="5" s="1"/>
  <c r="AD107" i="11" s="1"/>
  <c r="G17" i="5"/>
  <c r="AE90" i="11" l="1"/>
  <c r="AE91" i="11" s="1"/>
  <c r="AE94" i="11" s="1"/>
  <c r="AE91" i="4"/>
  <c r="AE37" i="5"/>
  <c r="AE48" i="5" s="1"/>
  <c r="H17" i="5"/>
  <c r="F49" i="5" l="1"/>
  <c r="AE107" i="11"/>
  <c r="F108" i="11" s="1"/>
  <c r="I17" i="5"/>
  <c r="J17" i="5" l="1"/>
  <c r="K17" i="5" l="1"/>
  <c r="L17" i="5" l="1"/>
  <c r="M17" i="5" l="1"/>
  <c r="N17" i="5" l="1"/>
  <c r="O17" i="5" l="1"/>
  <c r="P17" i="5" l="1"/>
  <c r="Q17" i="5" l="1"/>
  <c r="R17" i="5" l="1"/>
  <c r="S17" i="5" l="1"/>
  <c r="T17" i="5" l="1"/>
  <c r="U17" i="5" l="1"/>
  <c r="V17" i="5" l="1"/>
  <c r="W17" i="5" l="1"/>
  <c r="X17" i="5" l="1"/>
  <c r="Y17" i="5" l="1"/>
  <c r="Z17" i="5" l="1"/>
  <c r="AA17" i="5" l="1"/>
  <c r="AB17" i="5" l="1"/>
  <c r="AC17" i="5" l="1"/>
  <c r="AE17" i="5" l="1"/>
  <c r="AD17" i="5"/>
  <c r="AE17" i="8"/>
  <c r="AE22" i="5" s="1"/>
  <c r="AE13" i="11" s="1"/>
  <c r="AE15" i="11" s="1"/>
  <c r="AE17" i="11" s="1"/>
  <c r="C40" i="11"/>
  <c r="C42" i="11" l="1"/>
  <c r="D29" i="11" s="1"/>
  <c r="D12" i="6"/>
  <c r="E12" i="6"/>
  <c r="F12" i="6"/>
  <c r="G12" i="6"/>
  <c r="H12" i="6"/>
  <c r="I12" i="6"/>
  <c r="J12" i="6"/>
  <c r="K12" i="6"/>
  <c r="L12" i="6"/>
  <c r="M12" i="6"/>
  <c r="N12" i="6"/>
  <c r="O12" i="6"/>
  <c r="P12" i="6"/>
  <c r="Q12" i="6"/>
  <c r="R12" i="6"/>
  <c r="S12" i="6"/>
  <c r="T12" i="6"/>
  <c r="U12" i="6"/>
  <c r="V12" i="6"/>
  <c r="W12" i="6"/>
  <c r="X12" i="6"/>
  <c r="Y12" i="6"/>
  <c r="Z12" i="6"/>
  <c r="AA12" i="6"/>
  <c r="AB12" i="6"/>
  <c r="AC12" i="6"/>
  <c r="AD12" i="6"/>
  <c r="AE12" i="6"/>
  <c r="F13" i="6"/>
  <c r="G13" i="6"/>
  <c r="H13" i="6"/>
  <c r="I13" i="6"/>
  <c r="J13" i="6"/>
  <c r="K13" i="6"/>
  <c r="L13" i="6"/>
  <c r="M13" i="6"/>
  <c r="N13" i="6"/>
  <c r="O13" i="6"/>
  <c r="P13" i="6"/>
  <c r="Q13" i="6"/>
  <c r="R13" i="6"/>
  <c r="S13" i="6"/>
  <c r="T13" i="6"/>
  <c r="U13" i="6"/>
  <c r="V13" i="6"/>
  <c r="W13" i="6"/>
  <c r="X13" i="6"/>
  <c r="Y13" i="6"/>
  <c r="Z13" i="6"/>
  <c r="AA13" i="6"/>
  <c r="AB13" i="6"/>
  <c r="AC13" i="6"/>
  <c r="AD13" i="6"/>
  <c r="AE13" i="6"/>
  <c r="D14" i="6"/>
  <c r="E14" i="6"/>
  <c r="F14" i="6"/>
  <c r="G14" i="6"/>
  <c r="H14" i="6"/>
  <c r="I14" i="6"/>
  <c r="J14" i="6"/>
  <c r="K14" i="6"/>
  <c r="L14" i="6"/>
  <c r="M14" i="6"/>
  <c r="N14" i="6"/>
  <c r="O14" i="6"/>
  <c r="P14" i="6"/>
  <c r="Q14" i="6"/>
  <c r="R14" i="6"/>
  <c r="S14" i="6"/>
  <c r="T14" i="6"/>
  <c r="U14" i="6"/>
  <c r="V14" i="6"/>
  <c r="W14" i="6"/>
  <c r="X14" i="6"/>
  <c r="Y14" i="6"/>
  <c r="Z14" i="6"/>
  <c r="AA14" i="6"/>
  <c r="AB14" i="6"/>
  <c r="AC14" i="6"/>
  <c r="AD14" i="6"/>
  <c r="AE14" i="6"/>
  <c r="E17" i="6"/>
  <c r="F17" i="6"/>
  <c r="G17" i="6"/>
  <c r="H17" i="6"/>
  <c r="I17" i="6"/>
  <c r="J17" i="6"/>
  <c r="K17" i="6"/>
  <c r="L17" i="6"/>
  <c r="M17" i="6"/>
  <c r="N17" i="6"/>
  <c r="O17" i="6"/>
  <c r="P17" i="6"/>
  <c r="Q17" i="6"/>
  <c r="R17" i="6"/>
  <c r="S17" i="6"/>
  <c r="T17" i="6"/>
  <c r="U17" i="6"/>
  <c r="V17" i="6"/>
  <c r="W17" i="6"/>
  <c r="X17" i="6"/>
  <c r="Y17" i="6"/>
  <c r="D19" i="6"/>
  <c r="E19" i="6"/>
  <c r="F19" i="6"/>
  <c r="G19" i="6"/>
  <c r="H19" i="6"/>
  <c r="I19" i="6"/>
  <c r="J19" i="6"/>
  <c r="K19" i="6"/>
  <c r="L19" i="6"/>
  <c r="M19" i="6"/>
  <c r="N19" i="6"/>
  <c r="O19" i="6"/>
  <c r="P19" i="6"/>
  <c r="Q19" i="6"/>
  <c r="R19" i="6"/>
  <c r="S19" i="6"/>
  <c r="T19" i="6"/>
  <c r="U19" i="6"/>
  <c r="V19" i="6"/>
  <c r="W19" i="6"/>
  <c r="X19" i="6"/>
  <c r="Y19" i="6"/>
  <c r="Z19" i="6"/>
  <c r="AA19" i="6"/>
  <c r="AB19" i="6"/>
  <c r="AC19" i="6"/>
  <c r="AD19" i="6"/>
  <c r="AE19" i="6"/>
  <c r="D23" i="6"/>
  <c r="E23" i="6"/>
  <c r="F23" i="6"/>
  <c r="G23" i="6"/>
  <c r="H23" i="6"/>
  <c r="I23" i="6"/>
  <c r="J23" i="6"/>
  <c r="K23" i="6"/>
  <c r="L23" i="6"/>
  <c r="M23" i="6"/>
  <c r="N23" i="6"/>
  <c r="O23" i="6"/>
  <c r="P23" i="6"/>
  <c r="Q23" i="6"/>
  <c r="R23" i="6"/>
  <c r="S23" i="6"/>
  <c r="T23" i="6"/>
  <c r="U23" i="6"/>
  <c r="V23" i="6"/>
  <c r="W23" i="6"/>
  <c r="X23" i="6"/>
  <c r="Y23" i="6"/>
  <c r="Z23" i="6"/>
  <c r="AA23" i="6"/>
  <c r="AB23" i="6"/>
  <c r="AC23" i="6"/>
  <c r="AD23" i="6"/>
  <c r="AE23" i="6"/>
  <c r="D27" i="6"/>
  <c r="E27" i="6"/>
  <c r="F27" i="6"/>
  <c r="G27" i="6"/>
  <c r="H27" i="6"/>
  <c r="I27" i="6"/>
  <c r="J27" i="6"/>
  <c r="K27" i="6"/>
  <c r="L27" i="6"/>
  <c r="M27" i="6"/>
  <c r="N27" i="6"/>
  <c r="O27" i="6"/>
  <c r="P27" i="6"/>
  <c r="Q27" i="6"/>
  <c r="R27" i="6"/>
  <c r="S27" i="6"/>
  <c r="T27" i="6"/>
  <c r="U27" i="6"/>
  <c r="V27" i="6"/>
  <c r="W27" i="6"/>
  <c r="X27" i="6"/>
  <c r="Y27" i="6"/>
  <c r="Z27" i="6"/>
  <c r="AA27" i="6"/>
  <c r="AB27" i="6"/>
  <c r="AC27" i="6"/>
  <c r="AD27" i="6"/>
  <c r="AE27" i="6"/>
  <c r="F28" i="6"/>
  <c r="G28" i="6"/>
  <c r="H28" i="6"/>
  <c r="I28" i="6"/>
  <c r="J28" i="6"/>
  <c r="K28" i="6"/>
  <c r="L28" i="6"/>
  <c r="M28" i="6"/>
  <c r="N28" i="6"/>
  <c r="O28" i="6"/>
  <c r="P28" i="6"/>
  <c r="Q28" i="6"/>
  <c r="R28" i="6"/>
  <c r="S28" i="6"/>
  <c r="T28" i="6"/>
  <c r="U28" i="6"/>
  <c r="V28" i="6"/>
  <c r="W28" i="6"/>
  <c r="X28" i="6"/>
  <c r="Y28" i="6"/>
  <c r="Z28" i="6"/>
  <c r="AA28" i="6"/>
  <c r="AB28" i="6"/>
  <c r="AC28" i="6"/>
  <c r="AD28" i="6"/>
  <c r="AE28" i="6"/>
  <c r="D29" i="6"/>
  <c r="E29" i="6"/>
  <c r="F29" i="6"/>
  <c r="G29" i="6"/>
  <c r="H29" i="6"/>
  <c r="I29" i="6"/>
  <c r="J29" i="6"/>
  <c r="K29" i="6"/>
  <c r="L29" i="6"/>
  <c r="M29" i="6"/>
  <c r="N29" i="6"/>
  <c r="O29" i="6"/>
  <c r="P29" i="6"/>
  <c r="Q29" i="6"/>
  <c r="R29" i="6"/>
  <c r="S29" i="6"/>
  <c r="T29" i="6"/>
  <c r="U29" i="6"/>
  <c r="V29" i="6"/>
  <c r="W29" i="6"/>
  <c r="X29" i="6"/>
  <c r="Y29" i="6"/>
  <c r="Z29" i="6"/>
  <c r="AA29" i="6"/>
  <c r="AB29" i="6"/>
  <c r="AC29" i="6"/>
  <c r="AD29" i="6"/>
  <c r="AE29" i="6"/>
  <c r="F30" i="6"/>
  <c r="G30" i="6"/>
  <c r="H30" i="6"/>
  <c r="I30" i="6"/>
  <c r="J30" i="6"/>
  <c r="K30" i="6"/>
  <c r="L30" i="6"/>
  <c r="M30" i="6"/>
  <c r="N30" i="6"/>
  <c r="O30" i="6"/>
  <c r="P30" i="6"/>
  <c r="Q30" i="6"/>
  <c r="R30" i="6"/>
  <c r="S30" i="6"/>
  <c r="T30" i="6"/>
  <c r="U30" i="6"/>
  <c r="V30" i="6"/>
  <c r="W30" i="6"/>
  <c r="X30" i="6"/>
  <c r="Y30" i="6"/>
  <c r="Z30" i="6"/>
  <c r="AA30" i="6"/>
  <c r="AB30" i="6"/>
  <c r="AC30" i="6"/>
  <c r="AD30" i="6"/>
  <c r="AE30" i="6"/>
  <c r="D31" i="6"/>
  <c r="E31" i="6"/>
  <c r="F31" i="6"/>
  <c r="G31" i="6"/>
  <c r="H31" i="6"/>
  <c r="I31" i="6"/>
  <c r="J31" i="6"/>
  <c r="K31" i="6"/>
  <c r="L31" i="6"/>
  <c r="M31" i="6"/>
  <c r="N31" i="6"/>
  <c r="O31" i="6"/>
  <c r="P31" i="6"/>
  <c r="Q31" i="6"/>
  <c r="R31" i="6"/>
  <c r="S31" i="6"/>
  <c r="T31" i="6"/>
  <c r="U31" i="6"/>
  <c r="V31" i="6"/>
  <c r="W31" i="6"/>
  <c r="X31" i="6"/>
  <c r="Y31" i="6"/>
  <c r="Z31" i="6"/>
  <c r="AA31" i="6"/>
  <c r="AB31" i="6"/>
  <c r="AC31" i="6"/>
  <c r="AD31" i="6"/>
  <c r="AE31" i="6"/>
  <c r="D35" i="6"/>
  <c r="E35" i="6"/>
  <c r="F35" i="6"/>
  <c r="G35" i="6"/>
  <c r="H35" i="6"/>
  <c r="I35" i="6"/>
  <c r="J35" i="6"/>
  <c r="K35" i="6"/>
  <c r="L35" i="6"/>
  <c r="M35" i="6"/>
  <c r="N35" i="6"/>
  <c r="O35" i="6"/>
  <c r="P35" i="6"/>
  <c r="Q35" i="6"/>
  <c r="R35" i="6"/>
  <c r="S35" i="6"/>
  <c r="T35" i="6"/>
  <c r="U35" i="6"/>
  <c r="V35" i="6"/>
  <c r="W35" i="6"/>
  <c r="X35" i="6"/>
  <c r="Y35" i="6"/>
  <c r="Z35" i="6"/>
  <c r="AA35" i="6"/>
  <c r="AB35" i="6"/>
  <c r="AC35" i="6"/>
  <c r="AD35" i="6"/>
  <c r="AE35" i="6"/>
  <c r="D37" i="6"/>
  <c r="E37" i="6"/>
  <c r="F37" i="6"/>
  <c r="G37" i="6"/>
  <c r="H37" i="6"/>
  <c r="I37" i="6"/>
  <c r="J37" i="6"/>
  <c r="K37" i="6"/>
  <c r="L37" i="6"/>
  <c r="M37" i="6"/>
  <c r="N37" i="6"/>
  <c r="O37" i="6"/>
  <c r="P37" i="6"/>
  <c r="Q37" i="6"/>
  <c r="R37" i="6"/>
  <c r="S37" i="6"/>
  <c r="T37" i="6"/>
  <c r="U37" i="6"/>
  <c r="V37" i="6"/>
  <c r="W37" i="6"/>
  <c r="X37" i="6"/>
  <c r="Y37" i="6"/>
  <c r="Z37" i="6"/>
  <c r="AA37" i="6"/>
  <c r="AB37" i="6"/>
  <c r="AC37" i="6"/>
  <c r="AD37" i="6"/>
  <c r="AE37" i="6"/>
  <c r="D38" i="6"/>
  <c r="E38" i="6"/>
  <c r="F38" i="6"/>
  <c r="G38" i="6"/>
  <c r="H38" i="6"/>
  <c r="I38" i="6"/>
  <c r="J38" i="6"/>
  <c r="K38" i="6"/>
  <c r="L38" i="6"/>
  <c r="M38" i="6"/>
  <c r="N38" i="6"/>
  <c r="O38" i="6"/>
  <c r="P38" i="6"/>
  <c r="Q38" i="6"/>
  <c r="R38" i="6"/>
  <c r="S38" i="6"/>
  <c r="T38" i="6"/>
  <c r="U38" i="6"/>
  <c r="V38" i="6"/>
  <c r="W38" i="6"/>
  <c r="X38" i="6"/>
  <c r="Y38" i="6"/>
  <c r="Z38" i="6"/>
  <c r="AA38" i="6"/>
  <c r="AB38" i="6"/>
  <c r="AC38" i="6"/>
  <c r="AD38" i="6"/>
  <c r="AE38" i="6"/>
  <c r="C40" i="6"/>
  <c r="D40" i="6"/>
  <c r="E40" i="6"/>
  <c r="F40" i="6"/>
  <c r="G40" i="6"/>
  <c r="H40" i="6"/>
  <c r="I40" i="6"/>
  <c r="J40" i="6"/>
  <c r="K40" i="6"/>
  <c r="L40" i="6"/>
  <c r="M40" i="6"/>
  <c r="N40" i="6"/>
  <c r="O40" i="6"/>
  <c r="P40" i="6"/>
  <c r="Q40" i="6"/>
  <c r="R40" i="6"/>
  <c r="S40" i="6"/>
  <c r="T40" i="6"/>
  <c r="U40" i="6"/>
  <c r="V40" i="6"/>
  <c r="W40" i="6"/>
  <c r="X40" i="6"/>
  <c r="Y40" i="6"/>
  <c r="Z40" i="6"/>
  <c r="AA40" i="6"/>
  <c r="AB40" i="6"/>
  <c r="AC40" i="6"/>
  <c r="AD40" i="6"/>
  <c r="AE40" i="6"/>
  <c r="F12" i="7"/>
  <c r="G12" i="7"/>
  <c r="H12" i="7"/>
  <c r="I12" i="7"/>
  <c r="J12" i="7"/>
  <c r="K12" i="7"/>
  <c r="L12" i="7"/>
  <c r="M12" i="7"/>
  <c r="N12" i="7"/>
  <c r="O12" i="7"/>
  <c r="P12" i="7"/>
  <c r="Q12" i="7"/>
  <c r="R12" i="7"/>
  <c r="S12" i="7"/>
  <c r="T12" i="7"/>
  <c r="U12" i="7"/>
  <c r="V12" i="7"/>
  <c r="W12" i="7"/>
  <c r="X12" i="7"/>
  <c r="Y12" i="7"/>
  <c r="Z12" i="7"/>
  <c r="AA12" i="7"/>
  <c r="AB12" i="7"/>
  <c r="AC12" i="7"/>
  <c r="AD12" i="7"/>
  <c r="AE12" i="7"/>
  <c r="D13" i="7"/>
  <c r="E13" i="7"/>
  <c r="F13" i="7"/>
  <c r="G13" i="7"/>
  <c r="H13" i="7"/>
  <c r="I13" i="7"/>
  <c r="J13" i="7"/>
  <c r="K13" i="7"/>
  <c r="L13" i="7"/>
  <c r="M13" i="7"/>
  <c r="N13" i="7"/>
  <c r="O13" i="7"/>
  <c r="P13" i="7"/>
  <c r="Q13" i="7"/>
  <c r="R13" i="7"/>
  <c r="S13" i="7"/>
  <c r="T13" i="7"/>
  <c r="U13" i="7"/>
  <c r="V13" i="7"/>
  <c r="W13" i="7"/>
  <c r="X13" i="7"/>
  <c r="Y13" i="7"/>
  <c r="Z13" i="7"/>
  <c r="AA13" i="7"/>
  <c r="AB13" i="7"/>
  <c r="AC13" i="7"/>
  <c r="AD13" i="7"/>
  <c r="AE13" i="7"/>
  <c r="D14" i="7"/>
  <c r="E14" i="7"/>
  <c r="F15" i="7"/>
  <c r="G15" i="7"/>
  <c r="H15" i="7"/>
  <c r="I15" i="7"/>
  <c r="J15" i="7"/>
  <c r="K15" i="7"/>
  <c r="L15" i="7"/>
  <c r="M15" i="7"/>
  <c r="N15" i="7"/>
  <c r="O15" i="7"/>
  <c r="P15" i="7"/>
  <c r="Q15" i="7"/>
  <c r="R15" i="7"/>
  <c r="S15" i="7"/>
  <c r="T15" i="7"/>
  <c r="U15" i="7"/>
  <c r="V15" i="7"/>
  <c r="W15" i="7"/>
  <c r="X15" i="7"/>
  <c r="Y15" i="7"/>
  <c r="Z15" i="7"/>
  <c r="AA15" i="7"/>
  <c r="AB15" i="7"/>
  <c r="AC15" i="7"/>
  <c r="AD15" i="7"/>
  <c r="AE15" i="7"/>
  <c r="D17" i="7"/>
  <c r="E17" i="7"/>
  <c r="F17" i="7"/>
  <c r="G17" i="7"/>
  <c r="H17" i="7"/>
  <c r="I17" i="7"/>
  <c r="J17" i="7"/>
  <c r="K17" i="7"/>
  <c r="L17" i="7"/>
  <c r="M17" i="7"/>
  <c r="N17" i="7"/>
  <c r="O17" i="7"/>
  <c r="P17" i="7"/>
  <c r="Q17" i="7"/>
  <c r="R17" i="7"/>
  <c r="S17" i="7"/>
  <c r="T17" i="7"/>
  <c r="U17" i="7"/>
  <c r="V17" i="7"/>
  <c r="W17" i="7"/>
  <c r="X17" i="7"/>
  <c r="Y17" i="7"/>
  <c r="Z17" i="7"/>
  <c r="AA17" i="7"/>
  <c r="AB17" i="7"/>
  <c r="AC17" i="7"/>
  <c r="AD17" i="7"/>
  <c r="AE17" i="7"/>
  <c r="D20" i="7"/>
  <c r="E20" i="7"/>
  <c r="F20" i="7"/>
  <c r="G20" i="7"/>
  <c r="H20" i="7"/>
  <c r="I20" i="7"/>
  <c r="J20" i="7"/>
  <c r="K20" i="7"/>
  <c r="L20" i="7"/>
  <c r="M20" i="7"/>
  <c r="N20" i="7"/>
  <c r="O20" i="7"/>
  <c r="P20" i="7"/>
  <c r="Q20" i="7"/>
  <c r="R20" i="7"/>
  <c r="S20" i="7"/>
  <c r="T20" i="7"/>
  <c r="U20" i="7"/>
  <c r="V20" i="7"/>
  <c r="W20" i="7"/>
  <c r="X20" i="7"/>
  <c r="Y20" i="7"/>
  <c r="Z20" i="7"/>
  <c r="AA20" i="7"/>
  <c r="AB20" i="7"/>
  <c r="AC20" i="7"/>
  <c r="AD20" i="7"/>
  <c r="AE20" i="7"/>
  <c r="F21" i="7"/>
  <c r="G21" i="7"/>
  <c r="H21" i="7"/>
  <c r="I21" i="7"/>
  <c r="J21" i="7"/>
  <c r="K21" i="7"/>
  <c r="L21" i="7"/>
  <c r="M21" i="7"/>
  <c r="N21" i="7"/>
  <c r="O21" i="7"/>
  <c r="P21" i="7"/>
  <c r="Q21" i="7"/>
  <c r="R21" i="7"/>
  <c r="S21" i="7"/>
  <c r="T21" i="7"/>
  <c r="U21" i="7"/>
  <c r="V21" i="7"/>
  <c r="W21" i="7"/>
  <c r="X21" i="7"/>
  <c r="Y21" i="7"/>
  <c r="Z21" i="7"/>
  <c r="AA21" i="7"/>
  <c r="AB21" i="7"/>
  <c r="AC21" i="7"/>
  <c r="AD21" i="7"/>
  <c r="AE21" i="7"/>
  <c r="F22" i="7"/>
  <c r="G22" i="7"/>
  <c r="H22" i="7"/>
  <c r="I22" i="7"/>
  <c r="J22" i="7"/>
  <c r="K22" i="7"/>
  <c r="L22" i="7"/>
  <c r="M22" i="7"/>
  <c r="N22" i="7"/>
  <c r="O22" i="7"/>
  <c r="P22" i="7"/>
  <c r="Q22" i="7"/>
  <c r="R22" i="7"/>
  <c r="S22" i="7"/>
  <c r="T22" i="7"/>
  <c r="U22" i="7"/>
  <c r="V22" i="7"/>
  <c r="W22" i="7"/>
  <c r="X22" i="7"/>
  <c r="Y22" i="7"/>
  <c r="Z22" i="7"/>
  <c r="D27" i="7"/>
  <c r="E27" i="7"/>
  <c r="F27" i="7"/>
  <c r="G27" i="7"/>
  <c r="H27" i="7"/>
  <c r="I27" i="7"/>
  <c r="J27" i="7"/>
  <c r="K27" i="7"/>
  <c r="L27" i="7"/>
  <c r="M27" i="7"/>
  <c r="N27" i="7"/>
  <c r="O27" i="7"/>
  <c r="P27" i="7"/>
  <c r="Q27" i="7"/>
  <c r="R27" i="7"/>
  <c r="S27" i="7"/>
  <c r="T27" i="7"/>
  <c r="U27" i="7"/>
  <c r="V27" i="7"/>
  <c r="W27" i="7"/>
  <c r="X27" i="7"/>
  <c r="Y27" i="7"/>
  <c r="Z27" i="7"/>
  <c r="AA27" i="7"/>
  <c r="AB27" i="7"/>
  <c r="AC27" i="7"/>
  <c r="AD27" i="7"/>
  <c r="AE27" i="7"/>
  <c r="E28" i="7"/>
  <c r="F28" i="7"/>
  <c r="G28" i="7"/>
  <c r="H28" i="7"/>
  <c r="I28" i="7"/>
  <c r="J28" i="7"/>
  <c r="K28" i="7"/>
  <c r="L28" i="7"/>
  <c r="M28" i="7"/>
  <c r="N28" i="7"/>
  <c r="O28" i="7"/>
  <c r="P28" i="7"/>
  <c r="Q28" i="7"/>
  <c r="R28" i="7"/>
  <c r="S28" i="7"/>
  <c r="T28" i="7"/>
  <c r="U28" i="7"/>
  <c r="V28" i="7"/>
  <c r="W28" i="7"/>
  <c r="X28" i="7"/>
  <c r="Y28" i="7"/>
  <c r="Z28" i="7"/>
  <c r="AA28" i="7"/>
  <c r="AB28" i="7"/>
  <c r="AC28" i="7"/>
  <c r="AD28" i="7"/>
  <c r="AE28" i="7"/>
  <c r="D29" i="7"/>
  <c r="E29" i="7"/>
  <c r="F29" i="7"/>
  <c r="G29" i="7"/>
  <c r="H29" i="7"/>
  <c r="I29" i="7"/>
  <c r="J29" i="7"/>
  <c r="K29" i="7"/>
  <c r="L29" i="7"/>
  <c r="M29" i="7"/>
  <c r="N29" i="7"/>
  <c r="O29" i="7"/>
  <c r="P29" i="7"/>
  <c r="Q29" i="7"/>
  <c r="R29" i="7"/>
  <c r="S29" i="7"/>
  <c r="T29" i="7"/>
  <c r="U29" i="7"/>
  <c r="V29" i="7"/>
  <c r="W29" i="7"/>
  <c r="X29" i="7"/>
  <c r="Y29" i="7"/>
  <c r="Z29" i="7"/>
  <c r="AA29" i="7"/>
  <c r="AB29" i="7"/>
  <c r="AC29" i="7"/>
  <c r="AD29" i="7"/>
  <c r="AE29" i="7"/>
  <c r="D30" i="7"/>
  <c r="E30" i="7"/>
  <c r="F30" i="7"/>
  <c r="G30" i="7"/>
  <c r="H30" i="7"/>
  <c r="I30" i="7"/>
  <c r="J30" i="7"/>
  <c r="K30" i="7"/>
  <c r="L30" i="7"/>
  <c r="M30" i="7"/>
  <c r="N30" i="7"/>
  <c r="O30" i="7"/>
  <c r="P30" i="7"/>
  <c r="Q30" i="7"/>
  <c r="R30" i="7"/>
  <c r="S30" i="7"/>
  <c r="T30" i="7"/>
  <c r="U30" i="7"/>
  <c r="V30" i="7"/>
  <c r="W30" i="7"/>
  <c r="X30" i="7"/>
  <c r="Y30" i="7"/>
  <c r="Z30" i="7"/>
  <c r="AA30" i="7"/>
  <c r="AB30" i="7"/>
  <c r="AC30" i="7"/>
  <c r="AD30" i="7"/>
  <c r="AE30" i="7"/>
  <c r="F18" i="9"/>
  <c r="G18" i="9"/>
  <c r="H18" i="9"/>
  <c r="I18" i="9"/>
  <c r="J18" i="9"/>
  <c r="K18" i="9"/>
  <c r="L18" i="9"/>
  <c r="M18" i="9"/>
  <c r="N18" i="9"/>
  <c r="O18" i="9"/>
  <c r="P18" i="9"/>
  <c r="Q18" i="9"/>
  <c r="R18" i="9"/>
  <c r="S18" i="9"/>
  <c r="T18" i="9"/>
  <c r="U18" i="9"/>
  <c r="V18" i="9"/>
  <c r="W18" i="9"/>
  <c r="X18" i="9"/>
  <c r="Y18" i="9"/>
  <c r="Z18" i="9"/>
  <c r="AA18" i="9"/>
  <c r="AB18" i="9"/>
  <c r="AC18" i="9"/>
  <c r="AD18" i="9"/>
  <c r="AE18" i="9"/>
  <c r="F20" i="9"/>
  <c r="G20" i="9"/>
  <c r="H20" i="9"/>
  <c r="I20" i="9"/>
  <c r="J20" i="9"/>
  <c r="K20" i="9"/>
  <c r="L20" i="9"/>
  <c r="M20" i="9"/>
  <c r="N20" i="9"/>
  <c r="O20" i="9"/>
  <c r="P20" i="9"/>
  <c r="Q20" i="9"/>
  <c r="R20" i="9"/>
  <c r="S20" i="9"/>
  <c r="T20" i="9"/>
  <c r="U20" i="9"/>
  <c r="V20" i="9"/>
  <c r="W20" i="9"/>
  <c r="X20" i="9"/>
  <c r="Y20" i="9"/>
  <c r="Z20" i="9"/>
  <c r="AA20" i="9"/>
  <c r="AB20" i="9"/>
  <c r="AC20" i="9"/>
  <c r="AD20" i="9"/>
  <c r="AE20" i="9"/>
  <c r="F21" i="9"/>
  <c r="G21" i="9"/>
  <c r="H21" i="9"/>
  <c r="I21" i="9"/>
  <c r="J21" i="9"/>
  <c r="K21" i="9"/>
  <c r="L21" i="9"/>
  <c r="M21" i="9"/>
  <c r="N21" i="9"/>
  <c r="O21" i="9"/>
  <c r="P21" i="9"/>
  <c r="Q21" i="9"/>
  <c r="R21" i="9"/>
  <c r="S21" i="9"/>
  <c r="T21" i="9"/>
  <c r="U21" i="9"/>
  <c r="V21" i="9"/>
  <c r="W21" i="9"/>
  <c r="X21" i="9"/>
  <c r="Y21" i="9"/>
  <c r="Z21" i="9"/>
  <c r="AA21" i="9"/>
  <c r="AB21" i="9"/>
  <c r="AC21" i="9"/>
  <c r="AD21" i="9"/>
  <c r="AE21" i="9"/>
  <c r="F22" i="9"/>
  <c r="G22" i="9"/>
  <c r="H22" i="9"/>
  <c r="I22" i="9"/>
  <c r="J22" i="9"/>
  <c r="K22" i="9"/>
  <c r="L22" i="9"/>
  <c r="M22" i="9"/>
  <c r="N22" i="9"/>
  <c r="O22" i="9"/>
  <c r="P22" i="9"/>
  <c r="Q22" i="9"/>
  <c r="R22" i="9"/>
  <c r="S22" i="9"/>
  <c r="T22" i="9"/>
  <c r="U22" i="9"/>
  <c r="V22" i="9"/>
  <c r="W22" i="9"/>
  <c r="X22" i="9"/>
  <c r="Y22" i="9"/>
  <c r="Z22" i="9"/>
  <c r="AA22" i="9"/>
  <c r="AB22" i="9"/>
  <c r="AC22" i="9"/>
  <c r="AD22" i="9"/>
  <c r="AE22" i="9"/>
  <c r="F23" i="9"/>
  <c r="G23" i="9"/>
  <c r="H23" i="9"/>
  <c r="I23" i="9"/>
  <c r="J23" i="9"/>
  <c r="K23" i="9"/>
  <c r="L23" i="9"/>
  <c r="M23" i="9"/>
  <c r="N23" i="9"/>
  <c r="O23" i="9"/>
  <c r="P23" i="9"/>
  <c r="Q23" i="9"/>
  <c r="R23" i="9"/>
  <c r="S23" i="9"/>
  <c r="T23" i="9"/>
  <c r="U23" i="9"/>
  <c r="V23" i="9"/>
  <c r="W23" i="9"/>
  <c r="X23" i="9"/>
  <c r="Y23" i="9"/>
  <c r="Z23" i="9"/>
  <c r="AA23" i="9"/>
  <c r="AB23" i="9"/>
  <c r="AC23" i="9"/>
  <c r="AD23" i="9"/>
  <c r="AE23" i="9"/>
  <c r="F24" i="9"/>
  <c r="G24" i="9"/>
  <c r="H24" i="9"/>
  <c r="I24" i="9"/>
  <c r="J24" i="9"/>
  <c r="K24" i="9"/>
  <c r="L24" i="9"/>
  <c r="M24" i="9"/>
  <c r="N24" i="9"/>
  <c r="O24" i="9"/>
  <c r="P24" i="9"/>
  <c r="Q24" i="9"/>
  <c r="R24" i="9"/>
  <c r="S24" i="9"/>
  <c r="T24" i="9"/>
  <c r="U24" i="9"/>
  <c r="V24" i="9"/>
  <c r="W24" i="9"/>
  <c r="X24" i="9"/>
  <c r="Y24" i="9"/>
  <c r="Z24" i="9"/>
  <c r="AA24" i="9"/>
  <c r="AB24" i="9"/>
  <c r="AC24" i="9"/>
  <c r="AD24" i="9"/>
  <c r="AE24" i="9"/>
  <c r="F25" i="9"/>
  <c r="G25" i="9"/>
  <c r="H25" i="9"/>
  <c r="I25" i="9"/>
  <c r="J25" i="9"/>
  <c r="K25" i="9"/>
  <c r="L25" i="9"/>
  <c r="M25" i="9"/>
  <c r="N25" i="9"/>
  <c r="O25" i="9"/>
  <c r="P25" i="9"/>
  <c r="Q25" i="9"/>
  <c r="R25" i="9"/>
  <c r="S25" i="9"/>
  <c r="T25" i="9"/>
  <c r="U25" i="9"/>
  <c r="V25" i="9"/>
  <c r="W25" i="9"/>
  <c r="X25" i="9"/>
  <c r="Y25" i="9"/>
  <c r="Z25" i="9"/>
  <c r="AA25" i="9"/>
  <c r="AB25" i="9"/>
  <c r="AC25" i="9"/>
  <c r="AD25" i="9"/>
  <c r="AE25" i="9"/>
  <c r="F26" i="9"/>
  <c r="G26" i="9"/>
  <c r="H26" i="9"/>
  <c r="I26" i="9"/>
  <c r="J26" i="9"/>
  <c r="K26" i="9"/>
  <c r="L26" i="9"/>
  <c r="M26" i="9"/>
  <c r="N26" i="9"/>
  <c r="O26" i="9"/>
  <c r="P26" i="9"/>
  <c r="Q26" i="9"/>
  <c r="R26" i="9"/>
  <c r="S26" i="9"/>
  <c r="T26" i="9"/>
  <c r="U26" i="9"/>
  <c r="V26" i="9"/>
  <c r="W26" i="9"/>
  <c r="X26" i="9"/>
  <c r="Y26" i="9"/>
  <c r="Z26" i="9"/>
  <c r="AA26" i="9"/>
  <c r="AB26" i="9"/>
  <c r="AC26" i="9"/>
  <c r="AD26" i="9"/>
  <c r="AE26" i="9"/>
  <c r="F27" i="9"/>
  <c r="G27" i="9"/>
  <c r="H27" i="9"/>
  <c r="I27" i="9"/>
  <c r="J27" i="9"/>
  <c r="K27" i="9"/>
  <c r="L27" i="9"/>
  <c r="M27" i="9"/>
  <c r="N27" i="9"/>
  <c r="O27" i="9"/>
  <c r="P27" i="9"/>
  <c r="Q27" i="9"/>
  <c r="R27" i="9"/>
  <c r="S27" i="9"/>
  <c r="T27" i="9"/>
  <c r="U27" i="9"/>
  <c r="V27" i="9"/>
  <c r="W27" i="9"/>
  <c r="X27" i="9"/>
  <c r="Y27" i="9"/>
  <c r="Z27" i="9"/>
  <c r="AA27" i="9"/>
  <c r="AB27" i="9"/>
  <c r="AC27" i="9"/>
  <c r="AD27" i="9"/>
  <c r="AE27" i="9"/>
  <c r="F28" i="9"/>
  <c r="G28" i="9"/>
  <c r="H28" i="9"/>
  <c r="I28" i="9"/>
  <c r="J28" i="9"/>
  <c r="K28" i="9"/>
  <c r="L28" i="9"/>
  <c r="M28" i="9"/>
  <c r="N28" i="9"/>
  <c r="O28" i="9"/>
  <c r="P28" i="9"/>
  <c r="Q28" i="9"/>
  <c r="R28" i="9"/>
  <c r="S28" i="9"/>
  <c r="T28" i="9"/>
  <c r="U28" i="9"/>
  <c r="V28" i="9"/>
  <c r="W28" i="9"/>
  <c r="X28" i="9"/>
  <c r="Y28" i="9"/>
  <c r="Z28" i="9"/>
  <c r="AA28" i="9"/>
  <c r="AB28" i="9"/>
  <c r="AC28" i="9"/>
  <c r="AD28" i="9"/>
  <c r="AE28" i="9"/>
  <c r="F29" i="9"/>
  <c r="G29" i="9"/>
  <c r="H29" i="9"/>
  <c r="I29" i="9"/>
  <c r="J29" i="9"/>
  <c r="K29" i="9"/>
  <c r="L29" i="9"/>
  <c r="M29" i="9"/>
  <c r="N29" i="9"/>
  <c r="O29" i="9"/>
  <c r="P29" i="9"/>
  <c r="Q29" i="9"/>
  <c r="R29" i="9"/>
  <c r="S29" i="9"/>
  <c r="T29" i="9"/>
  <c r="U29" i="9"/>
  <c r="V29" i="9"/>
  <c r="W29" i="9"/>
  <c r="X29" i="9"/>
  <c r="Y29" i="9"/>
  <c r="Z29" i="9"/>
  <c r="AA29" i="9"/>
  <c r="AB29" i="9"/>
  <c r="AC29" i="9"/>
  <c r="AD29" i="9"/>
  <c r="AE29" i="9"/>
  <c r="F30" i="9"/>
  <c r="G30" i="9"/>
  <c r="H30" i="9"/>
  <c r="I30" i="9"/>
  <c r="J30" i="9"/>
  <c r="K30" i="9"/>
  <c r="L30" i="9"/>
  <c r="M30" i="9"/>
  <c r="N30" i="9"/>
  <c r="O30" i="9"/>
  <c r="P30" i="9"/>
  <c r="Q30" i="9"/>
  <c r="R30" i="9"/>
  <c r="S30" i="9"/>
  <c r="T30" i="9"/>
  <c r="U30" i="9"/>
  <c r="V30" i="9"/>
  <c r="W30" i="9"/>
  <c r="X30" i="9"/>
  <c r="Y30" i="9"/>
  <c r="Z30" i="9"/>
  <c r="AA30" i="9"/>
  <c r="AB30" i="9"/>
  <c r="AC30" i="9"/>
  <c r="AD30" i="9"/>
  <c r="AE30" i="9"/>
  <c r="F31" i="9"/>
  <c r="G31" i="9"/>
  <c r="H31" i="9"/>
  <c r="I31" i="9"/>
  <c r="J31" i="9"/>
  <c r="K31" i="9"/>
  <c r="L31" i="9"/>
  <c r="M31" i="9"/>
  <c r="N31" i="9"/>
  <c r="O31" i="9"/>
  <c r="P31" i="9"/>
  <c r="Q31" i="9"/>
  <c r="R31" i="9"/>
  <c r="S31" i="9"/>
  <c r="T31" i="9"/>
  <c r="U31" i="9"/>
  <c r="V31" i="9"/>
  <c r="W31" i="9"/>
  <c r="X31" i="9"/>
  <c r="Y31" i="9"/>
  <c r="Z31" i="9"/>
  <c r="AA31" i="9"/>
  <c r="AB31" i="9"/>
  <c r="AC31" i="9"/>
  <c r="AD31" i="9"/>
  <c r="AE31" i="9"/>
  <c r="F35" i="9"/>
  <c r="G35" i="9"/>
  <c r="H35" i="9"/>
  <c r="I35" i="9"/>
  <c r="J35" i="9"/>
  <c r="K35" i="9"/>
  <c r="L35" i="9"/>
  <c r="M35" i="9"/>
  <c r="N35" i="9"/>
  <c r="O35" i="9"/>
  <c r="P35" i="9"/>
  <c r="Q35" i="9"/>
  <c r="R35" i="9"/>
  <c r="S35" i="9"/>
  <c r="T35" i="9"/>
  <c r="U35" i="9"/>
  <c r="V35" i="9"/>
  <c r="W35" i="9"/>
  <c r="X35" i="9"/>
  <c r="Y35" i="9"/>
  <c r="Z35" i="9"/>
  <c r="AA35" i="9"/>
  <c r="AB35" i="9"/>
  <c r="AC35" i="9"/>
  <c r="AD35" i="9"/>
  <c r="AE35" i="9"/>
  <c r="F36" i="9"/>
  <c r="G36" i="9"/>
  <c r="H36" i="9"/>
  <c r="I36" i="9"/>
  <c r="J36" i="9"/>
  <c r="K36" i="9"/>
  <c r="L36" i="9"/>
  <c r="M36" i="9"/>
  <c r="N36" i="9"/>
  <c r="O36" i="9"/>
  <c r="P36" i="9"/>
  <c r="Q36" i="9"/>
  <c r="R36" i="9"/>
  <c r="S36" i="9"/>
  <c r="T36" i="9"/>
  <c r="U36" i="9"/>
  <c r="V36" i="9"/>
  <c r="W36" i="9"/>
  <c r="X36" i="9"/>
  <c r="Y36" i="9"/>
  <c r="Z36" i="9"/>
  <c r="AA36" i="9"/>
  <c r="AB36" i="9"/>
  <c r="AC36" i="9"/>
  <c r="AD36" i="9"/>
  <c r="AE36" i="9"/>
  <c r="F37" i="9"/>
  <c r="G37" i="9"/>
  <c r="H37" i="9"/>
  <c r="I37" i="9"/>
  <c r="J37" i="9"/>
  <c r="K37" i="9"/>
  <c r="L37" i="9"/>
  <c r="M37" i="9"/>
  <c r="N37" i="9"/>
  <c r="O37" i="9"/>
  <c r="P37" i="9"/>
  <c r="Q37" i="9"/>
  <c r="R37" i="9"/>
  <c r="S37" i="9"/>
  <c r="T37" i="9"/>
  <c r="U37" i="9"/>
  <c r="V37" i="9"/>
  <c r="W37" i="9"/>
  <c r="X37" i="9"/>
  <c r="Y37" i="9"/>
  <c r="Z37" i="9"/>
  <c r="AA37" i="9"/>
  <c r="AB37" i="9"/>
  <c r="AC37" i="9"/>
  <c r="AD37" i="9"/>
  <c r="AE37" i="9"/>
  <c r="F38" i="9"/>
  <c r="G38" i="9"/>
  <c r="H38" i="9"/>
  <c r="I38" i="9"/>
  <c r="J38" i="9"/>
  <c r="K38" i="9"/>
  <c r="L38" i="9"/>
  <c r="M38" i="9"/>
  <c r="N38" i="9"/>
  <c r="O38" i="9"/>
  <c r="P38" i="9"/>
  <c r="Q38" i="9"/>
  <c r="R38" i="9"/>
  <c r="S38" i="9"/>
  <c r="T38" i="9"/>
  <c r="U38" i="9"/>
  <c r="V38" i="9"/>
  <c r="W38" i="9"/>
  <c r="X38" i="9"/>
  <c r="Y38" i="9"/>
  <c r="Z38" i="9"/>
  <c r="AA38" i="9"/>
  <c r="AB38" i="9"/>
  <c r="AC38" i="9"/>
  <c r="AD38" i="9"/>
  <c r="AE38" i="9"/>
  <c r="F39" i="9"/>
  <c r="G39" i="9"/>
  <c r="H39" i="9"/>
  <c r="I39" i="9"/>
  <c r="J39" i="9"/>
  <c r="K39" i="9"/>
  <c r="L39" i="9"/>
  <c r="M39" i="9"/>
  <c r="N39" i="9"/>
  <c r="O39" i="9"/>
  <c r="P39" i="9"/>
  <c r="Q39" i="9"/>
  <c r="R39" i="9"/>
  <c r="S39" i="9"/>
  <c r="T39" i="9"/>
  <c r="U39" i="9"/>
  <c r="V39" i="9"/>
  <c r="W39" i="9"/>
  <c r="X39" i="9"/>
  <c r="Y39" i="9"/>
  <c r="Z39" i="9"/>
  <c r="AA39" i="9"/>
  <c r="AB39" i="9"/>
  <c r="AC39" i="9"/>
  <c r="AD39" i="9"/>
  <c r="AE39" i="9"/>
  <c r="F40" i="9"/>
  <c r="G40" i="9"/>
  <c r="H40" i="9"/>
  <c r="I40" i="9"/>
  <c r="J40" i="9"/>
  <c r="K40" i="9"/>
  <c r="L40" i="9"/>
  <c r="M40" i="9"/>
  <c r="N40" i="9"/>
  <c r="O40" i="9"/>
  <c r="P40" i="9"/>
  <c r="Q40" i="9"/>
  <c r="R40" i="9"/>
  <c r="S40" i="9"/>
  <c r="T40" i="9"/>
  <c r="U40" i="9"/>
  <c r="V40" i="9"/>
  <c r="W40" i="9"/>
  <c r="X40" i="9"/>
  <c r="Y40" i="9"/>
  <c r="Z40" i="9"/>
  <c r="AA40" i="9"/>
  <c r="AB40" i="9"/>
  <c r="AC40" i="9"/>
  <c r="AD40" i="9"/>
  <c r="AE40" i="9"/>
  <c r="F41" i="9"/>
  <c r="G41" i="9"/>
  <c r="H41" i="9"/>
  <c r="I41" i="9"/>
  <c r="J41" i="9"/>
  <c r="K41" i="9"/>
  <c r="L41" i="9"/>
  <c r="M41" i="9"/>
  <c r="N41" i="9"/>
  <c r="O41" i="9"/>
  <c r="P41" i="9"/>
  <c r="Q41" i="9"/>
  <c r="R41" i="9"/>
  <c r="S41" i="9"/>
  <c r="T41" i="9"/>
  <c r="U41" i="9"/>
  <c r="V41" i="9"/>
  <c r="W41" i="9"/>
  <c r="X41" i="9"/>
  <c r="Y41" i="9"/>
  <c r="Z41" i="9"/>
  <c r="AA41" i="9"/>
  <c r="AB41" i="9"/>
  <c r="AC41" i="9"/>
  <c r="AD41" i="9"/>
  <c r="AE41" i="9"/>
  <c r="F42" i="9"/>
  <c r="G42" i="9"/>
  <c r="H42" i="9"/>
  <c r="I42" i="9"/>
  <c r="J42" i="9"/>
  <c r="K42" i="9"/>
  <c r="L42" i="9"/>
  <c r="M42" i="9"/>
  <c r="N42" i="9"/>
  <c r="O42" i="9"/>
  <c r="P42" i="9"/>
  <c r="Q42" i="9"/>
  <c r="R42" i="9"/>
  <c r="S42" i="9"/>
  <c r="T42" i="9"/>
  <c r="U42" i="9"/>
  <c r="V42" i="9"/>
  <c r="W42" i="9"/>
  <c r="X42" i="9"/>
  <c r="Y42" i="9"/>
  <c r="Z42" i="9"/>
  <c r="AA42" i="9"/>
  <c r="AB42" i="9"/>
  <c r="AC42" i="9"/>
  <c r="AD42" i="9"/>
  <c r="AE42" i="9"/>
  <c r="F43" i="9"/>
  <c r="G43" i="9"/>
  <c r="H43" i="9"/>
  <c r="I43" i="9"/>
  <c r="J43" i="9"/>
  <c r="K43" i="9"/>
  <c r="L43" i="9"/>
  <c r="M43" i="9"/>
  <c r="N43" i="9"/>
  <c r="O43" i="9"/>
  <c r="P43" i="9"/>
  <c r="Q43" i="9"/>
  <c r="R43" i="9"/>
  <c r="S43" i="9"/>
  <c r="T43" i="9"/>
  <c r="U43" i="9"/>
  <c r="V43" i="9"/>
  <c r="W43" i="9"/>
  <c r="X43" i="9"/>
  <c r="Y43" i="9"/>
  <c r="Z43" i="9"/>
  <c r="AA43" i="9"/>
  <c r="AB43" i="9"/>
  <c r="AC43" i="9"/>
  <c r="AD43" i="9"/>
  <c r="AE43" i="9"/>
  <c r="F44" i="9"/>
  <c r="G44" i="9"/>
  <c r="H44" i="9"/>
  <c r="I44" i="9"/>
  <c r="J44" i="9"/>
  <c r="K44" i="9"/>
  <c r="L44" i="9"/>
  <c r="M44" i="9"/>
  <c r="N44" i="9"/>
  <c r="O44" i="9"/>
  <c r="P44" i="9"/>
  <c r="Q44" i="9"/>
  <c r="R44" i="9"/>
  <c r="S44" i="9"/>
  <c r="T44" i="9"/>
  <c r="U44" i="9"/>
  <c r="V44" i="9"/>
  <c r="W44" i="9"/>
  <c r="X44" i="9"/>
  <c r="Y44" i="9"/>
  <c r="Z44" i="9"/>
  <c r="AA44" i="9"/>
  <c r="AB44" i="9"/>
  <c r="AC44" i="9"/>
  <c r="AD44" i="9"/>
  <c r="AE44" i="9"/>
  <c r="F45" i="9"/>
  <c r="G45" i="9"/>
  <c r="H45" i="9"/>
  <c r="I45" i="9"/>
  <c r="J45" i="9"/>
  <c r="K45" i="9"/>
  <c r="L45" i="9"/>
  <c r="M45" i="9"/>
  <c r="N45" i="9"/>
  <c r="O45" i="9"/>
  <c r="P45" i="9"/>
  <c r="Q45" i="9"/>
  <c r="R45" i="9"/>
  <c r="S45" i="9"/>
  <c r="T45" i="9"/>
  <c r="U45" i="9"/>
  <c r="V45" i="9"/>
  <c r="W45" i="9"/>
  <c r="X45" i="9"/>
  <c r="Y45" i="9"/>
  <c r="Z45" i="9"/>
  <c r="AA45" i="9"/>
  <c r="AB45" i="9"/>
  <c r="AC45" i="9"/>
  <c r="AD45" i="9"/>
  <c r="AE45" i="9"/>
  <c r="F46" i="9"/>
  <c r="G46" i="9"/>
  <c r="H46" i="9"/>
  <c r="I46" i="9"/>
  <c r="J46" i="9"/>
  <c r="K46" i="9"/>
  <c r="L46" i="9"/>
  <c r="M46" i="9"/>
  <c r="N46" i="9"/>
  <c r="O46" i="9"/>
  <c r="P46" i="9"/>
  <c r="Q46" i="9"/>
  <c r="R46" i="9"/>
  <c r="S46" i="9"/>
  <c r="T46" i="9"/>
  <c r="U46" i="9"/>
  <c r="V46" i="9"/>
  <c r="W46" i="9"/>
  <c r="X46" i="9"/>
  <c r="Y46" i="9"/>
  <c r="Z46" i="9"/>
  <c r="AA46" i="9"/>
  <c r="AB46" i="9"/>
  <c r="AC46" i="9"/>
  <c r="AD46" i="9"/>
  <c r="AE46" i="9"/>
  <c r="F47" i="9"/>
  <c r="G47" i="9"/>
  <c r="H47" i="9"/>
  <c r="I47" i="9"/>
  <c r="J47" i="9"/>
  <c r="K47" i="9"/>
  <c r="L47" i="9"/>
  <c r="M47" i="9"/>
  <c r="N47" i="9"/>
  <c r="O47" i="9"/>
  <c r="P47" i="9"/>
  <c r="Q47" i="9"/>
  <c r="R47" i="9"/>
  <c r="S47" i="9"/>
  <c r="T47" i="9"/>
  <c r="U47" i="9"/>
  <c r="V47" i="9"/>
  <c r="W47" i="9"/>
  <c r="X47" i="9"/>
  <c r="Y47" i="9"/>
  <c r="Z47" i="9"/>
  <c r="AA47" i="9"/>
  <c r="AB47" i="9"/>
  <c r="AC47" i="9"/>
  <c r="AD47" i="9"/>
  <c r="AE47" i="9"/>
  <c r="F48" i="9"/>
  <c r="G48" i="9"/>
  <c r="H48" i="9"/>
  <c r="I48" i="9"/>
  <c r="J48" i="9"/>
  <c r="K48" i="9"/>
  <c r="L48" i="9"/>
  <c r="M48" i="9"/>
  <c r="N48" i="9"/>
  <c r="O48" i="9"/>
  <c r="P48" i="9"/>
  <c r="Q48" i="9"/>
  <c r="R48" i="9"/>
  <c r="S48" i="9"/>
  <c r="T48" i="9"/>
  <c r="U48" i="9"/>
  <c r="V48" i="9"/>
  <c r="W48" i="9"/>
  <c r="X48" i="9"/>
  <c r="Y48" i="9"/>
  <c r="Z48" i="9"/>
  <c r="AA48" i="9"/>
  <c r="AB48" i="9"/>
  <c r="AC48" i="9"/>
  <c r="AD48" i="9"/>
  <c r="AE48" i="9"/>
  <c r="F49" i="9"/>
  <c r="G49" i="9"/>
  <c r="H49" i="9"/>
  <c r="I49" i="9"/>
  <c r="J49" i="9"/>
  <c r="K49" i="9"/>
  <c r="L49" i="9"/>
  <c r="M49" i="9"/>
  <c r="N49" i="9"/>
  <c r="O49" i="9"/>
  <c r="P49" i="9"/>
  <c r="Q49" i="9"/>
  <c r="R49" i="9"/>
  <c r="S49" i="9"/>
  <c r="T49" i="9"/>
  <c r="U49" i="9"/>
  <c r="V49" i="9"/>
  <c r="W49" i="9"/>
  <c r="X49" i="9"/>
  <c r="Y49" i="9"/>
  <c r="Z49" i="9"/>
  <c r="AA49" i="9"/>
  <c r="AB49" i="9"/>
  <c r="AC49" i="9"/>
  <c r="AD49" i="9"/>
  <c r="AE49" i="9"/>
  <c r="F50" i="9"/>
  <c r="G50" i="9"/>
  <c r="H50" i="9"/>
  <c r="I50" i="9"/>
  <c r="J50" i="9"/>
  <c r="K50" i="9"/>
  <c r="L50" i="9"/>
  <c r="M50" i="9"/>
  <c r="N50" i="9"/>
  <c r="O50" i="9"/>
  <c r="P50" i="9"/>
  <c r="Q50" i="9"/>
  <c r="R50" i="9"/>
  <c r="S50" i="9"/>
  <c r="T50" i="9"/>
  <c r="U50" i="9"/>
  <c r="V50" i="9"/>
  <c r="W50" i="9"/>
  <c r="X50" i="9"/>
  <c r="Y50" i="9"/>
  <c r="Z50" i="9"/>
  <c r="AA50" i="9"/>
  <c r="AB50" i="9"/>
  <c r="AC50" i="9"/>
  <c r="AD50" i="9"/>
  <c r="AE50" i="9"/>
  <c r="F51" i="9"/>
  <c r="G51" i="9"/>
  <c r="H51" i="9"/>
  <c r="I51" i="9"/>
  <c r="J51" i="9"/>
  <c r="K51" i="9"/>
  <c r="L51" i="9"/>
  <c r="M51" i="9"/>
  <c r="N51" i="9"/>
  <c r="O51" i="9"/>
  <c r="P51" i="9"/>
  <c r="Q51" i="9"/>
  <c r="R51" i="9"/>
  <c r="S51" i="9"/>
  <c r="T51" i="9"/>
  <c r="U51" i="9"/>
  <c r="V51" i="9"/>
  <c r="W51" i="9"/>
  <c r="X51" i="9"/>
  <c r="Y51" i="9"/>
  <c r="Z51" i="9"/>
  <c r="AA51" i="9"/>
  <c r="AB51" i="9"/>
  <c r="AC51" i="9"/>
  <c r="AD51" i="9"/>
  <c r="AE51" i="9"/>
  <c r="F52" i="9"/>
  <c r="G52" i="9"/>
  <c r="H52" i="9"/>
  <c r="I52" i="9"/>
  <c r="J52" i="9"/>
  <c r="K52" i="9"/>
  <c r="L52" i="9"/>
  <c r="M52" i="9"/>
  <c r="N52" i="9"/>
  <c r="O52" i="9"/>
  <c r="P52" i="9"/>
  <c r="Q52" i="9"/>
  <c r="R52" i="9"/>
  <c r="S52" i="9"/>
  <c r="T52" i="9"/>
  <c r="U52" i="9"/>
  <c r="V52" i="9"/>
  <c r="W52" i="9"/>
  <c r="X52" i="9"/>
  <c r="Y52" i="9"/>
  <c r="Z52" i="9"/>
  <c r="AA52" i="9"/>
  <c r="AB52" i="9"/>
  <c r="AC52" i="9"/>
  <c r="AD52" i="9"/>
  <c r="AE52" i="9"/>
  <c r="F53" i="9"/>
  <c r="G53" i="9"/>
  <c r="H53" i="9"/>
  <c r="I53" i="9"/>
  <c r="J53" i="9"/>
  <c r="K53" i="9"/>
  <c r="L53" i="9"/>
  <c r="M53" i="9"/>
  <c r="N53" i="9"/>
  <c r="O53" i="9"/>
  <c r="P53" i="9"/>
  <c r="Q53" i="9"/>
  <c r="R53" i="9"/>
  <c r="S53" i="9"/>
  <c r="T53" i="9"/>
  <c r="U53" i="9"/>
  <c r="V53" i="9"/>
  <c r="W53" i="9"/>
  <c r="X53" i="9"/>
  <c r="Y53" i="9"/>
  <c r="Z53" i="9"/>
  <c r="AA53" i="9"/>
  <c r="AB53" i="9"/>
  <c r="AC53" i="9"/>
  <c r="AD53" i="9"/>
  <c r="AE53" i="9"/>
  <c r="F54" i="9"/>
  <c r="G54" i="9"/>
  <c r="H54" i="9"/>
  <c r="I54" i="9"/>
  <c r="J54" i="9"/>
  <c r="K54" i="9"/>
  <c r="L54" i="9"/>
  <c r="M54" i="9"/>
  <c r="N54" i="9"/>
  <c r="O54" i="9"/>
  <c r="P54" i="9"/>
  <c r="Q54" i="9"/>
  <c r="R54" i="9"/>
  <c r="S54" i="9"/>
  <c r="T54" i="9"/>
  <c r="U54" i="9"/>
  <c r="V54" i="9"/>
  <c r="W54" i="9"/>
  <c r="X54" i="9"/>
  <c r="Y54" i="9"/>
  <c r="Z54" i="9"/>
  <c r="AA54" i="9"/>
  <c r="AB54" i="9"/>
  <c r="AC54" i="9"/>
  <c r="AD54" i="9"/>
  <c r="AE54" i="9"/>
  <c r="F16" i="5"/>
  <c r="G16" i="5"/>
  <c r="H16" i="5"/>
  <c r="I16" i="5"/>
  <c r="J16" i="5"/>
  <c r="K16" i="5"/>
  <c r="L16" i="5"/>
  <c r="M16" i="5"/>
  <c r="N16" i="5"/>
  <c r="O16" i="5"/>
  <c r="P16" i="5"/>
  <c r="Q16" i="5"/>
  <c r="R16" i="5"/>
  <c r="S16" i="5"/>
  <c r="T16" i="5"/>
  <c r="U16" i="5"/>
  <c r="V16" i="5"/>
  <c r="W16" i="5"/>
  <c r="X16" i="5"/>
  <c r="Y16" i="5"/>
  <c r="Z16" i="5"/>
  <c r="AA16" i="5"/>
  <c r="AB16" i="5"/>
  <c r="AC16" i="5"/>
  <c r="AD16" i="5"/>
  <c r="AE16" i="5"/>
  <c r="F18" i="5"/>
  <c r="G18" i="5"/>
  <c r="H18" i="5"/>
  <c r="I18" i="5"/>
  <c r="J18" i="5"/>
  <c r="K18" i="5"/>
  <c r="L18" i="5"/>
  <c r="M18" i="5"/>
  <c r="N18" i="5"/>
  <c r="O18" i="5"/>
  <c r="P18" i="5"/>
  <c r="Q18" i="5"/>
  <c r="R18" i="5"/>
  <c r="S18" i="5"/>
  <c r="T18" i="5"/>
  <c r="U18" i="5"/>
  <c r="V18" i="5"/>
  <c r="W18" i="5"/>
  <c r="X18" i="5"/>
  <c r="Y18" i="5"/>
  <c r="Z18" i="5"/>
  <c r="AA18" i="5"/>
  <c r="AB18" i="5"/>
  <c r="AC18" i="5"/>
  <c r="AD18" i="5"/>
  <c r="AE18" i="5"/>
  <c r="F19" i="5"/>
  <c r="G19" i="5"/>
  <c r="H19" i="5"/>
  <c r="I19" i="5"/>
  <c r="J19" i="5"/>
  <c r="K19" i="5"/>
  <c r="L19" i="5"/>
  <c r="M19" i="5"/>
  <c r="N19" i="5"/>
  <c r="O19" i="5"/>
  <c r="P19" i="5"/>
  <c r="Q19" i="5"/>
  <c r="R19" i="5"/>
  <c r="S19" i="5"/>
  <c r="T19" i="5"/>
  <c r="U19" i="5"/>
  <c r="V19" i="5"/>
  <c r="W19" i="5"/>
  <c r="X19" i="5"/>
  <c r="Y19" i="5"/>
  <c r="Z19" i="5"/>
  <c r="AA19" i="5"/>
  <c r="AB19" i="5"/>
  <c r="AC19" i="5"/>
  <c r="AD19" i="5"/>
  <c r="AE19" i="5"/>
  <c r="F20" i="5"/>
  <c r="G20" i="5"/>
  <c r="H20" i="5"/>
  <c r="I20" i="5"/>
  <c r="J20" i="5"/>
  <c r="K20" i="5"/>
  <c r="L20" i="5"/>
  <c r="M20" i="5"/>
  <c r="N20" i="5"/>
  <c r="O20" i="5"/>
  <c r="P20" i="5"/>
  <c r="Q20" i="5"/>
  <c r="R20" i="5"/>
  <c r="S20" i="5"/>
  <c r="T20" i="5"/>
  <c r="U20" i="5"/>
  <c r="V20" i="5"/>
  <c r="W20" i="5"/>
  <c r="X20" i="5"/>
  <c r="Y20" i="5"/>
  <c r="Z20" i="5"/>
  <c r="AA20" i="5"/>
  <c r="AB20" i="5"/>
  <c r="AC20" i="5"/>
  <c r="AD20" i="5"/>
  <c r="AE20" i="5"/>
  <c r="F22" i="5"/>
  <c r="G22" i="5"/>
  <c r="H22" i="5"/>
  <c r="I22" i="5"/>
  <c r="J22" i="5"/>
  <c r="K22" i="5"/>
  <c r="L22" i="5"/>
  <c r="M22" i="5"/>
  <c r="N22" i="5"/>
  <c r="O22" i="5"/>
  <c r="P22" i="5"/>
  <c r="Q22" i="5"/>
  <c r="R22" i="5"/>
  <c r="S22" i="5"/>
  <c r="T22" i="5"/>
  <c r="U22" i="5"/>
  <c r="V22" i="5"/>
  <c r="W22" i="5"/>
  <c r="X22" i="5"/>
  <c r="Y22" i="5"/>
  <c r="Z22" i="5"/>
  <c r="F23" i="5"/>
  <c r="G23" i="5"/>
  <c r="H23" i="5"/>
  <c r="I23" i="5"/>
  <c r="J23" i="5"/>
  <c r="K23" i="5"/>
  <c r="L23" i="5"/>
  <c r="M23" i="5"/>
  <c r="N23" i="5"/>
  <c r="O23" i="5"/>
  <c r="P23" i="5"/>
  <c r="Q23" i="5"/>
  <c r="R23" i="5"/>
  <c r="S23" i="5"/>
  <c r="T23" i="5"/>
  <c r="U23" i="5"/>
  <c r="V23" i="5"/>
  <c r="W23" i="5"/>
  <c r="X23" i="5"/>
  <c r="Y23" i="5"/>
  <c r="Z23" i="5"/>
  <c r="AA23" i="5"/>
  <c r="AB23" i="5"/>
  <c r="AC23" i="5"/>
  <c r="AD23" i="5"/>
  <c r="AE23" i="5"/>
  <c r="F24" i="5"/>
  <c r="G24" i="5"/>
  <c r="H24" i="5"/>
  <c r="I24" i="5"/>
  <c r="J24" i="5"/>
  <c r="K24" i="5"/>
  <c r="L24" i="5"/>
  <c r="M24" i="5"/>
  <c r="N24" i="5"/>
  <c r="O24" i="5"/>
  <c r="P24" i="5"/>
  <c r="Q24" i="5"/>
  <c r="R24" i="5"/>
  <c r="S24" i="5"/>
  <c r="T24" i="5"/>
  <c r="U24" i="5"/>
  <c r="V24" i="5"/>
  <c r="W24" i="5"/>
  <c r="X24" i="5"/>
  <c r="Y24" i="5"/>
  <c r="Z24" i="5"/>
  <c r="AA24" i="5"/>
  <c r="AB24" i="5"/>
  <c r="AC24" i="5"/>
  <c r="AD24" i="5"/>
  <c r="AE24" i="5"/>
  <c r="F25" i="5"/>
  <c r="G25" i="5"/>
  <c r="H25" i="5"/>
  <c r="I25" i="5"/>
  <c r="J25" i="5"/>
  <c r="K25" i="5"/>
  <c r="L25" i="5"/>
  <c r="M25" i="5"/>
  <c r="N25" i="5"/>
  <c r="O25" i="5"/>
  <c r="P25" i="5"/>
  <c r="Q25" i="5"/>
  <c r="R25" i="5"/>
  <c r="S25" i="5"/>
  <c r="T25" i="5"/>
  <c r="U25" i="5"/>
  <c r="V25" i="5"/>
  <c r="W25" i="5"/>
  <c r="X25" i="5"/>
  <c r="Y25" i="5"/>
  <c r="Z25" i="5"/>
  <c r="AA25" i="5"/>
  <c r="AB25" i="5"/>
  <c r="AC25" i="5"/>
  <c r="AD25" i="5"/>
  <c r="AE25" i="5"/>
  <c r="F28" i="5"/>
  <c r="G28" i="5"/>
  <c r="H28" i="5"/>
  <c r="I28" i="5"/>
  <c r="J28" i="5"/>
  <c r="K28" i="5"/>
  <c r="L28" i="5"/>
  <c r="M28" i="5"/>
  <c r="N28" i="5"/>
  <c r="O28" i="5"/>
  <c r="P28" i="5"/>
  <c r="Q28" i="5"/>
  <c r="R28" i="5"/>
  <c r="S28" i="5"/>
  <c r="T28" i="5"/>
  <c r="U28" i="5"/>
  <c r="V28" i="5"/>
  <c r="W28" i="5"/>
  <c r="X28" i="5"/>
  <c r="Y28" i="5"/>
  <c r="Z28" i="5"/>
  <c r="AA28" i="5"/>
  <c r="AB28" i="5"/>
  <c r="AC28" i="5"/>
  <c r="AD28" i="5"/>
  <c r="AE28" i="5"/>
  <c r="F29" i="5"/>
  <c r="G29" i="5"/>
  <c r="H29" i="5"/>
  <c r="I29" i="5"/>
  <c r="J29" i="5"/>
  <c r="K29" i="5"/>
  <c r="L29" i="5"/>
  <c r="M29" i="5"/>
  <c r="N29" i="5"/>
  <c r="O29" i="5"/>
  <c r="P29" i="5"/>
  <c r="Q29" i="5"/>
  <c r="R29" i="5"/>
  <c r="S29" i="5"/>
  <c r="T29" i="5"/>
  <c r="U29" i="5"/>
  <c r="V29" i="5"/>
  <c r="W29" i="5"/>
  <c r="X29" i="5"/>
  <c r="Y29" i="5"/>
  <c r="Z29" i="5"/>
  <c r="AA29" i="5"/>
  <c r="AB29" i="5"/>
  <c r="AC29" i="5"/>
  <c r="AD29" i="5"/>
  <c r="AE29" i="5"/>
  <c r="F30" i="5"/>
  <c r="G30" i="5"/>
  <c r="H30" i="5"/>
  <c r="I30" i="5"/>
  <c r="J30" i="5"/>
  <c r="K30" i="5"/>
  <c r="L30" i="5"/>
  <c r="M30" i="5"/>
  <c r="N30" i="5"/>
  <c r="O30" i="5"/>
  <c r="P30" i="5"/>
  <c r="Q30" i="5"/>
  <c r="R30" i="5"/>
  <c r="S30" i="5"/>
  <c r="T30" i="5"/>
  <c r="U30" i="5"/>
  <c r="V30" i="5"/>
  <c r="W30" i="5"/>
  <c r="X30" i="5"/>
  <c r="Y30" i="5"/>
  <c r="Z30" i="5"/>
  <c r="AA30" i="5"/>
  <c r="AB30" i="5"/>
  <c r="AC30" i="5"/>
  <c r="AD30" i="5"/>
  <c r="AE30" i="5"/>
  <c r="F31" i="5"/>
  <c r="G31" i="5"/>
  <c r="H31" i="5"/>
  <c r="I31" i="5"/>
  <c r="J31" i="5"/>
  <c r="K31" i="5"/>
  <c r="L31" i="5"/>
  <c r="M31" i="5"/>
  <c r="N31" i="5"/>
  <c r="O31" i="5"/>
  <c r="P31" i="5"/>
  <c r="Q31" i="5"/>
  <c r="R31" i="5"/>
  <c r="S31" i="5"/>
  <c r="T31" i="5"/>
  <c r="U31" i="5"/>
  <c r="V31" i="5"/>
  <c r="W31" i="5"/>
  <c r="X31" i="5"/>
  <c r="Y31" i="5"/>
  <c r="Z31" i="5"/>
  <c r="F32" i="5"/>
  <c r="G32" i="5"/>
  <c r="H32" i="5"/>
  <c r="I32" i="5"/>
  <c r="J32" i="5"/>
  <c r="K32" i="5"/>
  <c r="L32" i="5"/>
  <c r="M32" i="5"/>
  <c r="N32" i="5"/>
  <c r="O32" i="5"/>
  <c r="P32" i="5"/>
  <c r="Q32" i="5"/>
  <c r="R32" i="5"/>
  <c r="S32" i="5"/>
  <c r="T32" i="5"/>
  <c r="U32" i="5"/>
  <c r="V32" i="5"/>
  <c r="W32" i="5"/>
  <c r="X32" i="5"/>
  <c r="Y32" i="5"/>
  <c r="Z32" i="5"/>
  <c r="AA32" i="5"/>
  <c r="AB32" i="5"/>
  <c r="AC32" i="5"/>
  <c r="AD32" i="5"/>
  <c r="AE32" i="5"/>
  <c r="F33" i="5"/>
  <c r="G33" i="5"/>
  <c r="H33" i="5"/>
  <c r="I33" i="5"/>
  <c r="J33" i="5"/>
  <c r="K33" i="5"/>
  <c r="L33" i="5"/>
  <c r="M33" i="5"/>
  <c r="N33" i="5"/>
  <c r="O33" i="5"/>
  <c r="P33" i="5"/>
  <c r="Q33" i="5"/>
  <c r="R33" i="5"/>
  <c r="S33" i="5"/>
  <c r="T33" i="5"/>
  <c r="U33" i="5"/>
  <c r="V33" i="5"/>
  <c r="W33" i="5"/>
  <c r="X33" i="5"/>
  <c r="Y33" i="5"/>
  <c r="Z33" i="5"/>
  <c r="AA33" i="5"/>
  <c r="AB33" i="5"/>
  <c r="AC33" i="5"/>
  <c r="AD33" i="5"/>
  <c r="AE33" i="5"/>
  <c r="F38" i="5"/>
  <c r="G38" i="5"/>
  <c r="H38" i="5"/>
  <c r="I38" i="5"/>
  <c r="J38" i="5"/>
  <c r="K38" i="5"/>
  <c r="L38" i="5"/>
  <c r="M38" i="5"/>
  <c r="N38" i="5"/>
  <c r="O38" i="5"/>
  <c r="P38" i="5"/>
  <c r="Q38" i="5"/>
  <c r="R38" i="5"/>
  <c r="S38" i="5"/>
  <c r="T38" i="5"/>
  <c r="U38" i="5"/>
  <c r="V38" i="5"/>
  <c r="W38" i="5"/>
  <c r="X38" i="5"/>
  <c r="Y38" i="5"/>
  <c r="Z38" i="5"/>
  <c r="AA38" i="5"/>
  <c r="AB38" i="5"/>
  <c r="AC38" i="5"/>
  <c r="AD38" i="5"/>
  <c r="AE38" i="5"/>
  <c r="F39" i="5"/>
  <c r="G39" i="5"/>
  <c r="H39" i="5"/>
  <c r="I39" i="5"/>
  <c r="J39" i="5"/>
  <c r="K39" i="5"/>
  <c r="L39" i="5"/>
  <c r="M39" i="5"/>
  <c r="N39" i="5"/>
  <c r="O39" i="5"/>
  <c r="P39" i="5"/>
  <c r="Q39" i="5"/>
  <c r="R39" i="5"/>
  <c r="S39" i="5"/>
  <c r="T39" i="5"/>
  <c r="U39" i="5"/>
  <c r="V39" i="5"/>
  <c r="W39" i="5"/>
  <c r="X39" i="5"/>
  <c r="Y39" i="5"/>
  <c r="Z39" i="5"/>
  <c r="AA39" i="5"/>
  <c r="AB39" i="5"/>
  <c r="AC39" i="5"/>
  <c r="AD39" i="5"/>
  <c r="AE39" i="5"/>
  <c r="F40" i="5"/>
  <c r="G40" i="5"/>
  <c r="H40" i="5"/>
  <c r="I40" i="5"/>
  <c r="J40" i="5"/>
  <c r="K40" i="5"/>
  <c r="L40" i="5"/>
  <c r="M40" i="5"/>
  <c r="N40" i="5"/>
  <c r="O40" i="5"/>
  <c r="P40" i="5"/>
  <c r="Q40" i="5"/>
  <c r="R40" i="5"/>
  <c r="S40" i="5"/>
  <c r="T40" i="5"/>
  <c r="U40" i="5"/>
  <c r="V40" i="5"/>
  <c r="W40" i="5"/>
  <c r="X40" i="5"/>
  <c r="Y40" i="5"/>
  <c r="Z40" i="5"/>
  <c r="AA40" i="5"/>
  <c r="AB40" i="5"/>
  <c r="AC40" i="5"/>
  <c r="AD40" i="5"/>
  <c r="AE40" i="5"/>
  <c r="F42" i="5"/>
  <c r="G42" i="5"/>
  <c r="H42" i="5"/>
  <c r="I42" i="5"/>
  <c r="J42" i="5"/>
  <c r="K42" i="5"/>
  <c r="L42" i="5"/>
  <c r="M42" i="5"/>
  <c r="N42" i="5"/>
  <c r="O42" i="5"/>
  <c r="P42" i="5"/>
  <c r="Q42" i="5"/>
  <c r="R42" i="5"/>
  <c r="S42" i="5"/>
  <c r="T42" i="5"/>
  <c r="U42" i="5"/>
  <c r="V42" i="5"/>
  <c r="W42" i="5"/>
  <c r="X42" i="5"/>
  <c r="Y42" i="5"/>
  <c r="Z42" i="5"/>
  <c r="AA42" i="5"/>
  <c r="AB42" i="5"/>
  <c r="AC42" i="5"/>
  <c r="AD42" i="5"/>
  <c r="AE42" i="5"/>
  <c r="F43" i="5"/>
  <c r="F44" i="5"/>
  <c r="G44" i="5"/>
  <c r="H44" i="5"/>
  <c r="I44" i="5"/>
  <c r="J44" i="5"/>
  <c r="K44" i="5"/>
  <c r="L44" i="5"/>
  <c r="M44" i="5"/>
  <c r="N44" i="5"/>
  <c r="O44" i="5"/>
  <c r="P44" i="5"/>
  <c r="Q44" i="5"/>
  <c r="R44" i="5"/>
  <c r="S44" i="5"/>
  <c r="T44" i="5"/>
  <c r="U44" i="5"/>
  <c r="V44" i="5"/>
  <c r="W44" i="5"/>
  <c r="X44" i="5"/>
  <c r="Y44" i="5"/>
  <c r="Z44" i="5"/>
  <c r="AA44" i="5"/>
  <c r="AB44" i="5"/>
  <c r="AC44" i="5"/>
  <c r="AD44" i="5"/>
  <c r="AE44" i="5"/>
  <c r="F45" i="5"/>
  <c r="F46" i="5"/>
  <c r="G46" i="5"/>
  <c r="H46" i="5"/>
  <c r="I46" i="5"/>
  <c r="J46" i="5"/>
  <c r="K46" i="5"/>
  <c r="L46" i="5"/>
  <c r="M46" i="5"/>
  <c r="N46" i="5"/>
  <c r="O46" i="5"/>
  <c r="P46" i="5"/>
  <c r="Q46" i="5"/>
  <c r="R46" i="5"/>
  <c r="S46" i="5"/>
  <c r="T46" i="5"/>
  <c r="U46" i="5"/>
  <c r="V46" i="5"/>
  <c r="W46" i="5"/>
  <c r="X46" i="5"/>
  <c r="Y46" i="5"/>
  <c r="Z46" i="5"/>
  <c r="AA46" i="5"/>
  <c r="AB46" i="5"/>
  <c r="AC46" i="5"/>
  <c r="AD46" i="5"/>
  <c r="AE46" i="5"/>
  <c r="F47" i="5"/>
  <c r="E11" i="8"/>
  <c r="F11" i="8"/>
  <c r="G11" i="8"/>
  <c r="H11" i="8"/>
  <c r="I11" i="8"/>
  <c r="J11" i="8"/>
  <c r="K11" i="8"/>
  <c r="L11" i="8"/>
  <c r="M11" i="8"/>
  <c r="N11" i="8"/>
  <c r="O11" i="8"/>
  <c r="P11" i="8"/>
  <c r="Q11" i="8"/>
  <c r="R11" i="8"/>
  <c r="S11" i="8"/>
  <c r="T11" i="8"/>
  <c r="U11" i="8"/>
  <c r="V11" i="8"/>
  <c r="W11" i="8"/>
  <c r="X11" i="8"/>
  <c r="Y11" i="8"/>
  <c r="Z11" i="8"/>
  <c r="AA11" i="8"/>
  <c r="AB11" i="8"/>
  <c r="AC11" i="8"/>
  <c r="AD11" i="8"/>
  <c r="AE11" i="8"/>
  <c r="D12" i="8"/>
  <c r="E12" i="8"/>
  <c r="F13" i="8"/>
  <c r="G13" i="8"/>
  <c r="H13" i="8"/>
  <c r="I13" i="8"/>
  <c r="J13" i="8"/>
  <c r="K13" i="8"/>
  <c r="L13" i="8"/>
  <c r="M13" i="8"/>
  <c r="N13" i="8"/>
  <c r="O13" i="8"/>
  <c r="P13" i="8"/>
  <c r="Q13" i="8"/>
  <c r="R13" i="8"/>
  <c r="S13" i="8"/>
  <c r="T13" i="8"/>
  <c r="U13" i="8"/>
  <c r="V13" i="8"/>
  <c r="W13" i="8"/>
  <c r="X13" i="8"/>
  <c r="Y13" i="8"/>
  <c r="Z13" i="8"/>
  <c r="D14" i="8"/>
  <c r="E14" i="8"/>
  <c r="F14" i="8"/>
  <c r="G14" i="8"/>
  <c r="H14" i="8"/>
  <c r="I14" i="8"/>
  <c r="J14" i="8"/>
  <c r="K14" i="8"/>
  <c r="L14" i="8"/>
  <c r="M14" i="8"/>
  <c r="N14" i="8"/>
  <c r="O14" i="8"/>
  <c r="P14" i="8"/>
  <c r="Q14" i="8"/>
  <c r="R14" i="8"/>
  <c r="S14" i="8"/>
  <c r="T14" i="8"/>
  <c r="U14" i="8"/>
  <c r="V14" i="8"/>
  <c r="W14" i="8"/>
  <c r="X14" i="8"/>
  <c r="Y14" i="8"/>
  <c r="Z14" i="8"/>
  <c r="AA14" i="8"/>
  <c r="AB14" i="8"/>
  <c r="AC14" i="8"/>
  <c r="AD14" i="8"/>
  <c r="AE14" i="8"/>
  <c r="D15" i="8"/>
  <c r="E15" i="8"/>
  <c r="F15" i="8"/>
  <c r="G15" i="8"/>
  <c r="H15" i="8"/>
  <c r="I15" i="8"/>
  <c r="J15" i="8"/>
  <c r="K15" i="8"/>
  <c r="L15" i="8"/>
  <c r="M15" i="8"/>
  <c r="N15" i="8"/>
  <c r="O15" i="8"/>
  <c r="P15" i="8"/>
  <c r="Q15" i="8"/>
  <c r="R15" i="8"/>
  <c r="S15" i="8"/>
  <c r="T15" i="8"/>
  <c r="U15" i="8"/>
  <c r="V15" i="8"/>
  <c r="W15" i="8"/>
  <c r="X15" i="8"/>
  <c r="Y15" i="8"/>
  <c r="Z15" i="8"/>
  <c r="D16" i="8"/>
  <c r="E16" i="8"/>
  <c r="D17" i="8"/>
  <c r="E17" i="8"/>
  <c r="F17" i="8"/>
  <c r="G17" i="8"/>
  <c r="H17" i="8"/>
  <c r="I17" i="8"/>
  <c r="J17" i="8"/>
  <c r="K17" i="8"/>
  <c r="L17" i="8"/>
  <c r="M17" i="8"/>
  <c r="N17" i="8"/>
  <c r="O17" i="8"/>
  <c r="P17" i="8"/>
  <c r="Q17" i="8"/>
  <c r="R17" i="8"/>
  <c r="S17" i="8"/>
  <c r="T17" i="8"/>
  <c r="U17" i="8"/>
  <c r="V17" i="8"/>
  <c r="W17" i="8"/>
  <c r="X17" i="8"/>
  <c r="Y17" i="8"/>
  <c r="Z17" i="8"/>
  <c r="C21" i="8"/>
  <c r="C30" i="8"/>
  <c r="E30" i="8"/>
  <c r="F30" i="8"/>
  <c r="C31" i="8"/>
  <c r="E31" i="8"/>
  <c r="F31" i="8"/>
  <c r="C32" i="8"/>
  <c r="E32" i="8"/>
  <c r="F32" i="8"/>
  <c r="C33" i="8"/>
  <c r="E33" i="8"/>
  <c r="F33" i="8"/>
  <c r="C34" i="8"/>
  <c r="E34" i="8"/>
  <c r="F34" i="8"/>
  <c r="C35" i="8"/>
  <c r="E35" i="8"/>
  <c r="F35" i="8"/>
  <c r="C36" i="8"/>
  <c r="E36" i="8"/>
  <c r="F36" i="8"/>
  <c r="C38" i="8"/>
  <c r="E38" i="8"/>
  <c r="F38" i="8"/>
  <c r="C39" i="8"/>
  <c r="E39" i="8"/>
  <c r="F39" i="8"/>
  <c r="C40" i="8"/>
  <c r="E40" i="8"/>
  <c r="F40" i="8"/>
  <c r="C41" i="8"/>
  <c r="E41" i="8"/>
  <c r="F41" i="8"/>
  <c r="C42" i="8"/>
  <c r="E42" i="8"/>
  <c r="F42" i="8"/>
  <c r="C43" i="8"/>
  <c r="E43" i="8"/>
  <c r="F43" i="8"/>
  <c r="C44" i="8"/>
  <c r="E44" i="8"/>
  <c r="F44" i="8"/>
  <c r="C45" i="8"/>
  <c r="E45" i="8"/>
  <c r="F45" i="8"/>
  <c r="C46" i="8"/>
  <c r="E46" i="8"/>
  <c r="F46" i="8"/>
  <c r="C47" i="8"/>
  <c r="E47" i="8"/>
  <c r="F47" i="8"/>
  <c r="C48" i="8"/>
  <c r="E48" i="8"/>
  <c r="F48" i="8"/>
  <c r="C49" i="8"/>
  <c r="E49" i="8"/>
  <c r="F49" i="8"/>
  <c r="C51" i="8"/>
  <c r="D51" i="8"/>
  <c r="E51" i="8"/>
  <c r="F51" i="8"/>
  <c r="C52" i="8"/>
  <c r="D52" i="8"/>
  <c r="E52" i="8"/>
  <c r="F52" i="8"/>
  <c r="C53" i="8"/>
  <c r="D53" i="8"/>
  <c r="E53" i="8"/>
  <c r="F53" i="8"/>
  <c r="C54" i="8"/>
  <c r="D54" i="8"/>
  <c r="E54" i="8"/>
  <c r="F54" i="8"/>
  <c r="C55" i="8"/>
  <c r="D55" i="8"/>
  <c r="E55" i="8"/>
  <c r="F55" i="8"/>
  <c r="C56" i="8"/>
  <c r="D56" i="8"/>
  <c r="E56" i="8"/>
  <c r="F56" i="8"/>
  <c r="C57" i="8"/>
  <c r="D57" i="8"/>
  <c r="E57" i="8"/>
  <c r="F57" i="8"/>
  <c r="C58" i="8"/>
  <c r="D58" i="8"/>
  <c r="E58" i="8"/>
  <c r="F58" i="8"/>
  <c r="C59" i="8"/>
  <c r="D59" i="8"/>
  <c r="E59" i="8"/>
  <c r="F59" i="8"/>
  <c r="C60" i="8"/>
  <c r="D60" i="8"/>
  <c r="E60" i="8"/>
  <c r="F60" i="8"/>
  <c r="C61" i="8"/>
  <c r="D61" i="8"/>
  <c r="E61" i="8"/>
  <c r="F61" i="8"/>
  <c r="C62" i="8"/>
  <c r="D62" i="8"/>
  <c r="E62" i="8"/>
  <c r="F62" i="8"/>
  <c r="C64" i="8"/>
  <c r="D64" i="8"/>
  <c r="E64" i="8"/>
  <c r="F64" i="8"/>
  <c r="C65" i="8"/>
  <c r="D65" i="8"/>
  <c r="E65" i="8"/>
  <c r="F65" i="8"/>
  <c r="C66" i="8"/>
  <c r="D66" i="8"/>
  <c r="E66" i="8"/>
  <c r="F66" i="8"/>
  <c r="C67" i="8"/>
  <c r="D67" i="8"/>
  <c r="E67" i="8"/>
  <c r="F67" i="8"/>
  <c r="C68" i="8"/>
  <c r="D68" i="8"/>
  <c r="E68" i="8"/>
  <c r="F68" i="8"/>
  <c r="C69" i="8"/>
  <c r="D69" i="8"/>
  <c r="E69" i="8"/>
  <c r="F69" i="8"/>
  <c r="C70" i="8"/>
  <c r="D70" i="8"/>
  <c r="E70" i="8"/>
  <c r="F70" i="8"/>
  <c r="C71" i="8"/>
  <c r="D71" i="8"/>
  <c r="E71" i="8"/>
  <c r="F71" i="8"/>
  <c r="C72" i="8"/>
  <c r="D72" i="8"/>
  <c r="E72" i="8"/>
  <c r="F72" i="8"/>
  <c r="C73" i="8"/>
  <c r="D73" i="8"/>
  <c r="E73" i="8"/>
  <c r="F73" i="8"/>
  <c r="C74" i="8"/>
  <c r="D74" i="8"/>
  <c r="E74" i="8"/>
  <c r="F74" i="8"/>
  <c r="C75" i="8"/>
  <c r="D75" i="8"/>
  <c r="E75" i="8"/>
  <c r="F75" i="8"/>
  <c r="C77" i="8"/>
  <c r="D77" i="8"/>
  <c r="E77" i="8"/>
  <c r="F77" i="8"/>
  <c r="C78" i="8"/>
  <c r="D78" i="8"/>
  <c r="E78" i="8"/>
  <c r="F78" i="8"/>
  <c r="C79" i="8"/>
  <c r="D79" i="8"/>
  <c r="E79" i="8"/>
  <c r="F79" i="8"/>
  <c r="C80" i="8"/>
  <c r="D80" i="8"/>
  <c r="E80" i="8"/>
  <c r="F80" i="8"/>
  <c r="C81" i="8"/>
  <c r="D81" i="8"/>
  <c r="E81" i="8"/>
  <c r="F81" i="8"/>
  <c r="C82" i="8"/>
  <c r="D82" i="8"/>
  <c r="E82" i="8"/>
  <c r="F82" i="8"/>
  <c r="C83" i="8"/>
  <c r="D83" i="8"/>
  <c r="E83" i="8"/>
  <c r="F83" i="8"/>
  <c r="C84" i="8"/>
  <c r="D84" i="8"/>
  <c r="E84" i="8"/>
  <c r="F84" i="8"/>
  <c r="C85" i="8"/>
  <c r="D85" i="8"/>
  <c r="E85" i="8"/>
  <c r="F85" i="8"/>
  <c r="C86" i="8"/>
  <c r="D86" i="8"/>
  <c r="E86" i="8"/>
  <c r="F86" i="8"/>
  <c r="C87" i="8"/>
  <c r="D87" i="8"/>
  <c r="E87" i="8"/>
  <c r="F87" i="8"/>
  <c r="C88" i="8"/>
  <c r="D88" i="8"/>
  <c r="E88" i="8"/>
  <c r="F88" i="8"/>
  <c r="C90" i="8"/>
  <c r="D90" i="8"/>
  <c r="E90" i="8"/>
  <c r="F90" i="8"/>
  <c r="C91" i="8"/>
  <c r="D91" i="8"/>
  <c r="E91" i="8"/>
  <c r="F91" i="8"/>
  <c r="C92" i="8"/>
  <c r="D92" i="8"/>
  <c r="E92" i="8"/>
  <c r="F92" i="8"/>
  <c r="C93" i="8"/>
  <c r="D93" i="8"/>
  <c r="E93" i="8"/>
  <c r="F93" i="8"/>
  <c r="C94" i="8"/>
  <c r="D94" i="8"/>
  <c r="E94" i="8"/>
  <c r="F94" i="8"/>
  <c r="C95" i="8"/>
  <c r="D95" i="8"/>
  <c r="E95" i="8"/>
  <c r="F95" i="8"/>
  <c r="C96" i="8"/>
  <c r="D96" i="8"/>
  <c r="E96" i="8"/>
  <c r="F96" i="8"/>
  <c r="C97" i="8"/>
  <c r="D97" i="8"/>
  <c r="E97" i="8"/>
  <c r="F97" i="8"/>
  <c r="C98" i="8"/>
  <c r="D98" i="8"/>
  <c r="E98" i="8"/>
  <c r="F98" i="8"/>
  <c r="C99" i="8"/>
  <c r="D99" i="8"/>
  <c r="E99" i="8"/>
  <c r="F99" i="8"/>
  <c r="C100" i="8"/>
  <c r="D100" i="8"/>
  <c r="E100" i="8"/>
  <c r="F100" i="8"/>
  <c r="C101" i="8"/>
  <c r="D101" i="8"/>
  <c r="E101" i="8"/>
  <c r="F101" i="8"/>
  <c r="C103" i="8"/>
  <c r="D103" i="8"/>
  <c r="E103" i="8"/>
  <c r="F103" i="8"/>
  <c r="C104" i="8"/>
  <c r="D104" i="8"/>
  <c r="E104" i="8"/>
  <c r="F104" i="8"/>
  <c r="C105" i="8"/>
  <c r="D105" i="8"/>
  <c r="E105" i="8"/>
  <c r="F105" i="8"/>
  <c r="C106" i="8"/>
  <c r="D106" i="8"/>
  <c r="E106" i="8"/>
  <c r="F106" i="8"/>
  <c r="C107" i="8"/>
  <c r="D107" i="8"/>
  <c r="E107" i="8"/>
  <c r="F107" i="8"/>
  <c r="C108" i="8"/>
  <c r="D108" i="8"/>
  <c r="E108" i="8"/>
  <c r="F108" i="8"/>
  <c r="C109" i="8"/>
  <c r="D109" i="8"/>
  <c r="E109" i="8"/>
  <c r="F109" i="8"/>
  <c r="C110" i="8"/>
  <c r="D110" i="8"/>
  <c r="E110" i="8"/>
  <c r="F110" i="8"/>
  <c r="C111" i="8"/>
  <c r="D111" i="8"/>
  <c r="E111" i="8"/>
  <c r="F111" i="8"/>
  <c r="C112" i="8"/>
  <c r="D112" i="8"/>
  <c r="E112" i="8"/>
  <c r="F112" i="8"/>
  <c r="C113" i="8"/>
  <c r="D113" i="8"/>
  <c r="E113" i="8"/>
  <c r="F113" i="8"/>
  <c r="C114" i="8"/>
  <c r="D114" i="8"/>
  <c r="E114" i="8"/>
  <c r="F114" i="8"/>
  <c r="C116" i="8"/>
  <c r="D116" i="8"/>
  <c r="E116" i="8"/>
  <c r="F116" i="8"/>
  <c r="C117" i="8"/>
  <c r="D117" i="8"/>
  <c r="E117" i="8"/>
  <c r="F117" i="8"/>
  <c r="C118" i="8"/>
  <c r="D118" i="8"/>
  <c r="E118" i="8"/>
  <c r="F118" i="8"/>
  <c r="C119" i="8"/>
  <c r="D119" i="8"/>
  <c r="E119" i="8"/>
  <c r="F119" i="8"/>
  <c r="C120" i="8"/>
  <c r="D120" i="8"/>
  <c r="E120" i="8"/>
  <c r="F120" i="8"/>
  <c r="C121" i="8"/>
  <c r="D121" i="8"/>
  <c r="E121" i="8"/>
  <c r="F121" i="8"/>
  <c r="C122" i="8"/>
  <c r="D122" i="8"/>
  <c r="E122" i="8"/>
  <c r="F122" i="8"/>
  <c r="C123" i="8"/>
  <c r="D123" i="8"/>
  <c r="E123" i="8"/>
  <c r="F123" i="8"/>
  <c r="C124" i="8"/>
  <c r="D124" i="8"/>
  <c r="E124" i="8"/>
  <c r="F124" i="8"/>
  <c r="C125" i="8"/>
  <c r="D125" i="8"/>
  <c r="E125" i="8"/>
  <c r="F125" i="8"/>
  <c r="C126" i="8"/>
  <c r="D126" i="8"/>
  <c r="E126" i="8"/>
  <c r="F126" i="8"/>
  <c r="C127" i="8"/>
  <c r="D127" i="8"/>
  <c r="E127" i="8"/>
  <c r="F127" i="8"/>
  <c r="C129" i="8"/>
  <c r="D129" i="8"/>
  <c r="E129" i="8"/>
  <c r="F129" i="8"/>
  <c r="C130" i="8"/>
  <c r="D130" i="8"/>
  <c r="E130" i="8"/>
  <c r="F130" i="8"/>
  <c r="C131" i="8"/>
  <c r="D131" i="8"/>
  <c r="E131" i="8"/>
  <c r="F131" i="8"/>
  <c r="C132" i="8"/>
  <c r="D132" i="8"/>
  <c r="E132" i="8"/>
  <c r="F132" i="8"/>
  <c r="C133" i="8"/>
  <c r="D133" i="8"/>
  <c r="E133" i="8"/>
  <c r="F133" i="8"/>
  <c r="C134" i="8"/>
  <c r="D134" i="8"/>
  <c r="E134" i="8"/>
  <c r="F134" i="8"/>
  <c r="C135" i="8"/>
  <c r="D135" i="8"/>
  <c r="E135" i="8"/>
  <c r="F135" i="8"/>
  <c r="C136" i="8"/>
  <c r="D136" i="8"/>
  <c r="E136" i="8"/>
  <c r="F136" i="8"/>
  <c r="C137" i="8"/>
  <c r="D137" i="8"/>
  <c r="E137" i="8"/>
  <c r="F137" i="8"/>
  <c r="C138" i="8"/>
  <c r="D138" i="8"/>
  <c r="E138" i="8"/>
  <c r="F138" i="8"/>
  <c r="C139" i="8"/>
  <c r="D139" i="8"/>
  <c r="E139" i="8"/>
  <c r="F139" i="8"/>
  <c r="C140" i="8"/>
  <c r="D140" i="8"/>
  <c r="E140" i="8"/>
  <c r="F140" i="8"/>
  <c r="C142" i="8"/>
  <c r="D142" i="8"/>
  <c r="E142" i="8"/>
  <c r="F142" i="8"/>
  <c r="C143" i="8"/>
  <c r="D143" i="8"/>
  <c r="E143" i="8"/>
  <c r="F143" i="8"/>
  <c r="C144" i="8"/>
  <c r="D144" i="8"/>
  <c r="E144" i="8"/>
  <c r="F144" i="8"/>
  <c r="C145" i="8"/>
  <c r="D145" i="8"/>
  <c r="E145" i="8"/>
  <c r="F145" i="8"/>
  <c r="C146" i="8"/>
  <c r="D146" i="8"/>
  <c r="E146" i="8"/>
  <c r="F146" i="8"/>
  <c r="C147" i="8"/>
  <c r="D147" i="8"/>
  <c r="E147" i="8"/>
  <c r="F147" i="8"/>
  <c r="C148" i="8"/>
  <c r="D148" i="8"/>
  <c r="E148" i="8"/>
  <c r="F148" i="8"/>
  <c r="C149" i="8"/>
  <c r="D149" i="8"/>
  <c r="E149" i="8"/>
  <c r="F149" i="8"/>
  <c r="C150" i="8"/>
  <c r="D150" i="8"/>
  <c r="E150" i="8"/>
  <c r="F150" i="8"/>
  <c r="C151" i="8"/>
  <c r="D151" i="8"/>
  <c r="E151" i="8"/>
  <c r="F151" i="8"/>
  <c r="C152" i="8"/>
  <c r="D152" i="8"/>
  <c r="E152" i="8"/>
  <c r="F152" i="8"/>
  <c r="C153" i="8"/>
  <c r="D153" i="8"/>
  <c r="E153" i="8"/>
  <c r="F153" i="8"/>
  <c r="C155" i="8"/>
  <c r="D155" i="8"/>
  <c r="E155" i="8"/>
  <c r="F155" i="8"/>
  <c r="C156" i="8"/>
  <c r="D156" i="8"/>
  <c r="E156" i="8"/>
  <c r="F156" i="8"/>
  <c r="C157" i="8"/>
  <c r="D157" i="8"/>
  <c r="E157" i="8"/>
  <c r="F157" i="8"/>
  <c r="C158" i="8"/>
  <c r="D158" i="8"/>
  <c r="E158" i="8"/>
  <c r="F158" i="8"/>
  <c r="C159" i="8"/>
  <c r="D159" i="8"/>
  <c r="E159" i="8"/>
  <c r="F159" i="8"/>
  <c r="C160" i="8"/>
  <c r="D160" i="8"/>
  <c r="E160" i="8"/>
  <c r="F160" i="8"/>
  <c r="C161" i="8"/>
  <c r="D161" i="8"/>
  <c r="E161" i="8"/>
  <c r="F161" i="8"/>
  <c r="C162" i="8"/>
  <c r="D162" i="8"/>
  <c r="E162" i="8"/>
  <c r="F162" i="8"/>
  <c r="C163" i="8"/>
  <c r="D163" i="8"/>
  <c r="E163" i="8"/>
  <c r="F163" i="8"/>
  <c r="C164" i="8"/>
  <c r="D164" i="8"/>
  <c r="E164" i="8"/>
  <c r="F164" i="8"/>
  <c r="C165" i="8"/>
  <c r="D165" i="8"/>
  <c r="E165" i="8"/>
  <c r="F165" i="8"/>
  <c r="C166" i="8"/>
  <c r="D166" i="8"/>
  <c r="E166" i="8"/>
  <c r="F166" i="8"/>
  <c r="C168" i="8"/>
  <c r="D168" i="8"/>
  <c r="E168" i="8"/>
  <c r="F168" i="8"/>
  <c r="C169" i="8"/>
  <c r="D169" i="8"/>
  <c r="E169" i="8"/>
  <c r="F169" i="8"/>
  <c r="C170" i="8"/>
  <c r="D170" i="8"/>
  <c r="E170" i="8"/>
  <c r="F170" i="8"/>
  <c r="C171" i="8"/>
  <c r="D171" i="8"/>
  <c r="E171" i="8"/>
  <c r="F171" i="8"/>
  <c r="C172" i="8"/>
  <c r="D172" i="8"/>
  <c r="E172" i="8"/>
  <c r="F172" i="8"/>
  <c r="C173" i="8"/>
  <c r="D173" i="8"/>
  <c r="E173" i="8"/>
  <c r="F173" i="8"/>
  <c r="C174" i="8"/>
  <c r="D174" i="8"/>
  <c r="E174" i="8"/>
  <c r="F174" i="8"/>
  <c r="C175" i="8"/>
  <c r="D175" i="8"/>
  <c r="E175" i="8"/>
  <c r="F175" i="8"/>
  <c r="C176" i="8"/>
  <c r="D176" i="8"/>
  <c r="E176" i="8"/>
  <c r="F176" i="8"/>
  <c r="C177" i="8"/>
  <c r="D177" i="8"/>
  <c r="E177" i="8"/>
  <c r="F177" i="8"/>
  <c r="C178" i="8"/>
  <c r="D178" i="8"/>
  <c r="E178" i="8"/>
  <c r="F178" i="8"/>
  <c r="C179" i="8"/>
  <c r="D179" i="8"/>
  <c r="E179" i="8"/>
  <c r="F179" i="8"/>
  <c r="C181" i="8"/>
  <c r="D181" i="8"/>
  <c r="E181" i="8"/>
  <c r="F181" i="8"/>
  <c r="C182" i="8"/>
  <c r="D182" i="8"/>
  <c r="E182" i="8"/>
  <c r="F182" i="8"/>
  <c r="C183" i="8"/>
  <c r="D183" i="8"/>
  <c r="E183" i="8"/>
  <c r="F183" i="8"/>
  <c r="C184" i="8"/>
  <c r="D184" i="8"/>
  <c r="E184" i="8"/>
  <c r="F184" i="8"/>
  <c r="C185" i="8"/>
  <c r="D185" i="8"/>
  <c r="E185" i="8"/>
  <c r="F185" i="8"/>
  <c r="C186" i="8"/>
  <c r="D186" i="8"/>
  <c r="E186" i="8"/>
  <c r="F186" i="8"/>
  <c r="C187" i="8"/>
  <c r="D187" i="8"/>
  <c r="E187" i="8"/>
  <c r="F187" i="8"/>
  <c r="C188" i="8"/>
  <c r="D188" i="8"/>
  <c r="E188" i="8"/>
  <c r="F188" i="8"/>
  <c r="C189" i="8"/>
  <c r="D189" i="8"/>
  <c r="E189" i="8"/>
  <c r="F189" i="8"/>
  <c r="C190" i="8"/>
  <c r="D190" i="8"/>
  <c r="E190" i="8"/>
  <c r="F190" i="8"/>
  <c r="C191" i="8"/>
  <c r="D191" i="8"/>
  <c r="E191" i="8"/>
  <c r="F191" i="8"/>
  <c r="C192" i="8"/>
  <c r="D192" i="8"/>
  <c r="E192" i="8"/>
  <c r="F192" i="8"/>
  <c r="C194" i="8"/>
  <c r="D194" i="8"/>
  <c r="E194" i="8"/>
  <c r="F194" i="8"/>
  <c r="C195" i="8"/>
  <c r="D195" i="8"/>
  <c r="E195" i="8"/>
  <c r="F195" i="8"/>
  <c r="C196" i="8"/>
  <c r="D196" i="8"/>
  <c r="E196" i="8"/>
  <c r="F196" i="8"/>
  <c r="C197" i="8"/>
  <c r="D197" i="8"/>
  <c r="E197" i="8"/>
  <c r="F197" i="8"/>
  <c r="C198" i="8"/>
  <c r="D198" i="8"/>
  <c r="E198" i="8"/>
  <c r="F198" i="8"/>
  <c r="C199" i="8"/>
  <c r="D199" i="8"/>
  <c r="E199" i="8"/>
  <c r="F199" i="8"/>
  <c r="C200" i="8"/>
  <c r="D200" i="8"/>
  <c r="E200" i="8"/>
  <c r="F200" i="8"/>
  <c r="C201" i="8"/>
  <c r="D201" i="8"/>
  <c r="E201" i="8"/>
  <c r="F201" i="8"/>
  <c r="C202" i="8"/>
  <c r="D202" i="8"/>
  <c r="E202" i="8"/>
  <c r="F202" i="8"/>
  <c r="C203" i="8"/>
  <c r="D203" i="8"/>
  <c r="E203" i="8"/>
  <c r="F203" i="8"/>
  <c r="C204" i="8"/>
  <c r="D204" i="8"/>
  <c r="E204" i="8"/>
  <c r="F204" i="8"/>
  <c r="C205" i="8"/>
  <c r="D205" i="8"/>
  <c r="E205" i="8"/>
  <c r="F205" i="8"/>
  <c r="C207" i="8"/>
  <c r="D207" i="8"/>
  <c r="E207" i="8"/>
  <c r="F207" i="8"/>
  <c r="C208" i="8"/>
  <c r="D208" i="8"/>
  <c r="E208" i="8"/>
  <c r="F208" i="8"/>
  <c r="C209" i="8"/>
  <c r="D209" i="8"/>
  <c r="E209" i="8"/>
  <c r="F209" i="8"/>
  <c r="C210" i="8"/>
  <c r="D210" i="8"/>
  <c r="E210" i="8"/>
  <c r="F210" i="8"/>
  <c r="C211" i="8"/>
  <c r="D211" i="8"/>
  <c r="E211" i="8"/>
  <c r="F211" i="8"/>
  <c r="C212" i="8"/>
  <c r="D212" i="8"/>
  <c r="E212" i="8"/>
  <c r="F212" i="8"/>
  <c r="C213" i="8"/>
  <c r="D213" i="8"/>
  <c r="E213" i="8"/>
  <c r="F213" i="8"/>
  <c r="C214" i="8"/>
  <c r="D214" i="8"/>
  <c r="E214" i="8"/>
  <c r="F214" i="8"/>
  <c r="C215" i="8"/>
  <c r="D215" i="8"/>
  <c r="E215" i="8"/>
  <c r="F215" i="8"/>
  <c r="C216" i="8"/>
  <c r="D216" i="8"/>
  <c r="E216" i="8"/>
  <c r="F216" i="8"/>
  <c r="C217" i="8"/>
  <c r="D217" i="8"/>
  <c r="E217" i="8"/>
  <c r="F217" i="8"/>
  <c r="C218" i="8"/>
  <c r="D218" i="8"/>
  <c r="E218" i="8"/>
  <c r="F218" i="8"/>
  <c r="C220" i="8"/>
  <c r="D220" i="8"/>
  <c r="E220" i="8"/>
  <c r="F220" i="8"/>
  <c r="C221" i="8"/>
  <c r="D221" i="8"/>
  <c r="E221" i="8"/>
  <c r="F221" i="8"/>
  <c r="C222" i="8"/>
  <c r="D222" i="8"/>
  <c r="E222" i="8"/>
  <c r="F222" i="8"/>
  <c r="C223" i="8"/>
  <c r="D223" i="8"/>
  <c r="E223" i="8"/>
  <c r="F223" i="8"/>
  <c r="C224" i="8"/>
  <c r="D224" i="8"/>
  <c r="E224" i="8"/>
  <c r="F224" i="8"/>
  <c r="C225" i="8"/>
  <c r="D225" i="8"/>
  <c r="E225" i="8"/>
  <c r="F225" i="8"/>
  <c r="C226" i="8"/>
  <c r="D226" i="8"/>
  <c r="E226" i="8"/>
  <c r="F226" i="8"/>
  <c r="C227" i="8"/>
  <c r="D227" i="8"/>
  <c r="E227" i="8"/>
  <c r="F227" i="8"/>
  <c r="C228" i="8"/>
  <c r="D228" i="8"/>
  <c r="E228" i="8"/>
  <c r="F228" i="8"/>
  <c r="C229" i="8"/>
  <c r="D229" i="8"/>
  <c r="E229" i="8"/>
  <c r="F229" i="8"/>
  <c r="C230" i="8"/>
  <c r="D230" i="8"/>
  <c r="E230" i="8"/>
  <c r="F230" i="8"/>
  <c r="C231" i="8"/>
  <c r="D231" i="8"/>
  <c r="E231" i="8"/>
  <c r="F231" i="8"/>
  <c r="C233" i="8"/>
  <c r="D233" i="8"/>
  <c r="E233" i="8"/>
  <c r="F233" i="8"/>
  <c r="C234" i="8"/>
  <c r="D234" i="8"/>
  <c r="E234" i="8"/>
  <c r="F234" i="8"/>
  <c r="C235" i="8"/>
  <c r="D235" i="8"/>
  <c r="E235" i="8"/>
  <c r="F235" i="8"/>
  <c r="C236" i="8"/>
  <c r="D236" i="8"/>
  <c r="E236" i="8"/>
  <c r="F236" i="8"/>
  <c r="C237" i="8"/>
  <c r="D237" i="8"/>
  <c r="E237" i="8"/>
  <c r="F237" i="8"/>
  <c r="C238" i="8"/>
  <c r="D238" i="8"/>
  <c r="E238" i="8"/>
  <c r="F238" i="8"/>
  <c r="C239" i="8"/>
  <c r="D239" i="8"/>
  <c r="E239" i="8"/>
  <c r="F239" i="8"/>
  <c r="C240" i="8"/>
  <c r="D240" i="8"/>
  <c r="E240" i="8"/>
  <c r="F240" i="8"/>
  <c r="C241" i="8"/>
  <c r="D241" i="8"/>
  <c r="E241" i="8"/>
  <c r="F241" i="8"/>
  <c r="C242" i="8"/>
  <c r="D242" i="8"/>
  <c r="E242" i="8"/>
  <c r="F242" i="8"/>
  <c r="C243" i="8"/>
  <c r="D243" i="8"/>
  <c r="E243" i="8"/>
  <c r="F243" i="8"/>
  <c r="C244" i="8"/>
  <c r="D244" i="8"/>
  <c r="E244" i="8"/>
  <c r="F244" i="8"/>
  <c r="C246" i="8"/>
  <c r="D246" i="8"/>
  <c r="E246" i="8"/>
  <c r="F246" i="8"/>
  <c r="C247" i="8"/>
  <c r="D247" i="8"/>
  <c r="E247" i="8"/>
  <c r="F247" i="8"/>
  <c r="C248" i="8"/>
  <c r="D248" i="8"/>
  <c r="E248" i="8"/>
  <c r="F248" i="8"/>
  <c r="C249" i="8"/>
  <c r="D249" i="8"/>
  <c r="E249" i="8"/>
  <c r="F249" i="8"/>
  <c r="C250" i="8"/>
  <c r="D250" i="8"/>
  <c r="E250" i="8"/>
  <c r="F250" i="8"/>
  <c r="C251" i="8"/>
  <c r="D251" i="8"/>
  <c r="E251" i="8"/>
  <c r="F251" i="8"/>
  <c r="C252" i="8"/>
  <c r="D252" i="8"/>
  <c r="E252" i="8"/>
  <c r="F252" i="8"/>
  <c r="C253" i="8"/>
  <c r="D253" i="8"/>
  <c r="E253" i="8"/>
  <c r="F253" i="8"/>
  <c r="C254" i="8"/>
  <c r="D254" i="8"/>
  <c r="E254" i="8"/>
  <c r="F254" i="8"/>
  <c r="C255" i="8"/>
  <c r="D255" i="8"/>
  <c r="E255" i="8"/>
  <c r="F255" i="8"/>
  <c r="C256" i="8"/>
  <c r="D256" i="8"/>
  <c r="E256" i="8"/>
  <c r="F256" i="8"/>
  <c r="C257" i="8"/>
  <c r="D257" i="8"/>
  <c r="E257" i="8"/>
  <c r="F257" i="8"/>
  <c r="C259" i="8"/>
  <c r="D259" i="8"/>
  <c r="E259" i="8"/>
  <c r="F259" i="8"/>
  <c r="C260" i="8"/>
  <c r="D260" i="8"/>
  <c r="E260" i="8"/>
  <c r="F260" i="8"/>
  <c r="C261" i="8"/>
  <c r="D261" i="8"/>
  <c r="E261" i="8"/>
  <c r="F261" i="8"/>
  <c r="C262" i="8"/>
  <c r="D262" i="8"/>
  <c r="E262" i="8"/>
  <c r="F262" i="8"/>
  <c r="C263" i="8"/>
  <c r="D263" i="8"/>
  <c r="E263" i="8"/>
  <c r="F263" i="8"/>
  <c r="C264" i="8"/>
  <c r="D264" i="8"/>
  <c r="E264" i="8"/>
  <c r="F264" i="8"/>
  <c r="C265" i="8"/>
  <c r="D265" i="8"/>
  <c r="E265" i="8"/>
  <c r="F265" i="8"/>
  <c r="C266" i="8"/>
  <c r="D266" i="8"/>
  <c r="E266" i="8"/>
  <c r="F266" i="8"/>
  <c r="C267" i="8"/>
  <c r="D267" i="8"/>
  <c r="E267" i="8"/>
  <c r="F267" i="8"/>
  <c r="C268" i="8"/>
  <c r="D268" i="8"/>
  <c r="E268" i="8"/>
  <c r="F268" i="8"/>
  <c r="C269" i="8"/>
  <c r="D269" i="8"/>
  <c r="E269" i="8"/>
  <c r="F269" i="8"/>
  <c r="C270" i="8"/>
  <c r="D270" i="8"/>
  <c r="E270" i="8"/>
  <c r="F270" i="8"/>
  <c r="C272" i="8"/>
  <c r="D272" i="8"/>
  <c r="E272" i="8"/>
  <c r="F272" i="8"/>
  <c r="C273" i="8"/>
  <c r="D273" i="8"/>
  <c r="E273" i="8"/>
  <c r="F273" i="8"/>
  <c r="C274" i="8"/>
  <c r="D274" i="8"/>
  <c r="E274" i="8"/>
  <c r="F274" i="8"/>
  <c r="C275" i="8"/>
  <c r="D275" i="8"/>
  <c r="E275" i="8"/>
  <c r="F275" i="8"/>
  <c r="C276" i="8"/>
  <c r="D276" i="8"/>
  <c r="E276" i="8"/>
  <c r="F276" i="8"/>
  <c r="C277" i="8"/>
  <c r="D277" i="8"/>
  <c r="E277" i="8"/>
  <c r="F277" i="8"/>
  <c r="C278" i="8"/>
  <c r="D278" i="8"/>
  <c r="E278" i="8"/>
  <c r="F278" i="8"/>
  <c r="C279" i="8"/>
  <c r="D279" i="8"/>
  <c r="E279" i="8"/>
  <c r="F279" i="8"/>
  <c r="C280" i="8"/>
  <c r="D280" i="8"/>
  <c r="E280" i="8"/>
  <c r="F280" i="8"/>
  <c r="C281" i="8"/>
  <c r="D281" i="8"/>
  <c r="E281" i="8"/>
  <c r="F281" i="8"/>
  <c r="C282" i="8"/>
  <c r="D282" i="8"/>
  <c r="E282" i="8"/>
  <c r="F282" i="8"/>
  <c r="C283" i="8"/>
  <c r="D283" i="8"/>
  <c r="E283" i="8"/>
  <c r="F283" i="8"/>
  <c r="C285" i="8"/>
  <c r="D285" i="8"/>
  <c r="E285" i="8"/>
  <c r="F285" i="8"/>
  <c r="C286" i="8"/>
  <c r="D286" i="8"/>
  <c r="E286" i="8"/>
  <c r="F286" i="8"/>
  <c r="C287" i="8"/>
  <c r="D287" i="8"/>
  <c r="E287" i="8"/>
  <c r="F287" i="8"/>
  <c r="C288" i="8"/>
  <c r="D288" i="8"/>
  <c r="E288" i="8"/>
  <c r="F288" i="8"/>
  <c r="C289" i="8"/>
  <c r="D289" i="8"/>
  <c r="E289" i="8"/>
  <c r="F289" i="8"/>
  <c r="C290" i="8"/>
  <c r="D290" i="8"/>
  <c r="E290" i="8"/>
  <c r="F290" i="8"/>
  <c r="C291" i="8"/>
  <c r="D291" i="8"/>
  <c r="E291" i="8"/>
  <c r="F291" i="8"/>
  <c r="C292" i="8"/>
  <c r="D292" i="8"/>
  <c r="E292" i="8"/>
  <c r="F292" i="8"/>
  <c r="C293" i="8"/>
  <c r="D293" i="8"/>
  <c r="E293" i="8"/>
  <c r="F293" i="8"/>
  <c r="C294" i="8"/>
  <c r="D294" i="8"/>
  <c r="E294" i="8"/>
  <c r="F294" i="8"/>
  <c r="C295" i="8"/>
  <c r="D295" i="8"/>
  <c r="E295" i="8"/>
  <c r="F295" i="8"/>
  <c r="C296" i="8"/>
  <c r="D296" i="8"/>
  <c r="E296" i="8"/>
  <c r="F296" i="8"/>
  <c r="C298" i="8"/>
  <c r="D298" i="8"/>
  <c r="E298" i="8"/>
  <c r="F298" i="8"/>
  <c r="C299" i="8"/>
  <c r="D299" i="8"/>
  <c r="E299" i="8"/>
  <c r="F299" i="8"/>
  <c r="C300" i="8"/>
  <c r="D300" i="8"/>
  <c r="E300" i="8"/>
  <c r="F300" i="8"/>
  <c r="C301" i="8"/>
  <c r="D301" i="8"/>
  <c r="E301" i="8"/>
  <c r="F301" i="8"/>
  <c r="C302" i="8"/>
  <c r="D302" i="8"/>
  <c r="E302" i="8"/>
  <c r="F302" i="8"/>
  <c r="C303" i="8"/>
  <c r="D303" i="8"/>
  <c r="E303" i="8"/>
  <c r="F303" i="8"/>
  <c r="C304" i="8"/>
  <c r="D304" i="8"/>
  <c r="E304" i="8"/>
  <c r="F304" i="8"/>
  <c r="C305" i="8"/>
  <c r="D305" i="8"/>
  <c r="E305" i="8"/>
  <c r="F305" i="8"/>
  <c r="C306" i="8"/>
  <c r="D306" i="8"/>
  <c r="E306" i="8"/>
  <c r="F306" i="8"/>
  <c r="C307" i="8"/>
  <c r="D307" i="8"/>
  <c r="E307" i="8"/>
  <c r="F307" i="8"/>
  <c r="C308" i="8"/>
  <c r="D308" i="8"/>
  <c r="E308" i="8"/>
  <c r="F308" i="8"/>
  <c r="C309" i="8"/>
  <c r="D309" i="8"/>
  <c r="E309" i="8"/>
  <c r="F309" i="8"/>
  <c r="C311" i="8"/>
  <c r="D311" i="8"/>
  <c r="E311" i="8"/>
  <c r="F311" i="8"/>
  <c r="C312" i="8"/>
  <c r="D312" i="8"/>
  <c r="E312" i="8"/>
  <c r="F312" i="8"/>
  <c r="C313" i="8"/>
  <c r="D313" i="8"/>
  <c r="E313" i="8"/>
  <c r="F313" i="8"/>
  <c r="C314" i="8"/>
  <c r="D314" i="8"/>
  <c r="E314" i="8"/>
  <c r="F314" i="8"/>
  <c r="C315" i="8"/>
  <c r="D315" i="8"/>
  <c r="E315" i="8"/>
  <c r="F315" i="8"/>
  <c r="C316" i="8"/>
  <c r="D316" i="8"/>
  <c r="E316" i="8"/>
  <c r="F316" i="8"/>
  <c r="C317" i="8"/>
  <c r="D317" i="8"/>
  <c r="E317" i="8"/>
  <c r="F317" i="8"/>
  <c r="C318" i="8"/>
  <c r="D318" i="8"/>
  <c r="E318" i="8"/>
  <c r="F318" i="8"/>
  <c r="C319" i="8"/>
  <c r="D319" i="8"/>
  <c r="E319" i="8"/>
  <c r="F319" i="8"/>
  <c r="C320" i="8"/>
  <c r="D320" i="8"/>
  <c r="E320" i="8"/>
  <c r="F320" i="8"/>
  <c r="C321" i="8"/>
  <c r="D321" i="8"/>
  <c r="E321" i="8"/>
  <c r="F321" i="8"/>
  <c r="C322" i="8"/>
  <c r="D322" i="8"/>
  <c r="E322" i="8"/>
  <c r="F322" i="8"/>
  <c r="D323" i="8"/>
  <c r="F323" i="8"/>
  <c r="D324" i="8"/>
  <c r="F12" i="11"/>
  <c r="G12" i="11"/>
  <c r="H12" i="11"/>
  <c r="I12" i="11"/>
  <c r="J12" i="11"/>
  <c r="K12" i="11"/>
  <c r="L12" i="11"/>
  <c r="M12" i="11"/>
  <c r="N12" i="11"/>
  <c r="O12" i="11"/>
  <c r="P12" i="11"/>
  <c r="Q12" i="11"/>
  <c r="R12" i="11"/>
  <c r="S12" i="11"/>
  <c r="T12" i="11"/>
  <c r="U12" i="11"/>
  <c r="V12" i="11"/>
  <c r="W12" i="11"/>
  <c r="X12" i="11"/>
  <c r="Y12" i="11"/>
  <c r="Z12" i="11"/>
  <c r="AA12" i="11"/>
  <c r="AB12" i="11"/>
  <c r="AC12" i="11"/>
  <c r="AD12" i="11"/>
  <c r="AE12" i="11"/>
  <c r="F13" i="11"/>
  <c r="G13" i="11"/>
  <c r="H13" i="11"/>
  <c r="I13" i="11"/>
  <c r="J13" i="11"/>
  <c r="K13" i="11"/>
  <c r="L13" i="11"/>
  <c r="M13" i="11"/>
  <c r="N13" i="11"/>
  <c r="O13" i="11"/>
  <c r="P13" i="11"/>
  <c r="Q13" i="11"/>
  <c r="R13" i="11"/>
  <c r="S13" i="11"/>
  <c r="T13" i="11"/>
  <c r="U13" i="11"/>
  <c r="V13" i="11"/>
  <c r="W13" i="11"/>
  <c r="X13" i="11"/>
  <c r="Y13" i="11"/>
  <c r="Z13" i="11"/>
  <c r="F14" i="11"/>
  <c r="G14" i="11"/>
  <c r="H14" i="11"/>
  <c r="I14" i="11"/>
  <c r="J14" i="11"/>
  <c r="K14" i="11"/>
  <c r="L14" i="11"/>
  <c r="M14" i="11"/>
  <c r="N14" i="11"/>
  <c r="O14" i="11"/>
  <c r="P14" i="11"/>
  <c r="Q14" i="11"/>
  <c r="R14" i="11"/>
  <c r="S14" i="11"/>
  <c r="T14" i="11"/>
  <c r="U14" i="11"/>
  <c r="V14" i="11"/>
  <c r="W14" i="11"/>
  <c r="X14" i="11"/>
  <c r="Y14" i="11"/>
  <c r="Z14" i="11"/>
  <c r="AA14" i="11"/>
  <c r="AB14" i="11"/>
  <c r="AC14" i="11"/>
  <c r="AD14" i="11"/>
  <c r="AE14" i="11"/>
  <c r="F15" i="11"/>
  <c r="G15" i="11"/>
  <c r="H15" i="11"/>
  <c r="I15" i="11"/>
  <c r="J15" i="11"/>
  <c r="K15" i="11"/>
  <c r="L15" i="11"/>
  <c r="M15" i="11"/>
  <c r="N15" i="11"/>
  <c r="O15" i="11"/>
  <c r="P15" i="11"/>
  <c r="Q15" i="11"/>
  <c r="R15" i="11"/>
  <c r="S15" i="11"/>
  <c r="T15" i="11"/>
  <c r="U15" i="11"/>
  <c r="V15" i="11"/>
  <c r="W15" i="11"/>
  <c r="X15" i="11"/>
  <c r="Y15" i="11"/>
  <c r="Z15" i="11"/>
  <c r="F16" i="11"/>
  <c r="G16" i="11"/>
  <c r="H16" i="11"/>
  <c r="I16" i="11"/>
  <c r="J16" i="11"/>
  <c r="K16" i="11"/>
  <c r="L16" i="11"/>
  <c r="M16" i="11"/>
  <c r="N16" i="11"/>
  <c r="O16" i="11"/>
  <c r="P16" i="11"/>
  <c r="Q16" i="11"/>
  <c r="R16" i="11"/>
  <c r="S16" i="11"/>
  <c r="T16" i="11"/>
  <c r="U16" i="11"/>
  <c r="V16" i="11"/>
  <c r="W16" i="11"/>
  <c r="X16" i="11"/>
  <c r="Y16" i="11"/>
  <c r="Z16" i="11"/>
  <c r="F17" i="11"/>
  <c r="G17" i="11"/>
  <c r="H17" i="11"/>
  <c r="I17" i="11"/>
  <c r="J17" i="11"/>
  <c r="K17" i="11"/>
  <c r="L17" i="11"/>
  <c r="M17" i="11"/>
  <c r="N17" i="11"/>
  <c r="O17" i="11"/>
  <c r="P17" i="11"/>
  <c r="Q17" i="11"/>
  <c r="R17" i="11"/>
  <c r="S17" i="11"/>
  <c r="T17" i="11"/>
  <c r="U17" i="11"/>
  <c r="V17" i="11"/>
  <c r="W17" i="11"/>
  <c r="X17" i="11"/>
  <c r="Y17" i="11"/>
  <c r="Z17" i="11"/>
  <c r="F18" i="11"/>
  <c r="G18" i="11"/>
  <c r="H18" i="11"/>
  <c r="I18" i="11"/>
  <c r="J18" i="11"/>
  <c r="K18" i="11"/>
  <c r="L18" i="11"/>
  <c r="M18" i="11"/>
  <c r="N18" i="11"/>
  <c r="O18" i="11"/>
  <c r="P18" i="11"/>
  <c r="Q18" i="11"/>
  <c r="R18" i="11"/>
  <c r="S18" i="11"/>
  <c r="T18" i="11"/>
  <c r="U18" i="11"/>
  <c r="V18" i="11"/>
  <c r="W18" i="11"/>
  <c r="X18" i="11"/>
  <c r="Y18" i="11"/>
  <c r="Z18" i="11"/>
  <c r="F19" i="11"/>
  <c r="F20" i="11"/>
  <c r="F22" i="11"/>
  <c r="G22" i="11"/>
  <c r="H22" i="11"/>
  <c r="I22" i="11"/>
  <c r="J22" i="11"/>
  <c r="K22" i="11"/>
  <c r="L22" i="11"/>
  <c r="M22" i="11"/>
  <c r="N22" i="11"/>
  <c r="O22" i="11"/>
  <c r="P22" i="11"/>
  <c r="Q22" i="11"/>
  <c r="R22" i="11"/>
  <c r="S22" i="11"/>
  <c r="T22" i="11"/>
  <c r="U22" i="11"/>
  <c r="V22" i="11"/>
  <c r="W22" i="11"/>
  <c r="X22" i="11"/>
  <c r="Y22" i="11"/>
  <c r="Z22" i="11"/>
  <c r="AA22" i="11"/>
  <c r="AB22" i="11"/>
  <c r="AC22" i="11"/>
  <c r="AD22" i="11"/>
  <c r="AE22" i="11"/>
  <c r="F23" i="11"/>
  <c r="G23" i="11"/>
  <c r="H23" i="11"/>
  <c r="I23" i="11"/>
  <c r="J23" i="11"/>
  <c r="K23" i="11"/>
  <c r="L23" i="11"/>
  <c r="M23" i="11"/>
  <c r="N23" i="11"/>
  <c r="O23" i="11"/>
  <c r="P23" i="11"/>
  <c r="Q23" i="11"/>
  <c r="R23" i="11"/>
  <c r="S23" i="11"/>
  <c r="T23" i="11"/>
  <c r="U23" i="11"/>
  <c r="V23" i="11"/>
  <c r="W23" i="11"/>
  <c r="X23" i="11"/>
  <c r="Y23" i="11"/>
  <c r="Z23" i="11"/>
  <c r="AA23" i="11"/>
  <c r="AB23" i="11"/>
  <c r="AC23" i="11"/>
  <c r="AD23" i="11"/>
  <c r="AE23" i="11"/>
  <c r="F24" i="11"/>
  <c r="G24" i="11"/>
  <c r="H24" i="11"/>
  <c r="I24" i="11"/>
  <c r="J24" i="11"/>
  <c r="K24" i="11"/>
  <c r="L24" i="11"/>
  <c r="M24" i="11"/>
  <c r="N24" i="11"/>
  <c r="O24" i="11"/>
  <c r="P24" i="11"/>
  <c r="Q24" i="11"/>
  <c r="R24" i="11"/>
  <c r="S24" i="11"/>
  <c r="T24" i="11"/>
  <c r="U24" i="11"/>
  <c r="V24" i="11"/>
  <c r="W24" i="11"/>
  <c r="X24" i="11"/>
  <c r="Y24" i="11"/>
  <c r="Z24" i="11"/>
  <c r="AA24" i="11"/>
  <c r="AB24" i="11"/>
  <c r="AC24" i="11"/>
  <c r="AD24" i="11"/>
  <c r="AE24" i="11"/>
  <c r="F25" i="11"/>
  <c r="G25" i="11"/>
  <c r="H25" i="11"/>
  <c r="I25" i="11"/>
  <c r="J25" i="11"/>
  <c r="K25" i="11"/>
  <c r="L25" i="11"/>
  <c r="M25" i="11"/>
  <c r="N25" i="11"/>
  <c r="O25" i="11"/>
  <c r="P25" i="11"/>
  <c r="Q25" i="11"/>
  <c r="R25" i="11"/>
  <c r="S25" i="11"/>
  <c r="T25" i="11"/>
  <c r="U25" i="11"/>
  <c r="V25" i="11"/>
  <c r="W25" i="11"/>
  <c r="X25" i="11"/>
  <c r="Y25" i="11"/>
  <c r="Z25" i="11"/>
  <c r="AA25" i="11"/>
  <c r="AB25" i="11"/>
  <c r="AC25" i="11"/>
  <c r="AD25" i="11"/>
  <c r="AE25" i="11"/>
  <c r="D26" i="11"/>
  <c r="E26" i="11"/>
  <c r="F26" i="11"/>
  <c r="G26" i="11"/>
  <c r="H26" i="11"/>
  <c r="I26" i="11"/>
  <c r="J26" i="11"/>
  <c r="K26" i="11"/>
  <c r="L26" i="11"/>
  <c r="M26" i="11"/>
  <c r="N26" i="11"/>
  <c r="O26" i="11"/>
  <c r="P26" i="11"/>
  <c r="Q26" i="11"/>
  <c r="R26" i="11"/>
  <c r="S26" i="11"/>
  <c r="T26" i="11"/>
  <c r="U26" i="11"/>
  <c r="V26" i="11"/>
  <c r="W26" i="11"/>
  <c r="X26" i="11"/>
  <c r="Y26" i="11"/>
  <c r="Z26" i="11"/>
  <c r="AA26" i="11"/>
  <c r="AB26" i="11"/>
  <c r="AC26" i="11"/>
  <c r="AD26" i="11"/>
  <c r="AE26" i="11"/>
  <c r="D27" i="11"/>
  <c r="E27" i="11"/>
  <c r="F27" i="11"/>
  <c r="G27" i="11"/>
  <c r="H27" i="11"/>
  <c r="I27" i="11"/>
  <c r="J27" i="11"/>
  <c r="K27" i="11"/>
  <c r="L27" i="11"/>
  <c r="M27" i="11"/>
  <c r="N27" i="11"/>
  <c r="O27" i="11"/>
  <c r="P27" i="11"/>
  <c r="Q27" i="11"/>
  <c r="R27" i="11"/>
  <c r="S27" i="11"/>
  <c r="T27" i="11"/>
  <c r="U27" i="11"/>
  <c r="V27" i="11"/>
  <c r="W27" i="11"/>
  <c r="X27" i="11"/>
  <c r="Y27" i="11"/>
  <c r="Z27" i="11"/>
  <c r="AA27" i="11"/>
  <c r="AB27" i="11"/>
  <c r="AC27" i="11"/>
  <c r="AD27" i="11"/>
  <c r="AE27" i="11"/>
  <c r="D31" i="11"/>
  <c r="D33" i="11"/>
  <c r="F47" i="11"/>
  <c r="G47" i="11"/>
  <c r="H47" i="11"/>
  <c r="I47" i="11"/>
  <c r="J47" i="11"/>
  <c r="K47" i="11"/>
  <c r="L47" i="11"/>
  <c r="M47" i="11"/>
  <c r="N47" i="11"/>
  <c r="O47" i="11"/>
  <c r="P47" i="11"/>
  <c r="Q47" i="11"/>
  <c r="R47" i="11"/>
  <c r="S47" i="11"/>
  <c r="T47" i="11"/>
  <c r="U47" i="11"/>
  <c r="V47" i="11"/>
  <c r="W47" i="11"/>
  <c r="X47" i="11"/>
  <c r="Y47" i="11"/>
  <c r="Z47" i="11"/>
  <c r="AA47" i="11"/>
  <c r="AB47" i="11"/>
  <c r="AC47" i="11"/>
  <c r="AD47" i="11"/>
  <c r="AE47" i="11"/>
  <c r="F48" i="11"/>
  <c r="G48" i="11"/>
  <c r="H48" i="11"/>
  <c r="I48" i="11"/>
  <c r="J48" i="11"/>
  <c r="K48" i="11"/>
  <c r="L48" i="11"/>
  <c r="M48" i="11"/>
  <c r="N48" i="11"/>
  <c r="O48" i="11"/>
  <c r="P48" i="11"/>
  <c r="Q48" i="11"/>
  <c r="R48" i="11"/>
  <c r="S48" i="11"/>
  <c r="T48" i="11"/>
  <c r="U48" i="11"/>
  <c r="V48" i="11"/>
  <c r="W48" i="11"/>
  <c r="X48" i="11"/>
  <c r="Y48" i="11"/>
  <c r="Z48" i="11"/>
  <c r="AA48" i="11"/>
  <c r="AB48" i="11"/>
  <c r="AC48" i="11"/>
  <c r="AD48" i="11"/>
  <c r="AE48" i="11"/>
  <c r="F49" i="11"/>
  <c r="F50" i="11"/>
  <c r="E56" i="11" a="1"/>
  <c r="E56" i="11"/>
  <c r="F56" i="11"/>
  <c r="E57" i="11"/>
  <c r="F57" i="11"/>
  <c r="E58" i="11"/>
  <c r="F58" i="11"/>
  <c r="E59" i="11"/>
  <c r="F59" i="11"/>
  <c r="E60" i="11"/>
  <c r="F60" i="11"/>
  <c r="E61" i="11"/>
  <c r="F61" i="11"/>
  <c r="E62" i="11"/>
  <c r="F62" i="11"/>
  <c r="E63" i="11"/>
  <c r="F63" i="11"/>
  <c r="E64" i="11"/>
  <c r="F64" i="11"/>
  <c r="E65" i="11"/>
  <c r="F65" i="11"/>
  <c r="E66" i="11"/>
  <c r="F66" i="11"/>
  <c r="E67" i="11"/>
  <c r="F67" i="11"/>
  <c r="E68" i="11"/>
  <c r="F68" i="11"/>
  <c r="E69" i="11"/>
  <c r="F69" i="11"/>
  <c r="E70" i="11"/>
  <c r="F70" i="11"/>
  <c r="E71" i="11"/>
  <c r="F71" i="11"/>
  <c r="E72" i="11"/>
  <c r="F72" i="11"/>
  <c r="E73" i="11"/>
  <c r="F73" i="11"/>
  <c r="E74" i="11"/>
  <c r="F74" i="11"/>
  <c r="E75" i="11"/>
  <c r="F75" i="11"/>
  <c r="E76" i="11"/>
  <c r="F76" i="11"/>
  <c r="E77" i="11"/>
  <c r="F77" i="11"/>
  <c r="E78" i="11"/>
  <c r="F78" i="11"/>
  <c r="E79" i="11"/>
  <c r="F79" i="11"/>
  <c r="E80" i="11"/>
  <c r="F80" i="11"/>
  <c r="E81" i="11"/>
  <c r="F81" i="11"/>
  <c r="E82" i="11"/>
  <c r="E83" i="11"/>
  <c r="E84" i="11"/>
  <c r="F92" i="11"/>
  <c r="G92" i="11"/>
  <c r="H92" i="11"/>
  <c r="I92" i="11"/>
  <c r="J92" i="11"/>
  <c r="K92" i="11"/>
  <c r="L92" i="11"/>
  <c r="M92" i="11"/>
  <c r="N92" i="11"/>
  <c r="O92" i="11"/>
  <c r="P92" i="11"/>
  <c r="Q92" i="11"/>
  <c r="R92" i="11"/>
  <c r="S92" i="11"/>
  <c r="T92" i="11"/>
  <c r="U92" i="11"/>
  <c r="V92" i="11"/>
  <c r="W92" i="11"/>
  <c r="X92" i="11"/>
  <c r="Y92" i="11"/>
  <c r="Z92" i="11"/>
  <c r="AA92" i="11"/>
  <c r="AB92" i="11"/>
  <c r="AC92" i="11"/>
  <c r="AD92" i="11"/>
  <c r="AE92" i="11"/>
  <c r="F93" i="11"/>
  <c r="G93" i="11"/>
  <c r="H93" i="11"/>
  <c r="I93" i="11"/>
  <c r="J93" i="11"/>
  <c r="K93" i="11"/>
  <c r="L93" i="11"/>
  <c r="M93" i="11"/>
  <c r="N93" i="11"/>
  <c r="O93" i="11"/>
  <c r="P93" i="11"/>
  <c r="Q93" i="11"/>
  <c r="R93" i="11"/>
  <c r="S93" i="11"/>
  <c r="T93" i="11"/>
  <c r="U93" i="11"/>
  <c r="V93" i="11"/>
  <c r="W93" i="11"/>
  <c r="X93" i="11"/>
  <c r="Y93" i="11"/>
  <c r="Z93" i="11"/>
  <c r="AA93" i="11"/>
  <c r="AB93" i="11"/>
  <c r="AC93" i="11"/>
  <c r="AD93" i="11"/>
  <c r="AE93" i="11"/>
  <c r="F95" i="11"/>
  <c r="G95" i="11"/>
  <c r="H95" i="11"/>
  <c r="I95" i="11"/>
  <c r="J95" i="11"/>
  <c r="K95" i="11"/>
  <c r="L95" i="11"/>
  <c r="M95" i="11"/>
  <c r="N95" i="11"/>
  <c r="O95" i="11"/>
  <c r="P95" i="11"/>
  <c r="Q95" i="11"/>
  <c r="R95" i="11"/>
  <c r="S95" i="11"/>
  <c r="T95" i="11"/>
  <c r="U95" i="11"/>
  <c r="V95" i="11"/>
  <c r="W95" i="11"/>
  <c r="X95" i="11"/>
  <c r="Y95" i="11"/>
  <c r="Z95" i="11"/>
  <c r="AA95" i="11"/>
  <c r="AB95" i="11"/>
  <c r="AC95" i="11"/>
  <c r="AD95" i="11"/>
  <c r="AE95" i="11"/>
  <c r="F96" i="11"/>
  <c r="G96" i="11"/>
  <c r="H96" i="11"/>
  <c r="I96" i="11"/>
  <c r="J96" i="11"/>
  <c r="K96" i="11"/>
  <c r="L96" i="11"/>
  <c r="M96" i="11"/>
  <c r="N96" i="11"/>
  <c r="O96" i="11"/>
  <c r="P96" i="11"/>
  <c r="Q96" i="11"/>
  <c r="R96" i="11"/>
  <c r="S96" i="11"/>
  <c r="T96" i="11"/>
  <c r="U96" i="11"/>
  <c r="V96" i="11"/>
  <c r="W96" i="11"/>
  <c r="X96" i="11"/>
  <c r="Y96" i="11"/>
  <c r="Z96" i="11"/>
  <c r="AA96" i="11"/>
  <c r="AB96" i="11"/>
  <c r="AC96" i="11"/>
  <c r="AD96" i="11"/>
  <c r="AE96" i="11"/>
  <c r="F101" i="11"/>
  <c r="G101" i="11"/>
  <c r="H101" i="11"/>
  <c r="I101" i="11"/>
  <c r="J101" i="11"/>
  <c r="K101" i="11"/>
  <c r="L101" i="11"/>
  <c r="M101" i="11"/>
  <c r="N101" i="11"/>
  <c r="O101" i="11"/>
  <c r="P101" i="11"/>
  <c r="Q101" i="11"/>
  <c r="R101" i="11"/>
  <c r="S101" i="11"/>
  <c r="T101" i="11"/>
  <c r="U101" i="11"/>
  <c r="V101" i="11"/>
  <c r="W101" i="11"/>
  <c r="X101" i="11"/>
  <c r="Y101" i="11"/>
  <c r="Z101" i="11"/>
  <c r="AA101" i="11"/>
  <c r="AB101" i="11"/>
  <c r="AC101" i="11"/>
  <c r="AD101" i="11"/>
  <c r="AE101" i="11"/>
  <c r="F102" i="11"/>
  <c r="F103" i="11"/>
  <c r="G103" i="11"/>
  <c r="H103" i="11"/>
  <c r="I103" i="11"/>
  <c r="J103" i="11"/>
  <c r="K103" i="11"/>
  <c r="L103" i="11"/>
  <c r="M103" i="11"/>
  <c r="N103" i="11"/>
  <c r="O103" i="11"/>
  <c r="P103" i="11"/>
  <c r="Q103" i="11"/>
  <c r="R103" i="11"/>
  <c r="S103" i="11"/>
  <c r="T103" i="11"/>
  <c r="U103" i="11"/>
  <c r="V103" i="11"/>
  <c r="W103" i="11"/>
  <c r="X103" i="11"/>
  <c r="Y103" i="11"/>
  <c r="Z103" i="11"/>
  <c r="AA103" i="11"/>
  <c r="AB103" i="11"/>
  <c r="AC103" i="11"/>
  <c r="AD103" i="11"/>
  <c r="AE103" i="11"/>
  <c r="F104" i="11"/>
  <c r="F105" i="11"/>
  <c r="G105" i="11"/>
  <c r="H105" i="11"/>
  <c r="I105" i="11"/>
  <c r="J105" i="11"/>
  <c r="K105" i="11"/>
  <c r="L105" i="11"/>
  <c r="M105" i="11"/>
  <c r="N105" i="11"/>
  <c r="O105" i="11"/>
  <c r="P105" i="11"/>
  <c r="Q105" i="11"/>
  <c r="R105" i="11"/>
  <c r="S105" i="11"/>
  <c r="T105" i="11"/>
  <c r="U105" i="11"/>
  <c r="V105" i="11"/>
  <c r="W105" i="11"/>
  <c r="X105" i="11"/>
  <c r="Y105" i="11"/>
  <c r="Z105" i="11"/>
  <c r="AA105" i="11"/>
  <c r="AB105" i="11"/>
  <c r="AC105" i="11"/>
  <c r="AD105" i="11"/>
  <c r="AE105" i="11"/>
  <c r="F106" i="11"/>
  <c r="F109" i="11"/>
  <c r="G109" i="11"/>
  <c r="H109" i="11"/>
  <c r="I109" i="11"/>
  <c r="J109" i="11"/>
  <c r="K109" i="11"/>
  <c r="L109" i="11"/>
  <c r="M109" i="11"/>
  <c r="N109" i="11"/>
  <c r="O109" i="11"/>
  <c r="P109" i="11"/>
  <c r="Q109" i="11"/>
  <c r="R109" i="11"/>
  <c r="S109" i="11"/>
  <c r="T109" i="11"/>
  <c r="U109" i="11"/>
  <c r="V109" i="11"/>
  <c r="W109" i="11"/>
  <c r="X109" i="11"/>
  <c r="Y109" i="11"/>
  <c r="Z109" i="11"/>
  <c r="AA109" i="11"/>
  <c r="AB109" i="11"/>
  <c r="AC109" i="11"/>
  <c r="AD109" i="11"/>
  <c r="AE109" i="11"/>
  <c r="F110" i="11"/>
  <c r="F111" i="11"/>
  <c r="G111" i="11"/>
  <c r="H111" i="11"/>
  <c r="I111" i="11"/>
  <c r="J111" i="11"/>
  <c r="K111" i="11"/>
  <c r="L111" i="11"/>
  <c r="M111" i="11"/>
  <c r="N111" i="11"/>
  <c r="O111" i="11"/>
  <c r="P111" i="11"/>
  <c r="Q111" i="11"/>
  <c r="R111" i="11"/>
  <c r="S111" i="11"/>
  <c r="T111" i="11"/>
  <c r="U111" i="11"/>
  <c r="V111" i="11"/>
  <c r="W111" i="11"/>
  <c r="X111" i="11"/>
  <c r="Y111" i="11"/>
  <c r="Z111" i="11"/>
  <c r="AA111" i="11"/>
  <c r="AB111" i="11"/>
  <c r="AC111" i="11"/>
  <c r="AD111" i="11"/>
  <c r="AE111" i="11"/>
  <c r="F112" i="11"/>
  <c r="F113" i="11"/>
  <c r="G113" i="11"/>
  <c r="H113" i="11"/>
  <c r="I113" i="11"/>
  <c r="J113" i="11"/>
  <c r="K113" i="11"/>
  <c r="L113" i="11"/>
  <c r="M113" i="11"/>
  <c r="N113" i="11"/>
  <c r="O113" i="11"/>
  <c r="P113" i="11"/>
  <c r="Q113" i="11"/>
  <c r="R113" i="11"/>
  <c r="S113" i="11"/>
  <c r="T113" i="11"/>
  <c r="U113" i="11"/>
  <c r="V113" i="11"/>
  <c r="W113" i="11"/>
  <c r="X113" i="11"/>
  <c r="Y113" i="11"/>
  <c r="Z113" i="11"/>
  <c r="AA113" i="11"/>
  <c r="AB113" i="11"/>
  <c r="AC113" i="11"/>
  <c r="AD113" i="11"/>
  <c r="AE113" i="11"/>
  <c r="F114" i="11"/>
  <c r="F115" i="11"/>
  <c r="G115" i="11"/>
  <c r="H115" i="11"/>
  <c r="I115" i="11"/>
  <c r="J115" i="11"/>
  <c r="K115" i="11"/>
  <c r="L115" i="11"/>
  <c r="M115" i="11"/>
  <c r="N115" i="11"/>
  <c r="O115" i="11"/>
  <c r="P115" i="11"/>
  <c r="Q115" i="11"/>
  <c r="R115" i="11"/>
  <c r="S115" i="11"/>
  <c r="T115" i="11"/>
  <c r="U115" i="11"/>
  <c r="V115" i="11"/>
  <c r="W115" i="11"/>
  <c r="X115" i="11"/>
  <c r="Y115" i="11"/>
  <c r="Z115" i="11"/>
  <c r="F116" i="11"/>
  <c r="F117" i="11"/>
  <c r="G117" i="11"/>
  <c r="H117" i="11"/>
  <c r="I117" i="11"/>
  <c r="J117" i="11"/>
  <c r="K117" i="11"/>
  <c r="L117" i="11"/>
  <c r="M117" i="11"/>
  <c r="N117" i="11"/>
  <c r="O117" i="11"/>
  <c r="P117" i="11"/>
  <c r="Q117" i="11"/>
  <c r="R117" i="11"/>
  <c r="S117" i="11"/>
  <c r="T117" i="11"/>
  <c r="U117" i="11"/>
  <c r="V117" i="11"/>
  <c r="W117" i="11"/>
  <c r="X117" i="11"/>
  <c r="Y117" i="11"/>
  <c r="F118" i="11"/>
  <c r="F119" i="11"/>
  <c r="G119" i="11"/>
  <c r="H119" i="11"/>
  <c r="I119" i="11"/>
  <c r="J119" i="11"/>
  <c r="K119" i="11"/>
  <c r="L119" i="11"/>
  <c r="M119" i="11"/>
  <c r="N119" i="11"/>
  <c r="O119" i="11"/>
  <c r="P119" i="11"/>
  <c r="Q119" i="11"/>
  <c r="R119" i="11"/>
  <c r="S119" i="11"/>
  <c r="T119" i="11"/>
  <c r="U119" i="11"/>
  <c r="V119" i="11"/>
  <c r="W119" i="11"/>
  <c r="X119" i="11"/>
  <c r="F120" i="11"/>
  <c r="F121" i="11"/>
  <c r="G121" i="11"/>
  <c r="H121" i="11"/>
  <c r="I121" i="11"/>
  <c r="J121" i="11"/>
  <c r="K121" i="11"/>
  <c r="L121" i="11"/>
  <c r="M121" i="11"/>
  <c r="N121" i="11"/>
  <c r="O121" i="11"/>
  <c r="P121" i="11"/>
  <c r="Q121" i="11"/>
  <c r="R121" i="11"/>
  <c r="S121" i="11"/>
  <c r="T121" i="11"/>
  <c r="U121" i="11"/>
  <c r="V121" i="11"/>
  <c r="W121" i="11"/>
  <c r="X121" i="11"/>
  <c r="Y121" i="11"/>
  <c r="Z121" i="11"/>
  <c r="AA121" i="11"/>
  <c r="AB121" i="11"/>
  <c r="AC121" i="11"/>
  <c r="AD121" i="11"/>
  <c r="AE121" i="11"/>
  <c r="F122" i="11"/>
  <c r="F123" i="11"/>
  <c r="G123" i="11"/>
  <c r="H123" i="11"/>
  <c r="I123" i="11"/>
  <c r="J123" i="11"/>
  <c r="K123" i="11"/>
  <c r="L123" i="11"/>
  <c r="M123" i="11"/>
  <c r="N123" i="11"/>
  <c r="O123" i="11"/>
  <c r="P123" i="11"/>
  <c r="Q123" i="11"/>
  <c r="R123" i="11"/>
  <c r="S123" i="11"/>
  <c r="T123" i="11"/>
  <c r="U123" i="11"/>
  <c r="V123" i="11"/>
  <c r="W123" i="11"/>
  <c r="X123" i="11"/>
  <c r="Y123" i="11"/>
  <c r="Z123" i="11"/>
  <c r="AA123" i="11"/>
  <c r="AB123" i="11"/>
  <c r="AC123" i="11"/>
  <c r="AD123" i="11"/>
  <c r="AE123" i="11"/>
  <c r="F124" i="11"/>
  <c r="F74" i="4"/>
  <c r="G74" i="4"/>
  <c r="H74" i="4"/>
  <c r="I74" i="4"/>
  <c r="J74" i="4"/>
  <c r="K74" i="4"/>
  <c r="L74" i="4"/>
  <c r="M74" i="4"/>
  <c r="N74" i="4"/>
  <c r="O74" i="4"/>
  <c r="P74" i="4"/>
  <c r="Q74" i="4"/>
  <c r="R74" i="4"/>
  <c r="S74" i="4"/>
  <c r="T74" i="4"/>
  <c r="U74" i="4"/>
  <c r="V74" i="4"/>
  <c r="W74" i="4"/>
  <c r="X74" i="4"/>
  <c r="Y74" i="4"/>
  <c r="Z74" i="4"/>
  <c r="AA74" i="4"/>
  <c r="AB74" i="4"/>
  <c r="AC74" i="4"/>
  <c r="AD74" i="4"/>
  <c r="AE74" i="4"/>
  <c r="F75" i="4"/>
  <c r="G75" i="4"/>
  <c r="H75" i="4"/>
  <c r="I75" i="4"/>
  <c r="J75" i="4"/>
  <c r="K75" i="4"/>
  <c r="L75" i="4"/>
  <c r="M75" i="4"/>
  <c r="N75" i="4"/>
  <c r="O75" i="4"/>
  <c r="P75" i="4"/>
  <c r="Q75" i="4"/>
  <c r="R75" i="4"/>
  <c r="S75" i="4"/>
  <c r="T75" i="4"/>
  <c r="U75" i="4"/>
  <c r="V75" i="4"/>
  <c r="W75" i="4"/>
  <c r="X75" i="4"/>
  <c r="Y75" i="4"/>
  <c r="Z75" i="4"/>
  <c r="AA75" i="4"/>
  <c r="AB75" i="4"/>
  <c r="AC75" i="4"/>
  <c r="AD75" i="4"/>
  <c r="AE75" i="4"/>
  <c r="F76" i="4"/>
  <c r="G76" i="4"/>
  <c r="H76" i="4"/>
  <c r="I76" i="4"/>
  <c r="J76" i="4"/>
  <c r="K76" i="4"/>
  <c r="L76" i="4"/>
  <c r="M76" i="4"/>
  <c r="N76" i="4"/>
  <c r="O76" i="4"/>
  <c r="P76" i="4"/>
  <c r="Q76" i="4"/>
  <c r="R76" i="4"/>
  <c r="S76" i="4"/>
  <c r="T76" i="4"/>
  <c r="U76" i="4"/>
  <c r="V76" i="4"/>
  <c r="W76" i="4"/>
  <c r="X76" i="4"/>
  <c r="Y76" i="4"/>
  <c r="Z76" i="4"/>
  <c r="AA76" i="4"/>
  <c r="AB76" i="4"/>
  <c r="AC76" i="4"/>
  <c r="AD76" i="4"/>
  <c r="AE76" i="4"/>
  <c r="F19" i="10"/>
  <c r="G19" i="10"/>
  <c r="H19" i="10"/>
  <c r="I19" i="10"/>
  <c r="J19" i="10"/>
  <c r="K19" i="10"/>
  <c r="L19" i="10"/>
  <c r="M19" i="10"/>
  <c r="N19" i="10"/>
  <c r="O19" i="10"/>
  <c r="P19" i="10"/>
  <c r="Q19" i="10"/>
  <c r="R19" i="10"/>
  <c r="S19" i="10"/>
  <c r="T19" i="10"/>
  <c r="U19" i="10"/>
  <c r="V19" i="10"/>
  <c r="W19" i="10"/>
  <c r="X19" i="10"/>
  <c r="Y19" i="10"/>
  <c r="Z19" i="10"/>
  <c r="AA19" i="10"/>
  <c r="AB19" i="10"/>
  <c r="AC19" i="10"/>
  <c r="AD19" i="10"/>
  <c r="AE19" i="10"/>
  <c r="F22" i="10"/>
  <c r="G22" i="10"/>
  <c r="H22" i="10"/>
  <c r="I22" i="10"/>
  <c r="J22" i="10"/>
  <c r="K22" i="10"/>
  <c r="L22" i="10"/>
  <c r="M22" i="10"/>
  <c r="N22" i="10"/>
  <c r="O22" i="10"/>
  <c r="P22" i="10"/>
  <c r="Q22" i="10"/>
  <c r="R22" i="10"/>
  <c r="S22" i="10"/>
  <c r="T22" i="10"/>
  <c r="U22" i="10"/>
  <c r="V22" i="10"/>
  <c r="W22" i="10"/>
  <c r="X22" i="10"/>
  <c r="Y22" i="10"/>
  <c r="Z22" i="10"/>
  <c r="AA22" i="10"/>
  <c r="AB22" i="10"/>
  <c r="AC22" i="10"/>
  <c r="AD22" i="10"/>
  <c r="AE22" i="10"/>
  <c r="F23" i="10"/>
  <c r="G23" i="10"/>
  <c r="H23" i="10"/>
  <c r="I23" i="10"/>
  <c r="J23" i="10"/>
  <c r="K23" i="10"/>
  <c r="L23" i="10"/>
  <c r="M23" i="10"/>
  <c r="N23" i="10"/>
  <c r="O23" i="10"/>
  <c r="P23" i="10"/>
  <c r="Q23" i="10"/>
  <c r="R23" i="10"/>
  <c r="S23" i="10"/>
  <c r="T23" i="10"/>
  <c r="U23" i="10"/>
  <c r="V23" i="10"/>
  <c r="W23" i="10"/>
  <c r="X23" i="10"/>
  <c r="Y23" i="10"/>
  <c r="Z23" i="10"/>
  <c r="AA23" i="10"/>
  <c r="AB23" i="10"/>
  <c r="AC23" i="10"/>
  <c r="AD23" i="10"/>
  <c r="AE23" i="10"/>
  <c r="F24" i="10"/>
  <c r="G24" i="10"/>
  <c r="H24" i="10"/>
  <c r="I24" i="10"/>
  <c r="J24" i="10"/>
  <c r="K24" i="10"/>
  <c r="L24" i="10"/>
  <c r="M24" i="10"/>
  <c r="N24" i="10"/>
  <c r="O24" i="10"/>
  <c r="P24" i="10"/>
  <c r="Q24" i="10"/>
  <c r="R24" i="10"/>
  <c r="S24" i="10"/>
  <c r="T24" i="10"/>
  <c r="U24" i="10"/>
  <c r="V24" i="10"/>
  <c r="W24" i="10"/>
  <c r="X24" i="10"/>
  <c r="Y24" i="10"/>
  <c r="Z24" i="10"/>
  <c r="AA24" i="10"/>
  <c r="AB24" i="10"/>
  <c r="AC24" i="10"/>
  <c r="AD24" i="10"/>
  <c r="AE24" i="10"/>
  <c r="G25" i="10"/>
  <c r="H25" i="10"/>
  <c r="I25" i="10"/>
  <c r="J25" i="10"/>
  <c r="K25" i="10"/>
  <c r="L25" i="10"/>
  <c r="M25" i="10"/>
  <c r="N25" i="10"/>
  <c r="O25" i="10"/>
  <c r="P25" i="10"/>
  <c r="Q25" i="10"/>
  <c r="R25" i="10"/>
  <c r="S25" i="10"/>
  <c r="T25" i="10"/>
  <c r="U25" i="10"/>
  <c r="V25" i="10"/>
  <c r="W25" i="10"/>
  <c r="X25" i="10"/>
  <c r="Y25" i="10"/>
  <c r="Z25" i="10"/>
  <c r="AA25" i="10"/>
  <c r="AB25" i="10"/>
  <c r="AC25" i="10"/>
  <c r="AD25" i="10"/>
  <c r="AE25" i="10"/>
  <c r="G26" i="10"/>
  <c r="H26" i="10"/>
  <c r="I26" i="10"/>
  <c r="J26" i="10"/>
  <c r="K26" i="10"/>
  <c r="L26" i="10"/>
  <c r="M26" i="10"/>
  <c r="N26" i="10"/>
  <c r="O26" i="10"/>
  <c r="P26" i="10"/>
  <c r="Q26" i="10"/>
  <c r="R26" i="10"/>
  <c r="S26" i="10"/>
  <c r="T26" i="10"/>
  <c r="U26" i="10"/>
  <c r="V26" i="10"/>
  <c r="W26" i="10"/>
  <c r="X26" i="10"/>
  <c r="Y26" i="10"/>
  <c r="Z26" i="10"/>
  <c r="AA26" i="10"/>
  <c r="AB26" i="10"/>
  <c r="AC26" i="10"/>
  <c r="AD26" i="10"/>
  <c r="AE26" i="10"/>
  <c r="F27" i="10"/>
  <c r="G27" i="10"/>
  <c r="H27" i="10"/>
  <c r="I27" i="10"/>
  <c r="J27" i="10"/>
  <c r="K27" i="10"/>
  <c r="L27" i="10"/>
  <c r="M27" i="10"/>
  <c r="N27" i="10"/>
  <c r="O27" i="10"/>
  <c r="P27" i="10"/>
  <c r="Q27" i="10"/>
  <c r="R27" i="10"/>
  <c r="S27" i="10"/>
  <c r="T27" i="10"/>
  <c r="U27" i="10"/>
  <c r="V27" i="10"/>
  <c r="W27" i="10"/>
  <c r="X27" i="10"/>
  <c r="Y27" i="10"/>
  <c r="Z27" i="10"/>
  <c r="AA27" i="10"/>
  <c r="AB27" i="10"/>
  <c r="AC27" i="10"/>
  <c r="AD27" i="10"/>
  <c r="AE27" i="10"/>
  <c r="F28" i="10"/>
  <c r="G28" i="10"/>
  <c r="H28" i="10"/>
  <c r="I28" i="10"/>
  <c r="J28" i="10"/>
  <c r="K28" i="10"/>
  <c r="L28" i="10"/>
  <c r="M28" i="10"/>
  <c r="N28" i="10"/>
  <c r="O28" i="10"/>
  <c r="P28" i="10"/>
  <c r="Q28" i="10"/>
  <c r="R28" i="10"/>
  <c r="S28" i="10"/>
  <c r="T28" i="10"/>
  <c r="U28" i="10"/>
  <c r="V28" i="10"/>
  <c r="W28" i="10"/>
  <c r="X28" i="10"/>
  <c r="Y28" i="10"/>
  <c r="Z28" i="10"/>
  <c r="AA28" i="10"/>
  <c r="AB28" i="10"/>
  <c r="AC28" i="10"/>
  <c r="AD28" i="10"/>
  <c r="AE28" i="10"/>
  <c r="F29" i="10"/>
  <c r="G29" i="10"/>
  <c r="H29" i="10"/>
  <c r="I29" i="10"/>
  <c r="J29" i="10"/>
  <c r="K29" i="10"/>
  <c r="L29" i="10"/>
  <c r="M29" i="10"/>
  <c r="N29" i="10"/>
  <c r="O29" i="10"/>
  <c r="P29" i="10"/>
  <c r="Q29" i="10"/>
  <c r="R29" i="10"/>
  <c r="S29" i="10"/>
  <c r="T29" i="10"/>
  <c r="U29" i="10"/>
  <c r="V29" i="10"/>
  <c r="W29" i="10"/>
  <c r="X29" i="10"/>
  <c r="Y29" i="10"/>
  <c r="Z29" i="10"/>
  <c r="AA29" i="10"/>
  <c r="AB29" i="10"/>
  <c r="AC29" i="10"/>
  <c r="AD29" i="10"/>
  <c r="AE29" i="10"/>
  <c r="F31" i="10"/>
  <c r="G31" i="10"/>
  <c r="H31" i="10"/>
  <c r="I31" i="10"/>
  <c r="J31" i="10"/>
  <c r="K31" i="10"/>
  <c r="L31" i="10"/>
  <c r="M31" i="10"/>
  <c r="N31" i="10"/>
  <c r="O31" i="10"/>
  <c r="P31" i="10"/>
  <c r="Q31" i="10"/>
  <c r="R31" i="10"/>
  <c r="S31" i="10"/>
  <c r="T31" i="10"/>
  <c r="U31" i="10"/>
  <c r="V31" i="10"/>
  <c r="W31" i="10"/>
  <c r="X31" i="10"/>
  <c r="Y31" i="10"/>
  <c r="Z31" i="10"/>
  <c r="AA31" i="10"/>
  <c r="AB31" i="10"/>
  <c r="AC31" i="10"/>
  <c r="AD31" i="10"/>
  <c r="AE31" i="10"/>
  <c r="F35" i="10"/>
  <c r="G35" i="10"/>
  <c r="H35" i="10"/>
  <c r="I35" i="10"/>
  <c r="J35" i="10"/>
  <c r="K35" i="10"/>
  <c r="L35" i="10"/>
  <c r="M35" i="10"/>
  <c r="N35" i="10"/>
  <c r="O35" i="10"/>
  <c r="P35" i="10"/>
  <c r="Q35" i="10"/>
  <c r="R35" i="10"/>
  <c r="S35" i="10"/>
  <c r="T35" i="10"/>
  <c r="U35" i="10"/>
  <c r="V35" i="10"/>
  <c r="W35" i="10"/>
  <c r="X35" i="10"/>
  <c r="Y35" i="10"/>
  <c r="Z35" i="10"/>
  <c r="AA35" i="10"/>
  <c r="AB35" i="10"/>
  <c r="AC35" i="10"/>
  <c r="AD35" i="10"/>
  <c r="AE35" i="10"/>
  <c r="F36" i="10"/>
  <c r="G36" i="10"/>
  <c r="H36" i="10"/>
  <c r="I36" i="10"/>
  <c r="J36" i="10"/>
  <c r="K36" i="10"/>
  <c r="L36" i="10"/>
  <c r="M36" i="10"/>
  <c r="N36" i="10"/>
  <c r="O36" i="10"/>
  <c r="P36" i="10"/>
  <c r="Q36" i="10"/>
  <c r="R36" i="10"/>
  <c r="S36" i="10"/>
  <c r="T36" i="10"/>
  <c r="U36" i="10"/>
  <c r="V36" i="10"/>
  <c r="W36" i="10"/>
  <c r="X36" i="10"/>
  <c r="Y36" i="10"/>
  <c r="Z36" i="10"/>
  <c r="AA36" i="10"/>
  <c r="AB36" i="10"/>
  <c r="AC36" i="10"/>
  <c r="AD36" i="10"/>
  <c r="AE36" i="10"/>
  <c r="F38" i="10"/>
  <c r="G38" i="10"/>
  <c r="H38" i="10"/>
  <c r="I38" i="10"/>
  <c r="J38" i="10"/>
  <c r="K38" i="10"/>
  <c r="L38" i="10"/>
  <c r="M38" i="10"/>
  <c r="N38" i="10"/>
  <c r="O38" i="10"/>
  <c r="P38" i="10"/>
  <c r="Q38" i="10"/>
  <c r="R38" i="10"/>
  <c r="S38" i="10"/>
  <c r="T38" i="10"/>
  <c r="U38" i="10"/>
  <c r="V38" i="10"/>
  <c r="W38" i="10"/>
  <c r="X38" i="10"/>
  <c r="Y38" i="10"/>
  <c r="Z38" i="10"/>
  <c r="AA38" i="10"/>
  <c r="AB38" i="10"/>
  <c r="AC38" i="10"/>
  <c r="AD38" i="10"/>
  <c r="AE38" i="10"/>
  <c r="F39" i="10"/>
  <c r="G39" i="10"/>
  <c r="H39" i="10"/>
  <c r="I39" i="10"/>
  <c r="J39" i="10"/>
  <c r="K39" i="10"/>
  <c r="L39" i="10"/>
  <c r="M39" i="10"/>
  <c r="N39" i="10"/>
  <c r="O39" i="10"/>
  <c r="P39" i="10"/>
  <c r="Q39" i="10"/>
  <c r="R39" i="10"/>
  <c r="S39" i="10"/>
  <c r="T39" i="10"/>
  <c r="U39" i="10"/>
  <c r="V39" i="10"/>
  <c r="W39" i="10"/>
  <c r="X39" i="10"/>
  <c r="Y39" i="10"/>
  <c r="Z39" i="10"/>
  <c r="AA39" i="10"/>
  <c r="AB39" i="10"/>
  <c r="AC39" i="10"/>
  <c r="AD39" i="10"/>
  <c r="AE39" i="10"/>
  <c r="F40" i="10"/>
  <c r="G40" i="10"/>
  <c r="H40" i="10"/>
  <c r="I40" i="10"/>
  <c r="J40" i="10"/>
  <c r="K40" i="10"/>
  <c r="L40" i="10"/>
  <c r="M40" i="10"/>
  <c r="N40" i="10"/>
  <c r="O40" i="10"/>
  <c r="P40" i="10"/>
  <c r="Q40" i="10"/>
  <c r="R40" i="10"/>
  <c r="S40" i="10"/>
  <c r="T40" i="10"/>
  <c r="U40" i="10"/>
  <c r="V40" i="10"/>
  <c r="W40" i="10"/>
  <c r="X40" i="10"/>
  <c r="Y40" i="10"/>
  <c r="Z40" i="10"/>
  <c r="AA40" i="10"/>
  <c r="AB40" i="10"/>
  <c r="AC40" i="10"/>
  <c r="AD40" i="10"/>
  <c r="AE40" i="10"/>
  <c r="G42" i="10"/>
  <c r="H42" i="10"/>
  <c r="I42" i="10"/>
  <c r="J42" i="10"/>
  <c r="K42" i="10"/>
  <c r="L42" i="10"/>
  <c r="M42" i="10"/>
  <c r="N42" i="10"/>
  <c r="O42" i="10"/>
  <c r="P42" i="10"/>
  <c r="Q42" i="10"/>
  <c r="R42" i="10"/>
  <c r="S42" i="10"/>
  <c r="T42" i="10"/>
  <c r="U42" i="10"/>
  <c r="V42" i="10"/>
  <c r="W42" i="10"/>
  <c r="X42" i="10"/>
  <c r="Y42" i="10"/>
  <c r="Z42" i="10"/>
  <c r="AA42" i="10"/>
  <c r="AB42" i="10"/>
  <c r="AC42" i="10"/>
  <c r="AD42" i="10"/>
  <c r="AE42" i="10"/>
  <c r="F43" i="10"/>
  <c r="G43" i="10"/>
  <c r="H43" i="10"/>
  <c r="I43" i="10"/>
  <c r="J43" i="10"/>
  <c r="K43" i="10"/>
  <c r="L43" i="10"/>
  <c r="M43" i="10"/>
  <c r="N43" i="10"/>
  <c r="O43" i="10"/>
  <c r="P43" i="10"/>
  <c r="Q43" i="10"/>
  <c r="R43" i="10"/>
  <c r="S43" i="10"/>
  <c r="T43" i="10"/>
  <c r="U43" i="10"/>
  <c r="V43" i="10"/>
  <c r="W43" i="10"/>
  <c r="X43" i="10"/>
  <c r="Y43" i="10"/>
  <c r="Z43" i="10"/>
  <c r="AA43" i="10"/>
  <c r="AB43" i="10"/>
  <c r="AC43" i="10"/>
  <c r="AD43" i="10"/>
  <c r="AE43" i="10"/>
  <c r="F44" i="10"/>
  <c r="G44" i="10"/>
  <c r="H44" i="10"/>
  <c r="I44" i="10"/>
  <c r="J44" i="10"/>
  <c r="K44" i="10"/>
  <c r="L44" i="10"/>
  <c r="M44" i="10"/>
  <c r="N44" i="10"/>
  <c r="O44" i="10"/>
  <c r="P44" i="10"/>
  <c r="Q44" i="10"/>
  <c r="R44" i="10"/>
  <c r="S44" i="10"/>
  <c r="T44" i="10"/>
  <c r="U44" i="10"/>
  <c r="V44" i="10"/>
  <c r="W44" i="10"/>
  <c r="X44" i="10"/>
  <c r="Y44" i="10"/>
  <c r="Z44" i="10"/>
  <c r="AA44" i="10"/>
  <c r="AB44" i="10"/>
  <c r="AC44" i="10"/>
  <c r="AD44" i="10"/>
  <c r="AE44" i="10"/>
  <c r="F45" i="10"/>
  <c r="G45" i="10"/>
  <c r="H45" i="10"/>
  <c r="I45" i="10"/>
  <c r="J45" i="10"/>
  <c r="K45" i="10"/>
  <c r="L45" i="10"/>
  <c r="M45" i="10"/>
  <c r="N45" i="10"/>
  <c r="O45" i="10"/>
  <c r="P45" i="10"/>
  <c r="Q45" i="10"/>
  <c r="R45" i="10"/>
  <c r="S45" i="10"/>
  <c r="T45" i="10"/>
  <c r="U45" i="10"/>
  <c r="V45" i="10"/>
  <c r="W45" i="10"/>
  <c r="X45" i="10"/>
  <c r="Y45" i="10"/>
  <c r="Z45" i="10"/>
  <c r="AA45" i="10"/>
  <c r="AB45" i="10"/>
  <c r="AC45" i="10"/>
  <c r="AD45" i="10"/>
  <c r="AE45" i="10"/>
  <c r="G7" i="1"/>
  <c r="H7" i="1"/>
  <c r="G8" i="1"/>
  <c r="H8" i="1"/>
  <c r="G9" i="1"/>
  <c r="H9" i="1"/>
  <c r="G10" i="1"/>
  <c r="H10" i="1"/>
  <c r="G11" i="1"/>
  <c r="H11" i="1"/>
  <c r="G12" i="1"/>
  <c r="H12" i="1"/>
  <c r="F13" i="1"/>
  <c r="F16" i="1"/>
  <c r="G16" i="1"/>
  <c r="H16" i="1"/>
  <c r="I16" i="1"/>
  <c r="F18" i="1"/>
  <c r="H18" i="1"/>
  <c r="F22" i="1"/>
  <c r="F23" i="1"/>
  <c r="F24" i="1"/>
  <c r="J24" i="1"/>
  <c r="D28" i="1"/>
  <c r="E28" i="1"/>
  <c r="F28" i="1"/>
</calcChain>
</file>

<file path=xl/comments1.xml><?xml version="1.0" encoding="utf-8"?>
<comments xmlns="http://schemas.openxmlformats.org/spreadsheetml/2006/main">
  <authors>
    <author>Krunal Kansara</author>
  </authors>
  <commentList>
    <comment ref="D44" authorId="0" shapeId="0">
      <text>
        <r>
          <rPr>
            <b/>
            <sz val="9"/>
            <color indexed="81"/>
            <rFont val="Tahoma"/>
            <family val="2"/>
          </rPr>
          <t>Krunal Kansara:</t>
        </r>
        <r>
          <rPr>
            <sz val="9"/>
            <color indexed="81"/>
            <rFont val="Tahoma"/>
            <family val="2"/>
          </rPr>
          <t xml:space="preserve">
Per acre 0.5 lacs (2.5 acre per MW DC=2.5*36=90 Acre)
</t>
        </r>
      </text>
    </comment>
  </commentList>
</comments>
</file>

<file path=xl/sharedStrings.xml><?xml version="1.0" encoding="utf-8"?>
<sst xmlns="http://schemas.openxmlformats.org/spreadsheetml/2006/main" count="1030" uniqueCount="533">
  <si>
    <t>Particular</t>
  </si>
  <si>
    <t>Land Development Cost</t>
  </si>
  <si>
    <t>Building &amp; Civil Works</t>
  </si>
  <si>
    <t xml:space="preserve">Plant &amp; Machinery </t>
  </si>
  <si>
    <t>Electricity Infrastructure</t>
  </si>
  <si>
    <t>Vehicles</t>
  </si>
  <si>
    <t>Office equipment &amp; Furniture</t>
  </si>
  <si>
    <t>Interest During Construction (IDC)</t>
  </si>
  <si>
    <t>Sub Total</t>
  </si>
  <si>
    <t>Solar Plant</t>
  </si>
  <si>
    <t>Wind Plant</t>
  </si>
  <si>
    <t>Loan from Banks/FIs</t>
  </si>
  <si>
    <t>Per MW</t>
  </si>
  <si>
    <t>Ratio</t>
  </si>
  <si>
    <t>Promoter Contribution</t>
  </si>
  <si>
    <t>Means of Finance (Amount INR Crore)</t>
  </si>
  <si>
    <t>Hybrid</t>
  </si>
  <si>
    <t>Solar + Wind</t>
  </si>
  <si>
    <t>Grand Total (PC)</t>
  </si>
  <si>
    <t>Grand Total (MoF)</t>
  </si>
  <si>
    <t>Input</t>
  </si>
  <si>
    <t>Date of Assessment</t>
  </si>
  <si>
    <t>Assessment_Date</t>
  </si>
  <si>
    <t>Start of Construction</t>
  </si>
  <si>
    <t>start_date</t>
  </si>
  <si>
    <t>Construction Period</t>
  </si>
  <si>
    <t>construction_period</t>
  </si>
  <si>
    <t>Completion Date</t>
  </si>
  <si>
    <t>Completion_date</t>
  </si>
  <si>
    <t>SCOD</t>
  </si>
  <si>
    <t>commerical</t>
  </si>
  <si>
    <t>Total Analysis Period</t>
  </si>
  <si>
    <t>Projection</t>
  </si>
  <si>
    <t>Model End Date</t>
  </si>
  <si>
    <t>end_date</t>
  </si>
  <si>
    <t>Operating  Assumptions</t>
  </si>
  <si>
    <t>Value</t>
  </si>
  <si>
    <t>Unit</t>
  </si>
  <si>
    <t>No. of daily Operation Hours</t>
  </si>
  <si>
    <t>hours</t>
  </si>
  <si>
    <t>No. of days per Annum</t>
  </si>
  <si>
    <t>Days</t>
  </si>
  <si>
    <t xml:space="preserve">No. of Working days Per Annum </t>
  </si>
  <si>
    <t>Key Products</t>
  </si>
  <si>
    <t>Installed Capacity(MW)</t>
  </si>
  <si>
    <t>MW</t>
  </si>
  <si>
    <t>Capacity (KW)</t>
  </si>
  <si>
    <t>KW</t>
  </si>
  <si>
    <t>Plant load factor (PLF)</t>
  </si>
  <si>
    <t>%</t>
  </si>
  <si>
    <t>Selling Price</t>
  </si>
  <si>
    <t>INR/Unit</t>
  </si>
  <si>
    <t>Cost of Per Unit Generation</t>
  </si>
  <si>
    <t>Revenue in the form of savings</t>
  </si>
  <si>
    <t>Escalation rate</t>
  </si>
  <si>
    <t>O &amp; M Expenses</t>
  </si>
  <si>
    <t>Insurance Expenses</t>
  </si>
  <si>
    <t>Escalation on O &amp; M Cost</t>
  </si>
  <si>
    <t>Yearly</t>
  </si>
  <si>
    <t>Lease rent for land</t>
  </si>
  <si>
    <t>Escalation on rent</t>
  </si>
  <si>
    <t>Every 3 Yearly</t>
  </si>
  <si>
    <t xml:space="preserve">Banking charges+ Transmission Charges +Fixed demand Charges </t>
  </si>
  <si>
    <t>per unit</t>
  </si>
  <si>
    <t>Escalation</t>
  </si>
  <si>
    <t>Plant and Administrative Overhead Expenses</t>
  </si>
  <si>
    <t>of Revenue</t>
  </si>
  <si>
    <t>Other Operating expenses</t>
  </si>
  <si>
    <t>Loan Schedule</t>
  </si>
  <si>
    <t xml:space="preserve">Interest on TL </t>
  </si>
  <si>
    <t>Percentage</t>
  </si>
  <si>
    <t>Door to Door Tenure</t>
  </si>
  <si>
    <t>months</t>
  </si>
  <si>
    <t>Moratorium period after SCOD</t>
  </si>
  <si>
    <t>Taxation</t>
  </si>
  <si>
    <t>MAT</t>
  </si>
  <si>
    <t>years</t>
  </si>
  <si>
    <t>After 5 Year</t>
  </si>
  <si>
    <t xml:space="preserve">Corporate Tax Rate </t>
  </si>
  <si>
    <t>Surcharge</t>
  </si>
  <si>
    <t>Cess</t>
  </si>
  <si>
    <t>Applicable Tax Rate (%)</t>
  </si>
  <si>
    <t>PROJECT COST (Amount INR Crore)</t>
  </si>
  <si>
    <t>(ASSUMPTIONS/VARIABLES)</t>
  </si>
  <si>
    <t>Modeling Assumptions</t>
  </si>
  <si>
    <t>SOLAR PLANT</t>
  </si>
  <si>
    <t>WIND PLANT</t>
  </si>
  <si>
    <t>Degradation in PLF in First Year</t>
  </si>
  <si>
    <t>Degradation in PLF in Second Year and onwards</t>
  </si>
  <si>
    <t>(COMMON ASSUMPTIONS)</t>
  </si>
  <si>
    <t>(Revenue &amp; Expense Modelling)</t>
  </si>
  <si>
    <t>Operational Years</t>
  </si>
  <si>
    <t>Year Ending (INR Crore)</t>
  </si>
  <si>
    <t>FY</t>
  </si>
  <si>
    <t>Year Counter</t>
  </si>
  <si>
    <t>Months Counter</t>
  </si>
  <si>
    <t>Number of day</t>
  </si>
  <si>
    <t>Number of Hours per day</t>
  </si>
  <si>
    <t>Revenue from Solar power plant</t>
  </si>
  <si>
    <t>Intalled Capacity (MW)</t>
  </si>
  <si>
    <t>Running Capacity (KW)</t>
  </si>
  <si>
    <t>Plant load factor</t>
  </si>
  <si>
    <t>(Degradation y-o-y)</t>
  </si>
  <si>
    <t>No. of units Producion (Yearly)</t>
  </si>
  <si>
    <t xml:space="preserve">Escalation </t>
  </si>
  <si>
    <t>O&amp;M expenses per MW</t>
  </si>
  <si>
    <t>Annual O&amp; M cost</t>
  </si>
  <si>
    <t>Lease Rentals for land</t>
  </si>
  <si>
    <t>Lease rental per annum</t>
  </si>
  <si>
    <t>Per Unit Revenue in the form of savings</t>
  </si>
  <si>
    <t>Revenue from Wind power plant</t>
  </si>
  <si>
    <t>Net Revenue from Wind Power</t>
  </si>
  <si>
    <t>Net Revenue from Solar Power</t>
  </si>
  <si>
    <t>TOTAL HYBRID PROJECT REVENUE</t>
  </si>
  <si>
    <t>Total O &amp; M expenses - Solar Power</t>
  </si>
  <si>
    <t>O &amp; M Expenses - Wind Power</t>
  </si>
  <si>
    <t>O &amp; M Expenses - Solar Power</t>
  </si>
  <si>
    <t>Operating Expenses</t>
  </si>
  <si>
    <t>Total O &amp; M expenses - Wind Power</t>
  </si>
  <si>
    <t>TOTAL HYBRID O &amp; M Expenses</t>
  </si>
  <si>
    <t>LEASE RENTAL - SOLAR PLANT</t>
  </si>
  <si>
    <t>LEASE RENTAL - WIND PLANT</t>
  </si>
  <si>
    <t>Lease rental expenses - Solar Plant</t>
  </si>
  <si>
    <t>Projected Lease rental expenses - Wind Plant</t>
  </si>
  <si>
    <t>TOTAL HYBRID Land Lease rental</t>
  </si>
  <si>
    <t>TOTAL HYBRID Insurance Expenses</t>
  </si>
  <si>
    <t>Banking Charges and Multi-Wheeling Charges</t>
  </si>
  <si>
    <t>SLDC Charges</t>
  </si>
  <si>
    <t>Transmission Charges</t>
  </si>
  <si>
    <t>Rs./MW/Day</t>
  </si>
  <si>
    <t>Every 5 Yearly</t>
  </si>
  <si>
    <t>Per Unit</t>
  </si>
  <si>
    <t>per MW Day</t>
  </si>
  <si>
    <t>A.</t>
  </si>
  <si>
    <t>B.</t>
  </si>
  <si>
    <t>C.</t>
  </si>
  <si>
    <t>D.</t>
  </si>
  <si>
    <t>OPERATING EXPENSES</t>
  </si>
  <si>
    <t>REVENUE MODELING</t>
  </si>
  <si>
    <t>Revenue</t>
  </si>
  <si>
    <t>Depreciation &amp; Amrtization</t>
  </si>
  <si>
    <t>Total Expenses</t>
  </si>
  <si>
    <t>EBIT</t>
  </si>
  <si>
    <t>Interest expenses</t>
  </si>
  <si>
    <t>Interest on term loan</t>
  </si>
  <si>
    <t>Profit before Taxes (PBT)</t>
  </si>
  <si>
    <t>Tax</t>
  </si>
  <si>
    <t>Profit after Taxes (PAT)</t>
  </si>
  <si>
    <t>Cash Accrual</t>
  </si>
  <si>
    <t>PAT</t>
  </si>
  <si>
    <t>Add: Dep &amp; Am</t>
  </si>
  <si>
    <t>Net cash accrual</t>
  </si>
  <si>
    <t xml:space="preserve">Cumulative Internal Accruals  </t>
  </si>
  <si>
    <t xml:space="preserve">Less: Repayment Obligations </t>
  </si>
  <si>
    <t xml:space="preserve">LIABILITIES </t>
  </si>
  <si>
    <t>Equity</t>
  </si>
  <si>
    <t>Reserve &amp; Surplus</t>
  </si>
  <si>
    <t>Secured Loan</t>
  </si>
  <si>
    <t>Current Liabilities</t>
  </si>
  <si>
    <t>Trade Paybles</t>
  </si>
  <si>
    <t xml:space="preserve">Term liabilities payable within one year </t>
  </si>
  <si>
    <t>Other Current Liabilities</t>
  </si>
  <si>
    <t>Total</t>
  </si>
  <si>
    <t>Assets</t>
  </si>
  <si>
    <t>Land</t>
  </si>
  <si>
    <t>Building &amp; Civil works</t>
  </si>
  <si>
    <t>Plant &amp; Machinery</t>
  </si>
  <si>
    <t>Electricals &amp; Fittings</t>
  </si>
  <si>
    <t>Office equipments</t>
  </si>
  <si>
    <t>Total Gross Block</t>
  </si>
  <si>
    <t>Net Block</t>
  </si>
  <si>
    <t>Other Non Current Assets</t>
  </si>
  <si>
    <t>Total Non-Current Assets</t>
  </si>
  <si>
    <t>CURRENT ASSETS</t>
  </si>
  <si>
    <t>Trade Receivables</t>
  </si>
  <si>
    <t>Inventories</t>
  </si>
  <si>
    <t>Cash &amp; Cash Equivalent</t>
  </si>
  <si>
    <t>Other Current Assets</t>
  </si>
  <si>
    <t>Total Current Assets</t>
  </si>
  <si>
    <t xml:space="preserve">TOTAL </t>
  </si>
  <si>
    <t>Difference</t>
  </si>
  <si>
    <t>Less: Depreciation</t>
  </si>
  <si>
    <t xml:space="preserve">A. SOURCE OF FUND </t>
  </si>
  <si>
    <t xml:space="preserve">Net Profit </t>
  </si>
  <si>
    <t>Increase in Equity / Share Capital/USL</t>
  </si>
  <si>
    <t>Increase in TL</t>
  </si>
  <si>
    <t xml:space="preserve">Depreciation </t>
  </si>
  <si>
    <t>Trade paybles</t>
  </si>
  <si>
    <t xml:space="preserve">B. APPLICATION OF FUNDS </t>
  </si>
  <si>
    <t xml:space="preserve">Capital Expenses </t>
  </si>
  <si>
    <t xml:space="preserve">Decrease in Term Loan </t>
  </si>
  <si>
    <t>Trade Receivable</t>
  </si>
  <si>
    <t xml:space="preserve">Inventory </t>
  </si>
  <si>
    <t>Opening Balance</t>
  </si>
  <si>
    <t>Net Surplus/ Deficit</t>
  </si>
  <si>
    <t xml:space="preserve">Cumulative Balance </t>
  </si>
  <si>
    <t>Opening Bal</t>
  </si>
  <si>
    <t>Disbursement</t>
  </si>
  <si>
    <t>Repayment</t>
  </si>
  <si>
    <t>Closing Principal o/s</t>
  </si>
  <si>
    <t>Interest</t>
  </si>
  <si>
    <t>IDC</t>
  </si>
  <si>
    <t>TL Interest</t>
  </si>
  <si>
    <t>Loan Amount</t>
  </si>
  <si>
    <t>Rep Year</t>
  </si>
  <si>
    <t>Interest Rate</t>
  </si>
  <si>
    <t>Qrtrly Pay</t>
  </si>
  <si>
    <t>Assumption</t>
  </si>
  <si>
    <t>Op. Bal</t>
  </si>
  <si>
    <t>Repay</t>
  </si>
  <si>
    <t>Cl. Bal</t>
  </si>
  <si>
    <t xml:space="preserve">Disbursement % </t>
  </si>
  <si>
    <t xml:space="preserve">Repayment % </t>
  </si>
  <si>
    <t>2024-25</t>
  </si>
  <si>
    <t>Apr</t>
  </si>
  <si>
    <t>May</t>
  </si>
  <si>
    <t>June</t>
  </si>
  <si>
    <t>July</t>
  </si>
  <si>
    <t>Aug</t>
  </si>
  <si>
    <t>Sept</t>
  </si>
  <si>
    <t>Oct</t>
  </si>
  <si>
    <t>Nov</t>
  </si>
  <si>
    <t>Dec</t>
  </si>
  <si>
    <t>Construction Starts</t>
  </si>
  <si>
    <t>Jan</t>
  </si>
  <si>
    <t>Feb</t>
  </si>
  <si>
    <t>Mar</t>
  </si>
  <si>
    <t>2025-26</t>
  </si>
  <si>
    <t>C.O.D</t>
  </si>
  <si>
    <t>Moratorium Ends</t>
  </si>
  <si>
    <t>2026-27</t>
  </si>
  <si>
    <t>Repayment Starts</t>
  </si>
  <si>
    <t>2027-28</t>
  </si>
  <si>
    <t>2028-29</t>
  </si>
  <si>
    <t>2029-30</t>
  </si>
  <si>
    <t>2030-31</t>
  </si>
  <si>
    <t>2031-32</t>
  </si>
  <si>
    <t>2032-33</t>
  </si>
  <si>
    <t>2033-34</t>
  </si>
  <si>
    <t>2034-35</t>
  </si>
  <si>
    <t>2035-36</t>
  </si>
  <si>
    <t>2036-37</t>
  </si>
  <si>
    <t>2037-38</t>
  </si>
  <si>
    <t>2038-39</t>
  </si>
  <si>
    <t>2039-40</t>
  </si>
  <si>
    <t>2040-41</t>
  </si>
  <si>
    <t>2041-42</t>
  </si>
  <si>
    <t>2042-43</t>
  </si>
  <si>
    <t>2043-44</t>
  </si>
  <si>
    <t>2044-45</t>
  </si>
  <si>
    <t>2045-46</t>
  </si>
  <si>
    <t>Check</t>
  </si>
  <si>
    <t>Life
Years</t>
  </si>
  <si>
    <t>IDC &amp; Cont &amp; Pre-Operative</t>
  </si>
  <si>
    <t>Total CoP</t>
  </si>
  <si>
    <t>SLM Rate</t>
  </si>
  <si>
    <t>WDV rate</t>
  </si>
  <si>
    <t>SLM Depreciation - Land</t>
  </si>
  <si>
    <t>Electricity Connection &amp; Infrastructure</t>
  </si>
  <si>
    <t>Office equipment</t>
  </si>
  <si>
    <t xml:space="preserve">Total SLM Depreciation </t>
  </si>
  <si>
    <t>Total WDV</t>
  </si>
  <si>
    <t xml:space="preserve">Total WDV Depreciation </t>
  </si>
  <si>
    <t>Depreciation Assumptions</t>
  </si>
  <si>
    <t>CAPEX PHASING</t>
  </si>
  <si>
    <t xml:space="preserve">Capex </t>
  </si>
  <si>
    <t>MAT Rate</t>
  </si>
  <si>
    <t>Normal Tax rate</t>
  </si>
  <si>
    <t>Profit before taxes</t>
  </si>
  <si>
    <t>Add: Exceptional items</t>
  </si>
  <si>
    <t>Add: Provision for foreign exchange fluctuations</t>
  </si>
  <si>
    <t>Add: Dep.as per Co Act</t>
  </si>
  <si>
    <t>Less: Dep. as per IT Act</t>
  </si>
  <si>
    <t>Adjusted PBT</t>
  </si>
  <si>
    <t>Losses B/F</t>
  </si>
  <si>
    <t>Unabsorbed Depreciation B/F</t>
  </si>
  <si>
    <t>Taxable Profits</t>
  </si>
  <si>
    <t>Losses C/F</t>
  </si>
  <si>
    <t>Unabsorbed Depreciation C/F</t>
  </si>
  <si>
    <t>Tax Liability as per normal provisions</t>
  </si>
  <si>
    <t>Tax Rate Business Income</t>
  </si>
  <si>
    <t>MAT Liability on book profits</t>
  </si>
  <si>
    <t>Tax Liability higher of two</t>
  </si>
  <si>
    <t>Less: Mat Credit set off</t>
  </si>
  <si>
    <t>Tax paid</t>
  </si>
  <si>
    <t>Opening</t>
  </si>
  <si>
    <t>Additions</t>
  </si>
  <si>
    <t>Utilized</t>
  </si>
  <si>
    <t>Cumulative MAT Credit</t>
  </si>
  <si>
    <t>TOTAL</t>
  </si>
  <si>
    <t>Cash accrual</t>
  </si>
  <si>
    <t>Subtotal</t>
  </si>
  <si>
    <t>Loan Repayent</t>
  </si>
  <si>
    <t>DSCR</t>
  </si>
  <si>
    <t>Average DSCR</t>
  </si>
  <si>
    <t>Maximum DSCR</t>
  </si>
  <si>
    <t>2046-47</t>
  </si>
  <si>
    <t>Less: Taxes</t>
  </si>
  <si>
    <t>Add: Depreciation &amp; Amortisation</t>
  </si>
  <si>
    <t>NOPAT</t>
  </si>
  <si>
    <t>Capex</t>
  </si>
  <si>
    <t>Free Cash Flow to Firm (FCFF)</t>
  </si>
  <si>
    <t>WACC</t>
  </si>
  <si>
    <t>NPV</t>
  </si>
  <si>
    <t>IRR</t>
  </si>
  <si>
    <t>Wd</t>
  </si>
  <si>
    <t>Kd</t>
  </si>
  <si>
    <t>Post tax Kd</t>
  </si>
  <si>
    <t>We</t>
  </si>
  <si>
    <t>Ke</t>
  </si>
  <si>
    <t>Payback Perid</t>
  </si>
  <si>
    <t>No. Of Years</t>
  </si>
  <si>
    <t>Accumulated Cash Accrual</t>
  </si>
  <si>
    <t>TPC</t>
  </si>
  <si>
    <t>Payback Period</t>
  </si>
  <si>
    <t>RATIO</t>
  </si>
  <si>
    <t>Particulars</t>
  </si>
  <si>
    <t>Less: Transmission loses</t>
  </si>
  <si>
    <t>Insurance expense @0.1%</t>
  </si>
  <si>
    <t>Total NET BLOCK</t>
  </si>
  <si>
    <t>Total ASSET NET BLOCK AS PER BOOKS</t>
  </si>
  <si>
    <t>Net units Exported Annualy - Wind Power</t>
  </si>
  <si>
    <t>Net units Exported Annualy - Solar Power</t>
  </si>
  <si>
    <t>Total Net Units Exported Annually (Units in Lakhs)</t>
  </si>
  <si>
    <t>Total Net Units Generated Annually (Units in Lakhs)</t>
  </si>
  <si>
    <t>Total Transmission Loss (Units In Lakhs)</t>
  </si>
  <si>
    <t>Year Ending</t>
  </si>
  <si>
    <r>
      <t xml:space="preserve">(All Values in </t>
    </r>
    <r>
      <rPr>
        <b/>
        <u/>
        <sz val="11"/>
        <color rgb="FFFF0000"/>
        <rFont val="Calibri"/>
        <family val="2"/>
      </rPr>
      <t>INR Crores</t>
    </r>
    <r>
      <rPr>
        <b/>
        <sz val="11"/>
        <color rgb="FFFF0000"/>
        <rFont val="Calibri"/>
        <family val="2"/>
      </rPr>
      <t>, unless specified)</t>
    </r>
  </si>
  <si>
    <t>Less: 5% Transmission loses (Nos. of Units)</t>
  </si>
  <si>
    <t>(Projected Income Statement)</t>
  </si>
  <si>
    <t>(Projected Balance Sheet)</t>
  </si>
  <si>
    <t>(Projected Cash Flow Statement)</t>
  </si>
  <si>
    <t>(Projected Loan Schedule)</t>
  </si>
  <si>
    <t>Depreciation Schedule as per Income Tax Act</t>
  </si>
  <si>
    <t>Depreciation Schedule as per Company's Act, 2013</t>
  </si>
  <si>
    <t>(Projected Depreciation Schedule)</t>
  </si>
  <si>
    <t>(Projected Tax Calculation)</t>
  </si>
  <si>
    <t>Hybrid Plant</t>
  </si>
  <si>
    <t>per Day</t>
  </si>
  <si>
    <t>INR/YEAR</t>
  </si>
  <si>
    <t>Free O&amp;M period</t>
  </si>
  <si>
    <t>2 years</t>
  </si>
  <si>
    <t>of WDV</t>
  </si>
  <si>
    <t>Rs./Day</t>
  </si>
  <si>
    <t>Preoperative Expenses ~  1.0% of Hard Cost</t>
  </si>
  <si>
    <t>Contingencies at ~ 0.5% of Hard Cost</t>
  </si>
  <si>
    <t>Intalled Capacity (MW) - DC</t>
  </si>
  <si>
    <t>EBITDA</t>
  </si>
  <si>
    <t>EBITDA Margin %</t>
  </si>
  <si>
    <t>EBIT Margin %</t>
  </si>
  <si>
    <t>PAT Margin %</t>
  </si>
  <si>
    <t>Revenue Growth Rate</t>
  </si>
  <si>
    <t>Average</t>
  </si>
  <si>
    <t>Financial Year</t>
  </si>
  <si>
    <t>Break - Even Point</t>
  </si>
  <si>
    <t>Sales</t>
  </si>
  <si>
    <t>Variable Expenses</t>
  </si>
  <si>
    <t>Contribution</t>
  </si>
  <si>
    <t>Fixed Expenses</t>
  </si>
  <si>
    <t>Profit / PBT</t>
  </si>
  <si>
    <t>PV RATIO (Contr / Sales)</t>
  </si>
  <si>
    <t>BEP  Sales (Fix Exps / Contr * Sales)</t>
  </si>
  <si>
    <t>BEP% (BEP Sales / sales)</t>
  </si>
  <si>
    <t>Ratio Analysis:</t>
  </si>
  <si>
    <t>Revenue growth rate Y-o-Y (%)</t>
  </si>
  <si>
    <t>Return on Capital employed (%)</t>
  </si>
  <si>
    <t>Return on Investment (%)</t>
  </si>
  <si>
    <t>Return on Net Worth</t>
  </si>
  <si>
    <t>ISCR</t>
  </si>
  <si>
    <t>Fixed Asset Coverage Ratio</t>
  </si>
  <si>
    <t>TOL/TNW</t>
  </si>
  <si>
    <t>Debt to Equity Ratio</t>
  </si>
  <si>
    <t>66.20 MW Hybrid power project [41 MW DC Solar + 25.20 MW Wind] at Village: Vichhiyad, Taluka: Vagra, Dist: Bharuch, Gujarat - 392140.</t>
  </si>
  <si>
    <t>PVsyst - Simulation report dated 23/09/2024 Project: SPV Project at Vilayat Variant: Sai Bandhan_Fixed tilt 58.04 MWp_Emmvee_N type PV Module</t>
  </si>
  <si>
    <t>Tawanai Wind Resource Assessment Report</t>
  </si>
  <si>
    <t>KPI Green Energy Ltd - S120 2.1MWx14 - Vagra Final Report Mast: Sutrel Machine: Suzlon S120 2.1MW 1.225AD Hub Height: 140 m Rotor Diameter: 120 m Internal Locations: 14
External Locations: 87 Air Density Considered: 1.16 Kg/m^3</t>
  </si>
  <si>
    <t>Long Term Monthly Distribution, Net P50-P75-P90</t>
  </si>
  <si>
    <t>India is set to significantly boost its renewable energy investments, with a projected increase of 83% to approximately US$ 16.5 billion in 2024, as part of its strategy to transition to cleaner energy sources and reduce carbon emissions.
India is set to invest over US$ 360 billion in renewable energy and infrastructure by 2030, with US$ 190 billion to US$ 215 billion needed to achieve 500 GW of renewable capacity. An additional US$ 150 billion to US$ 170 billion will be required for electricity transmission and storage.
Brookfield Asset Management plans to boost its investments in India’s renewable energy sector to over US$ 10 billion in the next three to four years, also exploring electric vehicles and green hydrogen.
India's renewable energy sector set to attract over $250 billion in investments, with solar PV projects expecting $15.5 billion and battery manufacturing $2.7 billion.
The non-conventional energy space in India has become highly attractive for investors and received an FDI inflow of US$ 17.88 billion between April 2000-March 2024.
According to Moody's, India will require US$ 190 billion-US$ 215 billion of investment over the next seven years to achieve the target of 500 GW of renewable energy capacity by 2030, and another US$ 150 billion-US$ 170 billion for electricity transmission, distribution, and energy storage.
Radiance Renewables, an Indian renewable energy developer, and the UK's Private Infrastructure Development Group have formed a joint venture called Radiance InfraCo Renewables to develop greenfield solar and wind-solar hybrid projects for commercial and industrial clients in India, leveraging their expertise to support the country's transition towards its net-zero emissions target by 2070.
Maruti Suzuki India will invest Rs. 450 crore (US$ 54 million) over the next three years in renewable energy projects, including a biogas plant at Manesar and expanding solar capacity. The pilot biogas plant aims to produce 1 lakh cubic meters of biogas in FY 2024-25, offsetting 190 tonnes of CO2 annually. Solar capacity will grow from 43.2 MWp to 78.2 MWp by FY 2025-26, supporting Suzuki's 'Environment Vision 2050.'.
NTPC Green Energy Ltd. will invest Rs. 80,000 crore (US$ 9.59 billion) in Maharashtra for green hydrogen, ammonia, and methanol projects, including 2 GW pumped storage and up to 5 GW renewable energy projects, as part of a plan to build 60 GW renewable capacity by 2032.
On December 4, 2023, Andhra Pradesh announced Rs 6600 crore (US$ 794 million) clean energy and infrastructure expansion plans, including a 750 MW solar project, 100 MW solar plant, substation enhancements, collaborations with HPCL, Avera AI Mobility's electric vehicle expansion, and SECI contract for solar energy.
On January 4, 2024, Torrent Power signed four initial pacts with the Gujarat government to invest Rs 47,350 crore (US$ 5.70 billion) in renewable energy, green hydrogen, and electricity distribution. These investments are aimed at contributing to the state's development and creating employment opportunities.
On January 8, 2024, Tata Power announced a Rs 70,000 crore (US$ 8.42 billion) investment to develop 10 GW of solar and wind power capacity in Tamil Nadu over the next 5-7 years. This aligns with its goal of achieving 70% clean energy production by 2030.
In November 2023, AmpIn Energy Transition announced an investment of Rs. 3,100 crore (US$ 372.6 million) to establish renewable energy projects exceeding 600 MW and an integrated manufacturing facility for solar cells and modules across the Eastern region. The funding will be focused in West Bengal, Bihar, Odisha, Jharkhand, Chhattisgarh, and the Northeastern States.
Around US$ 2.8 trillion will be invested in energy in 2023 globally. More than US$ 1.7 trillion is going to clean energy, including renewable power, nuclear, grids, storage, low-emission fuels, efficiency improvements and end-use renewables and electrification.
US$ 2.4 billion National Hydrogen Mission for production of 5 MMT by 2030 and US$ 36 million additional in budget.
59 solar parks with an aggregate capacity 40 GW have been approved in India.
Solar Parks in Pavagada (2 GW), Kurnool (1 GW) and Bhadla-II (648 MW) are included in the top 5 operational solar parks of 7 GW capacity in the country.
The world’s largest renewable energy park of 30 GW capacity solar-wind hybrid project is under installation in Gujarat.
India offers a great opportunity for investments in the RE sector; $196.98 Bn worth of projects are underway in India.
Wind Energy has an offshore target of 30 GW by 2030 with 3 potential sites identified.</t>
  </si>
  <si>
    <t>66.20 MW Hybrid power project [41 MW DC Solar + 25.20 MW Wind]</t>
  </si>
  <si>
    <t>3RD FLOOR, 2137, BANSAL HOUSE, NR. GOLDEN ARC, ATABHAI CHOWK, Bhavnagar, BHAVNAGAR, Gujarat, India, 364002</t>
  </si>
  <si>
    <t>This executive summary outlines the development of a 66.20 MW Hybrid Power Project (41 MW DC Solar + 25 MW Wind) at Village: Vichiyad, Taluka: Vagra, District: Bharuch, Gujarat, 392140. The project, initiated by M/s Sai Bandhan Infinium Limited, aims to harness solar &amp; Wind energy to meet the organization's growing electricity needs sustainably and to optimize the operation cost while taking the existing Rolling mill to full capacity.</t>
  </si>
  <si>
    <t>As a parent company M/s Sai Bandhan Infinium Limited has been venturing into shipping and ship-breaking industry since last 15 years. The company has forayed into integration with Bandhan TMX with the production capacity of 20,000 MT per month.</t>
  </si>
  <si>
    <t>As per the internal assessment done by the company, after 24 hours of operation of plant, it would be requiring more than 1.8 Crores units a month. Currently unit price is INR 5.96 per unit (subsidized rate as the plant operates only from 10 pm to 6 am) and as the company plans to operate the factory for 24 hours the charges will go up to INR 9.15 per unit. And therefore, the company has planned installation of hybrid wind - solar project to offset the electricity consumption while the plant operates for 3 shifts.</t>
  </si>
  <si>
    <t>Thus, the company can save up to INR 63.09 Crore by installing the proposed captive hybrid power plant. The primary objectives of the hybrid power plant is to reduce annual electricity cost by ~40%, decrease the carbon footprint by 30,000 tons per year, and ensure a reliable and renewable energy source for Sai Bandhan Infinium Limited's operations.</t>
  </si>
  <si>
    <t xml:space="preserve">Power plant will be implemented through appointment of EPC, for which company has signed an agreement with KPI Green Energy Ltd. dated 13th September 2024 for CPP vertical i.e. to design, develop, transfer and maintain the solar and wind hybrid power plant on behalf of M/s Sai Bandhan Infinium Limited as an industrial customer. According to which, estimated generated unit from the hybrid project would be 1459.15 lakhs in the initial year.
As per the agreement KPI will arrange the required land ~137.77 Acre at Renewable Energy Park for 66.20 MW Hybrid power project [41 MW DC Solar + 25.20 MW Wind] at Village: Vichhiyad, Taluka: Vagra, District: Bharuch, Gujarat – 392140 and sub-lease to Sai Bandhan. Grid Connectivity approval from GETCO for 140 MW Wind Solar hybrid power plant at 220/66 KV Wagra Substation has been taken by KPI Green Energy Ltd dated 02/11/2022.
The proposed captive hybrid power plant will be setting up with an initial investment of INR 467.62 Crore including EPC, IDC, Contingencies &amp; Preliminary &amp; Pre-operative expenses. The project is projected to achieve a return on investment (ROI) within 9.86 years. Annual savings on energy costs are estimated at ~INR 63.09 Crore, with a payback period of approximately 9.86 years.
The plant is expected to reduce CO2 emissions by 33,000 tons annually, contributing significantly to Sai Bandhan Infinium Limited's sustainability goals. Additionally, the project will create ~150 local jobs during the construction phase and ~25 permanent positions for ongoing operations &amp; maintenance. Plant is expected to be operational from 1st April, 2026 after having a 16 months implementation period from December 2024 to March 2026.
Thus, the proposed hybrid power plant represents a strategic investment in renewable energy, offering significant cost savings, environmental benefits, and alignment with Sai Bandhan Infinium Limited's sustainability objectives. We invite stakeholders to review the detailed project plan and support the initiative as we move forward with the implementation.
</t>
  </si>
  <si>
    <t>~75926 nos. of Solar Panel
540Wp of Bi-facial N-type Solar module from Waaree.</t>
  </si>
  <si>
    <t xml:space="preserve">Provisional Registration of Renewable Energy Project under Gujarat Renewable Energy Policy- 2023 from GUJARAT ENERGY DEVELOPMENT AGENCY (GEDA)
</t>
  </si>
  <si>
    <t>Certificate of Incorporation Consequent upon conversion to public company</t>
  </si>
  <si>
    <t xml:space="preserve">The company was incorporated to undertake and carry on the trader and business of shippers, breakers, ship repairers, shipping agents, broker, ship managers, tug owners, roading brokers, freight contractors, barge owners, lighter men, dredgers and forwarding agents, ship store merchants, ship husbands, stevedores, salvors, ship builders and ship repairers and to carry on business of breaking, cutting, dismantling of ship, steamers, trailers, steam launches, ocean going vessels, playing on water either by Company itself or through other arrangements whether on contract or job work basis. 
To carry on the business of manufacturing of and dealing in larc slabs, billets, ingots, squares, sheets by electro metallurgical process by operating induction are furnace of any other process and to manufacture, buy sell, import, export and dear in bars, sections, foils frats, rods, pipes, tubes, angles, channels, strips, plates, sheets, rails, nails, pins, coils, circles, nuts bolts, fasteners wire ropes, ferrous and nonferrous metal of all kinds and to conduct and carry on business of roiling, re-roiling, casting, welding, extruding, stretching, reducing forging, pressing, drawing, machining, grinding, processing working or finishing in any manner of all kinds of metals and alloys.
Under the same company, the Promoters have decided to set up the proposed captive 66.20 MW Hybrid power project [41 MW DC Solar + 25.20 MW Wind] at Village: Vichhiyad, Taluka: Vagra, District: Bharuch, Gujarat – 392140.
</t>
  </si>
  <si>
    <t>Shareholding of promoters dated 14th September, 2024 is as follows:</t>
  </si>
  <si>
    <t>for FY 2024-25 as on 14th September 2024</t>
  </si>
  <si>
    <t xml:space="preserve">Mr. ShivNarayan Bansal, aged 35 years, bearing PAN no. APOPB9420N is the appointed director from 29/08/2024. Mr. Shivnarayan Bansal has completed his graduation in Bachelor of Business from Latrobe University, Australia. He is having over 10 years of experience in various fields such as finance and ship recycling and off shore Industrial and other business activities. He is examining and advising on Purchase of Old ships and finalizes the deals with the suppliers. He is also guiding on off shore activities and is arranging finance for the business of the company. He plays a major role in providing strategic guidance to our Company. He will be supervising the functional heads and responsible for the overall operation and growth of our Company. </t>
  </si>
  <si>
    <t xml:space="preserve">  Regulatory Risks: Changes in government policies or reductions in subsidies could impact the financial viability of the solar project, affecting Sai Bandhan Infinium Limited’s profitability.
  Market Competition: Increased competition from other renewable energy sources or cheaper conventional energy options might affect the market share and pricing power of Sai Bandhan Infinium Limited.
  Technological Risks: Rapid changes in solar technology or issues with the reliability of the installed equipment could pose risks to the project’s performance and financial returns.
  Economic Fluctuations: Economic downturns could affect investment availability and delay project implementation or expansion plans.
</t>
  </si>
  <si>
    <t>The plant will feature high-efficiency solar panels with a combined capacity of 41 MW DC Solar (~75926 nos. of Solar Panel) 540Wp of Bi-facial N-type Solar module from Waaree and Suzlon S 120 – (2.1 X 12) 25.20 MW Wind turbine generator (WTG). It will utilize advanced photovoltaic (PV) technology and include a state-of-the-art monitoring system to optimize performance and maintenance.</t>
  </si>
  <si>
    <t>Proposed Power plant will be implemented through appointment of EPC, for which company has signed an agreement with KPI Green Energy Ltd. dated 13th September 2024 for CPP vertical i.e. to design, develop, transfer and maintain the solar and wind hybrid power plant on behalf of M/s Sai Bandhan Infinium Limited as an industrial customer.</t>
  </si>
  <si>
    <t xml:space="preserve">
21°52'53.3"N 72°50'13.0"E</t>
  </si>
  <si>
    <t>Solar</t>
  </si>
  <si>
    <t>Wind</t>
  </si>
  <si>
    <t>Per MW Cost</t>
  </si>
  <si>
    <t>whereas the Rs. 5-7cr for on shore projects were proposed for the older technology turbines with less hub height and small swept area as per design</t>
  </si>
  <si>
    <t xml:space="preserve">M/s Sai Bandhan Infinium Limited has executed an EPC/Techno-Commercial contract with KPI Green Energy Private Limited for Captive hybrid power plant for 25.20 WTG with 36% PLF &amp; 41 MW DC Solar 18.50% PLF.
KPI Green Energy Limited, is the solar and hybrid vertical of KP Group, a prominent Gujarat based solar and hybrid power generating company has been appointed an EPC through entering into a legal agreement dated 13th September 2024 who will be the solution provider for the proposed 66.20 MW hybrid project to implement on turnkey basis within 16 months of zero date for CPP vertical i.e. to design, develop, transfer and maintain the solar and wind hybrid power plant on behalf of M/s Sai Bandhan Infinium Limited as an industrial customer.
As per the EPC agreement, the proposed captive hybrid power plant will be setting up with an initial investment of INR 467.62 Crore including EPC, IDC, and Contingencies &amp; Preliminary &amp; Pre-operative expenses, which is proposed to be funded through a term loan of INR 350.71 Crore and promoter’s equity of INR 116.90 Crore. Plant is expected to be operational from 1st April, 2026 after having a 16 months implementation period from 1st December 2024 to 31st March 2026.
The proposed wind solar hybrid power plant will not be having major building and civil works. Only land development and foundation work will be there as per the requirement of WTG and PV modules. Out of total EPC cost of INR 433.35 Cr., INR ~5% i.e. INR 21.67 Cr. will be the cost of Civil work, which seems to be reasonable after considering the infrastructure of the plant. However we are relied upon the data/information and EPC agreement of KPI shared with us by the client in this regard. </t>
  </si>
  <si>
    <t xml:space="preserve">5. 
6. </t>
  </si>
  <si>
    <t>Thus, ~INR 7.06 Crore per MW is the expected CAPEX for the proposed 66.20 MW Wind Solar Hybrid power plant 
Per MW cost of Solar and Wind power plants are in the line with market trends. The cost of a 1 MW solar power plant in India is typically between ₹4 and ₹5 crores. The cost depends on several factors, including: Solar panels, Land, Balance of system (BOS) components, Installation challenges, Batteries. For reference Amplus Solar (https://amplussolar.com/blogs/1mw-solar-power-plant) and Waree (https://waaree.com/blog/5-mw-solar-power-energy-plant-in-india-profit-cost-land-requirement/) are known name in this field.
Similarly, According to a report by the Ministry of New and Renewable Energy in India, the capital cost of wind power projects in India ranges from INR 5.5 crore per MW to INR 6.5 crore per MW (approximately USD 750,000 to USD 880,000 per MW) for onshore wind projects, and from INR 8.5 crore per MW to INR 12 crore per MW (approximately USD 1.2 million to USD 1.6 million per MW) for offshore wind project. (https://www.linkedin.com/pulse/india-wind-energy-potential-quesrow#:~:text=According%20to%20a%20report%20by,INR%2012%20crore%20per%20MW%20).</t>
  </si>
  <si>
    <t>State Load Despatch Center</t>
  </si>
  <si>
    <t>Financial Model for Proposed Hybrid Solar Plant (36 MW DC) &amp; Wind Plant (27.30 MW) @ GUJARAT</t>
  </si>
  <si>
    <t>Construction period</t>
  </si>
  <si>
    <t>EMI</t>
  </si>
  <si>
    <t>M/s. Sai Infinium Limited</t>
  </si>
  <si>
    <t>Mat Credit Entitlement</t>
  </si>
  <si>
    <t>Change in MAT</t>
  </si>
  <si>
    <t>Transmission loss (Including Inhouse farm lossess)</t>
  </si>
  <si>
    <t>Per Unit cost, If company operates in 2-3 shifts per day</t>
  </si>
  <si>
    <t>Forecasting &amp;
Scheduling</t>
  </si>
  <si>
    <t>INR/MW/Month</t>
  </si>
  <si>
    <t>GEDA Certification Charges</t>
  </si>
  <si>
    <t>INR/MW/Year</t>
  </si>
  <si>
    <t>Charges will vary every year as per GERC order</t>
  </si>
  <si>
    <t>GETCO Feeder Bay Maintenance Charges</t>
  </si>
  <si>
    <t>Approx.</t>
  </si>
  <si>
    <t>Forecasting &amp; Scheduling Charges</t>
  </si>
  <si>
    <t>Per MW Per Year</t>
  </si>
  <si>
    <t>Total Statuatory Fee &amp; Charges</t>
  </si>
  <si>
    <t>at Village: Sardharka Taluka: Wankaner Morbi District, State of Gujrat 363621</t>
  </si>
  <si>
    <t>at 66KVGangiyavadar substation of GETCO</t>
  </si>
  <si>
    <t>GUJARAT ENERGY TRANSMISSION CORPORATION LIMITED</t>
  </si>
  <si>
    <t>GETCO/R&amp;C/STAGE2000127</t>
  </si>
  <si>
    <t>The plant will feature high-efficiency solar panels with a combined capacity of 36 MW DC Solar (~62062 nos. of Solar PV Module) 580Wp of BiN-08-580 type Solar module from Waaree Energies Limited and Suzlon S 120 – (2.1 X 13) 27.30 MW Wind turbine generator (WTG)</t>
  </si>
  <si>
    <t>Specialize turnkey EPC solutions for Wind-Solar Hybrid projects with battery storage, serving IPP and C&amp;I clients under Capex, Captive, Group Captive, and 3rd PartySalesmodels.</t>
  </si>
  <si>
    <t>Forecasting &amp; Scheduling</t>
  </si>
  <si>
    <t>Amount per Unit</t>
  </si>
  <si>
    <t>GST%</t>
  </si>
  <si>
    <t>GST Amount</t>
  </si>
  <si>
    <t>Total Amount</t>
  </si>
  <si>
    <t>Supply of Solar Panel and construction of solar park with supply of PV panel Tier -1 Top Con, Inverter, all required, Inverter duty Transformer, Aux, transformer, LTDB, MMS, HT Cable, LT cable, DC cable, earthing cable, HDPE pipe, cable accessories, Earthing strip, Metering. Balance of Plant (Land, Permits, Approvals, Land, Fencing, Approach Road, Internal Line, Commissioning)</t>
  </si>
  <si>
    <t>Certificate of Incorporation pursuant to change of name</t>
  </si>
  <si>
    <t>the name of the company has been changed from SAI BANDHAN INFINIUM LIMITED to SAI INFINIUM
LIMITED with effect from the date of</t>
  </si>
  <si>
    <t>22°38'54.9"N 71°01'46.3"E</t>
  </si>
  <si>
    <t>at Village: Sardharka Taluka: Wankaner Morbi District</t>
  </si>
  <si>
    <t>BiN-08-580</t>
  </si>
  <si>
    <t xml:space="preserve">A. We shall Operate and Maintain the WTG/ Solar Plant for the first 2 years of operation from the date of commissioning, free of cost to the Buyer. This shall also include the provision of necessary spares and consumables.
B. We shall facilitate for necessary arrangements for a Complete Operation, Maintenance and Security Contract with the facility provider from the start of the 3rd year of operation from the date of commissioning to the end of the 25th year at the anticipated rates as mentioned.
C. From the beginning of the 3rd year from the date of commissioning to the end of the 10th year O&amp;M Expenses as per the below table.
</t>
  </si>
  <si>
    <t>In private free hold land, the registered lease deed shall be executed in favor of the customer before the commissioning of the project. Lease shall be 3.0 lacs per WTG per year with 7% escalation on every 3rd year basis start from 2nd year on wards and for solar 50k/ Acre/ Year with 7% escalation on every 3rd year basis start from 2nd year onwards. Balance all other documents like 7/12 extracts, NA Permissions, etc. shall be obtained after the commissioning of the project as per the government procedures and guidelines.</t>
  </si>
  <si>
    <t>11. Evacuation Arrangement and Grid Availability</t>
  </si>
  <si>
    <t xml:space="preserve">We shall arrange for adequate evacuation facilities for the project. The timely completion of the permanent power evacuation arrangement depends on various permissions from Government / Nodal Agency / DISCOM and also the Right of Way (ROW) by the local villagers. Accordingly, in case of any delay in the completion of the permanent power evacuation arrangement, we shall arrange for a temporary power evacuation for the commissioning of your project, subject to feasibility with the relevant agency.
Any change or levy of new charges, levies, duties or access shall be borne by Buyer at actual, as levied by any Government Authority from time to time. The buyer shall also agree to enter into an agreement with the concerned service provider for such O&amp;M as per their draft and terms &amp; conditions therein
</t>
  </si>
  <si>
    <t>The following are some of the prevailing Open Access Charges &amp; losses payable by the Buyer:</t>
  </si>
  <si>
    <t xml:space="preserve">end-to-end solution  provider in conventional wind and Large-scale PV Solar projects. </t>
  </si>
  <si>
    <t>https://operaenergy.in/</t>
  </si>
  <si>
    <t xml:space="preserve">O&amp;M WTG and Wind farm
O&amp;M of BoP Components
Scheduled Maintenance
Unscheduled Maintenance
O&amp;M of Substation
.
</t>
  </si>
  <si>
    <t>Sr. No.</t>
  </si>
  <si>
    <t>Year</t>
  </si>
  <si>
    <t>Project Location</t>
  </si>
  <si>
    <t>Type</t>
  </si>
  <si>
    <t xml:space="preserve">  Capacity (MW)</t>
  </si>
  <si>
    <t>2014 - 2018</t>
  </si>
  <si>
    <t>GJ - Dwarka</t>
  </si>
  <si>
    <t>2015 - 2016</t>
  </si>
  <si>
    <t>GJ - Bhatel</t>
  </si>
  <si>
    <t>2018 - 2020</t>
  </si>
  <si>
    <t>GJ - Jodiya</t>
  </si>
  <si>
    <t>2018 - 2019</t>
  </si>
  <si>
    <t>GJ - Amreli</t>
  </si>
  <si>
    <t>GJ - Jamjodhpur</t>
  </si>
  <si>
    <t>2019 - 2020</t>
  </si>
  <si>
    <t>GJ - Mandavi</t>
  </si>
  <si>
    <t>2019 - 2022</t>
  </si>
  <si>
    <t>GJ - Lakhpat</t>
  </si>
  <si>
    <t>2020 - 2021</t>
  </si>
  <si>
    <t>GJ - Khambhaliya</t>
  </si>
  <si>
    <t>Sub station</t>
  </si>
  <si>
    <t>2021 - 2022</t>
  </si>
  <si>
    <t>GJ - Gondal</t>
  </si>
  <si>
    <t>GJ - Rajkot</t>
  </si>
  <si>
    <t>GJ - Jamnagar</t>
  </si>
  <si>
    <t>GJ - Mahuva</t>
  </si>
  <si>
    <t>hybrid</t>
  </si>
  <si>
    <t>MH - Kallam</t>
  </si>
  <si>
    <t xml:space="preserve"> Solar</t>
  </si>
  <si>
    <t>2022 - 2023</t>
  </si>
  <si>
    <t>2022 – 2023</t>
  </si>
  <si>
    <t>ASSET UNDER MANAGEMENT (OPERATION &amp; MAINTENANCE)</t>
  </si>
  <si>
    <t>S. No</t>
  </si>
  <si>
    <t>Customer Name</t>
  </si>
  <si>
    <t>Solar / Wind</t>
  </si>
  <si>
    <t>Capacity in MW</t>
  </si>
  <si>
    <t>2020-21</t>
  </si>
  <si>
    <t>Envision Wind Power Service India Pvt Ltd (Owner Sprng Energy)</t>
  </si>
  <si>
    <t>2021-22</t>
  </si>
  <si>
    <t>Cleanmax Max Vent Power Pvt Ltd</t>
  </si>
  <si>
    <t>Tata Power Renewable Energy Ltd</t>
  </si>
  <si>
    <t>EPC PROJECT ON GOING</t>
  </si>
  <si>
    <t>2022-23</t>
  </si>
  <si>
    <t>PR No.: GEDA/PR/WSH/23-24/02/824/13</t>
  </si>
  <si>
    <t>Provisional Registration of Renewable Energy Project under Gujarat Renewable Energy Policy- 2023</t>
  </si>
  <si>
    <t>Wankaner, Gujarat Land Type Private Land</t>
  </si>
  <si>
    <t>No. of Available Locations</t>
  </si>
  <si>
    <t>13 Terrain Type Plain Terrain</t>
  </si>
  <si>
    <t>Soil Type</t>
  </si>
  <si>
    <t>Murrum &amp; Hard Rock Elevation Range (m) 85 to 125 m AMSL</t>
  </si>
  <si>
    <t>Land Type</t>
  </si>
  <si>
    <t>Terrain Type</t>
  </si>
  <si>
    <t>Elevation Range (m)</t>
  </si>
  <si>
    <t>Wankaner, Gujarat</t>
  </si>
  <si>
    <t>Private Land</t>
  </si>
  <si>
    <t>Plain Terrain</t>
  </si>
  <si>
    <t>Murrum &amp; Hard Rock</t>
  </si>
  <si>
    <t>85 to 125 m AMSL</t>
  </si>
  <si>
    <t>SITE DESCRIPTION</t>
  </si>
  <si>
    <t>No of WMS</t>
  </si>
  <si>
    <t>Wind Mast</t>
  </si>
  <si>
    <t>Wind mast Height</t>
  </si>
  <si>
    <t>Measurement Period</t>
  </si>
  <si>
    <t>Elevation</t>
  </si>
  <si>
    <t>Project Average WS at 140 m</t>
  </si>
  <si>
    <t>WPD at 140 m</t>
  </si>
  <si>
    <t>Temperature at 10 m</t>
  </si>
  <si>
    <t>Pressure at 10 m</t>
  </si>
  <si>
    <t>Air density</t>
  </si>
  <si>
    <t>Wind Shear</t>
  </si>
  <si>
    <t>Turbulence Intensity at 15 m/s</t>
  </si>
  <si>
    <t>Details</t>
  </si>
  <si>
    <t>Chitrakhada</t>
  </si>
  <si>
    <t>100 m</t>
  </si>
  <si>
    <t>Nov 2020 – Oct 2021</t>
  </si>
  <si>
    <t>119 m</t>
  </si>
  <si>
    <t>6.60 m/s</t>
  </si>
  <si>
    <t>266 W/m2</t>
  </si>
  <si>
    <t>27.1 oC</t>
  </si>
  <si>
    <t>977 mbar</t>
  </si>
  <si>
    <t>1.15 Kg/m3</t>
  </si>
  <si>
    <t>WIND CLIMATIC PARAMETERS</t>
  </si>
  <si>
    <t>Project: 36 MWp DC Solar</t>
  </si>
  <si>
    <t>PVsyst V7.2.8 VC0, Simulation date: 10/01/25</t>
  </si>
  <si>
    <t>Under Section 115BA</t>
  </si>
  <si>
    <t>Opera Engitech has successfully received Stage 2 connectivity for a 30 MW capacity. Based on this, the company has applied for Developer Permission (DP) for 30 MW AC in GEDA. Opera Engitech will transfer 27.3 MW of this capacity to Sai Infinium through the Transfer Permission (TP) mechanism. Sai Infinium is undertaking a hybrid project consisting of 27.3 MW of wind capacity and 36 DC (26.5 MW AC) of solar capacity. As per GERC guidelines, only the higher capacity between wind or solar is considered for the project capacity; therefore, only 27.3 MW of connectivity will be required.</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</si>
</sst>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43" formatCode="_ * #,##0.00_ ;_ * \-#,##0.00_ ;_ * &quot;-&quot;??_ ;_ @_ "/>
    <numFmt numFmtId="164" formatCode="0\ &quot;MW&quot;"/>
    <numFmt numFmtId="165" formatCode="0.000"/>
    <numFmt numFmtId="166" formatCode="0\ &quot;Months&quot;"/>
    <numFmt numFmtId="167" formatCode="0\ &quot;Years&quot;"/>
    <numFmt numFmtId="168" formatCode="0.00\ &quot;MW&quot;"/>
    <numFmt numFmtId="169" formatCode="0.0"/>
    <numFmt numFmtId="170" formatCode="[$-409]d\-mmm\-yy;@"/>
    <numFmt numFmtId="171" formatCode="_ * #,##0_ ;_ * \-#,##0_ ;_ * &quot;-&quot;??_ ;_ @_ "/>
    <numFmt numFmtId="172" formatCode="0.0%"/>
    <numFmt numFmtId="173" formatCode="_ * #,##0.000_ ;_ * \-#,##0.000_ ;_ * &quot;-&quot;??_ ;_ @_ "/>
    <numFmt numFmtId="174" formatCode="_ * #,##0.00000000_ ;_ * \-#,##0.00000000_ ;_ * &quot;-&quot;??_ ;_ @_ "/>
    <numFmt numFmtId="175" formatCode="&quot;INR&quot;\ 0.00\ &quot;Crore&quot;"/>
    <numFmt numFmtId="176" formatCode="&quot;INR&quot;\ 0\ &quot;Crore&quot;"/>
    <numFmt numFmtId="177" formatCode="0.00\ &quot;years&quot;"/>
    <numFmt numFmtId="178" formatCode="_ * #,##0.00000_ ;_ * \-#,##0.00000_ ;_ * &quot;-&quot;??_ ;_ @_ "/>
    <numFmt numFmtId="179" formatCode="_ * #,##0.000000_ ;_ * \-#,##0.000000_ ;_ * &quot;-&quot;??_ ;_ @_ "/>
    <numFmt numFmtId="180" formatCode="#,##0.0"/>
  </numFmts>
  <fonts count="46"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9"/>
      <color theme="1"/>
      <name val="Gill Sans MT"/>
      <family val="2"/>
    </font>
    <font>
      <sz val="11"/>
      <color theme="1"/>
      <name val="Calibri"/>
      <family val="2"/>
    </font>
    <font>
      <b/>
      <sz val="11"/>
      <color theme="1"/>
      <name val="Calibri"/>
      <family val="2"/>
    </font>
    <font>
      <b/>
      <sz val="12"/>
      <color theme="0"/>
      <name val="Calibri"/>
      <family val="2"/>
    </font>
    <font>
      <sz val="11"/>
      <color theme="0"/>
      <name val="Calibri"/>
      <family val="2"/>
    </font>
    <font>
      <b/>
      <sz val="11"/>
      <color theme="0"/>
      <name val="Calibri"/>
      <family val="2"/>
    </font>
    <font>
      <sz val="11"/>
      <color rgb="FF0070C0"/>
      <name val="Calibri"/>
      <family val="2"/>
    </font>
    <font>
      <sz val="11"/>
      <name val="Calibri"/>
      <family val="2"/>
    </font>
    <font>
      <b/>
      <sz val="14"/>
      <color theme="0"/>
      <name val="Calibri"/>
      <family val="2"/>
    </font>
    <font>
      <b/>
      <sz val="16"/>
      <color theme="0"/>
      <name val="Calibri"/>
      <family val="2"/>
    </font>
    <font>
      <b/>
      <sz val="11"/>
      <color rgb="FF0070C0"/>
      <name val="Calibri"/>
      <family val="2"/>
    </font>
    <font>
      <b/>
      <sz val="11"/>
      <color rgb="FFC00000"/>
      <name val="Calibri"/>
      <family val="2"/>
    </font>
    <font>
      <b/>
      <u/>
      <sz val="11"/>
      <color theme="1"/>
      <name val="Calibri"/>
      <family val="2"/>
    </font>
    <font>
      <b/>
      <sz val="12"/>
      <color rgb="FFC00000"/>
      <name val="Calibri"/>
      <family val="2"/>
    </font>
    <font>
      <b/>
      <i/>
      <sz val="10"/>
      <color theme="1"/>
      <name val="Calibri"/>
      <family val="2"/>
    </font>
    <font>
      <i/>
      <sz val="10"/>
      <color theme="1"/>
      <name val="Calibri"/>
      <family val="2"/>
    </font>
    <font>
      <b/>
      <i/>
      <sz val="11"/>
      <color theme="1"/>
      <name val="Calibri"/>
      <family val="2"/>
      <scheme val="minor"/>
    </font>
    <font>
      <i/>
      <sz val="11"/>
      <color theme="1"/>
      <name val="Calibri"/>
      <family val="2"/>
    </font>
    <font>
      <i/>
      <sz val="11"/>
      <color rgb="FF0070C0"/>
      <name val="Calibri"/>
      <family val="2"/>
    </font>
    <font>
      <b/>
      <i/>
      <sz val="11"/>
      <color theme="1"/>
      <name val="Calibri"/>
      <family val="2"/>
    </font>
    <font>
      <b/>
      <i/>
      <sz val="11"/>
      <color rgb="FF0070C0"/>
      <name val="Calibri"/>
      <family val="2"/>
    </font>
    <font>
      <sz val="11"/>
      <color theme="5" tint="-0.249977111117893"/>
      <name val="Calibri"/>
      <family val="2"/>
    </font>
    <font>
      <i/>
      <sz val="11"/>
      <color theme="5" tint="-0.249977111117893"/>
      <name val="Calibri"/>
      <family val="2"/>
    </font>
    <font>
      <b/>
      <u/>
      <sz val="12"/>
      <color theme="5" tint="-0.249977111117893"/>
      <name val="Calibri"/>
      <family val="2"/>
    </font>
    <font>
      <b/>
      <sz val="11"/>
      <name val="Calibri"/>
      <family val="2"/>
    </font>
    <font>
      <sz val="11"/>
      <name val="Calibri"/>
      <family val="2"/>
      <scheme val="minor"/>
    </font>
    <font>
      <sz val="11"/>
      <color rgb="FFFF0000"/>
      <name val="Calibri"/>
      <family val="2"/>
    </font>
    <font>
      <b/>
      <u/>
      <sz val="11"/>
      <color theme="1"/>
      <name val="Calibri"/>
      <family val="2"/>
      <scheme val="minor"/>
    </font>
    <font>
      <sz val="11"/>
      <color rgb="FF0070C0"/>
      <name val="Calibri"/>
      <family val="2"/>
      <scheme val="minor"/>
    </font>
    <font>
      <i/>
      <sz val="10"/>
      <color rgb="FFC00000"/>
      <name val="Calibri"/>
      <family val="2"/>
    </font>
    <font>
      <sz val="11"/>
      <color theme="0" tint="-0.249977111117893"/>
      <name val="Calibri"/>
      <family val="2"/>
      <scheme val="minor"/>
    </font>
    <font>
      <sz val="10"/>
      <name val="Arial"/>
      <family val="2"/>
    </font>
    <font>
      <b/>
      <sz val="11"/>
      <color rgb="FF0070C0"/>
      <name val="Calibri"/>
      <family val="2"/>
      <scheme val="minor"/>
    </font>
    <font>
      <sz val="11"/>
      <color rgb="FFC00000"/>
      <name val="Calibri"/>
      <family val="2"/>
      <scheme val="minor"/>
    </font>
    <font>
      <b/>
      <sz val="11"/>
      <color rgb="FFFF0000"/>
      <name val="Calibri"/>
      <family val="2"/>
    </font>
    <font>
      <b/>
      <u/>
      <sz val="11"/>
      <color rgb="FFFF0000"/>
      <name val="Calibri"/>
      <family val="2"/>
    </font>
    <font>
      <sz val="11"/>
      <color theme="0" tint="-0.34998626667073579"/>
      <name val="Calibri"/>
      <family val="2"/>
    </font>
    <font>
      <b/>
      <sz val="11"/>
      <color theme="0" tint="-0.34998626667073579"/>
      <name val="Calibri"/>
      <family val="2"/>
    </font>
    <font>
      <sz val="11"/>
      <color theme="0" tint="-0.499984740745262"/>
      <name val="Calibri"/>
      <family val="2"/>
    </font>
    <font>
      <sz val="9"/>
      <color indexed="81"/>
      <name val="Tahoma"/>
      <family val="2"/>
    </font>
    <font>
      <b/>
      <sz val="9"/>
      <color indexed="81"/>
      <name val="Tahoma"/>
      <family val="2"/>
    </font>
    <font>
      <u/>
      <sz val="11"/>
      <color theme="10"/>
      <name val="Calibri"/>
      <family val="2"/>
      <scheme val="minor"/>
    </font>
  </fonts>
  <fills count="25">
    <fill>
      <patternFill patternType="none"/>
    </fill>
    <fill>
      <patternFill patternType="gray125"/>
    </fill>
    <fill>
      <patternFill patternType="solid">
        <fgColor theme="9" tint="0.39997558519241921"/>
        <bgColor indexed="64"/>
      </patternFill>
    </fill>
    <fill>
      <patternFill patternType="solid">
        <fgColor rgb="FF002060"/>
        <bgColor indexed="64"/>
      </patternFill>
    </fill>
    <fill>
      <patternFill patternType="solid">
        <fgColor theme="8" tint="0.79998168889431442"/>
        <bgColor indexed="64"/>
      </patternFill>
    </fill>
    <fill>
      <patternFill patternType="solid">
        <fgColor rgb="FFFFFF00"/>
        <bgColor indexed="64"/>
      </patternFill>
    </fill>
    <fill>
      <patternFill patternType="solid">
        <fgColor theme="5"/>
        <bgColor indexed="64"/>
      </patternFill>
    </fill>
    <fill>
      <patternFill patternType="solid">
        <fgColor theme="8" tint="-0.249977111117893"/>
        <bgColor indexed="64"/>
      </patternFill>
    </fill>
    <fill>
      <patternFill patternType="solid">
        <fgColor theme="9" tint="0.59999389629810485"/>
        <bgColor indexed="64"/>
      </patternFill>
    </fill>
    <fill>
      <patternFill patternType="solid">
        <fgColor rgb="FFFFD966"/>
        <bgColor indexed="64"/>
      </patternFill>
    </fill>
    <fill>
      <patternFill patternType="solid">
        <fgColor theme="6" tint="0.39997558519241921"/>
        <bgColor indexed="64"/>
      </patternFill>
    </fill>
    <fill>
      <patternFill patternType="solid">
        <fgColor theme="4" tint="0.79998168889431442"/>
        <bgColor indexed="64"/>
      </patternFill>
    </fill>
    <fill>
      <patternFill patternType="solid">
        <fgColor theme="7" tint="-0.499984740745262"/>
        <bgColor indexed="64"/>
      </patternFill>
    </fill>
    <fill>
      <patternFill patternType="solid">
        <fgColor theme="5" tint="-0.49998474074526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2" tint="-0.249977111117893"/>
        <bgColor indexed="64"/>
      </patternFill>
    </fill>
    <fill>
      <patternFill patternType="solid">
        <fgColor theme="6" tint="0.59999389629810485"/>
        <bgColor indexed="64"/>
      </patternFill>
    </fill>
    <fill>
      <patternFill patternType="solid">
        <fgColor theme="6"/>
        <bgColor indexed="64"/>
      </patternFill>
    </fill>
    <fill>
      <patternFill patternType="solid">
        <fgColor theme="6" tint="0.79998168889431442"/>
        <bgColor indexed="64"/>
      </patternFill>
    </fill>
    <fill>
      <patternFill patternType="solid">
        <fgColor theme="7" tint="0.39997558519241921"/>
        <bgColor indexed="64"/>
      </patternFill>
    </fill>
    <fill>
      <patternFill patternType="solid">
        <fgColor theme="5" tint="0.39997558519241921"/>
        <bgColor indexed="64"/>
      </patternFill>
    </fill>
  </fills>
  <borders count="14">
    <border>
      <left/>
      <right/>
      <top/>
      <bottom/>
      <diagonal/>
    </border>
    <border>
      <left/>
      <right/>
      <top/>
      <bottom style="thin">
        <color indexed="64"/>
      </bottom>
      <diagonal/>
    </border>
    <border>
      <left/>
      <right/>
      <top style="thin">
        <color indexed="64"/>
      </top>
      <bottom style="thin">
        <color indexed="64"/>
      </bottom>
      <diagonal/>
    </border>
    <border>
      <left/>
      <right/>
      <top/>
      <bottom style="dotted">
        <color theme="5" tint="0.39994506668294322"/>
      </bottom>
      <diagonal/>
    </border>
    <border>
      <left style="dotted">
        <color theme="5" tint="-0.499984740745262"/>
      </left>
      <right/>
      <top/>
      <bottom style="thin">
        <color indexed="64"/>
      </bottom>
      <diagonal/>
    </border>
    <border>
      <left style="dotted">
        <color theme="5" tint="-0.499984740745262"/>
      </left>
      <right/>
      <top/>
      <bottom/>
      <diagonal/>
    </border>
    <border>
      <left style="dotted">
        <color theme="5" tint="-0.499984740745262"/>
      </left>
      <right/>
      <top/>
      <bottom style="dotted">
        <color theme="5" tint="0.39994506668294322"/>
      </bottom>
      <diagonal/>
    </border>
    <border>
      <left style="dotted">
        <color theme="5" tint="-0.499984740745262"/>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double">
        <color indexed="64"/>
      </bottom>
      <diagonal/>
    </border>
  </borders>
  <cellStyleXfs count="7">
    <xf numFmtId="0" fontId="0" fillId="0" borderId="0"/>
    <xf numFmtId="43" fontId="1" fillId="0" borderId="0" applyFont="0" applyFill="0" applyBorder="0" applyAlignment="0" applyProtection="0"/>
    <xf numFmtId="9" fontId="1" fillId="0" borderId="0" applyFont="0" applyFill="0" applyBorder="0" applyAlignment="0" applyProtection="0"/>
    <xf numFmtId="0" fontId="4" fillId="0" borderId="0"/>
    <xf numFmtId="9" fontId="4" fillId="0" borderId="0" applyFont="0" applyFill="0" applyBorder="0" applyAlignment="0" applyProtection="0"/>
    <xf numFmtId="9" fontId="35" fillId="0" borderId="0" applyFont="0" applyFill="0" applyBorder="0" applyAlignment="0" applyProtection="0"/>
    <xf numFmtId="0" fontId="45" fillId="0" borderId="0" applyNumberFormat="0" applyFill="0" applyBorder="0" applyAlignment="0" applyProtection="0"/>
  </cellStyleXfs>
  <cellXfs count="372">
    <xf numFmtId="0" fontId="0" fillId="0" borderId="0" xfId="0"/>
    <xf numFmtId="0" fontId="5" fillId="0" borderId="0" xfId="3" applyFont="1" applyAlignment="1">
      <alignment vertical="center"/>
    </xf>
    <xf numFmtId="0" fontId="5" fillId="0" borderId="0" xfId="3" applyFont="1" applyAlignment="1">
      <alignment horizontal="left" vertical="center"/>
    </xf>
    <xf numFmtId="0" fontId="5" fillId="0" borderId="0" xfId="3" applyFont="1" applyAlignment="1">
      <alignment horizontal="center" vertical="center"/>
    </xf>
    <xf numFmtId="2" fontId="10" fillId="0" borderId="0" xfId="3" applyNumberFormat="1" applyFont="1" applyAlignment="1">
      <alignment horizontal="center" vertical="center"/>
    </xf>
    <xf numFmtId="2" fontId="5" fillId="0" borderId="0" xfId="3" applyNumberFormat="1" applyFont="1" applyAlignment="1">
      <alignment vertical="center"/>
    </xf>
    <xf numFmtId="43" fontId="5" fillId="0" borderId="0" xfId="1" applyFont="1" applyAlignment="1">
      <alignment vertical="center"/>
    </xf>
    <xf numFmtId="1" fontId="5" fillId="0" borderId="0" xfId="3" applyNumberFormat="1" applyFont="1" applyAlignment="1">
      <alignment horizontal="center" vertical="center"/>
    </xf>
    <xf numFmtId="0" fontId="6" fillId="4" borderId="2" xfId="3" applyFont="1" applyFill="1" applyBorder="1" applyAlignment="1">
      <alignment horizontal="left" vertical="center"/>
    </xf>
    <xf numFmtId="2" fontId="6" fillId="4" borderId="2" xfId="3" applyNumberFormat="1" applyFont="1" applyFill="1" applyBorder="1" applyAlignment="1">
      <alignment horizontal="center" vertical="center"/>
    </xf>
    <xf numFmtId="0" fontId="11" fillId="0" borderId="0" xfId="3" applyFont="1" applyAlignment="1">
      <alignment horizontal="left" vertical="center"/>
    </xf>
    <xf numFmtId="2" fontId="11" fillId="0" borderId="0" xfId="3" applyNumberFormat="1" applyFont="1" applyAlignment="1">
      <alignment horizontal="center" vertical="center"/>
    </xf>
    <xf numFmtId="0" fontId="9" fillId="3" borderId="2" xfId="3" applyFont="1" applyFill="1" applyBorder="1" applyAlignment="1">
      <alignment horizontal="left" vertical="center"/>
    </xf>
    <xf numFmtId="2" fontId="9" fillId="3" borderId="2" xfId="3" applyNumberFormat="1" applyFont="1" applyFill="1" applyBorder="1" applyAlignment="1">
      <alignment horizontal="center" vertical="center"/>
    </xf>
    <xf numFmtId="0" fontId="11" fillId="0" borderId="0" xfId="3" applyFont="1" applyAlignment="1">
      <alignment vertical="center" wrapText="1"/>
    </xf>
    <xf numFmtId="9" fontId="11" fillId="0" borderId="0" xfId="3" applyNumberFormat="1" applyFont="1" applyAlignment="1">
      <alignment horizontal="center" vertical="center"/>
    </xf>
    <xf numFmtId="0" fontId="5" fillId="0" borderId="0" xfId="3" applyFont="1" applyAlignment="1">
      <alignment vertical="center" wrapText="1"/>
    </xf>
    <xf numFmtId="9" fontId="5" fillId="0" borderId="0" xfId="3" applyNumberFormat="1" applyFont="1" applyAlignment="1">
      <alignment horizontal="center" vertical="center"/>
    </xf>
    <xf numFmtId="2" fontId="5" fillId="0" borderId="0" xfId="3" applyNumberFormat="1" applyFont="1" applyAlignment="1">
      <alignment horizontal="center" vertical="center"/>
    </xf>
    <xf numFmtId="0" fontId="9" fillId="3" borderId="0" xfId="3" applyFont="1" applyFill="1" applyAlignment="1">
      <alignment vertical="center"/>
    </xf>
    <xf numFmtId="2" fontId="9" fillId="3" borderId="0" xfId="3" applyNumberFormat="1" applyFont="1" applyFill="1" applyAlignment="1">
      <alignment horizontal="center" vertical="center"/>
    </xf>
    <xf numFmtId="43" fontId="6" fillId="0" borderId="0" xfId="3" applyNumberFormat="1" applyFont="1" applyAlignment="1">
      <alignment vertical="center"/>
    </xf>
    <xf numFmtId="43" fontId="5" fillId="0" borderId="0" xfId="3" applyNumberFormat="1" applyFont="1" applyAlignment="1">
      <alignment vertical="center"/>
    </xf>
    <xf numFmtId="9" fontId="5" fillId="0" borderId="0" xfId="3" applyNumberFormat="1" applyFont="1" applyAlignment="1">
      <alignment horizontal="left" vertical="center"/>
    </xf>
    <xf numFmtId="43" fontId="5" fillId="0" borderId="0" xfId="1" applyFont="1" applyAlignment="1">
      <alignment horizontal="center" vertical="center"/>
    </xf>
    <xf numFmtId="43" fontId="5" fillId="0" borderId="0" xfId="3" applyNumberFormat="1" applyFont="1" applyAlignment="1">
      <alignment horizontal="center" vertical="center"/>
    </xf>
    <xf numFmtId="0" fontId="7" fillId="7" borderId="0" xfId="3" applyFont="1" applyFill="1" applyAlignment="1">
      <alignment horizontal="left" vertical="center"/>
    </xf>
    <xf numFmtId="0" fontId="8" fillId="7" borderId="0" xfId="3" applyFont="1" applyFill="1" applyAlignment="1">
      <alignment horizontal="left" vertical="center"/>
    </xf>
    <xf numFmtId="0" fontId="12" fillId="6" borderId="0" xfId="3" applyFont="1" applyFill="1" applyAlignment="1">
      <alignment horizontal="left" vertical="center"/>
    </xf>
    <xf numFmtId="0" fontId="13" fillId="6" borderId="0" xfId="3" applyFont="1" applyFill="1" applyAlignment="1">
      <alignment horizontal="left" vertical="center"/>
    </xf>
    <xf numFmtId="0" fontId="9" fillId="6" borderId="0" xfId="3" applyFont="1" applyFill="1" applyAlignment="1">
      <alignment horizontal="left" vertical="center"/>
    </xf>
    <xf numFmtId="0" fontId="5" fillId="0" borderId="0" xfId="0" applyFont="1" applyAlignment="1">
      <alignment vertical="center"/>
    </xf>
    <xf numFmtId="0" fontId="5" fillId="0" borderId="0" xfId="0" applyFont="1" applyAlignment="1">
      <alignment horizontal="left" vertical="center"/>
    </xf>
    <xf numFmtId="0" fontId="7" fillId="3" borderId="0" xfId="0" applyFont="1" applyFill="1" applyAlignment="1">
      <alignment horizontal="left" vertical="center"/>
    </xf>
    <xf numFmtId="0" fontId="8" fillId="3" borderId="0" xfId="0" applyFont="1" applyFill="1" applyAlignment="1">
      <alignment horizontal="left" vertical="center"/>
    </xf>
    <xf numFmtId="0" fontId="9" fillId="3" borderId="1" xfId="0" applyFont="1" applyFill="1" applyBorder="1" applyAlignment="1">
      <alignment vertical="center"/>
    </xf>
    <xf numFmtId="0" fontId="6" fillId="4" borderId="0" xfId="0" applyFont="1" applyFill="1" applyAlignment="1">
      <alignment horizontal="left" vertical="center"/>
    </xf>
    <xf numFmtId="0" fontId="6" fillId="4" borderId="0" xfId="0" applyFont="1" applyFill="1" applyAlignment="1">
      <alignment horizontal="center" vertical="center"/>
    </xf>
    <xf numFmtId="15" fontId="10" fillId="0" borderId="0" xfId="0" applyNumberFormat="1" applyFont="1" applyAlignment="1">
      <alignment horizontal="center" vertical="center"/>
    </xf>
    <xf numFmtId="166" fontId="10" fillId="0" borderId="0" xfId="1" applyNumberFormat="1" applyFont="1" applyAlignment="1">
      <alignment horizontal="center" vertical="center"/>
    </xf>
    <xf numFmtId="167" fontId="10" fillId="0" borderId="0" xfId="1" applyNumberFormat="1" applyFont="1" applyAlignment="1">
      <alignment horizontal="center" vertical="center"/>
    </xf>
    <xf numFmtId="0" fontId="5" fillId="0" borderId="0" xfId="0" applyFont="1"/>
    <xf numFmtId="0" fontId="5" fillId="0" borderId="0" xfId="0" applyFont="1" applyAlignment="1">
      <alignment vertical="center" wrapText="1"/>
    </xf>
    <xf numFmtId="0" fontId="10" fillId="0" borderId="0" xfId="0" applyFont="1" applyAlignment="1">
      <alignment horizontal="center" vertical="center"/>
    </xf>
    <xf numFmtId="9" fontId="5" fillId="0" borderId="0" xfId="0" applyNumberFormat="1" applyFont="1" applyAlignment="1">
      <alignment horizontal="center" vertical="center"/>
    </xf>
    <xf numFmtId="0" fontId="6" fillId="4" borderId="2" xfId="0" applyFont="1" applyFill="1" applyBorder="1" applyAlignment="1">
      <alignment horizontal="left" vertical="center"/>
    </xf>
    <xf numFmtId="9" fontId="10" fillId="0" borderId="0" xfId="0" applyNumberFormat="1" applyFont="1" applyAlignment="1">
      <alignment horizontal="center" vertical="center"/>
    </xf>
    <xf numFmtId="10" fontId="10" fillId="0" borderId="0" xfId="0" applyNumberFormat="1" applyFont="1" applyAlignment="1">
      <alignment horizontal="center" vertical="center"/>
    </xf>
    <xf numFmtId="0" fontId="11" fillId="0" borderId="0" xfId="0" applyFont="1" applyAlignment="1">
      <alignment vertical="center" wrapText="1"/>
    </xf>
    <xf numFmtId="4" fontId="10" fillId="0" borderId="0" xfId="0" applyNumberFormat="1" applyFont="1" applyAlignment="1">
      <alignment horizontal="center" vertical="center"/>
    </xf>
    <xf numFmtId="0" fontId="11" fillId="0" borderId="0" xfId="0" applyFont="1" applyAlignment="1">
      <alignment horizontal="left" vertical="center" wrapText="1"/>
    </xf>
    <xf numFmtId="0" fontId="6" fillId="0" borderId="2" xfId="0" applyFont="1" applyBorder="1" applyAlignment="1">
      <alignment horizontal="left" vertical="center"/>
    </xf>
    <xf numFmtId="4" fontId="6" fillId="0" borderId="2" xfId="0" applyNumberFormat="1" applyFont="1" applyBorder="1" applyAlignment="1">
      <alignment horizontal="center" vertical="center"/>
    </xf>
    <xf numFmtId="4" fontId="14" fillId="0" borderId="2" xfId="0" applyNumberFormat="1" applyFont="1" applyBorder="1" applyAlignment="1">
      <alignment horizontal="center" vertical="center"/>
    </xf>
    <xf numFmtId="0" fontId="11" fillId="0" borderId="0" xfId="0" applyFont="1" applyAlignment="1">
      <alignment horizontal="left" vertical="center"/>
    </xf>
    <xf numFmtId="3" fontId="10" fillId="0" borderId="0" xfId="0" applyNumberFormat="1" applyFont="1" applyAlignment="1">
      <alignment horizontal="center" vertical="center"/>
    </xf>
    <xf numFmtId="4" fontId="11" fillId="0" borderId="0" xfId="0" applyNumberFormat="1" applyFont="1" applyAlignment="1">
      <alignment horizontal="center" vertical="center"/>
    </xf>
    <xf numFmtId="10" fontId="10" fillId="0" borderId="0" xfId="2" applyNumberFormat="1" applyFont="1" applyAlignment="1">
      <alignment horizontal="center" vertical="center"/>
    </xf>
    <xf numFmtId="9" fontId="10" fillId="0" borderId="0" xfId="2" applyFont="1" applyAlignment="1">
      <alignment horizontal="center" vertical="center"/>
    </xf>
    <xf numFmtId="0" fontId="5" fillId="0" borderId="0" xfId="0" applyFont="1" applyAlignment="1">
      <alignment horizontal="left" vertical="center" wrapText="1"/>
    </xf>
    <xf numFmtId="2" fontId="10" fillId="0" borderId="0" xfId="0" applyNumberFormat="1" applyFont="1" applyAlignment="1">
      <alignment horizontal="center" vertical="center"/>
    </xf>
    <xf numFmtId="10" fontId="5" fillId="0" borderId="0" xfId="0" applyNumberFormat="1" applyFont="1" applyAlignment="1">
      <alignment vertical="center"/>
    </xf>
    <xf numFmtId="0" fontId="16" fillId="0" borderId="0" xfId="0" applyFont="1" applyAlignment="1">
      <alignment vertical="center"/>
    </xf>
    <xf numFmtId="0" fontId="6" fillId="0" borderId="2" xfId="0" applyFont="1" applyBorder="1" applyAlignment="1">
      <alignment vertical="center"/>
    </xf>
    <xf numFmtId="10" fontId="6" fillId="0" borderId="2" xfId="0" applyNumberFormat="1" applyFont="1" applyBorder="1" applyAlignment="1">
      <alignment horizontal="center" vertical="center"/>
    </xf>
    <xf numFmtId="9" fontId="14" fillId="0" borderId="2" xfId="0" applyNumberFormat="1" applyFont="1" applyBorder="1" applyAlignment="1">
      <alignment horizontal="center" vertical="center"/>
    </xf>
    <xf numFmtId="9" fontId="5" fillId="0" borderId="0" xfId="0" applyNumberFormat="1" applyFont="1" applyAlignment="1">
      <alignment vertical="center"/>
    </xf>
    <xf numFmtId="0" fontId="9" fillId="3" borderId="1" xfId="0" applyFont="1" applyFill="1" applyBorder="1" applyAlignment="1">
      <alignment horizontal="center" vertical="center"/>
    </xf>
    <xf numFmtId="0" fontId="5" fillId="0" borderId="0" xfId="0" applyFont="1" applyAlignment="1">
      <alignment horizontal="center" vertical="center"/>
    </xf>
    <xf numFmtId="1" fontId="11" fillId="0" borderId="0" xfId="0" applyNumberFormat="1" applyFont="1" applyAlignment="1">
      <alignment horizontal="center" vertical="center"/>
    </xf>
    <xf numFmtId="0" fontId="0" fillId="0" borderId="0" xfId="0" applyAlignment="1">
      <alignment vertical="center"/>
    </xf>
    <xf numFmtId="0" fontId="7" fillId="3" borderId="0" xfId="0" applyFont="1" applyFill="1" applyAlignment="1">
      <alignment vertical="center"/>
    </xf>
    <xf numFmtId="0" fontId="8" fillId="3" borderId="0" xfId="0" applyFont="1" applyFill="1" applyAlignment="1">
      <alignment horizontal="center" vertical="center"/>
    </xf>
    <xf numFmtId="0" fontId="9" fillId="3" borderId="0" xfId="0" applyFont="1" applyFill="1" applyAlignment="1">
      <alignment vertical="center"/>
    </xf>
    <xf numFmtId="0" fontId="9" fillId="3" borderId="0" xfId="0" applyFont="1" applyFill="1" applyAlignment="1">
      <alignment horizontal="center" vertical="center"/>
    </xf>
    <xf numFmtId="170" fontId="9" fillId="3" borderId="0" xfId="0" applyNumberFormat="1" applyFont="1" applyFill="1" applyAlignment="1">
      <alignment horizontal="center" vertical="center"/>
    </xf>
    <xf numFmtId="0" fontId="18" fillId="11" borderId="0" xfId="0" applyFont="1" applyFill="1" applyAlignment="1">
      <alignment vertical="center"/>
    </xf>
    <xf numFmtId="0" fontId="18" fillId="11" borderId="0" xfId="0" applyFont="1" applyFill="1" applyAlignment="1">
      <alignment horizontal="center" vertical="center"/>
    </xf>
    <xf numFmtId="1" fontId="18" fillId="9" borderId="0" xfId="0" applyNumberFormat="1" applyFont="1" applyFill="1" applyAlignment="1">
      <alignment horizontal="center" vertical="center"/>
    </xf>
    <xf numFmtId="1" fontId="18" fillId="11" borderId="0" xfId="0" applyNumberFormat="1" applyFont="1" applyFill="1" applyAlignment="1">
      <alignment horizontal="center" vertical="center"/>
    </xf>
    <xf numFmtId="0" fontId="19" fillId="0" borderId="0" xfId="0" applyFont="1" applyAlignment="1">
      <alignment vertical="center"/>
    </xf>
    <xf numFmtId="0" fontId="20" fillId="11" borderId="0" xfId="0" applyFont="1" applyFill="1" applyAlignment="1">
      <alignment vertical="center"/>
    </xf>
    <xf numFmtId="0" fontId="20" fillId="11" borderId="0" xfId="0" applyFont="1" applyFill="1" applyAlignment="1">
      <alignment horizontal="center" vertical="center"/>
    </xf>
    <xf numFmtId="0" fontId="16" fillId="11" borderId="0" xfId="0" applyFont="1" applyFill="1" applyAlignment="1">
      <alignment vertical="center"/>
    </xf>
    <xf numFmtId="0" fontId="5" fillId="11" borderId="0" xfId="0" applyFont="1" applyFill="1" applyAlignment="1">
      <alignment vertical="center"/>
    </xf>
    <xf numFmtId="2" fontId="5" fillId="11" borderId="0" xfId="0" applyNumberFormat="1" applyFont="1" applyFill="1" applyAlignment="1">
      <alignment horizontal="center" vertical="center"/>
    </xf>
    <xf numFmtId="2" fontId="5" fillId="0" borderId="0" xfId="0" applyNumberFormat="1" applyFont="1" applyAlignment="1">
      <alignment horizontal="center" vertical="center"/>
    </xf>
    <xf numFmtId="1" fontId="5" fillId="0" borderId="0" xfId="0" applyNumberFormat="1" applyFont="1" applyAlignment="1">
      <alignment horizontal="center" vertical="center"/>
    </xf>
    <xf numFmtId="10" fontId="5" fillId="0" borderId="0" xfId="2" applyNumberFormat="1" applyFont="1" applyAlignment="1">
      <alignment horizontal="center" vertical="center"/>
    </xf>
    <xf numFmtId="0" fontId="21" fillId="0" borderId="0" xfId="0" applyFont="1" applyAlignment="1">
      <alignment vertical="center"/>
    </xf>
    <xf numFmtId="9" fontId="22" fillId="0" borderId="0" xfId="0" applyNumberFormat="1" applyFont="1" applyAlignment="1">
      <alignment horizontal="center" vertical="center"/>
    </xf>
    <xf numFmtId="171" fontId="5" fillId="0" borderId="0" xfId="1" applyNumberFormat="1" applyFont="1" applyAlignment="1">
      <alignment horizontal="center" vertical="center"/>
    </xf>
    <xf numFmtId="171" fontId="5" fillId="0" borderId="0" xfId="1" applyNumberFormat="1" applyFont="1" applyAlignment="1">
      <alignment vertical="center"/>
    </xf>
    <xf numFmtId="0" fontId="23" fillId="0" borderId="2" xfId="0" applyFont="1" applyBorder="1" applyAlignment="1">
      <alignment vertical="center"/>
    </xf>
    <xf numFmtId="9" fontId="24" fillId="0" borderId="2" xfId="0" applyNumberFormat="1" applyFont="1" applyBorder="1" applyAlignment="1">
      <alignment horizontal="center" vertical="center"/>
    </xf>
    <xf numFmtId="171" fontId="23" fillId="0" borderId="2" xfId="1" applyNumberFormat="1" applyFont="1" applyBorder="1" applyAlignment="1">
      <alignment vertical="center"/>
    </xf>
    <xf numFmtId="0" fontId="9" fillId="3" borderId="2" xfId="0" applyFont="1" applyFill="1" applyBorder="1" applyAlignment="1">
      <alignment vertical="center"/>
    </xf>
    <xf numFmtId="2" fontId="9" fillId="3" borderId="2" xfId="0" applyNumberFormat="1" applyFont="1" applyFill="1" applyBorder="1" applyAlignment="1">
      <alignment horizontal="center" vertical="center"/>
    </xf>
    <xf numFmtId="3" fontId="5" fillId="0" borderId="0" xfId="0" applyNumberFormat="1" applyFont="1" applyAlignment="1">
      <alignment horizontal="center" vertical="center"/>
    </xf>
    <xf numFmtId="3" fontId="11" fillId="0" borderId="0" xfId="0" applyNumberFormat="1" applyFont="1" applyAlignment="1">
      <alignment horizontal="center" vertical="center"/>
    </xf>
    <xf numFmtId="0" fontId="6" fillId="11" borderId="2" xfId="0" applyFont="1" applyFill="1" applyBorder="1" applyAlignment="1">
      <alignment vertical="center"/>
    </xf>
    <xf numFmtId="2" fontId="6" fillId="11" borderId="2" xfId="0" applyNumberFormat="1" applyFont="1" applyFill="1" applyBorder="1" applyAlignment="1">
      <alignment horizontal="center" vertical="center"/>
    </xf>
    <xf numFmtId="4" fontId="5" fillId="0" borderId="0" xfId="0" applyNumberFormat="1" applyFont="1" applyAlignment="1">
      <alignment horizontal="center" vertical="center"/>
    </xf>
    <xf numFmtId="0" fontId="6" fillId="4" borderId="2" xfId="0" applyFont="1" applyFill="1" applyBorder="1" applyAlignment="1">
      <alignment vertical="center"/>
    </xf>
    <xf numFmtId="2" fontId="6" fillId="4" borderId="2" xfId="0" applyNumberFormat="1" applyFont="1" applyFill="1" applyBorder="1" applyAlignment="1">
      <alignment horizontal="center" vertical="center"/>
    </xf>
    <xf numFmtId="0" fontId="12" fillId="6" borderId="0" xfId="3" applyFont="1" applyFill="1" applyAlignment="1">
      <alignment vertical="center"/>
    </xf>
    <xf numFmtId="0" fontId="7" fillId="7" borderId="0" xfId="3" applyFont="1" applyFill="1" applyAlignment="1">
      <alignment vertical="center"/>
    </xf>
    <xf numFmtId="169" fontId="5" fillId="0" borderId="0" xfId="0" applyNumberFormat="1" applyFont="1" applyAlignment="1">
      <alignment horizontal="center" vertical="center"/>
    </xf>
    <xf numFmtId="10" fontId="0" fillId="0" borderId="0" xfId="0" applyNumberFormat="1" applyAlignment="1">
      <alignment horizontal="center"/>
    </xf>
    <xf numFmtId="3" fontId="25" fillId="0" borderId="0" xfId="0" applyNumberFormat="1" applyFont="1" applyAlignment="1">
      <alignment horizontal="center" vertical="center"/>
    </xf>
    <xf numFmtId="2" fontId="25" fillId="0" borderId="0" xfId="0" applyNumberFormat="1" applyFont="1" applyAlignment="1">
      <alignment horizontal="center" vertical="center"/>
    </xf>
    <xf numFmtId="10" fontId="25" fillId="0" borderId="0" xfId="0" applyNumberFormat="1" applyFont="1" applyAlignment="1">
      <alignment horizontal="center" vertical="center"/>
    </xf>
    <xf numFmtId="10" fontId="25" fillId="0" borderId="0" xfId="2" applyNumberFormat="1" applyFont="1" applyAlignment="1">
      <alignment horizontal="center" vertical="center"/>
    </xf>
    <xf numFmtId="10" fontId="26" fillId="0" borderId="0" xfId="2" applyNumberFormat="1" applyFont="1" applyAlignment="1">
      <alignment horizontal="center" vertical="center"/>
    </xf>
    <xf numFmtId="169" fontId="25" fillId="0" borderId="0" xfId="0" applyNumberFormat="1" applyFont="1" applyAlignment="1">
      <alignment horizontal="center" vertical="center"/>
    </xf>
    <xf numFmtId="9" fontId="11" fillId="0" borderId="0" xfId="0" applyNumberFormat="1" applyFont="1" applyAlignment="1">
      <alignment horizontal="center" vertical="center"/>
    </xf>
    <xf numFmtId="9" fontId="26" fillId="0" borderId="0" xfId="2" applyFont="1" applyAlignment="1">
      <alignment horizontal="center" vertical="center"/>
    </xf>
    <xf numFmtId="0" fontId="27" fillId="0" borderId="0" xfId="0" applyFont="1" applyAlignment="1">
      <alignment vertical="center"/>
    </xf>
    <xf numFmtId="2" fontId="0" fillId="0" borderId="0" xfId="0" applyNumberFormat="1" applyAlignment="1">
      <alignment vertical="center"/>
    </xf>
    <xf numFmtId="2" fontId="0" fillId="0" borderId="0" xfId="0" applyNumberFormat="1" applyAlignment="1">
      <alignment horizontal="center" vertical="center"/>
    </xf>
    <xf numFmtId="0" fontId="0" fillId="0" borderId="0" xfId="0" applyAlignment="1">
      <alignment horizontal="center" vertical="center"/>
    </xf>
    <xf numFmtId="0" fontId="9" fillId="12" borderId="2" xfId="0" applyFont="1" applyFill="1" applyBorder="1" applyAlignment="1">
      <alignment vertical="center"/>
    </xf>
    <xf numFmtId="2" fontId="9" fillId="12" borderId="2" xfId="0" applyNumberFormat="1" applyFont="1" applyFill="1" applyBorder="1" applyAlignment="1">
      <alignment horizontal="center" vertical="center"/>
    </xf>
    <xf numFmtId="0" fontId="9" fillId="13" borderId="2" xfId="0" applyFont="1" applyFill="1" applyBorder="1" applyAlignment="1">
      <alignment vertical="center"/>
    </xf>
    <xf numFmtId="2" fontId="9" fillId="13" borderId="2" xfId="0" applyNumberFormat="1" applyFont="1" applyFill="1" applyBorder="1" applyAlignment="1">
      <alignment horizontal="center" vertical="center"/>
    </xf>
    <xf numFmtId="0" fontId="5" fillId="0" borderId="0" xfId="0" applyFont="1" applyAlignment="1">
      <alignment horizontal="right" vertical="center" wrapText="1"/>
    </xf>
    <xf numFmtId="0" fontId="6" fillId="0" borderId="0" xfId="0" applyFont="1" applyAlignment="1">
      <alignment horizontal="left" vertical="center" wrapText="1"/>
    </xf>
    <xf numFmtId="4" fontId="6" fillId="0" borderId="0" xfId="0" applyNumberFormat="1" applyFont="1" applyAlignment="1">
      <alignment horizontal="center" vertical="center"/>
    </xf>
    <xf numFmtId="0" fontId="6" fillId="0" borderId="0" xfId="0" applyFont="1" applyAlignment="1">
      <alignment horizontal="center" vertical="center"/>
    </xf>
    <xf numFmtId="3" fontId="28" fillId="0" borderId="0" xfId="0" applyNumberFormat="1" applyFont="1" applyAlignment="1">
      <alignment horizontal="center" vertical="center"/>
    </xf>
    <xf numFmtId="0" fontId="3" fillId="0" borderId="0" xfId="0" applyFont="1"/>
    <xf numFmtId="0" fontId="3" fillId="0" borderId="0" xfId="0" applyFont="1" applyAlignment="1">
      <alignment horizontal="center"/>
    </xf>
    <xf numFmtId="2" fontId="6" fillId="0" borderId="2" xfId="0" applyNumberFormat="1" applyFont="1" applyBorder="1" applyAlignment="1">
      <alignment horizontal="center" vertical="center"/>
    </xf>
    <xf numFmtId="2" fontId="5" fillId="0" borderId="0" xfId="0" applyNumberFormat="1" applyFont="1" applyAlignment="1">
      <alignment vertical="center"/>
    </xf>
    <xf numFmtId="2" fontId="9" fillId="3" borderId="0" xfId="0" applyNumberFormat="1" applyFont="1" applyFill="1" applyAlignment="1">
      <alignment horizontal="center" vertical="center"/>
    </xf>
    <xf numFmtId="0" fontId="6" fillId="4" borderId="0" xfId="0" applyFont="1" applyFill="1" applyAlignment="1">
      <alignment vertical="center"/>
    </xf>
    <xf numFmtId="2" fontId="6" fillId="4" borderId="0" xfId="0" applyNumberFormat="1" applyFont="1" applyFill="1" applyAlignment="1">
      <alignment horizontal="center" vertical="center"/>
    </xf>
    <xf numFmtId="0" fontId="6" fillId="0" borderId="0" xfId="0" applyFont="1" applyAlignment="1">
      <alignment vertical="center"/>
    </xf>
    <xf numFmtId="2" fontId="28" fillId="0" borderId="2" xfId="0" applyNumberFormat="1" applyFont="1" applyBorder="1" applyAlignment="1">
      <alignment horizontal="center" vertical="center"/>
    </xf>
    <xf numFmtId="2" fontId="11" fillId="0" borderId="0" xfId="0" applyNumberFormat="1" applyFont="1" applyAlignment="1">
      <alignment horizontal="center" vertical="center"/>
    </xf>
    <xf numFmtId="0" fontId="29" fillId="0" borderId="0" xfId="0" applyFont="1" applyAlignment="1">
      <alignment vertical="center"/>
    </xf>
    <xf numFmtId="0" fontId="31" fillId="0" borderId="0" xfId="0" applyFont="1" applyAlignment="1">
      <alignment vertical="center"/>
    </xf>
    <xf numFmtId="2" fontId="32" fillId="0" borderId="0" xfId="0" applyNumberFormat="1" applyFont="1" applyAlignment="1">
      <alignment horizontal="center" vertical="center"/>
    </xf>
    <xf numFmtId="0" fontId="2" fillId="3" borderId="0" xfId="0" applyFont="1" applyFill="1" applyAlignment="1">
      <alignment vertical="center"/>
    </xf>
    <xf numFmtId="2" fontId="2" fillId="3" borderId="0" xfId="0" applyNumberFormat="1" applyFont="1" applyFill="1" applyAlignment="1">
      <alignment horizontal="center" vertical="center"/>
    </xf>
    <xf numFmtId="0" fontId="3" fillId="0" borderId="2" xfId="0" applyFont="1" applyBorder="1" applyAlignment="1">
      <alignment vertical="center"/>
    </xf>
    <xf numFmtId="2" fontId="3" fillId="0" borderId="2" xfId="0" applyNumberFormat="1" applyFont="1" applyBorder="1" applyAlignment="1">
      <alignment horizontal="center" vertical="center"/>
    </xf>
    <xf numFmtId="0" fontId="3" fillId="11" borderId="0" xfId="0" applyFont="1" applyFill="1" applyAlignment="1">
      <alignment vertical="center"/>
    </xf>
    <xf numFmtId="2" fontId="3" fillId="11" borderId="0" xfId="0" applyNumberFormat="1" applyFont="1" applyFill="1" applyAlignment="1">
      <alignment horizontal="center" vertical="center"/>
    </xf>
    <xf numFmtId="4" fontId="0" fillId="0" borderId="0" xfId="0" applyNumberFormat="1" applyAlignment="1">
      <alignment horizontal="center" vertical="center"/>
    </xf>
    <xf numFmtId="0" fontId="33" fillId="0" borderId="2" xfId="0" applyFont="1" applyBorder="1" applyAlignment="1">
      <alignment vertical="center"/>
    </xf>
    <xf numFmtId="2" fontId="33" fillId="0" borderId="2" xfId="0" applyNumberFormat="1" applyFont="1" applyBorder="1" applyAlignment="1">
      <alignment horizontal="center" vertical="center"/>
    </xf>
    <xf numFmtId="2" fontId="33" fillId="0" borderId="2" xfId="0" applyNumberFormat="1" applyFont="1" applyBorder="1" applyAlignment="1">
      <alignment vertical="center"/>
    </xf>
    <xf numFmtId="2" fontId="29" fillId="0" borderId="0" xfId="0" applyNumberFormat="1" applyFont="1" applyAlignment="1">
      <alignment horizontal="center" vertical="center"/>
    </xf>
    <xf numFmtId="0" fontId="3" fillId="11" borderId="2" xfId="0" applyFont="1" applyFill="1" applyBorder="1" applyAlignment="1">
      <alignment vertical="center"/>
    </xf>
    <xf numFmtId="2" fontId="3" fillId="11" borderId="2" xfId="0" applyNumberFormat="1" applyFont="1" applyFill="1" applyBorder="1" applyAlignment="1">
      <alignment horizontal="center" vertical="center"/>
    </xf>
    <xf numFmtId="0" fontId="11" fillId="0" borderId="0" xfId="0" applyFont="1" applyAlignment="1">
      <alignment vertical="center"/>
    </xf>
    <xf numFmtId="2" fontId="15" fillId="9" borderId="0" xfId="0" applyNumberFormat="1" applyFont="1" applyFill="1" applyAlignment="1">
      <alignment horizontal="center" vertical="center"/>
    </xf>
    <xf numFmtId="9" fontId="9" fillId="3" borderId="0" xfId="0" applyNumberFormat="1" applyFont="1" applyFill="1" applyAlignment="1">
      <alignment horizontal="center" vertical="center"/>
    </xf>
    <xf numFmtId="10" fontId="9" fillId="3" borderId="0" xfId="0" applyNumberFormat="1" applyFont="1" applyFill="1" applyAlignment="1">
      <alignment horizontal="center" vertical="center"/>
    </xf>
    <xf numFmtId="0" fontId="5" fillId="5" borderId="0" xfId="0" applyFont="1" applyFill="1" applyAlignment="1">
      <alignment vertical="center"/>
    </xf>
    <xf numFmtId="2" fontId="5" fillId="5" borderId="0" xfId="0" applyNumberFormat="1" applyFont="1" applyFill="1" applyAlignment="1">
      <alignment horizontal="center" vertical="center"/>
    </xf>
    <xf numFmtId="2" fontId="5" fillId="5" borderId="0" xfId="4" applyNumberFormat="1" applyFont="1" applyFill="1" applyAlignment="1">
      <alignment horizontal="center" vertical="center"/>
    </xf>
    <xf numFmtId="0" fontId="5" fillId="14" borderId="0" xfId="0" applyFont="1" applyFill="1" applyAlignment="1">
      <alignment vertical="center"/>
    </xf>
    <xf numFmtId="2" fontId="5" fillId="14" borderId="0" xfId="0" applyNumberFormat="1" applyFont="1" applyFill="1" applyAlignment="1">
      <alignment horizontal="center" vertical="center"/>
    </xf>
    <xf numFmtId="0" fontId="5" fillId="4" borderId="0" xfId="0" applyFont="1" applyFill="1" applyAlignment="1">
      <alignment vertical="center"/>
    </xf>
    <xf numFmtId="2" fontId="5" fillId="4" borderId="0" xfId="0" applyNumberFormat="1" applyFont="1" applyFill="1" applyAlignment="1">
      <alignment horizontal="center" vertical="center"/>
    </xf>
    <xf numFmtId="0" fontId="6" fillId="15" borderId="2" xfId="0" applyFont="1" applyFill="1" applyBorder="1" applyAlignment="1">
      <alignment vertical="center"/>
    </xf>
    <xf numFmtId="2" fontId="6" fillId="15" borderId="2" xfId="0" applyNumberFormat="1" applyFont="1" applyFill="1" applyBorder="1" applyAlignment="1">
      <alignment horizontal="center" vertical="center"/>
    </xf>
    <xf numFmtId="0" fontId="5" fillId="15" borderId="0" xfId="0" applyFont="1" applyFill="1" applyAlignment="1">
      <alignment vertical="center"/>
    </xf>
    <xf numFmtId="2" fontId="5" fillId="15" borderId="0" xfId="0" applyNumberFormat="1" applyFont="1" applyFill="1" applyAlignment="1">
      <alignment horizontal="center" vertical="center"/>
    </xf>
    <xf numFmtId="9" fontId="0" fillId="0" borderId="0" xfId="2" applyFont="1" applyAlignment="1">
      <alignment vertical="center"/>
    </xf>
    <xf numFmtId="0" fontId="6" fillId="16" borderId="2" xfId="0" applyFont="1" applyFill="1" applyBorder="1" applyAlignment="1">
      <alignment vertical="center"/>
    </xf>
    <xf numFmtId="0" fontId="5" fillId="16" borderId="2" xfId="0" applyFont="1" applyFill="1" applyBorder="1" applyAlignment="1">
      <alignment vertical="center"/>
    </xf>
    <xf numFmtId="2" fontId="5" fillId="16" borderId="2" xfId="0" applyNumberFormat="1" applyFont="1" applyFill="1" applyBorder="1" applyAlignment="1">
      <alignment horizontal="center" vertical="center"/>
    </xf>
    <xf numFmtId="0" fontId="5" fillId="16" borderId="0" xfId="0" applyFont="1" applyFill="1" applyAlignment="1">
      <alignment vertical="center"/>
    </xf>
    <xf numFmtId="2" fontId="5" fillId="16" borderId="0" xfId="0" applyNumberFormat="1" applyFont="1" applyFill="1" applyAlignment="1">
      <alignment horizontal="center" vertical="center"/>
    </xf>
    <xf numFmtId="0" fontId="6" fillId="8" borderId="2" xfId="0" applyFont="1" applyFill="1" applyBorder="1" applyAlignment="1">
      <alignment vertical="center"/>
    </xf>
    <xf numFmtId="2" fontId="6" fillId="8" borderId="2" xfId="0" applyNumberFormat="1" applyFont="1" applyFill="1" applyBorder="1" applyAlignment="1">
      <alignment horizontal="center" vertical="center"/>
    </xf>
    <xf numFmtId="0" fontId="5" fillId="8" borderId="0" xfId="0" applyFont="1" applyFill="1" applyAlignment="1">
      <alignment vertical="center"/>
    </xf>
    <xf numFmtId="2" fontId="5" fillId="8" borderId="0" xfId="0" applyNumberFormat="1" applyFont="1" applyFill="1" applyAlignment="1">
      <alignment horizontal="center" vertical="center"/>
    </xf>
    <xf numFmtId="0" fontId="6" fillId="17" borderId="2" xfId="0" applyFont="1" applyFill="1" applyBorder="1" applyAlignment="1">
      <alignment vertical="center"/>
    </xf>
    <xf numFmtId="2" fontId="6" fillId="17" borderId="2" xfId="0" applyNumberFormat="1" applyFont="1" applyFill="1" applyBorder="1" applyAlignment="1">
      <alignment horizontal="center" vertical="center"/>
    </xf>
    <xf numFmtId="0" fontId="5" fillId="17" borderId="0" xfId="0" applyFont="1" applyFill="1" applyAlignment="1">
      <alignment vertical="center"/>
    </xf>
    <xf numFmtId="2" fontId="5" fillId="17" borderId="0" xfId="0" applyNumberFormat="1" applyFont="1" applyFill="1" applyAlignment="1">
      <alignment horizontal="center" vertical="center"/>
    </xf>
    <xf numFmtId="0" fontId="6" fillId="18" borderId="2" xfId="0" applyFont="1" applyFill="1" applyBorder="1" applyAlignment="1">
      <alignment vertical="center"/>
    </xf>
    <xf numFmtId="2" fontId="6" fillId="18" borderId="2" xfId="0" applyNumberFormat="1" applyFont="1" applyFill="1" applyBorder="1" applyAlignment="1">
      <alignment horizontal="center" vertical="center"/>
    </xf>
    <xf numFmtId="0" fontId="5" fillId="18" borderId="0" xfId="0" applyFont="1" applyFill="1" applyAlignment="1">
      <alignment vertical="center"/>
    </xf>
    <xf numFmtId="2" fontId="5" fillId="18" borderId="0" xfId="0" applyNumberFormat="1" applyFont="1" applyFill="1" applyAlignment="1">
      <alignment horizontal="center" vertical="center"/>
    </xf>
    <xf numFmtId="0" fontId="6" fillId="19" borderId="2" xfId="0" applyFont="1" applyFill="1" applyBorder="1" applyAlignment="1">
      <alignment vertical="center"/>
    </xf>
    <xf numFmtId="2" fontId="6" fillId="19" borderId="2" xfId="0" applyNumberFormat="1" applyFont="1" applyFill="1" applyBorder="1" applyAlignment="1">
      <alignment horizontal="center" vertical="center"/>
    </xf>
    <xf numFmtId="0" fontId="5" fillId="19" borderId="0" xfId="0" applyFont="1" applyFill="1" applyAlignment="1">
      <alignment vertical="center"/>
    </xf>
    <xf numFmtId="2" fontId="5" fillId="19" borderId="0" xfId="0" applyNumberFormat="1" applyFont="1" applyFill="1" applyAlignment="1">
      <alignment horizontal="center" vertical="center"/>
    </xf>
    <xf numFmtId="0" fontId="6" fillId="20" borderId="2" xfId="0" applyFont="1" applyFill="1" applyBorder="1" applyAlignment="1">
      <alignment vertical="center"/>
    </xf>
    <xf numFmtId="2" fontId="6" fillId="20" borderId="2" xfId="0" applyNumberFormat="1" applyFont="1" applyFill="1" applyBorder="1" applyAlignment="1">
      <alignment horizontal="center" vertical="center"/>
    </xf>
    <xf numFmtId="0" fontId="5" fillId="20" borderId="0" xfId="0" applyFont="1" applyFill="1" applyAlignment="1">
      <alignment vertical="center"/>
    </xf>
    <xf numFmtId="2" fontId="5" fillId="20" borderId="0" xfId="0" applyNumberFormat="1" applyFont="1" applyFill="1" applyAlignment="1">
      <alignment horizontal="center" vertical="center"/>
    </xf>
    <xf numFmtId="0" fontId="6" fillId="10" borderId="2" xfId="0" applyFont="1" applyFill="1" applyBorder="1" applyAlignment="1">
      <alignment vertical="center"/>
    </xf>
    <xf numFmtId="2" fontId="6" fillId="10" borderId="2" xfId="0" applyNumberFormat="1" applyFont="1" applyFill="1" applyBorder="1" applyAlignment="1">
      <alignment horizontal="center" vertical="center"/>
    </xf>
    <xf numFmtId="0" fontId="5" fillId="10" borderId="0" xfId="0" applyFont="1" applyFill="1" applyAlignment="1">
      <alignment vertical="center"/>
    </xf>
    <xf numFmtId="2" fontId="5" fillId="10" borderId="0" xfId="0" applyNumberFormat="1" applyFont="1" applyFill="1" applyAlignment="1">
      <alignment horizontal="center" vertical="center"/>
    </xf>
    <xf numFmtId="0" fontId="6" fillId="2" borderId="2" xfId="0" applyFont="1" applyFill="1" applyBorder="1" applyAlignment="1">
      <alignment vertical="center"/>
    </xf>
    <xf numFmtId="2" fontId="6" fillId="2" borderId="2" xfId="0" applyNumberFormat="1" applyFont="1" applyFill="1" applyBorder="1" applyAlignment="1">
      <alignment horizontal="center" vertical="center"/>
    </xf>
    <xf numFmtId="0" fontId="5" fillId="2" borderId="0" xfId="0" applyFont="1" applyFill="1" applyAlignment="1">
      <alignment vertical="center"/>
    </xf>
    <xf numFmtId="2" fontId="5" fillId="2" borderId="0" xfId="0" applyNumberFormat="1" applyFont="1" applyFill="1" applyAlignment="1">
      <alignment horizontal="center" vertical="center"/>
    </xf>
    <xf numFmtId="0" fontId="6" fillId="21" borderId="2" xfId="0" applyFont="1" applyFill="1" applyBorder="1" applyAlignment="1">
      <alignment vertical="center"/>
    </xf>
    <xf numFmtId="2" fontId="6" fillId="21" borderId="2" xfId="0" applyNumberFormat="1" applyFont="1" applyFill="1" applyBorder="1" applyAlignment="1">
      <alignment horizontal="center" vertical="center"/>
    </xf>
    <xf numFmtId="0" fontId="5" fillId="21" borderId="0" xfId="0" applyFont="1" applyFill="1" applyAlignment="1">
      <alignment vertical="center"/>
    </xf>
    <xf numFmtId="2" fontId="5" fillId="21" borderId="0" xfId="0" applyNumberFormat="1" applyFont="1" applyFill="1" applyAlignment="1">
      <alignment horizontal="center" vertical="center"/>
    </xf>
    <xf numFmtId="0" fontId="34" fillId="0" borderId="0" xfId="0" applyFont="1" applyAlignment="1">
      <alignment vertical="center"/>
    </xf>
    <xf numFmtId="43" fontId="34" fillId="0" borderId="0" xfId="1" applyFont="1" applyAlignment="1">
      <alignment vertical="center"/>
    </xf>
    <xf numFmtId="173" fontId="0" fillId="0" borderId="0" xfId="1" applyNumberFormat="1" applyFont="1" applyAlignment="1">
      <alignment horizontal="center" vertical="center"/>
    </xf>
    <xf numFmtId="173" fontId="0" fillId="0" borderId="0" xfId="1" applyNumberFormat="1" applyFont="1" applyAlignment="1">
      <alignment vertical="center"/>
    </xf>
    <xf numFmtId="172" fontId="5" fillId="5" borderId="0" xfId="2" applyNumberFormat="1" applyFont="1" applyFill="1" applyAlignment="1">
      <alignment horizontal="center" vertical="center"/>
    </xf>
    <xf numFmtId="172" fontId="5" fillId="14" borderId="0" xfId="2" applyNumberFormat="1" applyFont="1" applyFill="1" applyAlignment="1">
      <alignment horizontal="center" vertical="center"/>
    </xf>
    <xf numFmtId="172" fontId="6" fillId="4" borderId="2" xfId="2" applyNumberFormat="1" applyFont="1" applyFill="1" applyBorder="1" applyAlignment="1">
      <alignment vertical="center"/>
    </xf>
    <xf numFmtId="172" fontId="5" fillId="4" borderId="0" xfId="2" applyNumberFormat="1" applyFont="1" applyFill="1" applyAlignment="1">
      <alignment horizontal="center" vertical="center"/>
    </xf>
    <xf numFmtId="172" fontId="6" fillId="15" borderId="2" xfId="2" applyNumberFormat="1" applyFont="1" applyFill="1" applyBorder="1" applyAlignment="1">
      <alignment horizontal="center" vertical="center"/>
    </xf>
    <xf numFmtId="172" fontId="5" fillId="15" borderId="0" xfId="2" applyNumberFormat="1" applyFont="1" applyFill="1" applyAlignment="1">
      <alignment horizontal="center" vertical="center"/>
    </xf>
    <xf numFmtId="172" fontId="5" fillId="16" borderId="2" xfId="2" applyNumberFormat="1" applyFont="1" applyFill="1" applyBorder="1" applyAlignment="1">
      <alignment horizontal="center" vertical="center"/>
    </xf>
    <xf numFmtId="172" fontId="5" fillId="16" borderId="0" xfId="2" applyNumberFormat="1" applyFont="1" applyFill="1" applyAlignment="1">
      <alignment horizontal="center" vertical="center"/>
    </xf>
    <xf numFmtId="172" fontId="6" fillId="8" borderId="2" xfId="2" applyNumberFormat="1" applyFont="1" applyFill="1" applyBorder="1" applyAlignment="1">
      <alignment horizontal="center" vertical="center"/>
    </xf>
    <xf numFmtId="172" fontId="5" fillId="8" borderId="0" xfId="2" applyNumberFormat="1" applyFont="1" applyFill="1" applyAlignment="1">
      <alignment horizontal="center" vertical="center"/>
    </xf>
    <xf numFmtId="172" fontId="6" fillId="17" borderId="2" xfId="2" applyNumberFormat="1" applyFont="1" applyFill="1" applyBorder="1" applyAlignment="1">
      <alignment horizontal="center" vertical="center"/>
    </xf>
    <xf numFmtId="172" fontId="5" fillId="17" borderId="0" xfId="2" applyNumberFormat="1" applyFont="1" applyFill="1" applyAlignment="1">
      <alignment horizontal="center" vertical="center"/>
    </xf>
    <xf numFmtId="172" fontId="6" fillId="18" borderId="2" xfId="2" applyNumberFormat="1" applyFont="1" applyFill="1" applyBorder="1" applyAlignment="1">
      <alignment horizontal="center" vertical="center"/>
    </xf>
    <xf numFmtId="172" fontId="5" fillId="18" borderId="0" xfId="2" applyNumberFormat="1" applyFont="1" applyFill="1" applyAlignment="1">
      <alignment horizontal="center" vertical="center"/>
    </xf>
    <xf numFmtId="172" fontId="6" fillId="19" borderId="2" xfId="2" applyNumberFormat="1" applyFont="1" applyFill="1" applyBorder="1" applyAlignment="1">
      <alignment horizontal="center" vertical="center"/>
    </xf>
    <xf numFmtId="172" fontId="5" fillId="19" borderId="0" xfId="2" applyNumberFormat="1" applyFont="1" applyFill="1" applyAlignment="1">
      <alignment horizontal="center" vertical="center"/>
    </xf>
    <xf numFmtId="172" fontId="6" fillId="11" borderId="2" xfId="2" applyNumberFormat="1" applyFont="1" applyFill="1" applyBorder="1" applyAlignment="1">
      <alignment horizontal="center" vertical="center"/>
    </xf>
    <xf numFmtId="172" fontId="5" fillId="11" borderId="0" xfId="2" applyNumberFormat="1" applyFont="1" applyFill="1" applyAlignment="1">
      <alignment horizontal="center" vertical="center"/>
    </xf>
    <xf numFmtId="172" fontId="6" fillId="20" borderId="2" xfId="2" applyNumberFormat="1" applyFont="1" applyFill="1" applyBorder="1" applyAlignment="1">
      <alignment horizontal="center" vertical="center"/>
    </xf>
    <xf numFmtId="172" fontId="5" fillId="20" borderId="0" xfId="2" applyNumberFormat="1" applyFont="1" applyFill="1" applyAlignment="1">
      <alignment horizontal="center" vertical="center"/>
    </xf>
    <xf numFmtId="172" fontId="6" fillId="10" borderId="2" xfId="2" applyNumberFormat="1" applyFont="1" applyFill="1" applyBorder="1" applyAlignment="1">
      <alignment horizontal="center" vertical="center"/>
    </xf>
    <xf numFmtId="172" fontId="5" fillId="10" borderId="0" xfId="2" applyNumberFormat="1" applyFont="1" applyFill="1" applyAlignment="1">
      <alignment horizontal="center" vertical="center"/>
    </xf>
    <xf numFmtId="172" fontId="6" fillId="2" borderId="2" xfId="2" applyNumberFormat="1" applyFont="1" applyFill="1" applyBorder="1" applyAlignment="1">
      <alignment horizontal="center" vertical="center"/>
    </xf>
    <xf numFmtId="172" fontId="5" fillId="2" borderId="0" xfId="2" applyNumberFormat="1" applyFont="1" applyFill="1" applyAlignment="1">
      <alignment horizontal="center" vertical="center"/>
    </xf>
    <xf numFmtId="172" fontId="6" fillId="21" borderId="2" xfId="2" applyNumberFormat="1" applyFont="1" applyFill="1" applyBorder="1" applyAlignment="1">
      <alignment horizontal="center" vertical="center"/>
    </xf>
    <xf numFmtId="172" fontId="5" fillId="21" borderId="0" xfId="2" applyNumberFormat="1" applyFont="1" applyFill="1" applyAlignment="1">
      <alignment horizontal="center" vertical="center"/>
    </xf>
    <xf numFmtId="172" fontId="0" fillId="0" borderId="0" xfId="2" applyNumberFormat="1" applyFont="1" applyAlignment="1">
      <alignment horizontal="center" vertical="center"/>
    </xf>
    <xf numFmtId="172" fontId="0" fillId="0" borderId="0" xfId="2" applyNumberFormat="1" applyFont="1" applyAlignment="1">
      <alignment vertical="center"/>
    </xf>
    <xf numFmtId="0" fontId="17" fillId="10" borderId="0" xfId="0" applyFont="1" applyFill="1" applyAlignment="1">
      <alignment vertical="center"/>
    </xf>
    <xf numFmtId="0" fontId="9" fillId="3" borderId="0" xfId="0" applyFont="1" applyFill="1" applyAlignment="1">
      <alignment horizontal="center" vertical="center" wrapText="1"/>
    </xf>
    <xf numFmtId="10" fontId="10" fillId="0" borderId="0" xfId="5" applyNumberFormat="1" applyFont="1" applyFill="1" applyBorder="1" applyAlignment="1">
      <alignment horizontal="center" vertical="center"/>
    </xf>
    <xf numFmtId="0" fontId="5" fillId="11" borderId="2" xfId="0" applyFont="1" applyFill="1" applyBorder="1" applyAlignment="1">
      <alignment horizontal="center" vertical="center"/>
    </xf>
    <xf numFmtId="0" fontId="6" fillId="11" borderId="0" xfId="0" applyFont="1" applyFill="1" applyAlignment="1">
      <alignment vertical="center"/>
    </xf>
    <xf numFmtId="0" fontId="6" fillId="11" borderId="0" xfId="0" applyFont="1" applyFill="1" applyAlignment="1">
      <alignment horizontal="center" vertical="center"/>
    </xf>
    <xf numFmtId="170" fontId="15" fillId="9" borderId="0" xfId="0" applyNumberFormat="1" applyFont="1" applyFill="1" applyAlignment="1">
      <alignment horizontal="center" vertical="center"/>
    </xf>
    <xf numFmtId="170" fontId="6" fillId="11" borderId="0" xfId="0" applyNumberFormat="1" applyFont="1" applyFill="1" applyAlignment="1">
      <alignment horizontal="center" vertical="center"/>
    </xf>
    <xf numFmtId="0" fontId="6" fillId="22" borderId="0" xfId="0" applyFont="1" applyFill="1" applyAlignment="1">
      <alignment vertical="center"/>
    </xf>
    <xf numFmtId="2" fontId="6" fillId="22" borderId="0" xfId="0" applyNumberFormat="1" applyFont="1" applyFill="1" applyAlignment="1">
      <alignment horizontal="center" vertical="center"/>
    </xf>
    <xf numFmtId="165" fontId="6" fillId="22" borderId="0" xfId="0" applyNumberFormat="1" applyFont="1" applyFill="1" applyAlignment="1">
      <alignment horizontal="center" vertical="center"/>
    </xf>
    <xf numFmtId="0" fontId="5" fillId="22" borderId="0" xfId="0" applyFont="1" applyFill="1" applyAlignment="1">
      <alignment vertical="center"/>
    </xf>
    <xf numFmtId="2" fontId="5" fillId="22" borderId="0" xfId="0" applyNumberFormat="1" applyFont="1" applyFill="1" applyAlignment="1">
      <alignment horizontal="center" vertical="center"/>
    </xf>
    <xf numFmtId="0" fontId="28" fillId="2" borderId="1" xfId="3" applyFont="1" applyFill="1" applyBorder="1" applyAlignment="1">
      <alignment vertical="center"/>
    </xf>
    <xf numFmtId="168" fontId="28" fillId="2" borderId="1" xfId="3" applyNumberFormat="1" applyFont="1" applyFill="1" applyBorder="1" applyAlignment="1">
      <alignment horizontal="center" vertical="center"/>
    </xf>
    <xf numFmtId="164" fontId="28" fillId="2" borderId="1" xfId="3" applyNumberFormat="1" applyFont="1" applyFill="1" applyBorder="1" applyAlignment="1">
      <alignment horizontal="center" vertical="center"/>
    </xf>
    <xf numFmtId="0" fontId="28" fillId="2" borderId="0" xfId="3" applyFont="1" applyFill="1" applyAlignment="1">
      <alignment horizontal="left" vertical="center"/>
    </xf>
    <xf numFmtId="0" fontId="28" fillId="2" borderId="0" xfId="3" applyFont="1" applyFill="1" applyAlignment="1">
      <alignment horizontal="center" vertical="center"/>
    </xf>
    <xf numFmtId="0" fontId="28" fillId="2" borderId="1" xfId="3" applyFont="1" applyFill="1" applyBorder="1" applyAlignment="1">
      <alignment horizontal="left" vertical="center"/>
    </xf>
    <xf numFmtId="0" fontId="28" fillId="2" borderId="1" xfId="3" applyFont="1" applyFill="1" applyBorder="1" applyAlignment="1">
      <alignment horizontal="center" vertical="center"/>
    </xf>
    <xf numFmtId="0" fontId="28" fillId="2" borderId="0" xfId="3" applyFont="1" applyFill="1" applyAlignment="1">
      <alignment vertical="center"/>
    </xf>
    <xf numFmtId="168" fontId="28" fillId="2" borderId="0" xfId="3" applyNumberFormat="1" applyFont="1" applyFill="1" applyAlignment="1">
      <alignment horizontal="center" vertical="center"/>
    </xf>
    <xf numFmtId="164" fontId="28" fillId="2" borderId="0" xfId="3" applyNumberFormat="1" applyFont="1" applyFill="1" applyAlignment="1">
      <alignment horizontal="center" vertical="center"/>
    </xf>
    <xf numFmtId="0" fontId="5" fillId="0" borderId="3" xfId="3" applyFont="1" applyBorder="1" applyAlignment="1">
      <alignment horizontal="left" vertical="center"/>
    </xf>
    <xf numFmtId="2" fontId="10" fillId="0" borderId="3" xfId="3" applyNumberFormat="1" applyFont="1" applyBorder="1" applyAlignment="1">
      <alignment horizontal="center" vertical="center"/>
    </xf>
    <xf numFmtId="2" fontId="10" fillId="0" borderId="5" xfId="3" applyNumberFormat="1" applyFont="1" applyBorder="1" applyAlignment="1">
      <alignment horizontal="center" vertical="center"/>
    </xf>
    <xf numFmtId="2" fontId="10" fillId="0" borderId="6" xfId="3" applyNumberFormat="1" applyFont="1" applyBorder="1" applyAlignment="1">
      <alignment horizontal="center" vertical="center"/>
    </xf>
    <xf numFmtId="2" fontId="11" fillId="0" borderId="5" xfId="3" applyNumberFormat="1" applyFont="1" applyBorder="1" applyAlignment="1">
      <alignment horizontal="center" vertical="center"/>
    </xf>
    <xf numFmtId="2" fontId="6" fillId="4" borderId="7" xfId="3" applyNumberFormat="1" applyFont="1" applyFill="1" applyBorder="1" applyAlignment="1">
      <alignment horizontal="center" vertical="center"/>
    </xf>
    <xf numFmtId="2" fontId="9" fillId="3" borderId="7" xfId="3" applyNumberFormat="1" applyFont="1" applyFill="1" applyBorder="1" applyAlignment="1">
      <alignment horizontal="center" vertical="center"/>
    </xf>
    <xf numFmtId="2" fontId="6" fillId="0" borderId="0" xfId="0" applyNumberFormat="1" applyFont="1" applyAlignment="1">
      <alignment horizontal="center" vertical="center"/>
    </xf>
    <xf numFmtId="0" fontId="3" fillId="0" borderId="0" xfId="0" applyFont="1" applyAlignment="1">
      <alignment vertical="center"/>
    </xf>
    <xf numFmtId="0" fontId="3" fillId="11" borderId="8" xfId="0" applyFont="1" applyFill="1" applyBorder="1" applyAlignment="1">
      <alignment vertical="center"/>
    </xf>
    <xf numFmtId="10" fontId="3" fillId="11" borderId="9" xfId="2" applyNumberFormat="1" applyFont="1" applyFill="1" applyBorder="1" applyAlignment="1">
      <alignment horizontal="center" vertical="center"/>
    </xf>
    <xf numFmtId="0" fontId="3" fillId="11" borderId="10" xfId="0" applyFont="1" applyFill="1" applyBorder="1" applyAlignment="1">
      <alignment vertical="center"/>
    </xf>
    <xf numFmtId="10" fontId="3" fillId="11" borderId="11" xfId="0" applyNumberFormat="1" applyFont="1" applyFill="1" applyBorder="1" applyAlignment="1">
      <alignment vertical="center"/>
    </xf>
    <xf numFmtId="2" fontId="36" fillId="0" borderId="0" xfId="0" applyNumberFormat="1" applyFont="1" applyAlignment="1">
      <alignment horizontal="center" vertical="center"/>
    </xf>
    <xf numFmtId="2" fontId="3" fillId="0" borderId="0" xfId="0" applyNumberFormat="1" applyFont="1" applyAlignment="1">
      <alignment horizontal="center" vertical="center"/>
    </xf>
    <xf numFmtId="2" fontId="36" fillId="0" borderId="2" xfId="0" applyNumberFormat="1" applyFont="1" applyBorder="1" applyAlignment="1">
      <alignment horizontal="center" vertical="center"/>
    </xf>
    <xf numFmtId="0" fontId="11" fillId="0" borderId="0" xfId="3" applyFont="1" applyAlignment="1">
      <alignment vertical="center"/>
    </xf>
    <xf numFmtId="10" fontId="11" fillId="0" borderId="0" xfId="0" applyNumberFormat="1" applyFont="1" applyAlignment="1">
      <alignment vertical="center"/>
    </xf>
    <xf numFmtId="174" fontId="0" fillId="0" borderId="0" xfId="1" applyNumberFormat="1" applyFont="1" applyAlignment="1">
      <alignment vertical="center"/>
    </xf>
    <xf numFmtId="175" fontId="9" fillId="3" borderId="0" xfId="0" applyNumberFormat="1" applyFont="1" applyFill="1" applyAlignment="1">
      <alignment vertical="center"/>
    </xf>
    <xf numFmtId="176" fontId="9" fillId="3" borderId="0" xfId="0" applyNumberFormat="1" applyFont="1" applyFill="1" applyAlignment="1">
      <alignment vertical="center"/>
    </xf>
    <xf numFmtId="10" fontId="9" fillId="3" borderId="0" xfId="0" applyNumberFormat="1" applyFont="1" applyFill="1" applyAlignment="1">
      <alignment vertical="center"/>
    </xf>
    <xf numFmtId="0" fontId="9" fillId="3" borderId="12" xfId="0" applyFont="1" applyFill="1" applyBorder="1" applyAlignment="1">
      <alignment vertical="center"/>
    </xf>
    <xf numFmtId="9" fontId="9" fillId="3" borderId="12" xfId="0" applyNumberFormat="1" applyFont="1" applyFill="1" applyBorder="1" applyAlignment="1">
      <alignment vertical="center"/>
    </xf>
    <xf numFmtId="0" fontId="5" fillId="0" borderId="12" xfId="0" applyFont="1" applyBorder="1" applyAlignment="1">
      <alignment vertical="center"/>
    </xf>
    <xf numFmtId="9" fontId="5" fillId="0" borderId="12" xfId="0" applyNumberFormat="1" applyFont="1" applyBorder="1" applyAlignment="1">
      <alignment vertical="center"/>
    </xf>
    <xf numFmtId="10" fontId="5" fillId="0" borderId="12" xfId="0" applyNumberFormat="1" applyFont="1" applyBorder="1" applyAlignment="1">
      <alignment vertical="center"/>
    </xf>
    <xf numFmtId="10" fontId="9" fillId="3" borderId="12" xfId="0" applyNumberFormat="1" applyFont="1" applyFill="1" applyBorder="1" applyAlignment="1">
      <alignment vertical="center"/>
    </xf>
    <xf numFmtId="0" fontId="15" fillId="2" borderId="0" xfId="0" applyFont="1" applyFill="1" applyAlignment="1">
      <alignment vertical="center"/>
    </xf>
    <xf numFmtId="0" fontId="37" fillId="2" borderId="0" xfId="0" applyFont="1" applyFill="1" applyAlignment="1">
      <alignment vertical="center"/>
    </xf>
    <xf numFmtId="177" fontId="9" fillId="3" borderId="0" xfId="0" applyNumberFormat="1" applyFont="1" applyFill="1" applyAlignment="1">
      <alignment vertical="center"/>
    </xf>
    <xf numFmtId="176" fontId="9" fillId="3" borderId="0" xfId="0" applyNumberFormat="1" applyFont="1" applyFill="1" applyAlignment="1">
      <alignment horizontal="center" vertical="center"/>
    </xf>
    <xf numFmtId="43" fontId="0" fillId="0" borderId="0" xfId="1" applyFont="1" applyAlignment="1">
      <alignment vertical="center"/>
    </xf>
    <xf numFmtId="10" fontId="5" fillId="0" borderId="0" xfId="2" applyNumberFormat="1" applyFont="1" applyAlignment="1">
      <alignment vertical="center"/>
    </xf>
    <xf numFmtId="0" fontId="38" fillId="0" borderId="0" xfId="0" applyFont="1" applyAlignment="1">
      <alignment vertical="center"/>
    </xf>
    <xf numFmtId="0" fontId="3" fillId="0" borderId="13" xfId="0" applyFont="1" applyBorder="1" applyAlignment="1">
      <alignment vertical="center"/>
    </xf>
    <xf numFmtId="0" fontId="6" fillId="0" borderId="13" xfId="0" applyFont="1" applyBorder="1" applyAlignment="1">
      <alignment vertical="center"/>
    </xf>
    <xf numFmtId="2" fontId="6" fillId="0" borderId="13" xfId="0" applyNumberFormat="1" applyFont="1" applyBorder="1" applyAlignment="1">
      <alignment horizontal="center" vertical="center"/>
    </xf>
    <xf numFmtId="9" fontId="6" fillId="0" borderId="13" xfId="2" applyFont="1" applyFill="1" applyBorder="1" applyAlignment="1">
      <alignment horizontal="center" vertical="center"/>
    </xf>
    <xf numFmtId="2" fontId="30" fillId="0" borderId="0" xfId="3" applyNumberFormat="1" applyFont="1" applyAlignment="1">
      <alignment horizontal="center" vertical="center"/>
    </xf>
    <xf numFmtId="178" fontId="5" fillId="0" borderId="0" xfId="1" applyNumberFormat="1" applyFont="1" applyAlignment="1">
      <alignment vertical="center"/>
    </xf>
    <xf numFmtId="179" fontId="5" fillId="0" borderId="0" xfId="1" applyNumberFormat="1" applyFont="1" applyAlignment="1">
      <alignment vertical="center"/>
    </xf>
    <xf numFmtId="43" fontId="5" fillId="0" borderId="0" xfId="0" applyNumberFormat="1" applyFont="1" applyAlignment="1">
      <alignment vertical="center"/>
    </xf>
    <xf numFmtId="10" fontId="30" fillId="0" borderId="0" xfId="0" applyNumberFormat="1" applyFont="1" applyAlignment="1">
      <alignment horizontal="center" vertical="center"/>
    </xf>
    <xf numFmtId="3" fontId="38" fillId="0" borderId="0" xfId="0" applyNumberFormat="1" applyFont="1" applyAlignment="1">
      <alignment horizontal="center" vertical="center"/>
    </xf>
    <xf numFmtId="0" fontId="40" fillId="0" borderId="0" xfId="3" applyFont="1" applyAlignment="1">
      <alignment vertical="center"/>
    </xf>
    <xf numFmtId="43" fontId="40" fillId="0" borderId="0" xfId="1" applyFont="1" applyAlignment="1">
      <alignment vertical="center"/>
    </xf>
    <xf numFmtId="9" fontId="40" fillId="0" borderId="0" xfId="2" applyFont="1" applyAlignment="1">
      <alignment vertical="center"/>
    </xf>
    <xf numFmtId="2" fontId="40" fillId="0" borderId="0" xfId="3" applyNumberFormat="1" applyFont="1" applyAlignment="1">
      <alignment vertical="center"/>
    </xf>
    <xf numFmtId="43" fontId="41" fillId="0" borderId="0" xfId="1" applyFont="1" applyAlignment="1">
      <alignment vertical="center"/>
    </xf>
    <xf numFmtId="2" fontId="40" fillId="0" borderId="0" xfId="2" applyNumberFormat="1" applyFont="1" applyAlignment="1">
      <alignment vertical="center"/>
    </xf>
    <xf numFmtId="10" fontId="0" fillId="0" borderId="0" xfId="2" applyNumberFormat="1" applyFont="1" applyAlignment="1">
      <alignment vertical="center"/>
    </xf>
    <xf numFmtId="170" fontId="28" fillId="0" borderId="0" xfId="0" applyNumberFormat="1" applyFont="1" applyAlignment="1">
      <alignment horizontal="center" vertical="center"/>
    </xf>
    <xf numFmtId="177" fontId="0" fillId="0" borderId="0" xfId="0" applyNumberFormat="1" applyAlignment="1">
      <alignment vertical="center"/>
    </xf>
    <xf numFmtId="9" fontId="15" fillId="23" borderId="0" xfId="3" applyNumberFormat="1" applyFont="1" applyFill="1" applyAlignment="1">
      <alignment horizontal="center" vertical="center"/>
    </xf>
    <xf numFmtId="0" fontId="31" fillId="0" borderId="0" xfId="0" applyFont="1" applyAlignment="1">
      <alignment horizontal="left" vertical="center"/>
    </xf>
    <xf numFmtId="0" fontId="6" fillId="0" borderId="0" xfId="0" applyFont="1" applyAlignment="1">
      <alignment vertical="center" wrapText="1"/>
    </xf>
    <xf numFmtId="10" fontId="6" fillId="0" borderId="0" xfId="4" applyNumberFormat="1" applyFont="1" applyAlignment="1">
      <alignment horizontal="center" vertical="center"/>
    </xf>
    <xf numFmtId="10" fontId="9" fillId="3" borderId="2" xfId="4" applyNumberFormat="1" applyFont="1" applyFill="1" applyBorder="1" applyAlignment="1">
      <alignment horizontal="center" vertical="center"/>
    </xf>
    <xf numFmtId="0" fontId="0" fillId="3" borderId="0" xfId="0" applyFill="1" applyAlignment="1">
      <alignment vertical="center"/>
    </xf>
    <xf numFmtId="10" fontId="5" fillId="0" borderId="0" xfId="0" applyNumberFormat="1" applyFont="1" applyAlignment="1">
      <alignment horizontal="center" vertical="center"/>
    </xf>
    <xf numFmtId="0" fontId="15" fillId="24" borderId="0" xfId="0" applyFont="1" applyFill="1" applyAlignment="1">
      <alignment vertical="center"/>
    </xf>
    <xf numFmtId="0" fontId="37" fillId="24" borderId="0" xfId="0" applyFont="1" applyFill="1" applyAlignment="1">
      <alignment vertical="center"/>
    </xf>
    <xf numFmtId="2" fontId="0" fillId="0" borderId="0" xfId="0" applyNumberFormat="1"/>
    <xf numFmtId="171" fontId="0" fillId="0" borderId="0" xfId="1" applyNumberFormat="1" applyFont="1"/>
    <xf numFmtId="9" fontId="0" fillId="0" borderId="0" xfId="2" applyFont="1"/>
    <xf numFmtId="171" fontId="0" fillId="0" borderId="0" xfId="0" applyNumberFormat="1"/>
    <xf numFmtId="43" fontId="0" fillId="0" borderId="0" xfId="0" applyNumberFormat="1"/>
    <xf numFmtId="0" fontId="0" fillId="0" borderId="0" xfId="0" applyAlignment="1">
      <alignment wrapText="1"/>
    </xf>
    <xf numFmtId="165" fontId="10" fillId="0" borderId="0" xfId="3" applyNumberFormat="1" applyFont="1" applyAlignment="1">
      <alignment horizontal="center" vertical="center"/>
    </xf>
    <xf numFmtId="171" fontId="42" fillId="0" borderId="0" xfId="1" applyNumberFormat="1" applyFont="1" applyAlignment="1">
      <alignment vertical="center"/>
    </xf>
    <xf numFmtId="0" fontId="5" fillId="0" borderId="0" xfId="0" applyFont="1" applyAlignment="1">
      <alignment horizontal="right" vertical="center"/>
    </xf>
    <xf numFmtId="4" fontId="10" fillId="0" borderId="0" xfId="0" applyNumberFormat="1" applyFont="1" applyAlignment="1">
      <alignment horizontal="center" vertical="center" wrapText="1"/>
    </xf>
    <xf numFmtId="180" fontId="25" fillId="0" borderId="0" xfId="0" applyNumberFormat="1" applyFont="1" applyAlignment="1">
      <alignment horizontal="center" vertical="center"/>
    </xf>
    <xf numFmtId="4" fontId="25" fillId="0" borderId="0" xfId="0" applyNumberFormat="1" applyFont="1" applyAlignment="1">
      <alignment horizontal="center" vertical="center"/>
    </xf>
    <xf numFmtId="4" fontId="26" fillId="0" borderId="0" xfId="2" applyNumberFormat="1" applyFont="1" applyAlignment="1">
      <alignment horizontal="center" vertical="center"/>
    </xf>
    <xf numFmtId="4" fontId="5" fillId="0" borderId="0" xfId="0" applyNumberFormat="1" applyFont="1" applyAlignment="1">
      <alignment vertical="center"/>
    </xf>
    <xf numFmtId="0" fontId="0" fillId="0" borderId="0" xfId="0" applyAlignment="1"/>
    <xf numFmtId="10" fontId="0" fillId="0" borderId="0" xfId="2" applyNumberFormat="1" applyFont="1"/>
    <xf numFmtId="0" fontId="45" fillId="0" borderId="0" xfId="6"/>
    <xf numFmtId="0" fontId="0" fillId="0" borderId="0" xfId="0" applyAlignment="1">
      <alignment horizontal="left"/>
    </xf>
    <xf numFmtId="0" fontId="30" fillId="0" borderId="0" xfId="0" applyFont="1" applyAlignment="1">
      <alignment vertical="center"/>
    </xf>
    <xf numFmtId="0" fontId="5" fillId="0" borderId="0" xfId="3" applyFont="1" applyFill="1" applyAlignment="1">
      <alignment vertical="center"/>
    </xf>
    <xf numFmtId="0" fontId="5" fillId="0" borderId="0" xfId="3" applyFont="1" applyFill="1" applyAlignment="1">
      <alignment vertical="center" wrapText="1"/>
    </xf>
    <xf numFmtId="0" fontId="5" fillId="0" borderId="0" xfId="3" applyFont="1" applyFill="1" applyAlignment="1">
      <alignment horizontal="left" vertical="center"/>
    </xf>
    <xf numFmtId="9" fontId="5" fillId="0" borderId="0" xfId="3" applyNumberFormat="1" applyFont="1" applyFill="1" applyAlignment="1">
      <alignment horizontal="center" vertical="center"/>
    </xf>
    <xf numFmtId="43" fontId="5" fillId="0" borderId="0" xfId="3" applyNumberFormat="1" applyFont="1" applyFill="1" applyAlignment="1">
      <alignment vertical="center"/>
    </xf>
    <xf numFmtId="164" fontId="28" fillId="2" borderId="5" xfId="3" applyNumberFormat="1" applyFont="1" applyFill="1" applyBorder="1" applyAlignment="1">
      <alignment horizontal="center" vertical="center" wrapText="1"/>
    </xf>
    <xf numFmtId="164" fontId="28" fillId="2" borderId="4" xfId="3" applyNumberFormat="1" applyFont="1" applyFill="1" applyBorder="1" applyAlignment="1">
      <alignment horizontal="center" vertical="center" wrapText="1"/>
    </xf>
    <xf numFmtId="164" fontId="28" fillId="2" borderId="0" xfId="3" applyNumberFormat="1" applyFont="1" applyFill="1" applyAlignment="1">
      <alignment horizontal="center" vertical="center"/>
    </xf>
    <xf numFmtId="164" fontId="28" fillId="2" borderId="1" xfId="3" applyNumberFormat="1" applyFont="1" applyFill="1" applyBorder="1" applyAlignment="1">
      <alignment horizontal="center" vertical="center"/>
    </xf>
    <xf numFmtId="0" fontId="12" fillId="6" borderId="0" xfId="3" applyFont="1" applyFill="1" applyAlignment="1">
      <alignment horizontal="left" vertical="center"/>
    </xf>
    <xf numFmtId="0" fontId="7" fillId="7" borderId="0" xfId="3" applyFont="1" applyFill="1" applyAlignment="1">
      <alignment horizontal="left" vertical="center"/>
    </xf>
    <xf numFmtId="0" fontId="17" fillId="9" borderId="0" xfId="0" applyFont="1" applyFill="1" applyAlignment="1">
      <alignment horizontal="center" vertical="center"/>
    </xf>
    <xf numFmtId="0" fontId="17" fillId="10" borderId="0" xfId="0" applyFont="1" applyFill="1" applyAlignment="1">
      <alignment horizontal="center" vertical="center"/>
    </xf>
    <xf numFmtId="0" fontId="17" fillId="10" borderId="0" xfId="0" applyFont="1" applyFill="1" applyAlignment="1">
      <alignment horizontal="left" vertical="center"/>
    </xf>
    <xf numFmtId="0" fontId="2" fillId="3" borderId="0" xfId="0" applyFont="1" applyFill="1" applyAlignment="1">
      <alignment horizontal="center" vertical="center"/>
    </xf>
    <xf numFmtId="10" fontId="6" fillId="4" borderId="0" xfId="0" applyNumberFormat="1" applyFont="1" applyFill="1" applyAlignment="1">
      <alignment horizontal="center" vertical="center"/>
    </xf>
    <xf numFmtId="2" fontId="6" fillId="4" borderId="0" xfId="0" applyNumberFormat="1" applyFont="1" applyFill="1" applyAlignment="1">
      <alignment horizontal="center" vertical="center"/>
    </xf>
    <xf numFmtId="2" fontId="9" fillId="3" borderId="0" xfId="0" applyNumberFormat="1" applyFont="1" applyFill="1" applyAlignment="1">
      <alignment horizontal="left" vertical="center"/>
    </xf>
    <xf numFmtId="170" fontId="9" fillId="0" borderId="0" xfId="0" applyNumberFormat="1" applyFont="1" applyFill="1" applyAlignment="1">
      <alignment horizontal="left" vertical="center"/>
    </xf>
    <xf numFmtId="170" fontId="9" fillId="0" borderId="0" xfId="0" applyNumberFormat="1" applyFont="1" applyFill="1" applyAlignment="1">
      <alignment horizontal="center" vertical="center"/>
    </xf>
    <xf numFmtId="9" fontId="6" fillId="0" borderId="0" xfId="3" applyNumberFormat="1" applyFont="1" applyFill="1" applyAlignment="1">
      <alignment horizontal="center" vertical="center"/>
    </xf>
    <xf numFmtId="9" fontId="5" fillId="0" borderId="0" xfId="3" applyNumberFormat="1" applyFont="1" applyFill="1" applyAlignment="1">
      <alignment horizontal="left" vertical="center"/>
    </xf>
    <xf numFmtId="2" fontId="11" fillId="0" borderId="0" xfId="3" applyNumberFormat="1" applyFont="1" applyFill="1" applyAlignment="1">
      <alignment horizontal="center" vertical="center"/>
    </xf>
    <xf numFmtId="2" fontId="28" fillId="0" borderId="0" xfId="3" applyNumberFormat="1" applyFont="1" applyFill="1" applyAlignment="1">
      <alignment horizontal="center" vertical="center"/>
    </xf>
    <xf numFmtId="43" fontId="5" fillId="0" borderId="0" xfId="1" applyFont="1" applyFill="1" applyAlignment="1">
      <alignment horizontal="center" vertical="center"/>
    </xf>
    <xf numFmtId="2" fontId="5" fillId="0" borderId="0" xfId="3" applyNumberFormat="1" applyFont="1" applyFill="1" applyAlignment="1">
      <alignment vertical="center"/>
    </xf>
  </cellXfs>
  <cellStyles count="7">
    <cellStyle name="Comma" xfId="1" builtinId="3"/>
    <cellStyle name="Hyperlink" xfId="6" builtinId="8"/>
    <cellStyle name="Normal" xfId="0" builtinId="0"/>
    <cellStyle name="Normal 2" xfId="3"/>
    <cellStyle name="Percent" xfId="2" builtinId="5"/>
    <cellStyle name="Percent 2" xfId="4"/>
    <cellStyle name="Percent 4" xfId="5"/>
  </cellStyles>
  <dxfs count="2">
    <dxf>
      <font>
        <color rgb="FF9C0006"/>
      </font>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baseline="0">
                <a:solidFill>
                  <a:schemeClr val="bg1"/>
                </a:solidFill>
                <a:latin typeface="+mn-lt"/>
                <a:ea typeface="+mn-ea"/>
                <a:cs typeface="+mn-cs"/>
              </a:defRPr>
            </a:pPr>
            <a:r>
              <a:rPr lang="en-IN" sz="1100">
                <a:solidFill>
                  <a:schemeClr val="bg1"/>
                </a:solidFill>
              </a:rPr>
              <a:t>Projected Margins</a:t>
            </a:r>
          </a:p>
        </c:rich>
      </c:tx>
      <c:layout>
        <c:manualLayout>
          <c:xMode val="edge"/>
          <c:yMode val="edge"/>
          <c:x val="0.44844349135571709"/>
          <c:y val="3.3595794970418508E-2"/>
        </c:manualLayout>
      </c:layout>
      <c:overlay val="0"/>
      <c:spPr>
        <a:solidFill>
          <a:srgbClr val="002060"/>
        </a:solidFill>
        <a:ln>
          <a:noFill/>
        </a:ln>
        <a:effectLst/>
      </c:spPr>
      <c:txPr>
        <a:bodyPr rot="0" spcFirstLastPara="1" vertOverflow="ellipsis" vert="horz" wrap="square" anchor="ctr" anchorCtr="1"/>
        <a:lstStyle/>
        <a:p>
          <a:pPr>
            <a:defRPr sz="1100" b="1" i="0" u="none" strike="noStrike" kern="1200" baseline="0">
              <a:solidFill>
                <a:schemeClr val="bg1"/>
              </a:solidFill>
              <a:latin typeface="+mn-lt"/>
              <a:ea typeface="+mn-ea"/>
              <a:cs typeface="+mn-cs"/>
            </a:defRPr>
          </a:pPr>
          <a:endParaRPr lang="en-US"/>
        </a:p>
      </c:txPr>
    </c:title>
    <c:autoTitleDeleted val="0"/>
    <c:plotArea>
      <c:layout/>
      <c:lineChart>
        <c:grouping val="standard"/>
        <c:varyColors val="0"/>
        <c:ser>
          <c:idx val="0"/>
          <c:order val="0"/>
          <c:tx>
            <c:strRef>
              <c:f>IS!$B$42</c:f>
              <c:strCache>
                <c:ptCount val="1"/>
                <c:pt idx="0">
                  <c:v>EBITDA Margin %</c:v>
                </c:pt>
              </c:strCache>
            </c:strRef>
          </c:tx>
          <c:spPr>
            <a:ln w="31750" cap="rnd">
              <a:solidFill>
                <a:schemeClr val="accent1"/>
              </a:solidFill>
              <a:round/>
            </a:ln>
            <a:effectLst/>
          </c:spPr>
          <c:marker>
            <c:symbol val="none"/>
          </c:marker>
          <c:cat>
            <c:numRef>
              <c:f>IS!$F$8:$AE$8</c:f>
              <c:numCache>
                <c:formatCode>[$-409]d\-mmm\-yy;@</c:formatCode>
                <c:ptCount val="26"/>
                <c:pt idx="0">
                  <c:v>46477</c:v>
                </c:pt>
                <c:pt idx="1">
                  <c:v>46843</c:v>
                </c:pt>
                <c:pt idx="2">
                  <c:v>47208</c:v>
                </c:pt>
                <c:pt idx="3">
                  <c:v>47573</c:v>
                </c:pt>
                <c:pt idx="4">
                  <c:v>47938</c:v>
                </c:pt>
                <c:pt idx="5">
                  <c:v>48304</c:v>
                </c:pt>
                <c:pt idx="6">
                  <c:v>48669</c:v>
                </c:pt>
                <c:pt idx="7">
                  <c:v>49034</c:v>
                </c:pt>
                <c:pt idx="8">
                  <c:v>49399</c:v>
                </c:pt>
                <c:pt idx="9">
                  <c:v>49765</c:v>
                </c:pt>
                <c:pt idx="10">
                  <c:v>50130</c:v>
                </c:pt>
                <c:pt idx="11">
                  <c:v>50495</c:v>
                </c:pt>
                <c:pt idx="12">
                  <c:v>50860</c:v>
                </c:pt>
                <c:pt idx="13">
                  <c:v>51226</c:v>
                </c:pt>
                <c:pt idx="14">
                  <c:v>51591</c:v>
                </c:pt>
                <c:pt idx="15">
                  <c:v>51956</c:v>
                </c:pt>
                <c:pt idx="16">
                  <c:v>52321</c:v>
                </c:pt>
                <c:pt idx="17">
                  <c:v>52687</c:v>
                </c:pt>
                <c:pt idx="18">
                  <c:v>53052</c:v>
                </c:pt>
                <c:pt idx="19">
                  <c:v>53417</c:v>
                </c:pt>
                <c:pt idx="20">
                  <c:v>53782</c:v>
                </c:pt>
                <c:pt idx="21">
                  <c:v>54148</c:v>
                </c:pt>
                <c:pt idx="22">
                  <c:v>54513</c:v>
                </c:pt>
                <c:pt idx="23">
                  <c:v>54878</c:v>
                </c:pt>
                <c:pt idx="24">
                  <c:v>55243</c:v>
                </c:pt>
                <c:pt idx="25">
                  <c:v>55609</c:v>
                </c:pt>
              </c:numCache>
            </c:numRef>
          </c:cat>
          <c:val>
            <c:numRef>
              <c:f>IS!$F$42:$AE$42</c:f>
              <c:numCache>
                <c:formatCode>0.00%</c:formatCode>
                <c:ptCount val="26"/>
                <c:pt idx="0">
                  <c:v>0.93475716454001079</c:v>
                </c:pt>
                <c:pt idx="1">
                  <c:v>0.92838610208899774</c:v>
                </c:pt>
                <c:pt idx="2">
                  <c:v>0.89381451035697335</c:v>
                </c:pt>
                <c:pt idx="3">
                  <c:v>0.8923203340929039</c:v>
                </c:pt>
                <c:pt idx="4">
                  <c:v>0.89123353667426852</c:v>
                </c:pt>
                <c:pt idx="5">
                  <c:v>0.88967919494705983</c:v>
                </c:pt>
                <c:pt idx="6">
                  <c:v>0.88830815843012356</c:v>
                </c:pt>
                <c:pt idx="7">
                  <c:v>0.88643128363540613</c:v>
                </c:pt>
                <c:pt idx="8">
                  <c:v>0.88500827077366284</c:v>
                </c:pt>
                <c:pt idx="9">
                  <c:v>0.88305889448974872</c:v>
                </c:pt>
                <c:pt idx="10">
                  <c:v>0.88130263222837246</c:v>
                </c:pt>
                <c:pt idx="11">
                  <c:v>0.87897649383244625</c:v>
                </c:pt>
                <c:pt idx="12">
                  <c:v>0.8771555055898872</c:v>
                </c:pt>
                <c:pt idx="13">
                  <c:v>0.87474271553303873</c:v>
                </c:pt>
                <c:pt idx="14">
                  <c:v>0.87252947292392713</c:v>
                </c:pt>
                <c:pt idx="15">
                  <c:v>0.8696749508901056</c:v>
                </c:pt>
                <c:pt idx="16">
                  <c:v>0.86738208362170488</c:v>
                </c:pt>
                <c:pt idx="17">
                  <c:v>0.8644246120896435</c:v>
                </c:pt>
                <c:pt idx="18">
                  <c:v>0.86166856319976926</c:v>
                </c:pt>
                <c:pt idx="19">
                  <c:v>0.85819160996745014</c:v>
                </c:pt>
                <c:pt idx="20">
                  <c:v>0.85533845836579325</c:v>
                </c:pt>
                <c:pt idx="21">
                  <c:v>0.85173971580407304</c:v>
                </c:pt>
                <c:pt idx="22">
                  <c:v>0.84833823053994151</c:v>
                </c:pt>
                <c:pt idx="23">
                  <c:v>0.84412704532455352</c:v>
                </c:pt>
                <c:pt idx="24">
                  <c:v>0.84060788602367231</c:v>
                </c:pt>
                <c:pt idx="25">
                  <c:v>0.8362530631668551</c:v>
                </c:pt>
              </c:numCache>
            </c:numRef>
          </c:val>
          <c:smooth val="0"/>
          <c:extLst xmlns:c16r2="http://schemas.microsoft.com/office/drawing/2015/06/chart">
            <c:ext xmlns:c16="http://schemas.microsoft.com/office/drawing/2014/chart" uri="{C3380CC4-5D6E-409C-BE32-E72D297353CC}">
              <c16:uniqueId val="{00000000-FF0C-41CA-A253-B96F81EEB670}"/>
            </c:ext>
          </c:extLst>
        </c:ser>
        <c:ser>
          <c:idx val="1"/>
          <c:order val="1"/>
          <c:tx>
            <c:strRef>
              <c:f>IS!$B$44</c:f>
              <c:strCache>
                <c:ptCount val="1"/>
                <c:pt idx="0">
                  <c:v>EBIT Margin %</c:v>
                </c:pt>
              </c:strCache>
            </c:strRef>
          </c:tx>
          <c:spPr>
            <a:ln w="31750" cap="rnd">
              <a:solidFill>
                <a:schemeClr val="accent2"/>
              </a:solidFill>
              <a:round/>
            </a:ln>
            <a:effectLst/>
          </c:spPr>
          <c:marker>
            <c:symbol val="none"/>
          </c:marker>
          <c:cat>
            <c:numRef>
              <c:f>IS!$F$8:$AE$8</c:f>
              <c:numCache>
                <c:formatCode>[$-409]d\-mmm\-yy;@</c:formatCode>
                <c:ptCount val="26"/>
                <c:pt idx="0">
                  <c:v>46477</c:v>
                </c:pt>
                <c:pt idx="1">
                  <c:v>46843</c:v>
                </c:pt>
                <c:pt idx="2">
                  <c:v>47208</c:v>
                </c:pt>
                <c:pt idx="3">
                  <c:v>47573</c:v>
                </c:pt>
                <c:pt idx="4">
                  <c:v>47938</c:v>
                </c:pt>
                <c:pt idx="5">
                  <c:v>48304</c:v>
                </c:pt>
                <c:pt idx="6">
                  <c:v>48669</c:v>
                </c:pt>
                <c:pt idx="7">
                  <c:v>49034</c:v>
                </c:pt>
                <c:pt idx="8">
                  <c:v>49399</c:v>
                </c:pt>
                <c:pt idx="9">
                  <c:v>49765</c:v>
                </c:pt>
                <c:pt idx="10">
                  <c:v>50130</c:v>
                </c:pt>
                <c:pt idx="11">
                  <c:v>50495</c:v>
                </c:pt>
                <c:pt idx="12">
                  <c:v>50860</c:v>
                </c:pt>
                <c:pt idx="13">
                  <c:v>51226</c:v>
                </c:pt>
                <c:pt idx="14">
                  <c:v>51591</c:v>
                </c:pt>
                <c:pt idx="15">
                  <c:v>51956</c:v>
                </c:pt>
                <c:pt idx="16">
                  <c:v>52321</c:v>
                </c:pt>
                <c:pt idx="17">
                  <c:v>52687</c:v>
                </c:pt>
                <c:pt idx="18">
                  <c:v>53052</c:v>
                </c:pt>
                <c:pt idx="19">
                  <c:v>53417</c:v>
                </c:pt>
                <c:pt idx="20">
                  <c:v>53782</c:v>
                </c:pt>
                <c:pt idx="21">
                  <c:v>54148</c:v>
                </c:pt>
                <c:pt idx="22">
                  <c:v>54513</c:v>
                </c:pt>
                <c:pt idx="23">
                  <c:v>54878</c:v>
                </c:pt>
                <c:pt idx="24">
                  <c:v>55243</c:v>
                </c:pt>
                <c:pt idx="25">
                  <c:v>55609</c:v>
                </c:pt>
              </c:numCache>
            </c:numRef>
          </c:cat>
          <c:val>
            <c:numRef>
              <c:f>IS!$F$44:$AE$44</c:f>
              <c:numCache>
                <c:formatCode>0.00%</c:formatCode>
                <c:ptCount val="26"/>
                <c:pt idx="0">
                  <c:v>0.78829465832015488</c:v>
                </c:pt>
                <c:pt idx="1">
                  <c:v>0.78257174070549163</c:v>
                </c:pt>
                <c:pt idx="2">
                  <c:v>0.74864542555541014</c:v>
                </c:pt>
                <c:pt idx="3">
                  <c:v>0.74779367031184751</c:v>
                </c:pt>
                <c:pt idx="4">
                  <c:v>0.74734645098908281</c:v>
                </c:pt>
                <c:pt idx="5">
                  <c:v>0.74642885701398654</c:v>
                </c:pt>
                <c:pt idx="6">
                  <c:v>0.7456917504306082</c:v>
                </c:pt>
                <c:pt idx="7">
                  <c:v>0.74444600022066931</c:v>
                </c:pt>
                <c:pt idx="8">
                  <c:v>0.74365131900951764</c:v>
                </c:pt>
                <c:pt idx="9">
                  <c:v>0.74232749380166207</c:v>
                </c:pt>
                <c:pt idx="10">
                  <c:v>0.74119401434676957</c:v>
                </c:pt>
                <c:pt idx="11">
                  <c:v>0.73948790273825704</c:v>
                </c:pt>
                <c:pt idx="12">
                  <c:v>0.73828419746033391</c:v>
                </c:pt>
                <c:pt idx="13">
                  <c:v>0.73648595868766309</c:v>
                </c:pt>
                <c:pt idx="14">
                  <c:v>0.73488454777085688</c:v>
                </c:pt>
                <c:pt idx="15">
                  <c:v>0.7326391498725584</c:v>
                </c:pt>
                <c:pt idx="16">
                  <c:v>0.73095271116472893</c:v>
                </c:pt>
                <c:pt idx="17">
                  <c:v>0.72859898454709415</c:v>
                </c:pt>
                <c:pt idx="18">
                  <c:v>0.72644400880152016</c:v>
                </c:pt>
                <c:pt idx="19">
                  <c:v>0.7235654687668378</c:v>
                </c:pt>
                <c:pt idx="20">
                  <c:v>0.72130808218729436</c:v>
                </c:pt>
                <c:pt idx="21">
                  <c:v>0.71830246819121324</c:v>
                </c:pt>
                <c:pt idx="22">
                  <c:v>0.7154914867034351</c:v>
                </c:pt>
                <c:pt idx="23">
                  <c:v>0.71186819209067165</c:v>
                </c:pt>
                <c:pt idx="24">
                  <c:v>0.70893432178284088</c:v>
                </c:pt>
                <c:pt idx="25">
                  <c:v>0.70516219782247946</c:v>
                </c:pt>
              </c:numCache>
            </c:numRef>
          </c:val>
          <c:smooth val="0"/>
          <c:extLst xmlns:c16r2="http://schemas.microsoft.com/office/drawing/2015/06/chart">
            <c:ext xmlns:c16="http://schemas.microsoft.com/office/drawing/2014/chart" uri="{C3380CC4-5D6E-409C-BE32-E72D297353CC}">
              <c16:uniqueId val="{00000001-FF0C-41CA-A253-B96F81EEB670}"/>
            </c:ext>
          </c:extLst>
        </c:ser>
        <c:ser>
          <c:idx val="2"/>
          <c:order val="2"/>
          <c:tx>
            <c:strRef>
              <c:f>IS!$B$46</c:f>
              <c:strCache>
                <c:ptCount val="1"/>
                <c:pt idx="0">
                  <c:v>PAT Margin %</c:v>
                </c:pt>
              </c:strCache>
            </c:strRef>
          </c:tx>
          <c:spPr>
            <a:ln w="31750" cap="rnd">
              <a:solidFill>
                <a:schemeClr val="accent3"/>
              </a:solidFill>
              <a:round/>
            </a:ln>
            <a:effectLst/>
          </c:spPr>
          <c:marker>
            <c:symbol val="none"/>
          </c:marker>
          <c:cat>
            <c:numRef>
              <c:f>IS!$F$8:$AE$8</c:f>
              <c:numCache>
                <c:formatCode>[$-409]d\-mmm\-yy;@</c:formatCode>
                <c:ptCount val="26"/>
                <c:pt idx="0">
                  <c:v>46477</c:v>
                </c:pt>
                <c:pt idx="1">
                  <c:v>46843</c:v>
                </c:pt>
                <c:pt idx="2">
                  <c:v>47208</c:v>
                </c:pt>
                <c:pt idx="3">
                  <c:v>47573</c:v>
                </c:pt>
                <c:pt idx="4">
                  <c:v>47938</c:v>
                </c:pt>
                <c:pt idx="5">
                  <c:v>48304</c:v>
                </c:pt>
                <c:pt idx="6">
                  <c:v>48669</c:v>
                </c:pt>
                <c:pt idx="7">
                  <c:v>49034</c:v>
                </c:pt>
                <c:pt idx="8">
                  <c:v>49399</c:v>
                </c:pt>
                <c:pt idx="9">
                  <c:v>49765</c:v>
                </c:pt>
                <c:pt idx="10">
                  <c:v>50130</c:v>
                </c:pt>
                <c:pt idx="11">
                  <c:v>50495</c:v>
                </c:pt>
                <c:pt idx="12">
                  <c:v>50860</c:v>
                </c:pt>
                <c:pt idx="13">
                  <c:v>51226</c:v>
                </c:pt>
                <c:pt idx="14">
                  <c:v>51591</c:v>
                </c:pt>
                <c:pt idx="15">
                  <c:v>51956</c:v>
                </c:pt>
                <c:pt idx="16">
                  <c:v>52321</c:v>
                </c:pt>
                <c:pt idx="17">
                  <c:v>52687</c:v>
                </c:pt>
                <c:pt idx="18">
                  <c:v>53052</c:v>
                </c:pt>
                <c:pt idx="19">
                  <c:v>53417</c:v>
                </c:pt>
                <c:pt idx="20">
                  <c:v>53782</c:v>
                </c:pt>
                <c:pt idx="21">
                  <c:v>54148</c:v>
                </c:pt>
                <c:pt idx="22">
                  <c:v>54513</c:v>
                </c:pt>
                <c:pt idx="23">
                  <c:v>54878</c:v>
                </c:pt>
                <c:pt idx="24">
                  <c:v>55243</c:v>
                </c:pt>
                <c:pt idx="25">
                  <c:v>55609</c:v>
                </c:pt>
              </c:numCache>
            </c:numRef>
          </c:cat>
          <c:val>
            <c:numRef>
              <c:f>IS!$F$46:$AE$46</c:f>
              <c:numCache>
                <c:formatCode>0.00%</c:formatCode>
                <c:ptCount val="26"/>
                <c:pt idx="0">
                  <c:v>0.38593787275735303</c:v>
                </c:pt>
                <c:pt idx="1">
                  <c:v>0.38967411896374188</c:v>
                </c:pt>
                <c:pt idx="2">
                  <c:v>0.37522476140689132</c:v>
                </c:pt>
                <c:pt idx="3">
                  <c:v>0.38865190126751198</c:v>
                </c:pt>
                <c:pt idx="4">
                  <c:v>0.40229258735364998</c:v>
                </c:pt>
                <c:pt idx="5">
                  <c:v>0.41597361414955986</c:v>
                </c:pt>
                <c:pt idx="6">
                  <c:v>0.42858875081200498</c:v>
                </c:pt>
                <c:pt idx="7">
                  <c:v>0.44121420793043442</c:v>
                </c:pt>
                <c:pt idx="8">
                  <c:v>0.45409473887427415</c:v>
                </c:pt>
                <c:pt idx="9">
                  <c:v>0.46682163282936562</c:v>
                </c:pt>
                <c:pt idx="10">
                  <c:v>0.45974967482912865</c:v>
                </c:pt>
                <c:pt idx="11">
                  <c:v>0.40807062709164771</c:v>
                </c:pt>
                <c:pt idx="12">
                  <c:v>0.4145047401599693</c:v>
                </c:pt>
                <c:pt idx="13">
                  <c:v>0.42126419644753954</c:v>
                </c:pt>
                <c:pt idx="14">
                  <c:v>0.42814800423761973</c:v>
                </c:pt>
                <c:pt idx="15">
                  <c:v>0.43515660477650187</c:v>
                </c:pt>
                <c:pt idx="16">
                  <c:v>0.44284585391214293</c:v>
                </c:pt>
                <c:pt idx="17">
                  <c:v>0.45039011614771202</c:v>
                </c:pt>
                <c:pt idx="18">
                  <c:v>0.45804839046358109</c:v>
                </c:pt>
                <c:pt idx="19">
                  <c:v>0.46543713493771555</c:v>
                </c:pt>
                <c:pt idx="20">
                  <c:v>0.47336929283631379</c:v>
                </c:pt>
                <c:pt idx="21">
                  <c:v>0.47566840637811136</c:v>
                </c:pt>
                <c:pt idx="22">
                  <c:v>0.47304468131501776</c:v>
                </c:pt>
                <c:pt idx="23">
                  <c:v>0.46996714388917588</c:v>
                </c:pt>
                <c:pt idx="24">
                  <c:v>0.46747954206446529</c:v>
                </c:pt>
                <c:pt idx="25">
                  <c:v>0.46448364444844858</c:v>
                </c:pt>
              </c:numCache>
            </c:numRef>
          </c:val>
          <c:smooth val="0"/>
          <c:extLst xmlns:c16r2="http://schemas.microsoft.com/office/drawing/2015/06/chart">
            <c:ext xmlns:c16="http://schemas.microsoft.com/office/drawing/2014/chart" uri="{C3380CC4-5D6E-409C-BE32-E72D297353CC}">
              <c16:uniqueId val="{00000002-FF0C-41CA-A253-B96F81EEB670}"/>
            </c:ext>
          </c:extLst>
        </c:ser>
        <c:ser>
          <c:idx val="3"/>
          <c:order val="3"/>
          <c:tx>
            <c:strRef>
              <c:f>IS!$B$48</c:f>
              <c:strCache>
                <c:ptCount val="1"/>
                <c:pt idx="0">
                  <c:v>Revenue Growth Rate</c:v>
                </c:pt>
              </c:strCache>
            </c:strRef>
          </c:tx>
          <c:spPr>
            <a:ln w="31750" cap="rnd">
              <a:solidFill>
                <a:schemeClr val="accent4"/>
              </a:solidFill>
              <a:round/>
            </a:ln>
            <a:effectLst/>
          </c:spPr>
          <c:marker>
            <c:symbol val="none"/>
          </c:marker>
          <c:cat>
            <c:numRef>
              <c:f>IS!$F$8:$AE$8</c:f>
              <c:numCache>
                <c:formatCode>[$-409]d\-mmm\-yy;@</c:formatCode>
                <c:ptCount val="26"/>
                <c:pt idx="0">
                  <c:v>46477</c:v>
                </c:pt>
                <c:pt idx="1">
                  <c:v>46843</c:v>
                </c:pt>
                <c:pt idx="2">
                  <c:v>47208</c:v>
                </c:pt>
                <c:pt idx="3">
                  <c:v>47573</c:v>
                </c:pt>
                <c:pt idx="4">
                  <c:v>47938</c:v>
                </c:pt>
                <c:pt idx="5">
                  <c:v>48304</c:v>
                </c:pt>
                <c:pt idx="6">
                  <c:v>48669</c:v>
                </c:pt>
                <c:pt idx="7">
                  <c:v>49034</c:v>
                </c:pt>
                <c:pt idx="8">
                  <c:v>49399</c:v>
                </c:pt>
                <c:pt idx="9">
                  <c:v>49765</c:v>
                </c:pt>
                <c:pt idx="10">
                  <c:v>50130</c:v>
                </c:pt>
                <c:pt idx="11">
                  <c:v>50495</c:v>
                </c:pt>
                <c:pt idx="12">
                  <c:v>50860</c:v>
                </c:pt>
                <c:pt idx="13">
                  <c:v>51226</c:v>
                </c:pt>
                <c:pt idx="14">
                  <c:v>51591</c:v>
                </c:pt>
                <c:pt idx="15">
                  <c:v>51956</c:v>
                </c:pt>
                <c:pt idx="16">
                  <c:v>52321</c:v>
                </c:pt>
                <c:pt idx="17">
                  <c:v>52687</c:v>
                </c:pt>
                <c:pt idx="18">
                  <c:v>53052</c:v>
                </c:pt>
                <c:pt idx="19">
                  <c:v>53417</c:v>
                </c:pt>
                <c:pt idx="20">
                  <c:v>53782</c:v>
                </c:pt>
                <c:pt idx="21">
                  <c:v>54148</c:v>
                </c:pt>
                <c:pt idx="22">
                  <c:v>54513</c:v>
                </c:pt>
                <c:pt idx="23">
                  <c:v>54878</c:v>
                </c:pt>
                <c:pt idx="24">
                  <c:v>55243</c:v>
                </c:pt>
                <c:pt idx="25">
                  <c:v>55609</c:v>
                </c:pt>
              </c:numCache>
            </c:numRef>
          </c:cat>
          <c:val>
            <c:numRef>
              <c:f>IS!$F$48:$AE$48</c:f>
              <c:numCache>
                <c:formatCode>0.00%</c:formatCode>
                <c:ptCount val="26"/>
                <c:pt idx="1">
                  <c:v>7.196904109589175E-3</c:v>
                </c:pt>
                <c:pt idx="2">
                  <c:v>1.7006147540983285E-3</c:v>
                </c:pt>
                <c:pt idx="3">
                  <c:v>4.4450000000002543E-3</c:v>
                </c:pt>
                <c:pt idx="4">
                  <c:v>4.4450000000000323E-3</c:v>
                </c:pt>
                <c:pt idx="5">
                  <c:v>7.196904109588953E-3</c:v>
                </c:pt>
                <c:pt idx="6">
                  <c:v>1.7006147540985506E-3</c:v>
                </c:pt>
                <c:pt idx="7">
                  <c:v>4.4450000000000323E-3</c:v>
                </c:pt>
                <c:pt idx="8">
                  <c:v>4.4450000000002543E-3</c:v>
                </c:pt>
                <c:pt idx="9">
                  <c:v>7.196904109589175E-3</c:v>
                </c:pt>
                <c:pt idx="10">
                  <c:v>1.7006147540983285E-3</c:v>
                </c:pt>
                <c:pt idx="11">
                  <c:v>4.4450000000000323E-3</c:v>
                </c:pt>
                <c:pt idx="12">
                  <c:v>4.4449999999998102E-3</c:v>
                </c:pt>
                <c:pt idx="13">
                  <c:v>7.196904109589175E-3</c:v>
                </c:pt>
                <c:pt idx="14">
                  <c:v>1.7006147540985506E-3</c:v>
                </c:pt>
                <c:pt idx="15">
                  <c:v>4.4450000000000323E-3</c:v>
                </c:pt>
                <c:pt idx="16">
                  <c:v>4.4450000000002543E-3</c:v>
                </c:pt>
                <c:pt idx="17">
                  <c:v>7.1969041095887309E-3</c:v>
                </c:pt>
                <c:pt idx="18">
                  <c:v>1.7006147540983285E-3</c:v>
                </c:pt>
                <c:pt idx="19">
                  <c:v>4.4450000000002543E-3</c:v>
                </c:pt>
                <c:pt idx="20">
                  <c:v>4.4450000000000323E-3</c:v>
                </c:pt>
                <c:pt idx="21">
                  <c:v>7.196904109588953E-3</c:v>
                </c:pt>
                <c:pt idx="22">
                  <c:v>1.7006147540987726E-3</c:v>
                </c:pt>
                <c:pt idx="23">
                  <c:v>4.4449999999998102E-3</c:v>
                </c:pt>
                <c:pt idx="24">
                  <c:v>4.4450000000000323E-3</c:v>
                </c:pt>
                <c:pt idx="25">
                  <c:v>7.196904109589175E-3</c:v>
                </c:pt>
              </c:numCache>
            </c:numRef>
          </c:val>
          <c:smooth val="0"/>
          <c:extLst xmlns:c16r2="http://schemas.microsoft.com/office/drawing/2015/06/chart">
            <c:ext xmlns:c16="http://schemas.microsoft.com/office/drawing/2014/chart" uri="{C3380CC4-5D6E-409C-BE32-E72D297353CC}">
              <c16:uniqueId val="{00000003-FF0C-41CA-A253-B96F81EEB670}"/>
            </c:ext>
          </c:extLst>
        </c:ser>
        <c:dLbls>
          <c:showLegendKey val="0"/>
          <c:showVal val="0"/>
          <c:showCatName val="0"/>
          <c:showSerName val="0"/>
          <c:showPercent val="0"/>
          <c:showBubbleSize val="0"/>
        </c:dLbls>
        <c:smooth val="0"/>
        <c:axId val="160682384"/>
        <c:axId val="332213536"/>
      </c:lineChart>
      <c:catAx>
        <c:axId val="160682384"/>
        <c:scaling>
          <c:orientation val="minMax"/>
        </c:scaling>
        <c:delete val="0"/>
        <c:axPos val="b"/>
        <c:numFmt formatCode="[$-409]d\-mmm\-yy;@" sourceLinked="1"/>
        <c:majorTickMark val="out"/>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crossAx val="332213536"/>
        <c:crosses val="autoZero"/>
        <c:auto val="0"/>
        <c:lblAlgn val="ctr"/>
        <c:lblOffset val="100"/>
        <c:noMultiLvlLbl val="0"/>
      </c:catAx>
      <c:valAx>
        <c:axId val="332213536"/>
        <c:scaling>
          <c:orientation val="minMax"/>
        </c:scaling>
        <c:delete val="0"/>
        <c:axPos val="l"/>
        <c:majorGridlines>
          <c:spPr>
            <a:ln w="9525" cap="flat" cmpd="sng" algn="ctr">
              <a:solidFill>
                <a:schemeClr val="tx2">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tx2"/>
                    </a:solidFill>
                    <a:latin typeface="+mn-lt"/>
                    <a:ea typeface="+mn-ea"/>
                    <a:cs typeface="+mn-cs"/>
                  </a:defRPr>
                </a:pPr>
                <a:r>
                  <a:rPr lang="en-IN"/>
                  <a:t>Margin (%)</a:t>
                </a:r>
              </a:p>
            </c:rich>
          </c:tx>
          <c:layout>
            <c:manualLayout>
              <c:xMode val="edge"/>
              <c:yMode val="edge"/>
              <c:x val="1.19607374658557E-2"/>
              <c:y val="0.35834091082830738"/>
            </c:manualLayout>
          </c:layout>
          <c:overlay val="0"/>
          <c:spPr>
            <a:noFill/>
            <a:ln>
              <a:noFill/>
            </a:ln>
            <a:effectLst/>
          </c:spPr>
          <c:txPr>
            <a:bodyPr rot="-5400000" spcFirstLastPara="1" vertOverflow="ellipsis" vert="horz" wrap="square" anchor="ctr" anchorCtr="1"/>
            <a:lstStyle/>
            <a:p>
              <a:pPr>
                <a:defRPr sz="900" b="1" i="0" u="none" strike="noStrike" kern="1200" baseline="0">
                  <a:solidFill>
                    <a:schemeClr val="tx2"/>
                  </a:solidFill>
                  <a:latin typeface="+mn-lt"/>
                  <a:ea typeface="+mn-ea"/>
                  <a:cs typeface="+mn-cs"/>
                </a:defRPr>
              </a:pPr>
              <a:endParaRPr lang="en-US"/>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crossAx val="160682384"/>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accent5">
          <a:lumMod val="20000"/>
          <a:lumOff val="80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Ratio!$B$18</c:f>
              <c:strCache>
                <c:ptCount val="1"/>
                <c:pt idx="0">
                  <c:v>DSCR</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002060"/>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trendline>
            <c:spPr>
              <a:ln w="19050" cap="rnd">
                <a:solidFill>
                  <a:schemeClr val="accent1"/>
                </a:solidFill>
                <a:prstDash val="sysDot"/>
              </a:ln>
              <a:effectLst/>
            </c:spPr>
            <c:trendlineType val="linear"/>
            <c:dispRSqr val="0"/>
            <c:dispEq val="0"/>
          </c:trendline>
          <c:cat>
            <c:numRef>
              <c:f>Ratio!$F$8:$Z$8</c:f>
              <c:numCache>
                <c:formatCode>[$-409]d\-mmm\-yy;@</c:formatCode>
                <c:ptCount val="21"/>
                <c:pt idx="0">
                  <c:v>46477</c:v>
                </c:pt>
                <c:pt idx="1">
                  <c:v>46843</c:v>
                </c:pt>
                <c:pt idx="2">
                  <c:v>47208</c:v>
                </c:pt>
                <c:pt idx="3">
                  <c:v>47573</c:v>
                </c:pt>
                <c:pt idx="4">
                  <c:v>47938</c:v>
                </c:pt>
                <c:pt idx="5">
                  <c:v>48304</c:v>
                </c:pt>
                <c:pt idx="6">
                  <c:v>48669</c:v>
                </c:pt>
                <c:pt idx="7">
                  <c:v>49034</c:v>
                </c:pt>
                <c:pt idx="8">
                  <c:v>49399</c:v>
                </c:pt>
                <c:pt idx="9">
                  <c:v>49765</c:v>
                </c:pt>
                <c:pt idx="10">
                  <c:v>50130</c:v>
                </c:pt>
                <c:pt idx="11">
                  <c:v>50495</c:v>
                </c:pt>
                <c:pt idx="12">
                  <c:v>50860</c:v>
                </c:pt>
                <c:pt idx="13">
                  <c:v>51226</c:v>
                </c:pt>
                <c:pt idx="14">
                  <c:v>51591</c:v>
                </c:pt>
                <c:pt idx="15">
                  <c:v>51956</c:v>
                </c:pt>
                <c:pt idx="16">
                  <c:v>52321</c:v>
                </c:pt>
                <c:pt idx="17">
                  <c:v>52687</c:v>
                </c:pt>
                <c:pt idx="18">
                  <c:v>53052</c:v>
                </c:pt>
                <c:pt idx="19">
                  <c:v>53417</c:v>
                </c:pt>
                <c:pt idx="20">
                  <c:v>53782</c:v>
                </c:pt>
              </c:numCache>
            </c:numRef>
          </c:cat>
          <c:val>
            <c:numRef>
              <c:f>Ratio!$F$18:$Z$18</c:f>
              <c:numCache>
                <c:formatCode>0.00</c:formatCode>
                <c:ptCount val="21"/>
                <c:pt idx="0">
                  <c:v>2.6603790996898984</c:v>
                </c:pt>
                <c:pt idx="1">
                  <c:v>1.8586528673166185</c:v>
                </c:pt>
                <c:pt idx="2">
                  <c:v>1.8574195423018935</c:v>
                </c:pt>
                <c:pt idx="3">
                  <c:v>1.9255289233981969</c:v>
                </c:pt>
                <c:pt idx="4">
                  <c:v>1.999804101582922</c:v>
                </c:pt>
                <c:pt idx="5">
                  <c:v>2.0845308566814524</c:v>
                </c:pt>
                <c:pt idx="6">
                  <c:v>2.1656132302158335</c:v>
                </c:pt>
                <c:pt idx="7">
                  <c:v>2.2585695361768106</c:v>
                </c:pt>
                <c:pt idx="8">
                  <c:v>2.3612596162076223</c:v>
                </c:pt>
                <c:pt idx="9">
                  <c:v>2.4790737675525025</c:v>
                </c:pt>
                <c:pt idx="10">
                  <c:v>2.5323951782561895</c:v>
                </c:pt>
                <c:pt idx="11">
                  <c:v>2.4399354267641327</c:v>
                </c:pt>
                <c:pt idx="12">
                  <c:v>2.5526063327646482</c:v>
                </c:pt>
                <c:pt idx="13">
                  <c:v>2.6865189182118923</c:v>
                </c:pt>
                <c:pt idx="14">
                  <c:v>2.8254350268353323</c:v>
                </c:pt>
                <c:pt idx="15">
                  <c:v>2.9912207429648965</c:v>
                </c:pt>
                <c:pt idx="16">
                  <c:v>3.1851033957571424</c:v>
                </c:pt>
                <c:pt idx="17">
                  <c:v>3.4179971473750581</c:v>
                </c:pt>
                <c:pt idx="18">
                  <c:v>3.6735418017105945</c:v>
                </c:pt>
                <c:pt idx="19">
                  <c:v>3.9863071069588569</c:v>
                </c:pt>
                <c:pt idx="20">
                  <c:v>4.3686839255790622</c:v>
                </c:pt>
              </c:numCache>
            </c:numRef>
          </c:val>
          <c:extLst xmlns:c16r2="http://schemas.microsoft.com/office/drawing/2015/06/chart">
            <c:ext xmlns:c16="http://schemas.microsoft.com/office/drawing/2014/chart" uri="{C3380CC4-5D6E-409C-BE32-E72D297353CC}">
              <c16:uniqueId val="{00000001-50D2-4CE7-82EA-30ED14BDBDEE}"/>
            </c:ext>
          </c:extLst>
        </c:ser>
        <c:dLbls>
          <c:dLblPos val="outEnd"/>
          <c:showLegendKey val="0"/>
          <c:showVal val="1"/>
          <c:showCatName val="0"/>
          <c:showSerName val="0"/>
          <c:showPercent val="0"/>
          <c:showBubbleSize val="0"/>
        </c:dLbls>
        <c:gapWidth val="219"/>
        <c:overlap val="-27"/>
        <c:axId val="332386912"/>
        <c:axId val="332852896"/>
      </c:barChart>
      <c:catAx>
        <c:axId val="332386912"/>
        <c:scaling>
          <c:orientation val="minMax"/>
        </c:scaling>
        <c:delete val="0"/>
        <c:axPos val="b"/>
        <c:title>
          <c:tx>
            <c:rich>
              <a:bodyPr rot="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r>
                  <a:rPr lang="en-IN" b="1"/>
                  <a:t>Financial Year</a:t>
                </a:r>
              </a:p>
            </c:rich>
          </c:tx>
          <c:layout/>
          <c:overlay val="0"/>
          <c:spPr>
            <a:noFill/>
            <a:ln>
              <a:noFill/>
            </a:ln>
            <a:effectLst/>
          </c:spPr>
          <c:txPr>
            <a:bodyPr rot="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n-US"/>
            </a:p>
          </c:txPr>
        </c:title>
        <c:numFmt formatCode="[$-409]d\-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32852896"/>
        <c:crosses val="autoZero"/>
        <c:auto val="0"/>
        <c:lblAlgn val="ctr"/>
        <c:lblOffset val="100"/>
        <c:noMultiLvlLbl val="0"/>
      </c:catAx>
      <c:valAx>
        <c:axId val="33285289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r>
                  <a:rPr lang="en-IN" b="1"/>
                  <a:t>D.S.C.R</a:t>
                </a:r>
              </a:p>
            </c:rich>
          </c:tx>
          <c:layout/>
          <c:overlay val="0"/>
          <c:spPr>
            <a:noFill/>
            <a:ln>
              <a:noFill/>
            </a:ln>
            <a:effectLst/>
          </c:spPr>
          <c:txPr>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3238691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31">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1</xdr:col>
      <xdr:colOff>414336</xdr:colOff>
      <xdr:row>50</xdr:row>
      <xdr:rowOff>33336</xdr:rowOff>
    </xdr:from>
    <xdr:to>
      <xdr:col>7</xdr:col>
      <xdr:colOff>161925</xdr:colOff>
      <xdr:row>68</xdr:row>
      <xdr:rowOff>171449</xdr:rowOff>
    </xdr:to>
    <xdr:graphicFrame macro="">
      <xdr:nvGraphicFramePr>
        <xdr:cNvPr id="2" name="Chart 1">
          <a:extLst>
            <a:ext uri="{FF2B5EF4-FFF2-40B4-BE49-F238E27FC236}">
              <a16:creationId xmlns:a16="http://schemas.microsoft.com/office/drawing/2014/main" xmlns="" id="{00000000-0008-0000-0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2324099</xdr:colOff>
      <xdr:row>125</xdr:row>
      <xdr:rowOff>85726</xdr:rowOff>
    </xdr:from>
    <xdr:to>
      <xdr:col>8</xdr:col>
      <xdr:colOff>619125</xdr:colOff>
      <xdr:row>142</xdr:row>
      <xdr:rowOff>171450</xdr:rowOff>
    </xdr:to>
    <xdr:graphicFrame macro="">
      <xdr:nvGraphicFramePr>
        <xdr:cNvPr id="2" name="Chart 1">
          <a:extLst>
            <a:ext uri="{FF2B5EF4-FFF2-40B4-BE49-F238E27FC236}">
              <a16:creationId xmlns:a16="http://schemas.microsoft.com/office/drawing/2014/main" xmlns=""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My%20Drive\1.%20Sai%20Bandhan\Reports\70%20MW%20SOLAR%20POWER%20PLANT%20CAPTIVE%20OPEN%20ACCES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ase Rental Detials"/>
      <sheetName val="Revised Cost Sheet"/>
      <sheetName val="6 TPD CBG Cost sheet"/>
      <sheetName val="TPC and MoF"/>
      <sheetName val="Sheet2"/>
      <sheetName val="Common Assumption"/>
      <sheetName val="Revenue &amp; Expense Modelling"/>
      <sheetName val="IS"/>
      <sheetName val="BS"/>
      <sheetName val="CFS"/>
      <sheetName val="Loan Schedule"/>
      <sheetName val="Depreciation Schedule"/>
      <sheetName val="Tax Calculations"/>
      <sheetName val="DSCR"/>
      <sheetName val="NPV &amp; IRR, Payback Period"/>
      <sheetName val="Ratio and Break Even Analysis"/>
      <sheetName val="Sheet3"/>
      <sheetName val="Sheet1"/>
    </sheetNames>
    <sheetDataSet>
      <sheetData sheetId="0"/>
      <sheetData sheetId="1"/>
      <sheetData sheetId="2"/>
      <sheetData sheetId="3"/>
      <sheetData sheetId="4"/>
      <sheetData sheetId="5">
        <row r="11">
          <cell r="E11">
            <v>45626</v>
          </cell>
        </row>
        <row r="20">
          <cell r="D20">
            <v>24</v>
          </cell>
        </row>
      </sheetData>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hyperlink" Target="https://operaenergy.in/" TargetMode="Externa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36"/>
  <sheetViews>
    <sheetView showGridLines="0" tabSelected="1" workbookViewId="0"/>
  </sheetViews>
  <sheetFormatPr defaultColWidth="9.140625" defaultRowHeight="15" x14ac:dyDescent="0.25"/>
  <cols>
    <col min="1" max="1" width="3.7109375" style="1" customWidth="1"/>
    <col min="2" max="2" width="54.7109375" style="2" customWidth="1"/>
    <col min="3" max="3" width="5.28515625" style="2" bestFit="1" customWidth="1"/>
    <col min="4" max="4" width="16" style="2" customWidth="1"/>
    <col min="5" max="8" width="16" style="1" customWidth="1"/>
    <col min="9" max="10" width="9.140625" style="1"/>
    <col min="11" max="12" width="9.7109375" style="1" bestFit="1" customWidth="1"/>
    <col min="13" max="16384" width="9.140625" style="1"/>
  </cols>
  <sheetData>
    <row r="1" spans="1:12" ht="19.899999999999999" customHeight="1" x14ac:dyDescent="0.25">
      <c r="B1" s="28" t="s">
        <v>407</v>
      </c>
      <c r="C1" s="29"/>
      <c r="D1" s="30"/>
      <c r="E1" s="30"/>
      <c r="F1" s="30"/>
      <c r="G1" s="30"/>
      <c r="H1" s="30"/>
    </row>
    <row r="2" spans="1:12" ht="9" customHeight="1" x14ac:dyDescent="0.25">
      <c r="A2" s="6"/>
      <c r="E2" s="2"/>
      <c r="F2" s="2"/>
      <c r="G2" s="2"/>
      <c r="H2" s="2"/>
    </row>
    <row r="3" spans="1:12" ht="19.899999999999999" customHeight="1" x14ac:dyDescent="0.25">
      <c r="B3" s="26" t="s">
        <v>404</v>
      </c>
      <c r="C3" s="26"/>
      <c r="D3" s="27"/>
      <c r="E3" s="27"/>
      <c r="F3" s="27"/>
      <c r="G3" s="27"/>
      <c r="H3" s="27"/>
    </row>
    <row r="4" spans="1:12" ht="9" customHeight="1" x14ac:dyDescent="0.25">
      <c r="E4" s="2"/>
      <c r="F4" s="2"/>
      <c r="G4" s="2"/>
      <c r="H4" s="2"/>
    </row>
    <row r="5" spans="1:12" ht="18" customHeight="1" x14ac:dyDescent="0.25">
      <c r="B5" s="261" t="s">
        <v>82</v>
      </c>
      <c r="C5" s="261"/>
      <c r="D5" s="262">
        <v>36</v>
      </c>
      <c r="E5" s="262">
        <v>27.3</v>
      </c>
      <c r="F5" s="263" t="s">
        <v>17</v>
      </c>
      <c r="G5" s="351" t="s">
        <v>253</v>
      </c>
      <c r="H5" s="353" t="s">
        <v>254</v>
      </c>
      <c r="I5" s="309"/>
      <c r="J5" s="309"/>
      <c r="K5" s="309" t="s">
        <v>12</v>
      </c>
      <c r="L5" s="309" t="s">
        <v>12</v>
      </c>
    </row>
    <row r="6" spans="1:12" ht="18" customHeight="1" x14ac:dyDescent="0.25">
      <c r="B6" s="259" t="s">
        <v>0</v>
      </c>
      <c r="C6" s="259"/>
      <c r="D6" s="260" t="s">
        <v>9</v>
      </c>
      <c r="E6" s="260" t="s">
        <v>10</v>
      </c>
      <c r="F6" s="260" t="s">
        <v>16</v>
      </c>
      <c r="G6" s="352"/>
      <c r="H6" s="354"/>
      <c r="I6" s="309"/>
      <c r="J6" s="309"/>
      <c r="K6" s="309" t="s">
        <v>9</v>
      </c>
      <c r="L6" s="309" t="s">
        <v>10</v>
      </c>
    </row>
    <row r="7" spans="1:12" ht="18" customHeight="1" x14ac:dyDescent="0.25">
      <c r="A7" s="3"/>
      <c r="B7" s="2" t="s">
        <v>1</v>
      </c>
      <c r="D7" s="4">
        <v>0</v>
      </c>
      <c r="E7" s="4">
        <v>0</v>
      </c>
      <c r="F7" s="4">
        <f>D7+E7</f>
        <v>0</v>
      </c>
      <c r="G7" s="266">
        <f ca="1">(SUM($F$13:$F$15)/SUM($F$7:$F$12))*F7</f>
        <v>0</v>
      </c>
      <c r="H7" s="4">
        <f ca="1">F7+G7</f>
        <v>0</v>
      </c>
      <c r="I7" s="309"/>
      <c r="J7" s="309"/>
      <c r="K7" s="310">
        <v>0</v>
      </c>
      <c r="L7" s="310">
        <v>0</v>
      </c>
    </row>
    <row r="8" spans="1:12" ht="18" customHeight="1" x14ac:dyDescent="0.25">
      <c r="A8" s="3"/>
      <c r="B8" s="2" t="s">
        <v>2</v>
      </c>
      <c r="D8" s="333">
        <f>K8*D$5</f>
        <v>6.5548800000000007</v>
      </c>
      <c r="E8" s="333">
        <f>L8*13</f>
        <v>15.385760000000001</v>
      </c>
      <c r="F8" s="4">
        <f t="shared" ref="F8:F12" si="0">D8+E8</f>
        <v>21.940640000000002</v>
      </c>
      <c r="G8" s="266">
        <f t="shared" ref="G8:G12" ca="1" si="1">(SUM($F$13:$F$15)/SUM($F$7:$F$12))*F8</f>
        <v>1.4550260275771507</v>
      </c>
      <c r="H8" s="4">
        <f t="shared" ref="H8:H12" ca="1" si="2">F8+G8</f>
        <v>23.395666027577153</v>
      </c>
      <c r="I8" s="311"/>
      <c r="J8" s="311"/>
      <c r="K8" s="310">
        <f>36416000/10^7*5%</f>
        <v>0.18208000000000002</v>
      </c>
      <c r="L8" s="310">
        <f>236704000/10^7*5%</f>
        <v>1.1835200000000001</v>
      </c>
    </row>
    <row r="9" spans="1:12" ht="18" customHeight="1" x14ac:dyDescent="0.25">
      <c r="A9" s="3"/>
      <c r="B9" s="2" t="s">
        <v>3</v>
      </c>
      <c r="C9" s="7"/>
      <c r="D9" s="333">
        <f>K9*D$5</f>
        <v>124.54272</v>
      </c>
      <c r="E9" s="333">
        <f>L9*13</f>
        <v>292.32943999999998</v>
      </c>
      <c r="F9" s="4">
        <f t="shared" si="0"/>
        <v>416.87216000000001</v>
      </c>
      <c r="G9" s="266">
        <f t="shared" ca="1" si="1"/>
        <v>27.645494523965862</v>
      </c>
      <c r="H9" s="4">
        <f t="shared" ca="1" si="2"/>
        <v>444.51765452396586</v>
      </c>
      <c r="I9" s="312"/>
      <c r="J9" s="312"/>
      <c r="K9" s="310">
        <f>36416000/10^7*95%</f>
        <v>3.4595199999999999</v>
      </c>
      <c r="L9" s="310">
        <f>236704000/10^7*95%</f>
        <v>22.486879999999999</v>
      </c>
    </row>
    <row r="10" spans="1:12" ht="18" customHeight="1" x14ac:dyDescent="0.25">
      <c r="A10" s="3"/>
      <c r="B10" s="2" t="s">
        <v>4</v>
      </c>
      <c r="D10" s="4">
        <v>0</v>
      </c>
      <c r="E10" s="4">
        <v>0</v>
      </c>
      <c r="F10" s="4">
        <f t="shared" si="0"/>
        <v>0</v>
      </c>
      <c r="G10" s="266">
        <f t="shared" ca="1" si="1"/>
        <v>0</v>
      </c>
      <c r="H10" s="4">
        <f t="shared" ca="1" si="2"/>
        <v>0</v>
      </c>
      <c r="I10" s="309"/>
      <c r="J10" s="309"/>
      <c r="K10" s="310"/>
      <c r="L10" s="310"/>
    </row>
    <row r="11" spans="1:12" ht="18" customHeight="1" x14ac:dyDescent="0.25">
      <c r="A11" s="3"/>
      <c r="B11" s="2" t="s">
        <v>5</v>
      </c>
      <c r="D11" s="4">
        <v>0</v>
      </c>
      <c r="E11" s="4">
        <v>0</v>
      </c>
      <c r="F11" s="4">
        <f t="shared" si="0"/>
        <v>0</v>
      </c>
      <c r="G11" s="266">
        <f t="shared" ca="1" si="1"/>
        <v>0</v>
      </c>
      <c r="H11" s="4">
        <f t="shared" ca="1" si="2"/>
        <v>0</v>
      </c>
      <c r="I11" s="309"/>
      <c r="J11" s="309"/>
      <c r="K11" s="310"/>
      <c r="L11" s="310"/>
    </row>
    <row r="12" spans="1:12" ht="18" customHeight="1" x14ac:dyDescent="0.25">
      <c r="A12" s="3"/>
      <c r="B12" s="264" t="s">
        <v>6</v>
      </c>
      <c r="C12" s="264"/>
      <c r="D12" s="265">
        <v>0</v>
      </c>
      <c r="E12" s="265">
        <v>0</v>
      </c>
      <c r="F12" s="265">
        <f t="shared" si="0"/>
        <v>0</v>
      </c>
      <c r="G12" s="267">
        <f t="shared" ca="1" si="1"/>
        <v>0</v>
      </c>
      <c r="H12" s="265">
        <f t="shared" ca="1" si="2"/>
        <v>0</v>
      </c>
      <c r="I12" s="309"/>
      <c r="J12" s="309"/>
      <c r="K12" s="310"/>
      <c r="L12" s="310"/>
    </row>
    <row r="13" spans="1:12" ht="18" customHeight="1" x14ac:dyDescent="0.25">
      <c r="A13" s="3"/>
      <c r="B13" s="2" t="s">
        <v>7</v>
      </c>
      <c r="D13" s="4"/>
      <c r="E13" s="4"/>
      <c r="F13" s="4">
        <f ca="1">'Loan Schedule'!D16+'Loan Schedule'!E16</f>
        <v>22.518328551543011</v>
      </c>
      <c r="G13" s="266"/>
      <c r="H13" s="4"/>
      <c r="I13" s="309"/>
      <c r="J13" s="309"/>
      <c r="K13" s="313">
        <f>SUM(K7:K12)</f>
        <v>3.6415999999999999</v>
      </c>
      <c r="L13" s="313">
        <f>SUM(L7:L12)</f>
        <v>23.670400000000001</v>
      </c>
    </row>
    <row r="14" spans="1:12" ht="18" customHeight="1" x14ac:dyDescent="0.25">
      <c r="A14" s="3"/>
      <c r="B14" s="2" t="s">
        <v>344</v>
      </c>
      <c r="D14" s="4"/>
      <c r="E14" s="4"/>
      <c r="F14" s="303">
        <f>SUM(F7:F12)*1%</f>
        <v>4.3881280000000009</v>
      </c>
      <c r="G14" s="266"/>
      <c r="H14" s="4"/>
      <c r="I14" s="309"/>
      <c r="J14" s="309"/>
      <c r="K14" s="310"/>
      <c r="L14" s="310"/>
    </row>
    <row r="15" spans="1:12" ht="18" customHeight="1" x14ac:dyDescent="0.25">
      <c r="A15" s="3"/>
      <c r="B15" s="10" t="s">
        <v>345</v>
      </c>
      <c r="C15" s="10"/>
      <c r="D15" s="11"/>
      <c r="E15" s="11"/>
      <c r="F15" s="303">
        <f>SUM(F7:F12)*0.5%</f>
        <v>2.1940640000000005</v>
      </c>
      <c r="G15" s="268"/>
      <c r="H15" s="4"/>
      <c r="I15" s="314"/>
      <c r="J15" s="314"/>
      <c r="K15" s="310"/>
      <c r="L15" s="310"/>
    </row>
    <row r="16" spans="1:12" ht="18" customHeight="1" x14ac:dyDescent="0.25">
      <c r="A16" s="3"/>
      <c r="B16" s="8" t="s">
        <v>8</v>
      </c>
      <c r="C16" s="8"/>
      <c r="D16" s="9">
        <f>SUM(D7:D15)</f>
        <v>131.0976</v>
      </c>
      <c r="E16" s="9">
        <f t="shared" ref="E16:H16" si="3">SUM(E7:E15)</f>
        <v>307.71519999999998</v>
      </c>
      <c r="F16" s="9">
        <f ca="1">SUM(F7:F15)</f>
        <v>467.91332055154305</v>
      </c>
      <c r="G16" s="269">
        <f ca="1">SUM(G7:G15)</f>
        <v>29.100520551543013</v>
      </c>
      <c r="H16" s="9">
        <f t="shared" ca="1" si="3"/>
        <v>467.91332055154299</v>
      </c>
      <c r="I16" s="310">
        <f ca="1">H16/(D5+E5)</f>
        <v>7.3919955853324328</v>
      </c>
      <c r="J16" s="309"/>
      <c r="K16" s="309"/>
      <c r="L16" s="313"/>
    </row>
    <row r="17" spans="1:14" ht="18" customHeight="1" x14ac:dyDescent="0.25">
      <c r="A17" s="3"/>
      <c r="D17" s="4"/>
      <c r="E17" s="4"/>
      <c r="F17" s="4"/>
      <c r="G17" s="266"/>
      <c r="H17" s="4"/>
      <c r="L17" s="6"/>
    </row>
    <row r="18" spans="1:14" ht="18" customHeight="1" x14ac:dyDescent="0.25">
      <c r="A18" s="3"/>
      <c r="B18" s="12" t="s">
        <v>18</v>
      </c>
      <c r="C18" s="12"/>
      <c r="D18" s="13">
        <f>D16+D17</f>
        <v>131.0976</v>
      </c>
      <c r="E18" s="13">
        <f>E16+E17</f>
        <v>307.71519999999998</v>
      </c>
      <c r="F18" s="13">
        <f ca="1">F16+F17</f>
        <v>467.91332055154305</v>
      </c>
      <c r="G18" s="270"/>
      <c r="H18" s="13">
        <f ca="1">H16+H17</f>
        <v>467.91332055154299</v>
      </c>
      <c r="I18" s="5"/>
      <c r="J18" s="5"/>
    </row>
    <row r="19" spans="1:14" ht="18" customHeight="1" x14ac:dyDescent="0.25">
      <c r="B19" s="1"/>
      <c r="C19" s="1"/>
      <c r="D19" s="1"/>
    </row>
    <row r="20" spans="1:14" ht="18" customHeight="1" x14ac:dyDescent="0.25">
      <c r="B20" s="254" t="s">
        <v>15</v>
      </c>
      <c r="C20" s="254"/>
      <c r="D20" s="255"/>
      <c r="E20" s="255"/>
      <c r="F20" s="263" t="s">
        <v>17</v>
      </c>
      <c r="G20" s="256"/>
      <c r="H20" s="256"/>
    </row>
    <row r="21" spans="1:14" ht="18" customHeight="1" x14ac:dyDescent="0.25">
      <c r="B21" s="257" t="s">
        <v>0</v>
      </c>
      <c r="C21" s="257" t="s">
        <v>13</v>
      </c>
      <c r="D21" s="258"/>
      <c r="E21" s="258"/>
      <c r="F21" s="258" t="s">
        <v>16</v>
      </c>
      <c r="G21" s="258"/>
      <c r="H21" s="258"/>
    </row>
    <row r="22" spans="1:14" ht="18" customHeight="1" x14ac:dyDescent="0.25">
      <c r="A22" s="3"/>
      <c r="B22" s="14" t="s">
        <v>14</v>
      </c>
      <c r="C22" s="15">
        <f>1-C23</f>
        <v>0.25</v>
      </c>
      <c r="D22" s="11"/>
      <c r="E22" s="11"/>
      <c r="F22" s="4">
        <f ca="1">F18-F23</f>
        <v>116.97833013788579</v>
      </c>
      <c r="G22" s="4"/>
      <c r="H22" s="4"/>
      <c r="L22" s="5"/>
    </row>
    <row r="23" spans="1:14" ht="18" customHeight="1" x14ac:dyDescent="0.25">
      <c r="A23" s="3"/>
      <c r="B23" s="16" t="s">
        <v>11</v>
      </c>
      <c r="C23" s="17">
        <v>0.75</v>
      </c>
      <c r="D23" s="18"/>
      <c r="E23" s="18"/>
      <c r="F23" s="4">
        <f ca="1">F18*C23</f>
        <v>350.93499041365726</v>
      </c>
      <c r="G23" s="4"/>
      <c r="H23" s="4"/>
      <c r="L23" s="6"/>
      <c r="N23" s="5"/>
    </row>
    <row r="24" spans="1:14" ht="18" customHeight="1" x14ac:dyDescent="0.25">
      <c r="B24" s="12" t="s">
        <v>19</v>
      </c>
      <c r="C24" s="19"/>
      <c r="D24" s="20"/>
      <c r="E24" s="20"/>
      <c r="F24" s="20">
        <f ca="1">F22+F23</f>
        <v>467.91332055154305</v>
      </c>
      <c r="G24" s="20"/>
      <c r="H24" s="20"/>
      <c r="J24" s="1">
        <f ca="1">F23/F22</f>
        <v>2.9999999999999991</v>
      </c>
      <c r="L24" s="21"/>
    </row>
    <row r="25" spans="1:14" s="346" customFormat="1" ht="18" customHeight="1" x14ac:dyDescent="0.25">
      <c r="B25" s="347"/>
      <c r="C25" s="348"/>
      <c r="D25" s="349"/>
      <c r="E25" s="349"/>
      <c r="F25" s="349"/>
      <c r="L25" s="350"/>
    </row>
    <row r="26" spans="1:14" ht="18" customHeight="1" x14ac:dyDescent="0.25">
      <c r="A26" s="346"/>
      <c r="B26" s="364" t="s">
        <v>264</v>
      </c>
      <c r="C26" s="364"/>
      <c r="D26" s="365">
        <f>EOMONTH(Assumptions!E10,4)</f>
        <v>45869</v>
      </c>
      <c r="E26" s="365">
        <f>Assumptions!E12</f>
        <v>46112</v>
      </c>
      <c r="F26" s="365" t="s">
        <v>289</v>
      </c>
      <c r="G26" s="346"/>
    </row>
    <row r="27" spans="1:14" ht="18" customHeight="1" x14ac:dyDescent="0.25">
      <c r="A27" s="346"/>
      <c r="B27" s="348"/>
      <c r="C27" s="348"/>
      <c r="D27" s="349">
        <f>SUM('Loan Schedule'!H33:H36)</f>
        <v>0.2</v>
      </c>
      <c r="E27" s="349">
        <f>SUM('Loan Schedule'!H38:H49)</f>
        <v>0.8</v>
      </c>
      <c r="F27" s="366">
        <f>D27+E27</f>
        <v>1</v>
      </c>
      <c r="G27" s="346"/>
    </row>
    <row r="28" spans="1:14" ht="18" customHeight="1" x14ac:dyDescent="0.25">
      <c r="A28" s="346"/>
      <c r="B28" s="348" t="s">
        <v>265</v>
      </c>
      <c r="C28" s="367"/>
      <c r="D28" s="368">
        <f ca="1">H18*D27</f>
        <v>93.582664110308599</v>
      </c>
      <c r="E28" s="368">
        <f ca="1">H18*E27</f>
        <v>374.3306564412344</v>
      </c>
      <c r="F28" s="369">
        <f ca="1">D28+E28</f>
        <v>467.91332055154299</v>
      </c>
      <c r="G28" s="346"/>
    </row>
    <row r="29" spans="1:14" ht="18" customHeight="1" x14ac:dyDescent="0.25">
      <c r="A29" s="346"/>
      <c r="B29" s="348"/>
      <c r="C29" s="367"/>
      <c r="D29" s="370"/>
      <c r="E29" s="371"/>
      <c r="F29" s="371"/>
      <c r="G29" s="346"/>
    </row>
    <row r="30" spans="1:14" ht="18" customHeight="1" x14ac:dyDescent="0.25">
      <c r="A30" s="346"/>
      <c r="B30" s="348"/>
      <c r="C30" s="367"/>
      <c r="D30" s="370"/>
      <c r="E30" s="350"/>
      <c r="F30" s="350"/>
      <c r="G30" s="346"/>
    </row>
    <row r="31" spans="1:14" ht="18" customHeight="1" x14ac:dyDescent="0.25">
      <c r="C31" s="23"/>
      <c r="D31" s="24"/>
      <c r="E31" s="22"/>
      <c r="F31" s="22"/>
    </row>
    <row r="32" spans="1:14" ht="18" customHeight="1" x14ac:dyDescent="0.25">
      <c r="C32" s="23"/>
      <c r="D32" s="24"/>
      <c r="E32" s="22"/>
      <c r="F32" s="22"/>
    </row>
    <row r="33" spans="4:6" ht="18" customHeight="1" x14ac:dyDescent="0.25">
      <c r="D33" s="25"/>
      <c r="E33" s="25"/>
      <c r="F33" s="25"/>
    </row>
    <row r="34" spans="4:6" ht="18" customHeight="1" x14ac:dyDescent="0.25">
      <c r="D34" s="17"/>
    </row>
    <row r="35" spans="4:6" ht="18" customHeight="1" x14ac:dyDescent="0.25">
      <c r="D35" s="17"/>
    </row>
    <row r="36" spans="4:6" ht="18" customHeight="1" x14ac:dyDescent="0.25">
      <c r="D36" s="17"/>
    </row>
    <row r="37" spans="4:6" ht="18" customHeight="1" x14ac:dyDescent="0.25">
      <c r="D37" s="17"/>
    </row>
    <row r="38" spans="4:6" ht="18" customHeight="1" x14ac:dyDescent="0.25">
      <c r="D38" s="17"/>
    </row>
    <row r="39" spans="4:6" ht="18" customHeight="1" x14ac:dyDescent="0.25">
      <c r="D39" s="17"/>
    </row>
    <row r="40" spans="4:6" ht="18" customHeight="1" x14ac:dyDescent="0.25">
      <c r="D40" s="17"/>
    </row>
    <row r="41" spans="4:6" x14ac:dyDescent="0.25">
      <c r="D41" s="17"/>
    </row>
    <row r="42" spans="4:6" x14ac:dyDescent="0.25">
      <c r="D42" s="17"/>
    </row>
    <row r="43" spans="4:6" ht="18" customHeight="1" x14ac:dyDescent="0.25">
      <c r="D43" s="17"/>
    </row>
    <row r="44" spans="4:6" ht="18" customHeight="1" x14ac:dyDescent="0.25">
      <c r="D44" s="17"/>
    </row>
    <row r="45" spans="4:6" ht="18" customHeight="1" x14ac:dyDescent="0.25">
      <c r="D45" s="17"/>
    </row>
    <row r="46" spans="4:6" ht="18" customHeight="1" x14ac:dyDescent="0.25">
      <c r="D46" s="17"/>
    </row>
    <row r="47" spans="4:6" ht="18" customHeight="1" x14ac:dyDescent="0.25">
      <c r="D47" s="17"/>
    </row>
    <row r="48" spans="4:6" ht="18" customHeight="1" x14ac:dyDescent="0.25">
      <c r="D48" s="17"/>
    </row>
    <row r="49" spans="4:4" ht="18" customHeight="1" x14ac:dyDescent="0.25">
      <c r="D49" s="17"/>
    </row>
    <row r="50" spans="4:4" ht="18" customHeight="1" x14ac:dyDescent="0.25">
      <c r="D50" s="17"/>
    </row>
    <row r="51" spans="4:4" ht="18" customHeight="1" x14ac:dyDescent="0.25">
      <c r="D51" s="17"/>
    </row>
    <row r="52" spans="4:4" ht="18" customHeight="1" x14ac:dyDescent="0.25">
      <c r="D52" s="17"/>
    </row>
    <row r="53" spans="4:4" ht="18" customHeight="1" x14ac:dyDescent="0.25">
      <c r="D53" s="17"/>
    </row>
    <row r="54" spans="4:4" ht="18" customHeight="1" x14ac:dyDescent="0.25">
      <c r="D54" s="17"/>
    </row>
    <row r="55" spans="4:4" ht="18" customHeight="1" x14ac:dyDescent="0.25">
      <c r="D55" s="17"/>
    </row>
    <row r="56" spans="4:4" ht="18" customHeight="1" x14ac:dyDescent="0.25">
      <c r="D56" s="17"/>
    </row>
    <row r="57" spans="4:4" ht="18" customHeight="1" x14ac:dyDescent="0.25">
      <c r="D57" s="17"/>
    </row>
    <row r="58" spans="4:4" ht="18" customHeight="1" x14ac:dyDescent="0.25">
      <c r="D58" s="17"/>
    </row>
    <row r="59" spans="4:4" ht="18" customHeight="1" x14ac:dyDescent="0.25">
      <c r="D59" s="17"/>
    </row>
    <row r="60" spans="4:4" ht="18" customHeight="1" x14ac:dyDescent="0.25">
      <c r="D60" s="17"/>
    </row>
    <row r="61" spans="4:4" ht="18" customHeight="1" x14ac:dyDescent="0.25">
      <c r="D61" s="17"/>
    </row>
    <row r="62" spans="4:4" ht="18" customHeight="1" x14ac:dyDescent="0.25">
      <c r="D62" s="17"/>
    </row>
    <row r="63" spans="4:4" ht="18" customHeight="1" x14ac:dyDescent="0.25">
      <c r="D63" s="17"/>
    </row>
    <row r="64" spans="4:4" ht="18" customHeight="1" x14ac:dyDescent="0.25">
      <c r="D64" s="17"/>
    </row>
    <row r="65" spans="4:4" ht="18" customHeight="1" x14ac:dyDescent="0.25">
      <c r="D65" s="17"/>
    </row>
    <row r="66" spans="4:4" ht="18" customHeight="1" x14ac:dyDescent="0.25">
      <c r="D66" s="17"/>
    </row>
    <row r="67" spans="4:4" ht="18" customHeight="1" x14ac:dyDescent="0.25">
      <c r="D67" s="17"/>
    </row>
    <row r="68" spans="4:4" ht="18" customHeight="1" x14ac:dyDescent="0.25">
      <c r="D68" s="17"/>
    </row>
    <row r="69" spans="4:4" ht="18" customHeight="1" x14ac:dyDescent="0.25">
      <c r="D69" s="17"/>
    </row>
    <row r="70" spans="4:4" ht="18" customHeight="1" x14ac:dyDescent="0.25">
      <c r="D70" s="17"/>
    </row>
    <row r="71" spans="4:4" ht="18" customHeight="1" x14ac:dyDescent="0.25">
      <c r="D71" s="17"/>
    </row>
    <row r="72" spans="4:4" ht="18" customHeight="1" x14ac:dyDescent="0.25">
      <c r="D72" s="17"/>
    </row>
    <row r="73" spans="4:4" ht="18" customHeight="1" x14ac:dyDescent="0.25">
      <c r="D73" s="17"/>
    </row>
    <row r="74" spans="4:4" x14ac:dyDescent="0.25">
      <c r="D74" s="17"/>
    </row>
    <row r="75" spans="4:4" x14ac:dyDescent="0.25">
      <c r="D75" s="17"/>
    </row>
    <row r="76" spans="4:4" ht="18" customHeight="1" x14ac:dyDescent="0.25">
      <c r="D76" s="17"/>
    </row>
    <row r="77" spans="4:4" ht="18" customHeight="1" x14ac:dyDescent="0.25">
      <c r="D77" s="17"/>
    </row>
    <row r="78" spans="4:4" ht="18" customHeight="1" x14ac:dyDescent="0.25">
      <c r="D78" s="17"/>
    </row>
    <row r="79" spans="4:4" ht="18" customHeight="1" x14ac:dyDescent="0.25">
      <c r="D79" s="17"/>
    </row>
    <row r="80" spans="4:4" ht="18" customHeight="1" x14ac:dyDescent="0.25">
      <c r="D80" s="17"/>
    </row>
    <row r="81" spans="4:4" x14ac:dyDescent="0.25">
      <c r="D81" s="17"/>
    </row>
    <row r="82" spans="4:4" ht="18" customHeight="1" x14ac:dyDescent="0.25">
      <c r="D82" s="17"/>
    </row>
    <row r="83" spans="4:4" ht="18" customHeight="1" x14ac:dyDescent="0.25">
      <c r="D83" s="17"/>
    </row>
    <row r="84" spans="4:4" ht="18" customHeight="1" x14ac:dyDescent="0.25">
      <c r="D84" s="17"/>
    </row>
    <row r="85" spans="4:4" x14ac:dyDescent="0.25">
      <c r="D85" s="17"/>
    </row>
    <row r="86" spans="4:4" x14ac:dyDescent="0.25">
      <c r="D86" s="17"/>
    </row>
    <row r="87" spans="4:4" ht="18" customHeight="1" x14ac:dyDescent="0.25">
      <c r="D87" s="17"/>
    </row>
    <row r="88" spans="4:4" ht="18" customHeight="1" x14ac:dyDescent="0.25">
      <c r="D88" s="17"/>
    </row>
    <row r="89" spans="4:4" ht="18" customHeight="1" x14ac:dyDescent="0.25">
      <c r="D89" s="17"/>
    </row>
    <row r="90" spans="4:4" ht="18" customHeight="1" x14ac:dyDescent="0.25">
      <c r="D90" s="17"/>
    </row>
    <row r="91" spans="4:4" ht="18" customHeight="1" x14ac:dyDescent="0.25">
      <c r="D91" s="17"/>
    </row>
    <row r="92" spans="4:4" ht="18" customHeight="1" x14ac:dyDescent="0.25">
      <c r="D92" s="17"/>
    </row>
    <row r="93" spans="4:4" ht="18" customHeight="1" x14ac:dyDescent="0.25">
      <c r="D93" s="17"/>
    </row>
    <row r="94" spans="4:4" ht="18" customHeight="1" x14ac:dyDescent="0.25">
      <c r="D94" s="17"/>
    </row>
    <row r="95" spans="4:4" ht="18" customHeight="1" x14ac:dyDescent="0.25">
      <c r="D95" s="17"/>
    </row>
    <row r="96" spans="4:4" ht="18" customHeight="1" x14ac:dyDescent="0.25">
      <c r="D96" s="17"/>
    </row>
    <row r="97" spans="4:4" ht="18" customHeight="1" x14ac:dyDescent="0.25">
      <c r="D97" s="17"/>
    </row>
    <row r="98" spans="4:4" ht="18" customHeight="1" x14ac:dyDescent="0.25">
      <c r="D98" s="17"/>
    </row>
    <row r="99" spans="4:4" ht="18" customHeight="1" x14ac:dyDescent="0.25">
      <c r="D99" s="17"/>
    </row>
    <row r="100" spans="4:4" ht="18" customHeight="1" x14ac:dyDescent="0.25">
      <c r="D100" s="17"/>
    </row>
    <row r="101" spans="4:4" ht="18" customHeight="1" x14ac:dyDescent="0.25">
      <c r="D101" s="17"/>
    </row>
    <row r="102" spans="4:4" ht="18" customHeight="1" x14ac:dyDescent="0.25">
      <c r="D102" s="17"/>
    </row>
    <row r="103" spans="4:4" ht="18" customHeight="1" x14ac:dyDescent="0.25">
      <c r="D103" s="17"/>
    </row>
    <row r="104" spans="4:4" ht="18" customHeight="1" x14ac:dyDescent="0.25">
      <c r="D104" s="17"/>
    </row>
    <row r="105" spans="4:4" ht="18" customHeight="1" x14ac:dyDescent="0.25">
      <c r="D105" s="17"/>
    </row>
    <row r="106" spans="4:4" ht="18" customHeight="1" x14ac:dyDescent="0.25">
      <c r="D106" s="17"/>
    </row>
    <row r="107" spans="4:4" ht="18" customHeight="1" x14ac:dyDescent="0.25">
      <c r="D107" s="17"/>
    </row>
    <row r="108" spans="4:4" ht="18" customHeight="1" x14ac:dyDescent="0.25">
      <c r="D108" s="17"/>
    </row>
    <row r="109" spans="4:4" ht="18" customHeight="1" x14ac:dyDescent="0.25">
      <c r="D109" s="17"/>
    </row>
    <row r="110" spans="4:4" ht="18" customHeight="1" x14ac:dyDescent="0.25">
      <c r="D110" s="17"/>
    </row>
    <row r="111" spans="4:4" ht="18" customHeight="1" x14ac:dyDescent="0.25">
      <c r="D111" s="17"/>
    </row>
    <row r="112" spans="4:4" ht="18" customHeight="1" x14ac:dyDescent="0.25">
      <c r="D112" s="17"/>
    </row>
    <row r="113" spans="1:6" ht="18" customHeight="1" x14ac:dyDescent="0.25">
      <c r="D113" s="17"/>
    </row>
    <row r="114" spans="1:6" ht="18" customHeight="1" x14ac:dyDescent="0.25">
      <c r="D114" s="17"/>
    </row>
    <row r="115" spans="1:6" ht="18" customHeight="1" x14ac:dyDescent="0.25">
      <c r="D115" s="17"/>
    </row>
    <row r="116" spans="1:6" ht="18" customHeight="1" x14ac:dyDescent="0.25">
      <c r="D116" s="17"/>
    </row>
    <row r="117" spans="1:6" ht="18" customHeight="1" x14ac:dyDescent="0.25">
      <c r="D117" s="17"/>
    </row>
    <row r="118" spans="1:6" ht="18" customHeight="1" x14ac:dyDescent="0.25">
      <c r="D118" s="17"/>
    </row>
    <row r="119" spans="1:6" ht="18" customHeight="1" x14ac:dyDescent="0.25">
      <c r="D119" s="17"/>
    </row>
    <row r="120" spans="1:6" ht="18" customHeight="1" x14ac:dyDescent="0.25">
      <c r="D120" s="17"/>
    </row>
    <row r="121" spans="1:6" ht="18" customHeight="1" x14ac:dyDescent="0.25">
      <c r="D121" s="17"/>
    </row>
    <row r="122" spans="1:6" ht="18" customHeight="1" x14ac:dyDescent="0.25">
      <c r="D122" s="17"/>
    </row>
    <row r="123" spans="1:6" ht="18" customHeight="1" x14ac:dyDescent="0.25">
      <c r="A123" s="2"/>
      <c r="D123" s="17"/>
    </row>
    <row r="124" spans="1:6" ht="18" customHeight="1" x14ac:dyDescent="0.25">
      <c r="A124" s="2"/>
      <c r="D124" s="17"/>
    </row>
    <row r="125" spans="1:6" ht="18" customHeight="1" x14ac:dyDescent="0.25">
      <c r="A125" s="2"/>
      <c r="D125" s="17"/>
    </row>
    <row r="126" spans="1:6" ht="18" customHeight="1" x14ac:dyDescent="0.25">
      <c r="A126" s="2"/>
      <c r="D126" s="17"/>
    </row>
    <row r="127" spans="1:6" s="2" customFormat="1" ht="18" customHeight="1" x14ac:dyDescent="0.25">
      <c r="D127" s="17"/>
      <c r="E127" s="1"/>
      <c r="F127" s="1"/>
    </row>
    <row r="128" spans="1:6" s="2" customFormat="1" ht="18" customHeight="1" x14ac:dyDescent="0.25">
      <c r="E128" s="1"/>
      <c r="F128" s="1"/>
    </row>
    <row r="129" spans="5:6" s="2" customFormat="1" ht="18" customHeight="1" x14ac:dyDescent="0.25">
      <c r="E129" s="1"/>
      <c r="F129" s="1"/>
    </row>
    <row r="130" spans="5:6" s="2" customFormat="1" ht="18" customHeight="1" x14ac:dyDescent="0.25">
      <c r="E130" s="1"/>
      <c r="F130" s="1"/>
    </row>
    <row r="131" spans="5:6" s="2" customFormat="1" ht="18" customHeight="1" x14ac:dyDescent="0.25">
      <c r="E131" s="1"/>
      <c r="F131" s="1"/>
    </row>
    <row r="132" spans="5:6" s="2" customFormat="1" ht="18" customHeight="1" x14ac:dyDescent="0.25">
      <c r="E132" s="1"/>
      <c r="F132" s="1"/>
    </row>
    <row r="133" spans="5:6" s="2" customFormat="1" ht="18" customHeight="1" x14ac:dyDescent="0.25">
      <c r="E133" s="1"/>
      <c r="F133" s="1"/>
    </row>
    <row r="134" spans="5:6" s="2" customFormat="1" ht="18" customHeight="1" x14ac:dyDescent="0.25">
      <c r="E134" s="1"/>
      <c r="F134" s="1"/>
    </row>
    <row r="135" spans="5:6" s="2" customFormat="1" ht="18" customHeight="1" x14ac:dyDescent="0.25">
      <c r="E135" s="1"/>
      <c r="F135" s="1"/>
    </row>
    <row r="136" spans="5:6" s="2" customFormat="1" ht="18" customHeight="1" x14ac:dyDescent="0.25">
      <c r="E136" s="1"/>
      <c r="F136" s="1"/>
    </row>
    <row r="137" spans="5:6" s="2" customFormat="1" ht="18" customHeight="1" x14ac:dyDescent="0.25">
      <c r="E137" s="1"/>
      <c r="F137" s="1"/>
    </row>
    <row r="138" spans="5:6" s="2" customFormat="1" ht="18" customHeight="1" x14ac:dyDescent="0.25">
      <c r="E138" s="1"/>
      <c r="F138" s="1"/>
    </row>
    <row r="139" spans="5:6" s="2" customFormat="1" ht="18" customHeight="1" x14ac:dyDescent="0.25">
      <c r="E139" s="1"/>
      <c r="F139" s="1"/>
    </row>
    <row r="140" spans="5:6" s="2" customFormat="1" ht="18" customHeight="1" x14ac:dyDescent="0.25">
      <c r="E140" s="1"/>
      <c r="F140" s="1"/>
    </row>
    <row r="141" spans="5:6" s="2" customFormat="1" ht="18" customHeight="1" x14ac:dyDescent="0.25">
      <c r="E141" s="1"/>
      <c r="F141" s="1"/>
    </row>
    <row r="142" spans="5:6" s="2" customFormat="1" ht="18" customHeight="1" x14ac:dyDescent="0.25">
      <c r="E142" s="1"/>
      <c r="F142" s="1"/>
    </row>
    <row r="143" spans="5:6" s="2" customFormat="1" ht="18" customHeight="1" x14ac:dyDescent="0.25">
      <c r="E143" s="1"/>
      <c r="F143" s="1"/>
    </row>
    <row r="144" spans="5:6" s="2" customFormat="1" ht="18" customHeight="1" x14ac:dyDescent="0.25">
      <c r="E144" s="1"/>
      <c r="F144" s="1"/>
    </row>
    <row r="145" spans="5:6" s="2" customFormat="1" ht="18" customHeight="1" x14ac:dyDescent="0.25">
      <c r="E145" s="1"/>
      <c r="F145" s="1"/>
    </row>
    <row r="146" spans="5:6" s="2" customFormat="1" ht="18" customHeight="1" x14ac:dyDescent="0.25">
      <c r="E146" s="1"/>
      <c r="F146" s="1"/>
    </row>
    <row r="147" spans="5:6" s="2" customFormat="1" ht="18" customHeight="1" x14ac:dyDescent="0.25">
      <c r="E147" s="1"/>
      <c r="F147" s="1"/>
    </row>
    <row r="148" spans="5:6" s="2" customFormat="1" ht="18" customHeight="1" x14ac:dyDescent="0.25">
      <c r="E148" s="1"/>
      <c r="F148" s="1"/>
    </row>
    <row r="149" spans="5:6" s="2" customFormat="1" ht="18" customHeight="1" x14ac:dyDescent="0.25">
      <c r="E149" s="1"/>
      <c r="F149" s="1"/>
    </row>
    <row r="150" spans="5:6" s="2" customFormat="1" ht="18" customHeight="1" x14ac:dyDescent="0.25">
      <c r="E150" s="1"/>
      <c r="F150" s="1"/>
    </row>
    <row r="151" spans="5:6" s="2" customFormat="1" ht="18" customHeight="1" x14ac:dyDescent="0.25">
      <c r="E151" s="1"/>
      <c r="F151" s="1"/>
    </row>
    <row r="152" spans="5:6" s="2" customFormat="1" ht="18" customHeight="1" x14ac:dyDescent="0.25">
      <c r="E152" s="1"/>
      <c r="F152" s="1"/>
    </row>
    <row r="153" spans="5:6" s="2" customFormat="1" ht="18" customHeight="1" x14ac:dyDescent="0.25">
      <c r="E153" s="1"/>
      <c r="F153" s="1"/>
    </row>
    <row r="154" spans="5:6" s="2" customFormat="1" ht="18" customHeight="1" x14ac:dyDescent="0.25">
      <c r="E154" s="1"/>
      <c r="F154" s="1"/>
    </row>
    <row r="155" spans="5:6" s="2" customFormat="1" ht="18" customHeight="1" x14ac:dyDescent="0.25">
      <c r="E155" s="1"/>
      <c r="F155" s="1"/>
    </row>
    <row r="156" spans="5:6" s="2" customFormat="1" ht="18" customHeight="1" x14ac:dyDescent="0.25">
      <c r="E156" s="1"/>
      <c r="F156" s="1"/>
    </row>
    <row r="157" spans="5:6" s="2" customFormat="1" ht="18" customHeight="1" x14ac:dyDescent="0.25">
      <c r="E157" s="1"/>
      <c r="F157" s="1"/>
    </row>
    <row r="158" spans="5:6" s="2" customFormat="1" ht="18" customHeight="1" x14ac:dyDescent="0.25">
      <c r="E158" s="1"/>
      <c r="F158" s="1"/>
    </row>
    <row r="159" spans="5:6" s="2" customFormat="1" ht="18" customHeight="1" x14ac:dyDescent="0.25">
      <c r="E159" s="1"/>
      <c r="F159" s="1"/>
    </row>
    <row r="160" spans="5:6" s="2" customFormat="1" ht="18" customHeight="1" x14ac:dyDescent="0.25">
      <c r="E160" s="1"/>
      <c r="F160" s="1"/>
    </row>
    <row r="161" spans="5:6" s="2" customFormat="1" ht="18" customHeight="1" x14ac:dyDescent="0.25">
      <c r="E161" s="1"/>
      <c r="F161" s="1"/>
    </row>
    <row r="162" spans="5:6" s="2" customFormat="1" ht="18" customHeight="1" x14ac:dyDescent="0.25">
      <c r="E162" s="1"/>
      <c r="F162" s="1"/>
    </row>
    <row r="163" spans="5:6" s="2" customFormat="1" ht="18" customHeight="1" x14ac:dyDescent="0.25">
      <c r="E163" s="1"/>
      <c r="F163" s="1"/>
    </row>
    <row r="164" spans="5:6" s="2" customFormat="1" ht="18" customHeight="1" x14ac:dyDescent="0.25">
      <c r="E164" s="1"/>
      <c r="F164" s="1"/>
    </row>
    <row r="165" spans="5:6" s="2" customFormat="1" ht="18" customHeight="1" x14ac:dyDescent="0.25">
      <c r="E165" s="1"/>
      <c r="F165" s="1"/>
    </row>
    <row r="166" spans="5:6" s="2" customFormat="1" ht="18" customHeight="1" x14ac:dyDescent="0.25">
      <c r="E166" s="1"/>
      <c r="F166" s="1"/>
    </row>
    <row r="167" spans="5:6" s="2" customFormat="1" ht="18" customHeight="1" x14ac:dyDescent="0.25">
      <c r="E167" s="1"/>
      <c r="F167" s="1"/>
    </row>
    <row r="168" spans="5:6" s="2" customFormat="1" ht="18" customHeight="1" x14ac:dyDescent="0.25">
      <c r="E168" s="1"/>
      <c r="F168" s="1"/>
    </row>
    <row r="169" spans="5:6" s="2" customFormat="1" ht="18" customHeight="1" x14ac:dyDescent="0.25">
      <c r="E169" s="1"/>
      <c r="F169" s="1"/>
    </row>
    <row r="170" spans="5:6" s="2" customFormat="1" ht="18" customHeight="1" x14ac:dyDescent="0.25">
      <c r="E170" s="1"/>
      <c r="F170" s="1"/>
    </row>
    <row r="171" spans="5:6" s="2" customFormat="1" ht="18" customHeight="1" x14ac:dyDescent="0.25">
      <c r="E171" s="1"/>
      <c r="F171" s="1"/>
    </row>
    <row r="172" spans="5:6" s="2" customFormat="1" ht="18" customHeight="1" x14ac:dyDescent="0.25">
      <c r="E172" s="1"/>
      <c r="F172" s="1"/>
    </row>
    <row r="173" spans="5:6" s="2" customFormat="1" ht="18" customHeight="1" x14ac:dyDescent="0.25">
      <c r="E173" s="1"/>
      <c r="F173" s="1"/>
    </row>
    <row r="174" spans="5:6" s="2" customFormat="1" ht="18" customHeight="1" x14ac:dyDescent="0.25">
      <c r="E174" s="1"/>
      <c r="F174" s="1"/>
    </row>
    <row r="175" spans="5:6" s="2" customFormat="1" ht="18" customHeight="1" x14ac:dyDescent="0.25">
      <c r="E175" s="1"/>
      <c r="F175" s="1"/>
    </row>
    <row r="176" spans="5:6" s="2" customFormat="1" ht="18" customHeight="1" x14ac:dyDescent="0.25">
      <c r="E176" s="1"/>
      <c r="F176" s="1"/>
    </row>
    <row r="177" spans="5:6" s="2" customFormat="1" ht="18" customHeight="1" x14ac:dyDescent="0.25">
      <c r="E177" s="1"/>
      <c r="F177" s="1"/>
    </row>
    <row r="178" spans="5:6" s="2" customFormat="1" ht="18" customHeight="1" x14ac:dyDescent="0.25">
      <c r="E178" s="1"/>
      <c r="F178" s="1"/>
    </row>
    <row r="179" spans="5:6" s="2" customFormat="1" ht="18" customHeight="1" x14ac:dyDescent="0.25">
      <c r="E179" s="1"/>
      <c r="F179" s="1"/>
    </row>
    <row r="180" spans="5:6" s="2" customFormat="1" ht="18" customHeight="1" x14ac:dyDescent="0.25">
      <c r="E180" s="1"/>
      <c r="F180" s="1"/>
    </row>
    <row r="181" spans="5:6" s="2" customFormat="1" ht="18" customHeight="1" x14ac:dyDescent="0.25">
      <c r="E181" s="1"/>
      <c r="F181" s="1"/>
    </row>
    <row r="182" spans="5:6" s="2" customFormat="1" ht="18" customHeight="1" x14ac:dyDescent="0.25">
      <c r="E182" s="1"/>
      <c r="F182" s="1"/>
    </row>
    <row r="183" spans="5:6" s="2" customFormat="1" ht="18" customHeight="1" x14ac:dyDescent="0.25">
      <c r="E183" s="1"/>
      <c r="F183" s="1"/>
    </row>
    <row r="184" spans="5:6" s="2" customFormat="1" ht="18" customHeight="1" x14ac:dyDescent="0.25">
      <c r="E184" s="1"/>
      <c r="F184" s="1"/>
    </row>
    <row r="185" spans="5:6" s="2" customFormat="1" ht="18" customHeight="1" x14ac:dyDescent="0.25">
      <c r="E185" s="1"/>
      <c r="F185" s="1"/>
    </row>
    <row r="186" spans="5:6" s="2" customFormat="1" ht="18" customHeight="1" x14ac:dyDescent="0.25">
      <c r="E186" s="1"/>
      <c r="F186" s="1"/>
    </row>
    <row r="187" spans="5:6" s="2" customFormat="1" ht="18" customHeight="1" x14ac:dyDescent="0.25">
      <c r="E187" s="1"/>
      <c r="F187" s="1"/>
    </row>
    <row r="188" spans="5:6" s="2" customFormat="1" ht="18" customHeight="1" x14ac:dyDescent="0.25">
      <c r="E188" s="1"/>
      <c r="F188" s="1"/>
    </row>
    <row r="189" spans="5:6" s="2" customFormat="1" ht="18" customHeight="1" x14ac:dyDescent="0.25">
      <c r="E189" s="1"/>
      <c r="F189" s="1"/>
    </row>
    <row r="190" spans="5:6" s="2" customFormat="1" ht="18" customHeight="1" x14ac:dyDescent="0.25">
      <c r="E190" s="1"/>
      <c r="F190" s="1"/>
    </row>
    <row r="191" spans="5:6" s="2" customFormat="1" ht="18" customHeight="1" x14ac:dyDescent="0.25">
      <c r="E191" s="1"/>
      <c r="F191" s="1"/>
    </row>
    <row r="192" spans="5:6" s="2" customFormat="1" ht="18" customHeight="1" x14ac:dyDescent="0.25">
      <c r="E192" s="1"/>
      <c r="F192" s="1"/>
    </row>
    <row r="193" spans="5:6" s="2" customFormat="1" ht="18" customHeight="1" x14ac:dyDescent="0.25">
      <c r="E193" s="1"/>
      <c r="F193" s="1"/>
    </row>
    <row r="194" spans="5:6" s="2" customFormat="1" ht="18" customHeight="1" x14ac:dyDescent="0.25">
      <c r="E194" s="1"/>
      <c r="F194" s="1"/>
    </row>
    <row r="195" spans="5:6" s="2" customFormat="1" ht="18" customHeight="1" x14ac:dyDescent="0.25">
      <c r="E195" s="1"/>
      <c r="F195" s="1"/>
    </row>
    <row r="196" spans="5:6" s="2" customFormat="1" ht="18" customHeight="1" x14ac:dyDescent="0.25">
      <c r="E196" s="1"/>
      <c r="F196" s="1"/>
    </row>
    <row r="197" spans="5:6" s="2" customFormat="1" ht="18" customHeight="1" x14ac:dyDescent="0.25">
      <c r="E197" s="1"/>
      <c r="F197" s="1"/>
    </row>
    <row r="198" spans="5:6" s="2" customFormat="1" ht="18" customHeight="1" x14ac:dyDescent="0.25">
      <c r="E198" s="1"/>
      <c r="F198" s="1"/>
    </row>
    <row r="199" spans="5:6" s="2" customFormat="1" ht="18" customHeight="1" x14ac:dyDescent="0.25">
      <c r="E199" s="1"/>
      <c r="F199" s="1"/>
    </row>
    <row r="200" spans="5:6" s="2" customFormat="1" ht="18" customHeight="1" x14ac:dyDescent="0.25">
      <c r="E200" s="1"/>
      <c r="F200" s="1"/>
    </row>
    <row r="201" spans="5:6" s="2" customFormat="1" ht="18" customHeight="1" x14ac:dyDescent="0.25">
      <c r="E201" s="1"/>
      <c r="F201" s="1"/>
    </row>
    <row r="202" spans="5:6" s="2" customFormat="1" ht="18" customHeight="1" x14ac:dyDescent="0.25">
      <c r="E202" s="1"/>
      <c r="F202" s="1"/>
    </row>
    <row r="203" spans="5:6" s="2" customFormat="1" ht="18" customHeight="1" x14ac:dyDescent="0.25">
      <c r="E203" s="1"/>
      <c r="F203" s="1"/>
    </row>
    <row r="204" spans="5:6" s="2" customFormat="1" ht="18" customHeight="1" x14ac:dyDescent="0.25">
      <c r="E204" s="1"/>
      <c r="F204" s="1"/>
    </row>
    <row r="205" spans="5:6" s="2" customFormat="1" ht="18" customHeight="1" x14ac:dyDescent="0.25">
      <c r="E205" s="1"/>
      <c r="F205" s="1"/>
    </row>
    <row r="206" spans="5:6" s="2" customFormat="1" ht="18" customHeight="1" x14ac:dyDescent="0.25">
      <c r="E206" s="1"/>
      <c r="F206" s="1"/>
    </row>
    <row r="207" spans="5:6" s="2" customFormat="1" ht="18" customHeight="1" x14ac:dyDescent="0.25">
      <c r="E207" s="1"/>
      <c r="F207" s="1"/>
    </row>
    <row r="208" spans="5:6" s="2" customFormat="1" ht="18" customHeight="1" x14ac:dyDescent="0.25">
      <c r="E208" s="1"/>
      <c r="F208" s="1"/>
    </row>
    <row r="209" spans="5:6" s="2" customFormat="1" ht="18" customHeight="1" x14ac:dyDescent="0.25">
      <c r="E209" s="1"/>
      <c r="F209" s="1"/>
    </row>
    <row r="210" spans="5:6" s="2" customFormat="1" ht="18" customHeight="1" x14ac:dyDescent="0.25">
      <c r="E210" s="1"/>
      <c r="F210" s="1"/>
    </row>
    <row r="211" spans="5:6" s="2" customFormat="1" ht="18" customHeight="1" x14ac:dyDescent="0.25">
      <c r="E211" s="1"/>
      <c r="F211" s="1"/>
    </row>
    <row r="212" spans="5:6" s="2" customFormat="1" ht="18" customHeight="1" x14ac:dyDescent="0.25">
      <c r="E212" s="1"/>
      <c r="F212" s="1"/>
    </row>
    <row r="213" spans="5:6" s="2" customFormat="1" ht="18" customHeight="1" x14ac:dyDescent="0.25">
      <c r="E213" s="1"/>
      <c r="F213" s="1"/>
    </row>
    <row r="214" spans="5:6" s="2" customFormat="1" ht="18" customHeight="1" x14ac:dyDescent="0.25">
      <c r="E214" s="1"/>
      <c r="F214" s="1"/>
    </row>
    <row r="215" spans="5:6" s="2" customFormat="1" ht="18" customHeight="1" x14ac:dyDescent="0.25">
      <c r="E215" s="1"/>
      <c r="F215" s="1"/>
    </row>
    <row r="216" spans="5:6" s="2" customFormat="1" ht="18" customHeight="1" x14ac:dyDescent="0.25">
      <c r="E216" s="1"/>
      <c r="F216" s="1"/>
    </row>
    <row r="217" spans="5:6" s="2" customFormat="1" ht="18" customHeight="1" x14ac:dyDescent="0.25">
      <c r="E217" s="1"/>
      <c r="F217" s="1"/>
    </row>
    <row r="218" spans="5:6" s="2" customFormat="1" ht="18" customHeight="1" x14ac:dyDescent="0.25">
      <c r="E218" s="1"/>
      <c r="F218" s="1"/>
    </row>
    <row r="219" spans="5:6" s="2" customFormat="1" ht="18" customHeight="1" x14ac:dyDescent="0.25">
      <c r="E219" s="1"/>
      <c r="F219" s="1"/>
    </row>
    <row r="220" spans="5:6" s="2" customFormat="1" ht="18" customHeight="1" x14ac:dyDescent="0.25">
      <c r="E220" s="1"/>
      <c r="F220" s="1"/>
    </row>
    <row r="221" spans="5:6" s="2" customFormat="1" ht="18" customHeight="1" x14ac:dyDescent="0.25">
      <c r="E221" s="1"/>
      <c r="F221" s="1"/>
    </row>
    <row r="222" spans="5:6" s="2" customFormat="1" ht="18" customHeight="1" x14ac:dyDescent="0.25">
      <c r="E222" s="1"/>
      <c r="F222" s="1"/>
    </row>
    <row r="223" spans="5:6" s="2" customFormat="1" ht="18" customHeight="1" x14ac:dyDescent="0.25">
      <c r="E223" s="1"/>
      <c r="F223" s="1"/>
    </row>
    <row r="224" spans="5:6" s="2" customFormat="1" ht="18" customHeight="1" x14ac:dyDescent="0.25">
      <c r="E224" s="1"/>
      <c r="F224" s="1"/>
    </row>
    <row r="225" spans="5:6" s="2" customFormat="1" ht="18" customHeight="1" x14ac:dyDescent="0.25">
      <c r="E225" s="1"/>
      <c r="F225" s="1"/>
    </row>
    <row r="226" spans="5:6" s="2" customFormat="1" ht="18" customHeight="1" x14ac:dyDescent="0.25">
      <c r="E226" s="1"/>
      <c r="F226" s="1"/>
    </row>
    <row r="227" spans="5:6" s="2" customFormat="1" ht="18" customHeight="1" x14ac:dyDescent="0.25">
      <c r="E227" s="1"/>
      <c r="F227" s="1"/>
    </row>
    <row r="228" spans="5:6" s="2" customFormat="1" ht="18" customHeight="1" x14ac:dyDescent="0.25">
      <c r="E228" s="1"/>
      <c r="F228" s="1"/>
    </row>
    <row r="229" spans="5:6" s="2" customFormat="1" ht="18" customHeight="1" x14ac:dyDescent="0.25">
      <c r="E229" s="1"/>
      <c r="F229" s="1"/>
    </row>
    <row r="230" spans="5:6" s="2" customFormat="1" ht="18" customHeight="1" x14ac:dyDescent="0.25">
      <c r="E230" s="1"/>
      <c r="F230" s="1"/>
    </row>
    <row r="231" spans="5:6" s="2" customFormat="1" ht="18" customHeight="1" x14ac:dyDescent="0.25">
      <c r="E231" s="1"/>
      <c r="F231" s="1"/>
    </row>
    <row r="232" spans="5:6" s="2" customFormat="1" ht="18" customHeight="1" x14ac:dyDescent="0.25">
      <c r="E232" s="1"/>
      <c r="F232" s="1"/>
    </row>
    <row r="233" spans="5:6" s="2" customFormat="1" ht="18" customHeight="1" x14ac:dyDescent="0.25">
      <c r="E233" s="1"/>
      <c r="F233" s="1"/>
    </row>
    <row r="234" spans="5:6" s="2" customFormat="1" ht="18" customHeight="1" x14ac:dyDescent="0.25">
      <c r="E234" s="1"/>
      <c r="F234" s="1"/>
    </row>
    <row r="235" spans="5:6" s="2" customFormat="1" ht="18" customHeight="1" x14ac:dyDescent="0.25">
      <c r="E235" s="1"/>
      <c r="F235" s="1"/>
    </row>
    <row r="236" spans="5:6" s="2" customFormat="1" ht="18" customHeight="1" x14ac:dyDescent="0.25">
      <c r="E236" s="1"/>
      <c r="F236" s="1"/>
    </row>
    <row r="237" spans="5:6" s="2" customFormat="1" ht="18" customHeight="1" x14ac:dyDescent="0.25">
      <c r="E237" s="1"/>
      <c r="F237" s="1"/>
    </row>
    <row r="238" spans="5:6" s="2" customFormat="1" ht="18" customHeight="1" x14ac:dyDescent="0.25">
      <c r="E238" s="1"/>
      <c r="F238" s="1"/>
    </row>
    <row r="239" spans="5:6" s="2" customFormat="1" ht="18" customHeight="1" x14ac:dyDescent="0.25">
      <c r="E239" s="1"/>
      <c r="F239" s="1"/>
    </row>
    <row r="240" spans="5:6" s="2" customFormat="1" ht="18" customHeight="1" x14ac:dyDescent="0.25">
      <c r="E240" s="1"/>
      <c r="F240" s="1"/>
    </row>
    <row r="241" spans="5:6" s="2" customFormat="1" ht="18" customHeight="1" x14ac:dyDescent="0.25">
      <c r="E241" s="1"/>
      <c r="F241" s="1"/>
    </row>
    <row r="242" spans="5:6" s="2" customFormat="1" ht="18" customHeight="1" x14ac:dyDescent="0.25">
      <c r="E242" s="1"/>
      <c r="F242" s="1"/>
    </row>
    <row r="243" spans="5:6" s="2" customFormat="1" ht="18" customHeight="1" x14ac:dyDescent="0.25">
      <c r="E243" s="1"/>
      <c r="F243" s="1"/>
    </row>
    <row r="244" spans="5:6" s="2" customFormat="1" ht="18" customHeight="1" x14ac:dyDescent="0.25">
      <c r="E244" s="1"/>
      <c r="F244" s="1"/>
    </row>
    <row r="245" spans="5:6" s="2" customFormat="1" ht="18" customHeight="1" x14ac:dyDescent="0.25">
      <c r="E245" s="1"/>
      <c r="F245" s="1"/>
    </row>
    <row r="246" spans="5:6" s="2" customFormat="1" ht="18" customHeight="1" x14ac:dyDescent="0.25">
      <c r="E246" s="1"/>
      <c r="F246" s="1"/>
    </row>
    <row r="247" spans="5:6" s="2" customFormat="1" ht="18" customHeight="1" x14ac:dyDescent="0.25">
      <c r="E247" s="1"/>
      <c r="F247" s="1"/>
    </row>
    <row r="248" spans="5:6" s="2" customFormat="1" ht="18" customHeight="1" x14ac:dyDescent="0.25">
      <c r="E248" s="1"/>
      <c r="F248" s="1"/>
    </row>
    <row r="249" spans="5:6" s="2" customFormat="1" ht="18" customHeight="1" x14ac:dyDescent="0.25">
      <c r="E249" s="1"/>
      <c r="F249" s="1"/>
    </row>
    <row r="250" spans="5:6" s="2" customFormat="1" ht="18" customHeight="1" x14ac:dyDescent="0.25">
      <c r="E250" s="1"/>
      <c r="F250" s="1"/>
    </row>
    <row r="251" spans="5:6" s="2" customFormat="1" ht="18" customHeight="1" x14ac:dyDescent="0.25">
      <c r="E251" s="1"/>
      <c r="F251" s="1"/>
    </row>
    <row r="252" spans="5:6" s="2" customFormat="1" ht="18" customHeight="1" x14ac:dyDescent="0.25">
      <c r="E252" s="1"/>
      <c r="F252" s="1"/>
    </row>
    <row r="253" spans="5:6" s="2" customFormat="1" ht="18" customHeight="1" x14ac:dyDescent="0.25">
      <c r="E253" s="1"/>
      <c r="F253" s="1"/>
    </row>
    <row r="254" spans="5:6" s="2" customFormat="1" ht="18" customHeight="1" x14ac:dyDescent="0.25">
      <c r="E254" s="1"/>
      <c r="F254" s="1"/>
    </row>
    <row r="255" spans="5:6" s="2" customFormat="1" ht="18" customHeight="1" x14ac:dyDescent="0.25">
      <c r="E255" s="1"/>
      <c r="F255" s="1"/>
    </row>
    <row r="256" spans="5:6" s="2" customFormat="1" ht="18" customHeight="1" x14ac:dyDescent="0.25">
      <c r="E256" s="1"/>
      <c r="F256" s="1"/>
    </row>
    <row r="257" spans="5:6" s="2" customFormat="1" ht="18" customHeight="1" x14ac:dyDescent="0.25">
      <c r="E257" s="1"/>
      <c r="F257" s="1"/>
    </row>
    <row r="258" spans="5:6" s="2" customFormat="1" ht="18" customHeight="1" x14ac:dyDescent="0.25">
      <c r="E258" s="1"/>
      <c r="F258" s="1"/>
    </row>
    <row r="259" spans="5:6" s="2" customFormat="1" ht="18" customHeight="1" x14ac:dyDescent="0.25">
      <c r="E259" s="1"/>
      <c r="F259" s="1"/>
    </row>
    <row r="260" spans="5:6" s="2" customFormat="1" ht="18" customHeight="1" x14ac:dyDescent="0.25">
      <c r="E260" s="1"/>
      <c r="F260" s="1"/>
    </row>
    <row r="261" spans="5:6" s="2" customFormat="1" ht="18" customHeight="1" x14ac:dyDescent="0.25">
      <c r="E261" s="1"/>
      <c r="F261" s="1"/>
    </row>
    <row r="262" spans="5:6" s="2" customFormat="1" ht="18" customHeight="1" x14ac:dyDescent="0.25">
      <c r="E262" s="1"/>
      <c r="F262" s="1"/>
    </row>
    <row r="263" spans="5:6" s="2" customFormat="1" ht="18" customHeight="1" x14ac:dyDescent="0.25">
      <c r="E263" s="1"/>
      <c r="F263" s="1"/>
    </row>
    <row r="264" spans="5:6" s="2" customFormat="1" ht="18" customHeight="1" x14ac:dyDescent="0.25">
      <c r="E264" s="1"/>
      <c r="F264" s="1"/>
    </row>
    <row r="265" spans="5:6" s="2" customFormat="1" ht="18" customHeight="1" x14ac:dyDescent="0.25">
      <c r="E265" s="1"/>
      <c r="F265" s="1"/>
    </row>
    <row r="266" spans="5:6" s="2" customFormat="1" ht="18" customHeight="1" x14ac:dyDescent="0.25">
      <c r="E266" s="1"/>
      <c r="F266" s="1"/>
    </row>
    <row r="267" spans="5:6" s="2" customFormat="1" ht="18" customHeight="1" x14ac:dyDescent="0.25">
      <c r="E267" s="1"/>
      <c r="F267" s="1"/>
    </row>
    <row r="268" spans="5:6" s="2" customFormat="1" ht="18" customHeight="1" x14ac:dyDescent="0.25">
      <c r="E268" s="1"/>
      <c r="F268" s="1"/>
    </row>
    <row r="269" spans="5:6" s="2" customFormat="1" ht="18" customHeight="1" x14ac:dyDescent="0.25">
      <c r="E269" s="1"/>
      <c r="F269" s="1"/>
    </row>
    <row r="270" spans="5:6" s="2" customFormat="1" ht="18" customHeight="1" x14ac:dyDescent="0.25">
      <c r="E270" s="1"/>
      <c r="F270" s="1"/>
    </row>
    <row r="271" spans="5:6" s="2" customFormat="1" ht="18" customHeight="1" x14ac:dyDescent="0.25">
      <c r="E271" s="1"/>
      <c r="F271" s="1"/>
    </row>
    <row r="272" spans="5:6" s="2" customFormat="1" ht="18" customHeight="1" x14ac:dyDescent="0.25">
      <c r="E272" s="1"/>
      <c r="F272" s="1"/>
    </row>
    <row r="273" spans="5:6" s="2" customFormat="1" ht="18" customHeight="1" x14ac:dyDescent="0.25">
      <c r="E273" s="1"/>
      <c r="F273" s="1"/>
    </row>
    <row r="274" spans="5:6" s="2" customFormat="1" ht="18" customHeight="1" x14ac:dyDescent="0.25">
      <c r="E274" s="1"/>
      <c r="F274" s="1"/>
    </row>
    <row r="275" spans="5:6" s="2" customFormat="1" ht="18" customHeight="1" x14ac:dyDescent="0.25">
      <c r="E275" s="1"/>
      <c r="F275" s="1"/>
    </row>
    <row r="276" spans="5:6" s="2" customFormat="1" ht="18" customHeight="1" x14ac:dyDescent="0.25">
      <c r="E276" s="1"/>
      <c r="F276" s="1"/>
    </row>
    <row r="277" spans="5:6" s="2" customFormat="1" ht="18" customHeight="1" x14ac:dyDescent="0.25">
      <c r="E277" s="1"/>
      <c r="F277" s="1"/>
    </row>
    <row r="278" spans="5:6" s="2" customFormat="1" ht="18" customHeight="1" x14ac:dyDescent="0.25">
      <c r="E278" s="1"/>
      <c r="F278" s="1"/>
    </row>
    <row r="279" spans="5:6" s="2" customFormat="1" ht="18" customHeight="1" x14ac:dyDescent="0.25">
      <c r="E279" s="1"/>
      <c r="F279" s="1"/>
    </row>
    <row r="280" spans="5:6" s="2" customFormat="1" ht="18" customHeight="1" x14ac:dyDescent="0.25">
      <c r="E280" s="1"/>
      <c r="F280" s="1"/>
    </row>
    <row r="281" spans="5:6" s="2" customFormat="1" ht="18" customHeight="1" x14ac:dyDescent="0.25">
      <c r="E281" s="1"/>
      <c r="F281" s="1"/>
    </row>
    <row r="282" spans="5:6" s="2" customFormat="1" ht="18" customHeight="1" x14ac:dyDescent="0.25">
      <c r="E282" s="1"/>
      <c r="F282" s="1"/>
    </row>
    <row r="283" spans="5:6" s="2" customFormat="1" ht="18" customHeight="1" x14ac:dyDescent="0.25">
      <c r="E283" s="1"/>
      <c r="F283" s="1"/>
    </row>
    <row r="284" spans="5:6" s="2" customFormat="1" ht="18" customHeight="1" x14ac:dyDescent="0.25">
      <c r="E284" s="1"/>
      <c r="F284" s="1"/>
    </row>
    <row r="285" spans="5:6" s="2" customFormat="1" ht="18" customHeight="1" x14ac:dyDescent="0.25">
      <c r="E285" s="1"/>
      <c r="F285" s="1"/>
    </row>
    <row r="286" spans="5:6" s="2" customFormat="1" ht="18" customHeight="1" x14ac:dyDescent="0.25">
      <c r="E286" s="1"/>
      <c r="F286" s="1"/>
    </row>
    <row r="287" spans="5:6" s="2" customFormat="1" ht="18" customHeight="1" x14ac:dyDescent="0.25">
      <c r="E287" s="1"/>
      <c r="F287" s="1"/>
    </row>
    <row r="288" spans="5:6" s="2" customFormat="1" ht="18" customHeight="1" x14ac:dyDescent="0.25">
      <c r="E288" s="1"/>
      <c r="F288" s="1"/>
    </row>
    <row r="289" spans="5:6" s="2" customFormat="1" ht="18" customHeight="1" x14ac:dyDescent="0.25">
      <c r="E289" s="1"/>
      <c r="F289" s="1"/>
    </row>
    <row r="290" spans="5:6" s="2" customFormat="1" ht="18" customHeight="1" x14ac:dyDescent="0.25">
      <c r="E290" s="1"/>
      <c r="F290" s="1"/>
    </row>
    <row r="291" spans="5:6" s="2" customFormat="1" ht="18" customHeight="1" x14ac:dyDescent="0.25">
      <c r="E291" s="1"/>
      <c r="F291" s="1"/>
    </row>
    <row r="292" spans="5:6" s="2" customFormat="1" ht="18" customHeight="1" x14ac:dyDescent="0.25">
      <c r="E292" s="1"/>
      <c r="F292" s="1"/>
    </row>
    <row r="293" spans="5:6" s="2" customFormat="1" ht="18" customHeight="1" x14ac:dyDescent="0.25">
      <c r="E293" s="1"/>
      <c r="F293" s="1"/>
    </row>
    <row r="294" spans="5:6" s="2" customFormat="1" ht="18" customHeight="1" x14ac:dyDescent="0.25">
      <c r="E294" s="1"/>
      <c r="F294" s="1"/>
    </row>
    <row r="295" spans="5:6" s="2" customFormat="1" ht="18" customHeight="1" x14ac:dyDescent="0.25">
      <c r="E295" s="1"/>
      <c r="F295" s="1"/>
    </row>
    <row r="296" spans="5:6" s="2" customFormat="1" ht="18" customHeight="1" x14ac:dyDescent="0.25">
      <c r="E296" s="1"/>
      <c r="F296" s="1"/>
    </row>
    <row r="297" spans="5:6" s="2" customFormat="1" ht="18" customHeight="1" x14ac:dyDescent="0.25">
      <c r="E297" s="1"/>
      <c r="F297" s="1"/>
    </row>
    <row r="298" spans="5:6" s="2" customFormat="1" ht="18" customHeight="1" x14ac:dyDescent="0.25">
      <c r="E298" s="1"/>
      <c r="F298" s="1"/>
    </row>
    <row r="299" spans="5:6" s="2" customFormat="1" ht="18" customHeight="1" x14ac:dyDescent="0.25">
      <c r="E299" s="1"/>
      <c r="F299" s="1"/>
    </row>
    <row r="300" spans="5:6" s="2" customFormat="1" ht="18" customHeight="1" x14ac:dyDescent="0.25">
      <c r="E300" s="1"/>
      <c r="F300" s="1"/>
    </row>
    <row r="301" spans="5:6" s="2" customFormat="1" ht="18" customHeight="1" x14ac:dyDescent="0.25">
      <c r="E301" s="1"/>
      <c r="F301" s="1"/>
    </row>
    <row r="302" spans="5:6" s="2" customFormat="1" ht="18" customHeight="1" x14ac:dyDescent="0.25">
      <c r="E302" s="1"/>
      <c r="F302" s="1"/>
    </row>
    <row r="303" spans="5:6" s="2" customFormat="1" ht="18" customHeight="1" x14ac:dyDescent="0.25">
      <c r="E303" s="1"/>
      <c r="F303" s="1"/>
    </row>
    <row r="304" spans="5:6" s="2" customFormat="1" ht="18" customHeight="1" x14ac:dyDescent="0.25">
      <c r="E304" s="1"/>
      <c r="F304" s="1"/>
    </row>
    <row r="305" spans="5:6" s="2" customFormat="1" ht="18" customHeight="1" x14ac:dyDescent="0.25">
      <c r="E305" s="1"/>
      <c r="F305" s="1"/>
    </row>
    <row r="306" spans="5:6" s="2" customFormat="1" ht="18" customHeight="1" x14ac:dyDescent="0.25">
      <c r="E306" s="1"/>
      <c r="F306" s="1"/>
    </row>
    <row r="307" spans="5:6" s="2" customFormat="1" ht="18" customHeight="1" x14ac:dyDescent="0.25">
      <c r="E307" s="1"/>
      <c r="F307" s="1"/>
    </row>
    <row r="308" spans="5:6" s="2" customFormat="1" ht="18" customHeight="1" x14ac:dyDescent="0.25">
      <c r="E308" s="1"/>
      <c r="F308" s="1"/>
    </row>
    <row r="309" spans="5:6" s="2" customFormat="1" ht="18" customHeight="1" x14ac:dyDescent="0.25">
      <c r="E309" s="1"/>
      <c r="F309" s="1"/>
    </row>
    <row r="310" spans="5:6" s="2" customFormat="1" ht="18" customHeight="1" x14ac:dyDescent="0.25">
      <c r="E310" s="1"/>
      <c r="F310" s="1"/>
    </row>
    <row r="311" spans="5:6" s="2" customFormat="1" ht="18" customHeight="1" x14ac:dyDescent="0.25">
      <c r="E311" s="1"/>
      <c r="F311" s="1"/>
    </row>
    <row r="312" spans="5:6" s="2" customFormat="1" ht="18" customHeight="1" x14ac:dyDescent="0.25">
      <c r="E312" s="1"/>
      <c r="F312" s="1"/>
    </row>
    <row r="313" spans="5:6" s="2" customFormat="1" ht="18" customHeight="1" x14ac:dyDescent="0.25">
      <c r="E313" s="1"/>
      <c r="F313" s="1"/>
    </row>
    <row r="314" spans="5:6" s="2" customFormat="1" ht="18" customHeight="1" x14ac:dyDescent="0.25">
      <c r="E314" s="1"/>
      <c r="F314" s="1"/>
    </row>
    <row r="315" spans="5:6" s="2" customFormat="1" ht="18" customHeight="1" x14ac:dyDescent="0.25">
      <c r="E315" s="1"/>
      <c r="F315" s="1"/>
    </row>
    <row r="316" spans="5:6" s="2" customFormat="1" ht="18" customHeight="1" x14ac:dyDescent="0.25">
      <c r="E316" s="1"/>
      <c r="F316" s="1"/>
    </row>
    <row r="317" spans="5:6" s="2" customFormat="1" ht="18" customHeight="1" x14ac:dyDescent="0.25">
      <c r="E317" s="1"/>
      <c r="F317" s="1"/>
    </row>
    <row r="318" spans="5:6" s="2" customFormat="1" ht="18" customHeight="1" x14ac:dyDescent="0.25">
      <c r="E318" s="1"/>
      <c r="F318" s="1"/>
    </row>
    <row r="319" spans="5:6" s="2" customFormat="1" ht="18" customHeight="1" x14ac:dyDescent="0.25">
      <c r="E319" s="1"/>
      <c r="F319" s="1"/>
    </row>
    <row r="320" spans="5:6" s="2" customFormat="1" ht="18" customHeight="1" x14ac:dyDescent="0.25">
      <c r="E320" s="1"/>
      <c r="F320" s="1"/>
    </row>
    <row r="321" spans="5:6" s="2" customFormat="1" ht="18" customHeight="1" x14ac:dyDescent="0.25">
      <c r="E321" s="1"/>
      <c r="F321" s="1"/>
    </row>
    <row r="322" spans="5:6" s="2" customFormat="1" ht="18" customHeight="1" x14ac:dyDescent="0.25">
      <c r="E322" s="1"/>
      <c r="F322" s="1"/>
    </row>
    <row r="323" spans="5:6" s="2" customFormat="1" ht="18" customHeight="1" x14ac:dyDescent="0.25">
      <c r="E323" s="1"/>
      <c r="F323" s="1"/>
    </row>
    <row r="324" spans="5:6" s="2" customFormat="1" ht="18" customHeight="1" x14ac:dyDescent="0.25">
      <c r="E324" s="1"/>
      <c r="F324" s="1"/>
    </row>
    <row r="325" spans="5:6" s="2" customFormat="1" ht="18" customHeight="1" x14ac:dyDescent="0.25">
      <c r="E325" s="1"/>
      <c r="F325" s="1"/>
    </row>
    <row r="326" spans="5:6" s="2" customFormat="1" ht="18" customHeight="1" x14ac:dyDescent="0.25">
      <c r="E326" s="1"/>
      <c r="F326" s="1"/>
    </row>
    <row r="327" spans="5:6" s="2" customFormat="1" ht="18" customHeight="1" x14ac:dyDescent="0.25">
      <c r="E327" s="1"/>
      <c r="F327" s="1"/>
    </row>
    <row r="328" spans="5:6" s="2" customFormat="1" ht="18" customHeight="1" x14ac:dyDescent="0.25">
      <c r="E328" s="1"/>
      <c r="F328" s="1"/>
    </row>
    <row r="329" spans="5:6" s="2" customFormat="1" ht="18" customHeight="1" x14ac:dyDescent="0.25">
      <c r="E329" s="1"/>
      <c r="F329" s="1"/>
    </row>
    <row r="330" spans="5:6" s="2" customFormat="1" ht="18" customHeight="1" x14ac:dyDescent="0.25">
      <c r="E330" s="1"/>
      <c r="F330" s="1"/>
    </row>
    <row r="331" spans="5:6" s="2" customFormat="1" ht="18" customHeight="1" x14ac:dyDescent="0.25">
      <c r="E331" s="1"/>
      <c r="F331" s="1"/>
    </row>
    <row r="332" spans="5:6" s="2" customFormat="1" ht="18" customHeight="1" x14ac:dyDescent="0.25">
      <c r="E332" s="1"/>
      <c r="F332" s="1"/>
    </row>
    <row r="333" spans="5:6" s="2" customFormat="1" ht="18" customHeight="1" x14ac:dyDescent="0.25">
      <c r="E333" s="1"/>
      <c r="F333" s="1"/>
    </row>
    <row r="334" spans="5:6" s="2" customFormat="1" ht="18" customHeight="1" x14ac:dyDescent="0.25">
      <c r="E334" s="1"/>
      <c r="F334" s="1"/>
    </row>
    <row r="335" spans="5:6" s="2" customFormat="1" ht="18" customHeight="1" x14ac:dyDescent="0.25">
      <c r="E335" s="1"/>
      <c r="F335" s="1"/>
    </row>
    <row r="336" spans="5:6" s="2" customFormat="1" ht="18" customHeight="1" x14ac:dyDescent="0.25">
      <c r="E336" s="1"/>
      <c r="F336" s="1"/>
    </row>
    <row r="337" spans="5:6" s="2" customFormat="1" ht="18" customHeight="1" x14ac:dyDescent="0.25">
      <c r="E337" s="1"/>
      <c r="F337" s="1"/>
    </row>
    <row r="338" spans="5:6" s="2" customFormat="1" ht="18" customHeight="1" x14ac:dyDescent="0.25">
      <c r="E338" s="1"/>
      <c r="F338" s="1"/>
    </row>
    <row r="339" spans="5:6" s="2" customFormat="1" ht="18" customHeight="1" x14ac:dyDescent="0.25">
      <c r="E339" s="1"/>
      <c r="F339" s="1"/>
    </row>
    <row r="340" spans="5:6" s="2" customFormat="1" ht="18" customHeight="1" x14ac:dyDescent="0.25">
      <c r="E340" s="1"/>
      <c r="F340" s="1"/>
    </row>
    <row r="341" spans="5:6" s="2" customFormat="1" ht="18" customHeight="1" x14ac:dyDescent="0.25">
      <c r="E341" s="1"/>
      <c r="F341" s="1"/>
    </row>
    <row r="342" spans="5:6" s="2" customFormat="1" ht="18" customHeight="1" x14ac:dyDescent="0.25">
      <c r="E342" s="1"/>
      <c r="F342" s="1"/>
    </row>
    <row r="343" spans="5:6" s="2" customFormat="1" ht="18" customHeight="1" x14ac:dyDescent="0.25">
      <c r="E343" s="1"/>
      <c r="F343" s="1"/>
    </row>
    <row r="344" spans="5:6" s="2" customFormat="1" ht="18" customHeight="1" x14ac:dyDescent="0.25">
      <c r="E344" s="1"/>
      <c r="F344" s="1"/>
    </row>
    <row r="345" spans="5:6" s="2" customFormat="1" ht="18" customHeight="1" x14ac:dyDescent="0.25">
      <c r="E345" s="1"/>
      <c r="F345" s="1"/>
    </row>
    <row r="346" spans="5:6" s="2" customFormat="1" ht="18" customHeight="1" x14ac:dyDescent="0.25">
      <c r="E346" s="1"/>
      <c r="F346" s="1"/>
    </row>
    <row r="347" spans="5:6" s="2" customFormat="1" ht="18" customHeight="1" x14ac:dyDescent="0.25">
      <c r="E347" s="1"/>
      <c r="F347" s="1"/>
    </row>
    <row r="348" spans="5:6" s="2" customFormat="1" ht="18" customHeight="1" x14ac:dyDescent="0.25">
      <c r="E348" s="1"/>
      <c r="F348" s="1"/>
    </row>
    <row r="349" spans="5:6" s="2" customFormat="1" ht="18" customHeight="1" x14ac:dyDescent="0.25">
      <c r="E349" s="1"/>
      <c r="F349" s="1"/>
    </row>
    <row r="350" spans="5:6" s="2" customFormat="1" ht="18" customHeight="1" x14ac:dyDescent="0.25">
      <c r="E350" s="1"/>
      <c r="F350" s="1"/>
    </row>
    <row r="351" spans="5:6" s="2" customFormat="1" ht="18" customHeight="1" x14ac:dyDescent="0.25">
      <c r="E351" s="1"/>
      <c r="F351" s="1"/>
    </row>
    <row r="352" spans="5:6" s="2" customFormat="1" ht="18" customHeight="1" x14ac:dyDescent="0.25">
      <c r="E352" s="1"/>
      <c r="F352" s="1"/>
    </row>
    <row r="353" spans="5:6" s="2" customFormat="1" ht="18" customHeight="1" x14ac:dyDescent="0.25">
      <c r="E353" s="1"/>
      <c r="F353" s="1"/>
    </row>
    <row r="354" spans="5:6" s="2" customFormat="1" ht="18" customHeight="1" x14ac:dyDescent="0.25">
      <c r="E354" s="1"/>
      <c r="F354" s="1"/>
    </row>
    <row r="355" spans="5:6" s="2" customFormat="1" ht="18" customHeight="1" x14ac:dyDescent="0.25">
      <c r="E355" s="1"/>
      <c r="F355" s="1"/>
    </row>
    <row r="356" spans="5:6" s="2" customFormat="1" ht="18" customHeight="1" x14ac:dyDescent="0.25">
      <c r="E356" s="1"/>
      <c r="F356" s="1"/>
    </row>
    <row r="357" spans="5:6" s="2" customFormat="1" ht="18" customHeight="1" x14ac:dyDescent="0.25">
      <c r="E357" s="1"/>
      <c r="F357" s="1"/>
    </row>
    <row r="358" spans="5:6" s="2" customFormat="1" ht="18" customHeight="1" x14ac:dyDescent="0.25">
      <c r="E358" s="1"/>
      <c r="F358" s="1"/>
    </row>
    <row r="359" spans="5:6" s="2" customFormat="1" ht="18" customHeight="1" x14ac:dyDescent="0.25">
      <c r="E359" s="1"/>
      <c r="F359" s="1"/>
    </row>
    <row r="360" spans="5:6" s="2" customFormat="1" ht="18" customHeight="1" x14ac:dyDescent="0.25">
      <c r="E360" s="1"/>
      <c r="F360" s="1"/>
    </row>
    <row r="361" spans="5:6" s="2" customFormat="1" ht="18" customHeight="1" x14ac:dyDescent="0.25">
      <c r="E361" s="1"/>
      <c r="F361" s="1"/>
    </row>
    <row r="362" spans="5:6" s="2" customFormat="1" ht="18" customHeight="1" x14ac:dyDescent="0.25">
      <c r="E362" s="1"/>
      <c r="F362" s="1"/>
    </row>
    <row r="363" spans="5:6" s="2" customFormat="1" ht="18" customHeight="1" x14ac:dyDescent="0.25">
      <c r="E363" s="1"/>
      <c r="F363" s="1"/>
    </row>
    <row r="364" spans="5:6" s="2" customFormat="1" ht="18" customHeight="1" x14ac:dyDescent="0.25">
      <c r="E364" s="1"/>
      <c r="F364" s="1"/>
    </row>
    <row r="365" spans="5:6" s="2" customFormat="1" ht="18" customHeight="1" x14ac:dyDescent="0.25">
      <c r="E365" s="1"/>
      <c r="F365" s="1"/>
    </row>
    <row r="366" spans="5:6" s="2" customFormat="1" ht="18" customHeight="1" x14ac:dyDescent="0.25">
      <c r="E366" s="1"/>
      <c r="F366" s="1"/>
    </row>
    <row r="367" spans="5:6" s="2" customFormat="1" ht="18" customHeight="1" x14ac:dyDescent="0.25">
      <c r="E367" s="1"/>
      <c r="F367" s="1"/>
    </row>
    <row r="368" spans="5:6" s="2" customFormat="1" ht="18" customHeight="1" x14ac:dyDescent="0.25">
      <c r="E368" s="1"/>
      <c r="F368" s="1"/>
    </row>
    <row r="369" spans="5:6" s="2" customFormat="1" ht="18" customHeight="1" x14ac:dyDescent="0.25">
      <c r="E369" s="1"/>
      <c r="F369" s="1"/>
    </row>
    <row r="370" spans="5:6" s="2" customFormat="1" ht="18" customHeight="1" x14ac:dyDescent="0.25">
      <c r="E370" s="1"/>
      <c r="F370" s="1"/>
    </row>
    <row r="371" spans="5:6" s="2" customFormat="1" ht="18" customHeight="1" x14ac:dyDescent="0.25">
      <c r="E371" s="1"/>
      <c r="F371" s="1"/>
    </row>
    <row r="372" spans="5:6" s="2" customFormat="1" ht="18" customHeight="1" x14ac:dyDescent="0.25">
      <c r="E372" s="1"/>
      <c r="F372" s="1"/>
    </row>
    <row r="373" spans="5:6" s="2" customFormat="1" ht="18" customHeight="1" x14ac:dyDescent="0.25">
      <c r="E373" s="1"/>
      <c r="F373" s="1"/>
    </row>
    <row r="374" spans="5:6" s="2" customFormat="1" ht="18" customHeight="1" x14ac:dyDescent="0.25">
      <c r="E374" s="1"/>
      <c r="F374" s="1"/>
    </row>
    <row r="375" spans="5:6" s="2" customFormat="1" ht="18" customHeight="1" x14ac:dyDescent="0.25">
      <c r="E375" s="1"/>
      <c r="F375" s="1"/>
    </row>
    <row r="376" spans="5:6" s="2" customFormat="1" ht="18" customHeight="1" x14ac:dyDescent="0.25">
      <c r="E376" s="1"/>
      <c r="F376" s="1"/>
    </row>
    <row r="377" spans="5:6" s="2" customFormat="1" ht="18" customHeight="1" x14ac:dyDescent="0.25">
      <c r="E377" s="1"/>
      <c r="F377" s="1"/>
    </row>
    <row r="378" spans="5:6" s="2" customFormat="1" ht="18" customHeight="1" x14ac:dyDescent="0.25">
      <c r="E378" s="1"/>
      <c r="F378" s="1"/>
    </row>
    <row r="379" spans="5:6" s="2" customFormat="1" ht="18" customHeight="1" x14ac:dyDescent="0.25">
      <c r="E379" s="1"/>
      <c r="F379" s="1"/>
    </row>
    <row r="380" spans="5:6" s="2" customFormat="1" ht="18" customHeight="1" x14ac:dyDescent="0.25">
      <c r="E380" s="1"/>
      <c r="F380" s="1"/>
    </row>
    <row r="381" spans="5:6" s="2" customFormat="1" ht="18" customHeight="1" x14ac:dyDescent="0.25">
      <c r="E381" s="1"/>
      <c r="F381" s="1"/>
    </row>
    <row r="382" spans="5:6" s="2" customFormat="1" ht="18" customHeight="1" x14ac:dyDescent="0.25">
      <c r="E382" s="1"/>
      <c r="F382" s="1"/>
    </row>
    <row r="383" spans="5:6" s="2" customFormat="1" ht="18" customHeight="1" x14ac:dyDescent="0.25">
      <c r="E383" s="1"/>
      <c r="F383" s="1"/>
    </row>
    <row r="384" spans="5:6" s="2" customFormat="1" ht="18" customHeight="1" x14ac:dyDescent="0.25">
      <c r="E384" s="1"/>
      <c r="F384" s="1"/>
    </row>
    <row r="385" spans="5:6" s="2" customFormat="1" ht="18" customHeight="1" x14ac:dyDescent="0.25">
      <c r="E385" s="1"/>
      <c r="F385" s="1"/>
    </row>
    <row r="386" spans="5:6" s="2" customFormat="1" ht="18" customHeight="1" x14ac:dyDescent="0.25">
      <c r="E386" s="1"/>
      <c r="F386" s="1"/>
    </row>
    <row r="387" spans="5:6" s="2" customFormat="1" ht="18" customHeight="1" x14ac:dyDescent="0.25">
      <c r="E387" s="1"/>
      <c r="F387" s="1"/>
    </row>
    <row r="388" spans="5:6" s="2" customFormat="1" ht="18" customHeight="1" x14ac:dyDescent="0.25">
      <c r="E388" s="1"/>
      <c r="F388" s="1"/>
    </row>
    <row r="389" spans="5:6" s="2" customFormat="1" ht="18" customHeight="1" x14ac:dyDescent="0.25">
      <c r="E389" s="1"/>
      <c r="F389" s="1"/>
    </row>
    <row r="390" spans="5:6" s="2" customFormat="1" ht="18" customHeight="1" x14ac:dyDescent="0.25">
      <c r="E390" s="1"/>
      <c r="F390" s="1"/>
    </row>
    <row r="391" spans="5:6" s="2" customFormat="1" ht="18" customHeight="1" x14ac:dyDescent="0.25">
      <c r="E391" s="1"/>
      <c r="F391" s="1"/>
    </row>
    <row r="392" spans="5:6" s="2" customFormat="1" ht="18" customHeight="1" x14ac:dyDescent="0.25">
      <c r="E392" s="1"/>
      <c r="F392" s="1"/>
    </row>
    <row r="393" spans="5:6" s="2" customFormat="1" ht="18" customHeight="1" x14ac:dyDescent="0.25">
      <c r="E393" s="1"/>
      <c r="F393" s="1"/>
    </row>
    <row r="394" spans="5:6" s="2" customFormat="1" ht="18" customHeight="1" x14ac:dyDescent="0.25">
      <c r="E394" s="1"/>
      <c r="F394" s="1"/>
    </row>
    <row r="395" spans="5:6" s="2" customFormat="1" ht="18" customHeight="1" x14ac:dyDescent="0.25">
      <c r="E395" s="1"/>
      <c r="F395" s="1"/>
    </row>
    <row r="396" spans="5:6" s="2" customFormat="1" ht="18" customHeight="1" x14ac:dyDescent="0.25">
      <c r="E396" s="1"/>
      <c r="F396" s="1"/>
    </row>
    <row r="397" spans="5:6" s="2" customFormat="1" ht="18" customHeight="1" x14ac:dyDescent="0.25">
      <c r="E397" s="1"/>
      <c r="F397" s="1"/>
    </row>
    <row r="398" spans="5:6" s="2" customFormat="1" ht="18" customHeight="1" x14ac:dyDescent="0.25">
      <c r="E398" s="1"/>
      <c r="F398" s="1"/>
    </row>
    <row r="399" spans="5:6" s="2" customFormat="1" ht="18" customHeight="1" x14ac:dyDescent="0.25">
      <c r="E399" s="1"/>
      <c r="F399" s="1"/>
    </row>
    <row r="400" spans="5:6" s="2" customFormat="1" ht="18" customHeight="1" x14ac:dyDescent="0.25">
      <c r="E400" s="1"/>
      <c r="F400" s="1"/>
    </row>
    <row r="401" spans="5:6" s="2" customFormat="1" ht="18" customHeight="1" x14ac:dyDescent="0.25">
      <c r="E401" s="1"/>
      <c r="F401" s="1"/>
    </row>
    <row r="402" spans="5:6" s="2" customFormat="1" ht="18" customHeight="1" x14ac:dyDescent="0.25">
      <c r="E402" s="1"/>
      <c r="F402" s="1"/>
    </row>
    <row r="403" spans="5:6" s="2" customFormat="1" ht="18" customHeight="1" x14ac:dyDescent="0.25">
      <c r="E403" s="1"/>
      <c r="F403" s="1"/>
    </row>
    <row r="404" spans="5:6" s="2" customFormat="1" ht="18" customHeight="1" x14ac:dyDescent="0.25">
      <c r="E404" s="1"/>
      <c r="F404" s="1"/>
    </row>
    <row r="405" spans="5:6" s="2" customFormat="1" ht="18" customHeight="1" x14ac:dyDescent="0.25">
      <c r="E405" s="1"/>
      <c r="F405" s="1"/>
    </row>
    <row r="406" spans="5:6" s="2" customFormat="1" ht="18" customHeight="1" x14ac:dyDescent="0.25">
      <c r="E406" s="1"/>
      <c r="F406" s="1"/>
    </row>
    <row r="407" spans="5:6" s="2" customFormat="1" ht="18" customHeight="1" x14ac:dyDescent="0.25">
      <c r="E407" s="1"/>
      <c r="F407" s="1"/>
    </row>
    <row r="408" spans="5:6" s="2" customFormat="1" ht="18" customHeight="1" x14ac:dyDescent="0.25">
      <c r="E408" s="1"/>
      <c r="F408" s="1"/>
    </row>
    <row r="409" spans="5:6" s="2" customFormat="1" ht="18" customHeight="1" x14ac:dyDescent="0.25">
      <c r="E409" s="1"/>
      <c r="F409" s="1"/>
    </row>
    <row r="410" spans="5:6" s="2" customFormat="1" ht="18" customHeight="1" x14ac:dyDescent="0.25">
      <c r="E410" s="1"/>
      <c r="F410" s="1"/>
    </row>
    <row r="411" spans="5:6" s="2" customFormat="1" ht="18" customHeight="1" x14ac:dyDescent="0.25">
      <c r="E411" s="1"/>
      <c r="F411" s="1"/>
    </row>
    <row r="412" spans="5:6" s="2" customFormat="1" ht="18" customHeight="1" x14ac:dyDescent="0.25">
      <c r="E412" s="1"/>
      <c r="F412" s="1"/>
    </row>
    <row r="413" spans="5:6" s="2" customFormat="1" ht="18" customHeight="1" x14ac:dyDescent="0.25">
      <c r="E413" s="1"/>
      <c r="F413" s="1"/>
    </row>
    <row r="414" spans="5:6" s="2" customFormat="1" ht="18" customHeight="1" x14ac:dyDescent="0.25">
      <c r="E414" s="1"/>
      <c r="F414" s="1"/>
    </row>
    <row r="415" spans="5:6" s="2" customFormat="1" ht="18" customHeight="1" x14ac:dyDescent="0.25">
      <c r="E415" s="1"/>
      <c r="F415" s="1"/>
    </row>
    <row r="416" spans="5:6" s="2" customFormat="1" ht="18" customHeight="1" x14ac:dyDescent="0.25">
      <c r="E416" s="1"/>
      <c r="F416" s="1"/>
    </row>
    <row r="417" spans="5:6" s="2" customFormat="1" ht="18" customHeight="1" x14ac:dyDescent="0.25">
      <c r="E417" s="1"/>
      <c r="F417" s="1"/>
    </row>
    <row r="418" spans="5:6" s="2" customFormat="1" ht="18" customHeight="1" x14ac:dyDescent="0.25">
      <c r="E418" s="1"/>
      <c r="F418" s="1"/>
    </row>
    <row r="419" spans="5:6" s="2" customFormat="1" ht="18" customHeight="1" x14ac:dyDescent="0.25">
      <c r="E419" s="1"/>
      <c r="F419" s="1"/>
    </row>
    <row r="420" spans="5:6" s="2" customFormat="1" ht="18" customHeight="1" x14ac:dyDescent="0.25">
      <c r="E420" s="1"/>
      <c r="F420" s="1"/>
    </row>
    <row r="421" spans="5:6" s="2" customFormat="1" ht="18" customHeight="1" x14ac:dyDescent="0.25">
      <c r="E421" s="1"/>
      <c r="F421" s="1"/>
    </row>
    <row r="422" spans="5:6" s="2" customFormat="1" ht="18" customHeight="1" x14ac:dyDescent="0.25">
      <c r="E422" s="1"/>
      <c r="F422" s="1"/>
    </row>
    <row r="423" spans="5:6" s="2" customFormat="1" ht="18" customHeight="1" x14ac:dyDescent="0.25">
      <c r="E423" s="1"/>
      <c r="F423" s="1"/>
    </row>
    <row r="424" spans="5:6" s="2" customFormat="1" ht="18" customHeight="1" x14ac:dyDescent="0.25">
      <c r="E424" s="1"/>
      <c r="F424" s="1"/>
    </row>
    <row r="425" spans="5:6" s="2" customFormat="1" ht="18" customHeight="1" x14ac:dyDescent="0.25">
      <c r="E425" s="1"/>
      <c r="F425" s="1"/>
    </row>
    <row r="426" spans="5:6" s="2" customFormat="1" ht="18" customHeight="1" x14ac:dyDescent="0.25">
      <c r="E426" s="1"/>
      <c r="F426" s="1"/>
    </row>
    <row r="427" spans="5:6" s="2" customFormat="1" ht="18" customHeight="1" x14ac:dyDescent="0.25">
      <c r="E427" s="1"/>
      <c r="F427" s="1"/>
    </row>
    <row r="428" spans="5:6" s="2" customFormat="1" ht="18" customHeight="1" x14ac:dyDescent="0.25">
      <c r="E428" s="1"/>
      <c r="F428" s="1"/>
    </row>
    <row r="429" spans="5:6" s="2" customFormat="1" ht="18" customHeight="1" x14ac:dyDescent="0.25">
      <c r="E429" s="1"/>
      <c r="F429" s="1"/>
    </row>
    <row r="430" spans="5:6" s="2" customFormat="1" ht="18" customHeight="1" x14ac:dyDescent="0.25">
      <c r="E430" s="1"/>
      <c r="F430" s="1"/>
    </row>
    <row r="431" spans="5:6" s="2" customFormat="1" ht="18" customHeight="1" x14ac:dyDescent="0.25">
      <c r="E431" s="1"/>
      <c r="F431" s="1"/>
    </row>
    <row r="432" spans="5:6" s="2" customFormat="1" ht="18" customHeight="1" x14ac:dyDescent="0.25">
      <c r="E432" s="1"/>
      <c r="F432" s="1"/>
    </row>
    <row r="433" spans="1:6" s="2" customFormat="1" ht="18" customHeight="1" x14ac:dyDescent="0.25">
      <c r="A433" s="1"/>
      <c r="E433" s="1"/>
      <c r="F433" s="1"/>
    </row>
    <row r="434" spans="1:6" s="2" customFormat="1" ht="18" customHeight="1" x14ac:dyDescent="0.25">
      <c r="A434" s="1"/>
      <c r="E434" s="1"/>
      <c r="F434" s="1"/>
    </row>
    <row r="435" spans="1:6" s="2" customFormat="1" ht="18" customHeight="1" x14ac:dyDescent="0.25">
      <c r="A435" s="1"/>
      <c r="E435" s="1"/>
      <c r="F435" s="1"/>
    </row>
    <row r="436" spans="1:6" s="2" customFormat="1" ht="18" customHeight="1" x14ac:dyDescent="0.25">
      <c r="A436" s="1"/>
      <c r="E436" s="1"/>
      <c r="F436" s="1"/>
    </row>
  </sheetData>
  <mergeCells count="2">
    <mergeCell ref="G5:G6"/>
    <mergeCell ref="H5:H6"/>
  </mergeCells>
  <pageMargins left="0.7" right="0.7" top="0.75" bottom="0.75" header="0.3" footer="0.3"/>
  <ignoredErrors>
    <ignoredError sqref="F18 G7:G12"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47"/>
  <sheetViews>
    <sheetView showGridLines="0" workbookViewId="0">
      <pane xSplit="2" ySplit="8" topLeftCell="C9" activePane="bottomRight" state="frozen"/>
      <selection activeCell="A9" sqref="A9"/>
      <selection pane="topRight" activeCell="A9" sqref="A9"/>
      <selection pane="bottomLeft" activeCell="A9" sqref="A9"/>
      <selection pane="bottomRight"/>
    </sheetView>
  </sheetViews>
  <sheetFormatPr defaultColWidth="13.7109375" defaultRowHeight="15" x14ac:dyDescent="0.25"/>
  <cols>
    <col min="1" max="1" width="4.5703125" style="70" customWidth="1"/>
    <col min="2" max="2" width="64.7109375" style="70" customWidth="1"/>
    <col min="3" max="3" width="7.140625" style="70" customWidth="1"/>
    <col min="4" max="15" width="12.7109375" style="70" customWidth="1"/>
    <col min="16" max="16384" width="13.7109375" style="70"/>
  </cols>
  <sheetData>
    <row r="1" spans="2:31" s="1" customFormat="1" ht="19.899999999999999" customHeight="1" x14ac:dyDescent="0.25">
      <c r="B1" s="105" t="str">
        <f>Company</f>
        <v>M/s. Sai Infinium Limited</v>
      </c>
      <c r="C1" s="105"/>
      <c r="D1" s="105"/>
      <c r="E1" s="105"/>
      <c r="F1" s="105"/>
      <c r="G1" s="105"/>
      <c r="H1" s="105"/>
      <c r="I1" s="105"/>
      <c r="J1" s="105"/>
      <c r="K1" s="105"/>
      <c r="L1" s="105"/>
      <c r="M1" s="105"/>
      <c r="N1" s="105"/>
      <c r="O1" s="105"/>
      <c r="P1" s="105"/>
      <c r="Q1" s="105"/>
      <c r="R1" s="105"/>
      <c r="S1" s="105"/>
      <c r="T1" s="105"/>
      <c r="U1" s="105"/>
      <c r="V1" s="105"/>
      <c r="W1" s="105"/>
      <c r="X1" s="105"/>
      <c r="Y1" s="105"/>
      <c r="Z1" s="105"/>
      <c r="AA1" s="105"/>
      <c r="AB1" s="105"/>
      <c r="AC1" s="105"/>
      <c r="AD1" s="105"/>
      <c r="AE1" s="105"/>
    </row>
    <row r="2" spans="2:31" s="1" customFormat="1" ht="9" customHeight="1" x14ac:dyDescent="0.25">
      <c r="B2" s="2"/>
      <c r="C2" s="2"/>
      <c r="D2" s="2"/>
      <c r="E2" s="2"/>
      <c r="F2" s="2"/>
      <c r="G2" s="2"/>
      <c r="H2" s="2"/>
      <c r="I2" s="2"/>
      <c r="J2" s="2"/>
      <c r="K2" s="2"/>
      <c r="L2" s="2"/>
      <c r="M2" s="2"/>
      <c r="N2" s="2"/>
      <c r="O2" s="2"/>
      <c r="P2" s="2"/>
      <c r="Q2" s="2"/>
      <c r="R2" s="2"/>
      <c r="S2" s="2"/>
      <c r="T2" s="2"/>
      <c r="U2" s="2"/>
      <c r="V2" s="2"/>
      <c r="W2" s="2"/>
      <c r="X2" s="2"/>
      <c r="Y2" s="2"/>
      <c r="Z2" s="2"/>
      <c r="AA2" s="2"/>
      <c r="AB2" s="2"/>
      <c r="AC2" s="2"/>
      <c r="AD2" s="2"/>
      <c r="AE2" s="2"/>
    </row>
    <row r="3" spans="2:31" s="1" customFormat="1" ht="19.899999999999999" customHeight="1" x14ac:dyDescent="0.25">
      <c r="B3" s="106" t="str">
        <f>Project</f>
        <v>Financial Model for Proposed Hybrid Solar Plant (36 MW DC) &amp; Wind Plant (27.30 MW) @ GUJARAT</v>
      </c>
      <c r="C3" s="106"/>
      <c r="D3" s="106"/>
      <c r="E3" s="106"/>
      <c r="F3" s="106"/>
      <c r="G3" s="106"/>
      <c r="H3" s="106"/>
      <c r="I3" s="106"/>
      <c r="J3" s="106"/>
      <c r="K3" s="106"/>
      <c r="L3" s="106"/>
      <c r="M3" s="106"/>
      <c r="N3" s="106"/>
      <c r="O3" s="106"/>
      <c r="P3" s="106"/>
      <c r="Q3" s="106"/>
      <c r="R3" s="106"/>
      <c r="S3" s="106"/>
      <c r="T3" s="106"/>
      <c r="U3" s="106"/>
      <c r="V3" s="106"/>
      <c r="W3" s="106"/>
      <c r="X3" s="106"/>
      <c r="Y3" s="106"/>
      <c r="Z3" s="106"/>
      <c r="AA3" s="106"/>
      <c r="AB3" s="106"/>
      <c r="AC3" s="106"/>
      <c r="AD3" s="106"/>
      <c r="AE3" s="106"/>
    </row>
    <row r="4" spans="2:31" s="1" customFormat="1" ht="9" customHeight="1" x14ac:dyDescent="0.25">
      <c r="B4" s="2"/>
      <c r="C4" s="2"/>
      <c r="D4" s="2"/>
      <c r="E4" s="2"/>
      <c r="F4" s="2"/>
      <c r="G4" s="297"/>
    </row>
    <row r="5" spans="2:31" customFormat="1" ht="15.75" x14ac:dyDescent="0.25">
      <c r="B5" s="71" t="s">
        <v>336</v>
      </c>
      <c r="C5" s="71"/>
      <c r="D5" s="72"/>
      <c r="E5" s="72"/>
      <c r="F5" s="72"/>
      <c r="G5" s="72"/>
      <c r="H5" s="72"/>
      <c r="I5" s="72"/>
      <c r="J5" s="72"/>
      <c r="K5" s="72"/>
      <c r="L5" s="72"/>
      <c r="M5" s="72"/>
      <c r="N5" s="72"/>
      <c r="O5" s="72"/>
      <c r="P5" s="72"/>
      <c r="Q5" s="72"/>
      <c r="R5" s="72"/>
      <c r="S5" s="72"/>
      <c r="T5" s="72"/>
      <c r="U5" s="72"/>
      <c r="V5" s="72"/>
      <c r="W5" s="72"/>
      <c r="X5" s="72"/>
      <c r="Y5" s="72"/>
      <c r="Z5" s="72"/>
      <c r="AA5" s="72"/>
      <c r="AB5" s="72"/>
      <c r="AC5" s="72"/>
      <c r="AD5" s="72"/>
      <c r="AE5" s="72"/>
    </row>
    <row r="6" spans="2:31" customFormat="1" x14ac:dyDescent="0.25">
      <c r="B6" s="298" t="s">
        <v>327</v>
      </c>
      <c r="C6" s="68"/>
      <c r="D6" s="68"/>
      <c r="E6" s="31"/>
      <c r="F6" s="24"/>
      <c r="G6" s="24"/>
      <c r="H6" s="24"/>
      <c r="I6" s="24"/>
      <c r="J6" s="24"/>
      <c r="K6" s="24"/>
      <c r="L6" s="24"/>
      <c r="M6" s="24"/>
      <c r="N6" s="24"/>
      <c r="O6" s="24"/>
      <c r="P6" s="24"/>
      <c r="Q6" s="24"/>
      <c r="R6" s="24"/>
      <c r="S6" s="24"/>
      <c r="T6" s="24"/>
      <c r="U6" s="24"/>
      <c r="V6" s="24"/>
      <c r="W6" s="24"/>
      <c r="X6" s="24"/>
      <c r="Y6" s="24"/>
      <c r="Z6" s="24"/>
      <c r="AA6" s="24"/>
      <c r="AB6" s="24"/>
      <c r="AC6" s="24"/>
      <c r="AD6" s="24"/>
      <c r="AE6" s="24"/>
    </row>
    <row r="7" spans="2:31" s="31" customFormat="1" ht="15.75" x14ac:dyDescent="0.25">
      <c r="C7" s="68"/>
      <c r="D7" s="357" t="s">
        <v>25</v>
      </c>
      <c r="E7" s="357"/>
      <c r="F7" s="358" t="s">
        <v>91</v>
      </c>
      <c r="G7" s="358"/>
      <c r="H7" s="358"/>
      <c r="I7" s="358"/>
      <c r="J7" s="358"/>
      <c r="K7" s="358"/>
      <c r="L7" s="358"/>
      <c r="M7" s="358"/>
      <c r="N7" s="358"/>
      <c r="O7" s="358"/>
      <c r="P7" s="358"/>
      <c r="Q7" s="358"/>
      <c r="R7" s="358"/>
      <c r="S7" s="358"/>
      <c r="T7" s="358"/>
      <c r="U7" s="358"/>
      <c r="V7" s="358"/>
      <c r="W7" s="358"/>
      <c r="X7" s="358"/>
      <c r="Y7" s="358"/>
      <c r="Z7" s="358"/>
      <c r="AA7" s="358"/>
      <c r="AB7" s="358"/>
      <c r="AC7" s="358"/>
      <c r="AD7" s="358"/>
      <c r="AE7" s="358"/>
    </row>
    <row r="8" spans="2:31" s="31" customFormat="1" x14ac:dyDescent="0.25">
      <c r="B8" s="73" t="s">
        <v>326</v>
      </c>
      <c r="C8" s="74" t="s">
        <v>93</v>
      </c>
      <c r="D8" s="75">
        <f>'Revenue &amp; Expenses Modeling'!D8</f>
        <v>45747</v>
      </c>
      <c r="E8" s="75">
        <f>'Revenue &amp; Expenses Modeling'!E8</f>
        <v>46112</v>
      </c>
      <c r="F8" s="75">
        <f>DATE(YEAR(E8)+1,MONTH(E8),DAY(E8))</f>
        <v>46477</v>
      </c>
      <c r="G8" s="75">
        <f>DATE(YEAR(F8)+1,MONTH(F8),DAY(F8))</f>
        <v>46843</v>
      </c>
      <c r="H8" s="75">
        <f t="shared" ref="H8:AE8" si="0">DATE(YEAR(G8)+1,MONTH(G8),DAY(G8))</f>
        <v>47208</v>
      </c>
      <c r="I8" s="75">
        <f t="shared" si="0"/>
        <v>47573</v>
      </c>
      <c r="J8" s="75">
        <f t="shared" si="0"/>
        <v>47938</v>
      </c>
      <c r="K8" s="75">
        <f t="shared" si="0"/>
        <v>48304</v>
      </c>
      <c r="L8" s="75">
        <f t="shared" si="0"/>
        <v>48669</v>
      </c>
      <c r="M8" s="75">
        <f t="shared" si="0"/>
        <v>49034</v>
      </c>
      <c r="N8" s="75">
        <f t="shared" si="0"/>
        <v>49399</v>
      </c>
      <c r="O8" s="75">
        <f t="shared" si="0"/>
        <v>49765</v>
      </c>
      <c r="P8" s="75">
        <f t="shared" si="0"/>
        <v>50130</v>
      </c>
      <c r="Q8" s="75">
        <f t="shared" si="0"/>
        <v>50495</v>
      </c>
      <c r="R8" s="75">
        <f t="shared" si="0"/>
        <v>50860</v>
      </c>
      <c r="S8" s="75">
        <f t="shared" si="0"/>
        <v>51226</v>
      </c>
      <c r="T8" s="75">
        <f t="shared" si="0"/>
        <v>51591</v>
      </c>
      <c r="U8" s="75">
        <f t="shared" si="0"/>
        <v>51956</v>
      </c>
      <c r="V8" s="75">
        <f t="shared" si="0"/>
        <v>52321</v>
      </c>
      <c r="W8" s="75">
        <f t="shared" si="0"/>
        <v>52687</v>
      </c>
      <c r="X8" s="75">
        <f t="shared" si="0"/>
        <v>53052</v>
      </c>
      <c r="Y8" s="75">
        <f t="shared" si="0"/>
        <v>53417</v>
      </c>
      <c r="Z8" s="75">
        <f t="shared" si="0"/>
        <v>53782</v>
      </c>
      <c r="AA8" s="75">
        <f t="shared" si="0"/>
        <v>54148</v>
      </c>
      <c r="AB8" s="75">
        <f t="shared" si="0"/>
        <v>54513</v>
      </c>
      <c r="AC8" s="75">
        <f t="shared" si="0"/>
        <v>54878</v>
      </c>
      <c r="AD8" s="75">
        <f t="shared" si="0"/>
        <v>55243</v>
      </c>
      <c r="AE8" s="75">
        <f t="shared" si="0"/>
        <v>55609</v>
      </c>
    </row>
    <row r="9" spans="2:31" s="80" customFormat="1" ht="12.75" x14ac:dyDescent="0.25">
      <c r="B9" s="76" t="s">
        <v>94</v>
      </c>
      <c r="C9" s="77"/>
      <c r="D9" s="78">
        <v>0</v>
      </c>
      <c r="E9" s="78">
        <v>0</v>
      </c>
      <c r="F9" s="79">
        <v>1</v>
      </c>
      <c r="G9" s="79">
        <f>F9+1</f>
        <v>2</v>
      </c>
      <c r="H9" s="79">
        <f t="shared" ref="H9:AE9" si="1">G9+1</f>
        <v>3</v>
      </c>
      <c r="I9" s="79">
        <f t="shared" si="1"/>
        <v>4</v>
      </c>
      <c r="J9" s="79">
        <f t="shared" si="1"/>
        <v>5</v>
      </c>
      <c r="K9" s="79">
        <f t="shared" si="1"/>
        <v>6</v>
      </c>
      <c r="L9" s="79">
        <f t="shared" si="1"/>
        <v>7</v>
      </c>
      <c r="M9" s="79">
        <f t="shared" si="1"/>
        <v>8</v>
      </c>
      <c r="N9" s="79">
        <f t="shared" si="1"/>
        <v>9</v>
      </c>
      <c r="O9" s="79">
        <f t="shared" si="1"/>
        <v>10</v>
      </c>
      <c r="P9" s="79">
        <f t="shared" si="1"/>
        <v>11</v>
      </c>
      <c r="Q9" s="79">
        <f t="shared" si="1"/>
        <v>12</v>
      </c>
      <c r="R9" s="79">
        <f t="shared" si="1"/>
        <v>13</v>
      </c>
      <c r="S9" s="79">
        <f t="shared" si="1"/>
        <v>14</v>
      </c>
      <c r="T9" s="79">
        <f t="shared" si="1"/>
        <v>15</v>
      </c>
      <c r="U9" s="79">
        <f t="shared" si="1"/>
        <v>16</v>
      </c>
      <c r="V9" s="79">
        <f t="shared" si="1"/>
        <v>17</v>
      </c>
      <c r="W9" s="79">
        <f t="shared" si="1"/>
        <v>18</v>
      </c>
      <c r="X9" s="79">
        <f t="shared" si="1"/>
        <v>19</v>
      </c>
      <c r="Y9" s="79">
        <f t="shared" si="1"/>
        <v>20</v>
      </c>
      <c r="Z9" s="79">
        <f t="shared" si="1"/>
        <v>21</v>
      </c>
      <c r="AA9" s="79">
        <f t="shared" si="1"/>
        <v>22</v>
      </c>
      <c r="AB9" s="79">
        <f t="shared" si="1"/>
        <v>23</v>
      </c>
      <c r="AC9" s="79">
        <f t="shared" si="1"/>
        <v>24</v>
      </c>
      <c r="AD9" s="79">
        <f t="shared" si="1"/>
        <v>25</v>
      </c>
      <c r="AE9" s="79">
        <f t="shared" si="1"/>
        <v>26</v>
      </c>
    </row>
    <row r="10" spans="2:31" s="80" customFormat="1" ht="12.75" x14ac:dyDescent="0.25">
      <c r="B10" s="76" t="s">
        <v>95</v>
      </c>
      <c r="C10" s="77">
        <v>13</v>
      </c>
      <c r="D10" s="78">
        <f>C10-E10</f>
        <v>1</v>
      </c>
      <c r="E10" s="78">
        <f>MONTH(F8-E8)</f>
        <v>12</v>
      </c>
      <c r="F10" s="77">
        <f>MONTH(F8-E8)</f>
        <v>12</v>
      </c>
      <c r="G10" s="77">
        <f t="shared" ref="G10:AE10" si="2">MONTH(G8-F8)</f>
        <v>12</v>
      </c>
      <c r="H10" s="77">
        <f t="shared" si="2"/>
        <v>12</v>
      </c>
      <c r="I10" s="77">
        <f t="shared" si="2"/>
        <v>12</v>
      </c>
      <c r="J10" s="77">
        <f t="shared" si="2"/>
        <v>12</v>
      </c>
      <c r="K10" s="77">
        <f t="shared" si="2"/>
        <v>12</v>
      </c>
      <c r="L10" s="77">
        <f t="shared" si="2"/>
        <v>12</v>
      </c>
      <c r="M10" s="77">
        <f t="shared" si="2"/>
        <v>12</v>
      </c>
      <c r="N10" s="77">
        <f t="shared" si="2"/>
        <v>12</v>
      </c>
      <c r="O10" s="77">
        <f t="shared" si="2"/>
        <v>12</v>
      </c>
      <c r="P10" s="77">
        <f t="shared" si="2"/>
        <v>12</v>
      </c>
      <c r="Q10" s="77">
        <f t="shared" si="2"/>
        <v>12</v>
      </c>
      <c r="R10" s="77">
        <f t="shared" si="2"/>
        <v>12</v>
      </c>
      <c r="S10" s="77">
        <f t="shared" si="2"/>
        <v>12</v>
      </c>
      <c r="T10" s="77">
        <f t="shared" si="2"/>
        <v>12</v>
      </c>
      <c r="U10" s="77">
        <f t="shared" si="2"/>
        <v>12</v>
      </c>
      <c r="V10" s="77">
        <f t="shared" si="2"/>
        <v>12</v>
      </c>
      <c r="W10" s="77">
        <f t="shared" si="2"/>
        <v>12</v>
      </c>
      <c r="X10" s="77">
        <f t="shared" si="2"/>
        <v>12</v>
      </c>
      <c r="Y10" s="77">
        <f t="shared" si="2"/>
        <v>12</v>
      </c>
      <c r="Z10" s="77">
        <f t="shared" si="2"/>
        <v>12</v>
      </c>
      <c r="AA10" s="77">
        <f t="shared" si="2"/>
        <v>12</v>
      </c>
      <c r="AB10" s="77">
        <f t="shared" si="2"/>
        <v>12</v>
      </c>
      <c r="AC10" s="77">
        <f t="shared" si="2"/>
        <v>12</v>
      </c>
      <c r="AD10" s="77">
        <f t="shared" si="2"/>
        <v>12</v>
      </c>
      <c r="AE10" s="77">
        <f t="shared" si="2"/>
        <v>12</v>
      </c>
    </row>
    <row r="12" spans="2:31" x14ac:dyDescent="0.25">
      <c r="B12" s="81" t="s">
        <v>96</v>
      </c>
      <c r="C12" s="81"/>
      <c r="D12" s="81"/>
      <c r="E12" s="81"/>
      <c r="F12" s="82">
        <f>F8-E8</f>
        <v>365</v>
      </c>
      <c r="G12" s="82">
        <f>G8-F8</f>
        <v>366</v>
      </c>
      <c r="H12" s="82">
        <f t="shared" ref="H12:AE12" si="3">H8-G8</f>
        <v>365</v>
      </c>
      <c r="I12" s="82">
        <f t="shared" si="3"/>
        <v>365</v>
      </c>
      <c r="J12" s="82">
        <f t="shared" si="3"/>
        <v>365</v>
      </c>
      <c r="K12" s="82">
        <f t="shared" si="3"/>
        <v>366</v>
      </c>
      <c r="L12" s="82">
        <f t="shared" si="3"/>
        <v>365</v>
      </c>
      <c r="M12" s="82">
        <f t="shared" si="3"/>
        <v>365</v>
      </c>
      <c r="N12" s="82">
        <f t="shared" si="3"/>
        <v>365</v>
      </c>
      <c r="O12" s="82">
        <f t="shared" si="3"/>
        <v>366</v>
      </c>
      <c r="P12" s="82">
        <f t="shared" si="3"/>
        <v>365</v>
      </c>
      <c r="Q12" s="82">
        <f t="shared" si="3"/>
        <v>365</v>
      </c>
      <c r="R12" s="82">
        <f t="shared" si="3"/>
        <v>365</v>
      </c>
      <c r="S12" s="82">
        <f t="shared" si="3"/>
        <v>366</v>
      </c>
      <c r="T12" s="82">
        <f t="shared" si="3"/>
        <v>365</v>
      </c>
      <c r="U12" s="82">
        <f t="shared" si="3"/>
        <v>365</v>
      </c>
      <c r="V12" s="82">
        <f t="shared" si="3"/>
        <v>365</v>
      </c>
      <c r="W12" s="82">
        <f t="shared" si="3"/>
        <v>366</v>
      </c>
      <c r="X12" s="82">
        <f t="shared" si="3"/>
        <v>365</v>
      </c>
      <c r="Y12" s="82">
        <f t="shared" si="3"/>
        <v>365</v>
      </c>
      <c r="Z12" s="82">
        <f t="shared" si="3"/>
        <v>365</v>
      </c>
      <c r="AA12" s="82">
        <f t="shared" si="3"/>
        <v>366</v>
      </c>
      <c r="AB12" s="82">
        <f t="shared" si="3"/>
        <v>365</v>
      </c>
      <c r="AC12" s="82">
        <f t="shared" si="3"/>
        <v>365</v>
      </c>
      <c r="AD12" s="82">
        <f t="shared" si="3"/>
        <v>365</v>
      </c>
      <c r="AE12" s="82">
        <f t="shared" si="3"/>
        <v>366</v>
      </c>
    </row>
    <row r="14" spans="2:31" x14ac:dyDescent="0.25">
      <c r="B14" s="81" t="s">
        <v>97</v>
      </c>
      <c r="C14" s="81"/>
      <c r="D14" s="81"/>
      <c r="E14" s="81"/>
      <c r="F14" s="82">
        <f>'[1]Common Assumption'!D20</f>
        <v>24</v>
      </c>
      <c r="G14" s="82">
        <f>F14</f>
        <v>24</v>
      </c>
      <c r="H14" s="82">
        <f t="shared" ref="H14:AE14" si="4">G14</f>
        <v>24</v>
      </c>
      <c r="I14" s="82">
        <f t="shared" si="4"/>
        <v>24</v>
      </c>
      <c r="J14" s="82">
        <f t="shared" si="4"/>
        <v>24</v>
      </c>
      <c r="K14" s="82">
        <f t="shared" si="4"/>
        <v>24</v>
      </c>
      <c r="L14" s="82">
        <f t="shared" si="4"/>
        <v>24</v>
      </c>
      <c r="M14" s="82">
        <f t="shared" si="4"/>
        <v>24</v>
      </c>
      <c r="N14" s="82">
        <f t="shared" si="4"/>
        <v>24</v>
      </c>
      <c r="O14" s="82">
        <f t="shared" si="4"/>
        <v>24</v>
      </c>
      <c r="P14" s="82">
        <f t="shared" si="4"/>
        <v>24</v>
      </c>
      <c r="Q14" s="82">
        <f t="shared" si="4"/>
        <v>24</v>
      </c>
      <c r="R14" s="82">
        <f t="shared" si="4"/>
        <v>24</v>
      </c>
      <c r="S14" s="82">
        <f t="shared" si="4"/>
        <v>24</v>
      </c>
      <c r="T14" s="82">
        <f t="shared" si="4"/>
        <v>24</v>
      </c>
      <c r="U14" s="82">
        <f t="shared" si="4"/>
        <v>24</v>
      </c>
      <c r="V14" s="82">
        <f t="shared" si="4"/>
        <v>24</v>
      </c>
      <c r="W14" s="82">
        <f t="shared" si="4"/>
        <v>24</v>
      </c>
      <c r="X14" s="82">
        <f t="shared" si="4"/>
        <v>24</v>
      </c>
      <c r="Y14" s="82">
        <f t="shared" si="4"/>
        <v>24</v>
      </c>
      <c r="Z14" s="82">
        <f t="shared" si="4"/>
        <v>24</v>
      </c>
      <c r="AA14" s="82">
        <f t="shared" si="4"/>
        <v>24</v>
      </c>
      <c r="AB14" s="82">
        <f t="shared" si="4"/>
        <v>24</v>
      </c>
      <c r="AC14" s="82">
        <f t="shared" si="4"/>
        <v>24</v>
      </c>
      <c r="AD14" s="82">
        <f t="shared" si="4"/>
        <v>24</v>
      </c>
      <c r="AE14" s="82">
        <f t="shared" si="4"/>
        <v>24</v>
      </c>
    </row>
    <row r="15" spans="2:31" ht="15.75" thickBot="1" x14ac:dyDescent="0.3"/>
    <row r="16" spans="2:31" x14ac:dyDescent="0.25">
      <c r="B16" s="273" t="s">
        <v>266</v>
      </c>
      <c r="C16" s="274">
        <f>Assumptions!D72</f>
        <v>0.17472000000000001</v>
      </c>
    </row>
    <row r="17" spans="2:31" ht="15.75" thickBot="1" x14ac:dyDescent="0.3">
      <c r="B17" s="275" t="s">
        <v>267</v>
      </c>
      <c r="C17" s="276">
        <f>Assumptions!D77</f>
        <v>0.29120000000000001</v>
      </c>
    </row>
    <row r="19" spans="2:31" x14ac:dyDescent="0.25">
      <c r="B19" s="70" t="s">
        <v>268</v>
      </c>
      <c r="F19" s="119">
        <f ca="1">IS!F23</f>
        <v>56.299474055045081</v>
      </c>
      <c r="G19" s="119">
        <f ca="1">IS!G23</f>
        <v>57.253611051090772</v>
      </c>
      <c r="H19" s="119">
        <f ca="1">IS!H23</f>
        <v>55.224367642453053</v>
      </c>
      <c r="I19" s="119">
        <f ca="1">IS!I23</f>
        <v>57.454787049004409</v>
      </c>
      <c r="J19" s="119">
        <f ca="1">IS!J23</f>
        <v>59.735652828095837</v>
      </c>
      <c r="K19" s="119">
        <f ca="1">IS!K23</f>
        <v>62.211654248737005</v>
      </c>
      <c r="L19" s="119">
        <f ca="1">IS!L23</f>
        <v>64.207339429801507</v>
      </c>
      <c r="M19" s="119">
        <f ca="1">IS!M23</f>
        <v>66.392581716858075</v>
      </c>
      <c r="N19" s="119">
        <f ca="1">IS!N23</f>
        <v>68.634535547929531</v>
      </c>
      <c r="O19" s="119">
        <f ca="1">IS!O23</f>
        <v>71.065953019488617</v>
      </c>
      <c r="P19" s="119">
        <f ca="1">IS!P23</f>
        <v>73.012051915585104</v>
      </c>
      <c r="Q19" s="119">
        <f ca="1">IS!Q23</f>
        <v>75.141150619282882</v>
      </c>
      <c r="R19" s="119">
        <f ca="1">IS!R23</f>
        <v>77.333965733885975</v>
      </c>
      <c r="S19" s="119">
        <f ca="1">IS!S23</f>
        <v>79.708781082575115</v>
      </c>
      <c r="T19" s="119">
        <f ca="1">IS!T23</f>
        <v>81.593952391335918</v>
      </c>
      <c r="U19" s="119">
        <f ca="1">IS!U23</f>
        <v>83.65362900341934</v>
      </c>
      <c r="V19" s="119">
        <f ca="1">IS!V23</f>
        <v>85.78483868704005</v>
      </c>
      <c r="W19" s="119">
        <f ca="1">IS!W23</f>
        <v>88.088484245828937</v>
      </c>
      <c r="X19" s="119">
        <f ca="1">IS!X23</f>
        <v>89.898922856930014</v>
      </c>
      <c r="Y19" s="119">
        <f ca="1">IS!Y23</f>
        <v>91.873100620505596</v>
      </c>
      <c r="Z19" s="119">
        <f ca="1">IS!Z23</f>
        <v>93.927514912387238</v>
      </c>
      <c r="AA19" s="119">
        <f ca="1">IS!AA23</f>
        <v>95.177265965471662</v>
      </c>
      <c r="AB19" s="119">
        <f ca="1">IS!AB23</f>
        <v>94.96602879789279</v>
      </c>
      <c r="AC19" s="119">
        <f ca="1">IS!AC23</f>
        <v>94.905101094279246</v>
      </c>
      <c r="AD19" s="119">
        <f ca="1">IS!AD23</f>
        <v>94.934076873962525</v>
      </c>
      <c r="AE19" s="119">
        <f ca="1">IS!AE23</f>
        <v>95.10854421128505</v>
      </c>
    </row>
    <row r="20" spans="2:31" x14ac:dyDescent="0.25">
      <c r="B20" s="70" t="s">
        <v>269</v>
      </c>
      <c r="F20" s="142">
        <v>0</v>
      </c>
      <c r="G20" s="142">
        <v>0</v>
      </c>
      <c r="H20" s="142">
        <v>0</v>
      </c>
      <c r="I20" s="142">
        <v>0</v>
      </c>
      <c r="J20" s="142">
        <v>0</v>
      </c>
      <c r="K20" s="142">
        <v>0</v>
      </c>
      <c r="L20" s="142">
        <v>0</v>
      </c>
      <c r="M20" s="142">
        <v>0</v>
      </c>
      <c r="N20" s="142">
        <v>0</v>
      </c>
      <c r="O20" s="142">
        <v>0</v>
      </c>
      <c r="P20" s="142">
        <v>0</v>
      </c>
      <c r="Q20" s="142">
        <v>0</v>
      </c>
      <c r="R20" s="142">
        <v>0</v>
      </c>
      <c r="S20" s="142">
        <v>0</v>
      </c>
      <c r="T20" s="142">
        <v>0</v>
      </c>
      <c r="U20" s="142">
        <v>0</v>
      </c>
      <c r="V20" s="142">
        <v>0</v>
      </c>
      <c r="W20" s="142">
        <v>0</v>
      </c>
      <c r="X20" s="142">
        <v>0</v>
      </c>
      <c r="Y20" s="142">
        <v>0</v>
      </c>
      <c r="Z20" s="142">
        <v>0</v>
      </c>
      <c r="AA20" s="142">
        <v>0</v>
      </c>
      <c r="AB20" s="142">
        <v>0</v>
      </c>
      <c r="AC20" s="142">
        <v>0</v>
      </c>
      <c r="AD20" s="142">
        <v>0</v>
      </c>
      <c r="AE20" s="142">
        <v>0</v>
      </c>
    </row>
    <row r="21" spans="2:31" x14ac:dyDescent="0.25">
      <c r="B21" s="70" t="s">
        <v>270</v>
      </c>
      <c r="F21" s="142">
        <v>0</v>
      </c>
      <c r="G21" s="142">
        <v>0</v>
      </c>
      <c r="H21" s="142">
        <v>0</v>
      </c>
      <c r="I21" s="142">
        <v>0</v>
      </c>
      <c r="J21" s="142">
        <v>0</v>
      </c>
      <c r="K21" s="142">
        <v>0</v>
      </c>
      <c r="L21" s="142">
        <v>0</v>
      </c>
      <c r="M21" s="142">
        <v>0</v>
      </c>
      <c r="N21" s="142">
        <v>0</v>
      </c>
      <c r="O21" s="142">
        <v>0</v>
      </c>
      <c r="P21" s="142">
        <v>0</v>
      </c>
      <c r="Q21" s="142">
        <v>0</v>
      </c>
      <c r="R21" s="142">
        <v>0</v>
      </c>
      <c r="S21" s="142">
        <v>0</v>
      </c>
      <c r="T21" s="142">
        <v>0</v>
      </c>
      <c r="U21" s="142">
        <v>0</v>
      </c>
      <c r="V21" s="142">
        <v>0</v>
      </c>
      <c r="W21" s="142">
        <v>0</v>
      </c>
      <c r="X21" s="142">
        <v>0</v>
      </c>
      <c r="Y21" s="142">
        <v>0</v>
      </c>
      <c r="Z21" s="142">
        <v>0</v>
      </c>
      <c r="AA21" s="142">
        <v>0</v>
      </c>
      <c r="AB21" s="142">
        <v>0</v>
      </c>
      <c r="AC21" s="142">
        <v>0</v>
      </c>
      <c r="AD21" s="142">
        <v>0</v>
      </c>
      <c r="AE21" s="142">
        <v>0</v>
      </c>
    </row>
    <row r="22" spans="2:31" x14ac:dyDescent="0.25">
      <c r="B22" s="70" t="s">
        <v>271</v>
      </c>
      <c r="F22" s="119">
        <f ca="1">'Dep Schedule'!F30</f>
        <v>17.632533629450649</v>
      </c>
      <c r="G22" s="119">
        <f ca="1">'Dep Schedule'!G30</f>
        <v>17.680841940764211</v>
      </c>
      <c r="H22" s="119">
        <f ca="1">'Dep Schedule'!H30</f>
        <v>17.632533629450649</v>
      </c>
      <c r="I22" s="119">
        <f ca="1">'Dep Schedule'!I30</f>
        <v>17.632533629450649</v>
      </c>
      <c r="J22" s="119">
        <f ca="1">'Dep Schedule'!J30</f>
        <v>17.632533629450649</v>
      </c>
      <c r="K22" s="119">
        <f ca="1">'Dep Schedule'!K30</f>
        <v>17.680841940764211</v>
      </c>
      <c r="L22" s="119">
        <f ca="1">'Dep Schedule'!L30</f>
        <v>17.632533629450649</v>
      </c>
      <c r="M22" s="119">
        <f ca="1">'Dep Schedule'!M30</f>
        <v>17.632533629450649</v>
      </c>
      <c r="N22" s="119">
        <f ca="1">'Dep Schedule'!N30</f>
        <v>17.632533629450649</v>
      </c>
      <c r="O22" s="119">
        <f ca="1">'Dep Schedule'!O30</f>
        <v>17.680841940764211</v>
      </c>
      <c r="P22" s="119">
        <f ca="1">'Dep Schedule'!P30</f>
        <v>17.632533629450649</v>
      </c>
      <c r="Q22" s="119">
        <f ca="1">'Dep Schedule'!Q30</f>
        <v>17.632533629450649</v>
      </c>
      <c r="R22" s="119">
        <f ca="1">'Dep Schedule'!R30</f>
        <v>17.632533629450649</v>
      </c>
      <c r="S22" s="119">
        <f ca="1">'Dep Schedule'!S30</f>
        <v>17.680841940764211</v>
      </c>
      <c r="T22" s="119">
        <f ca="1">'Dep Schedule'!T30</f>
        <v>17.632533629450649</v>
      </c>
      <c r="U22" s="119">
        <f ca="1">'Dep Schedule'!U30</f>
        <v>17.632533629450649</v>
      </c>
      <c r="V22" s="119">
        <f ca="1">'Dep Schedule'!V30</f>
        <v>17.632533629450649</v>
      </c>
      <c r="W22" s="119">
        <f ca="1">'Dep Schedule'!W30</f>
        <v>17.680841940764211</v>
      </c>
      <c r="X22" s="119">
        <f ca="1">'Dep Schedule'!X30</f>
        <v>17.632533629450649</v>
      </c>
      <c r="Y22" s="119">
        <f ca="1">'Dep Schedule'!Y30</f>
        <v>17.632533629450649</v>
      </c>
      <c r="Z22" s="119">
        <f ca="1">'Dep Schedule'!Z30</f>
        <v>17.632533629450649</v>
      </c>
      <c r="AA22" s="119">
        <f ca="1">'Dep Schedule'!AA30</f>
        <v>17.680841940764211</v>
      </c>
      <c r="AB22" s="119">
        <f ca="1">'Dep Schedule'!AB30</f>
        <v>17.632533629450649</v>
      </c>
      <c r="AC22" s="119">
        <f ca="1">'Dep Schedule'!AC30</f>
        <v>17.632533629450649</v>
      </c>
      <c r="AD22" s="119">
        <f ca="1">'Dep Schedule'!AD30</f>
        <v>17.632533629450649</v>
      </c>
      <c r="AE22" s="119">
        <f ca="1">'Dep Schedule'!AE30</f>
        <v>17.680841940764211</v>
      </c>
    </row>
    <row r="23" spans="2:31" x14ac:dyDescent="0.25">
      <c r="B23" s="70" t="s">
        <v>272</v>
      </c>
      <c r="F23" s="119">
        <f ca="1">'Dep Schedule'!F54</f>
        <v>69.017214781352592</v>
      </c>
      <c r="G23" s="119">
        <f ca="1">'Dep Schedule'!G54</f>
        <v>58.942656403587002</v>
      </c>
      <c r="H23" s="119">
        <f ca="1">'Dep Schedule'!H54</f>
        <v>50.04578137059179</v>
      </c>
      <c r="I23" s="119">
        <f ca="1">'Dep Schedule'!I54</f>
        <v>42.633637768442881</v>
      </c>
      <c r="J23" s="119">
        <f ca="1">'Dep Schedule'!J54</f>
        <v>36.323843346272334</v>
      </c>
      <c r="K23" s="119">
        <f ca="1">'Dep Schedule'!K54</f>
        <v>31.036792943838652</v>
      </c>
      <c r="L23" s="119">
        <f ca="1">'Dep Schedule'!L54</f>
        <v>26.365716716139811</v>
      </c>
      <c r="M23" s="119">
        <f ca="1">'Dep Schedule'!M54</f>
        <v>22.472988446166724</v>
      </c>
      <c r="N23" s="119">
        <f ca="1">'Dep Schedule'!N54</f>
        <v>19.157956492944809</v>
      </c>
      <c r="O23" s="119">
        <f ca="1">'Dep Schedule'!O54</f>
        <v>16.379339996408028</v>
      </c>
      <c r="P23" s="119">
        <f ca="1">'Dep Schedule'!P54</f>
        <v>13.923103004231983</v>
      </c>
      <c r="Q23" s="119">
        <f ca="1">'Dep Schedule'!Q54</f>
        <v>11.875388137460964</v>
      </c>
      <c r="R23" s="119">
        <f ca="1">'Dep Schedule'!R54</f>
        <v>10.130755442319218</v>
      </c>
      <c r="S23" s="119">
        <f ca="1">'Dep Schedule'!S54</f>
        <v>8.6678327019116814</v>
      </c>
      <c r="T23" s="119">
        <f ca="1">'Dep Schedule'!T54</f>
        <v>7.3737637587732277</v>
      </c>
      <c r="U23" s="119">
        <f ca="1">'Dep Schedule'!U54</f>
        <v>6.2944275140780377</v>
      </c>
      <c r="V23" s="119">
        <f ca="1">'Dep Schedule'!V54</f>
        <v>5.3743188741750458</v>
      </c>
      <c r="W23" s="119">
        <f ca="1">'Dep Schedule'!W54</f>
        <v>4.602395833540843</v>
      </c>
      <c r="X23" s="119">
        <f ca="1">'Dep Schedule'!X54</f>
        <v>3.9189999345545359</v>
      </c>
      <c r="Y23" s="119">
        <f ca="1">'Dep Schedule'!Y54</f>
        <v>3.3486810562055118</v>
      </c>
      <c r="Z23" s="119">
        <f ca="1">'Dep Schedule'!Z54</f>
        <v>2.8621568984254258</v>
      </c>
      <c r="AA23" s="119">
        <f ca="1">'Dep Schedule'!AA54</f>
        <v>2.4537377657931612</v>
      </c>
      <c r="AB23" s="119">
        <f ca="1">'Dep Schedule'!AB54</f>
        <v>2.0917880940986291</v>
      </c>
      <c r="AC23" s="119">
        <f ca="1">'Dep Schedule'!AC54</f>
        <v>1.7895185410389023</v>
      </c>
      <c r="AD23" s="119">
        <f ca="1">'Dep Schedule'!AD54</f>
        <v>1.5314395548326276</v>
      </c>
      <c r="AE23" s="119">
        <f ca="1">'Dep Schedule'!AE54</f>
        <v>1.3146294207255222</v>
      </c>
    </row>
    <row r="24" spans="2:31" x14ac:dyDescent="0.25">
      <c r="B24" s="145" t="s">
        <v>273</v>
      </c>
      <c r="C24" s="145"/>
      <c r="D24" s="145"/>
      <c r="E24" s="145"/>
      <c r="F24" s="146">
        <f ca="1">F19+F20+F21+F22-F23</f>
        <v>4.9147929031431374</v>
      </c>
      <c r="G24" s="146">
        <f t="shared" ref="G24:AE24" ca="1" si="5">G19+G20+G21+G22-G23</f>
        <v>15.991796588267981</v>
      </c>
      <c r="H24" s="146">
        <f t="shared" ca="1" si="5"/>
        <v>22.811119901311905</v>
      </c>
      <c r="I24" s="146">
        <f t="shared" ca="1" si="5"/>
        <v>32.453682910012176</v>
      </c>
      <c r="J24" s="146">
        <f t="shared" ca="1" si="5"/>
        <v>41.044343111274152</v>
      </c>
      <c r="K24" s="146">
        <f t="shared" ca="1" si="5"/>
        <v>48.855703245662568</v>
      </c>
      <c r="L24" s="146">
        <f t="shared" ca="1" si="5"/>
        <v>55.474156343112341</v>
      </c>
      <c r="M24" s="146">
        <f t="shared" ca="1" si="5"/>
        <v>61.552126900141999</v>
      </c>
      <c r="N24" s="146">
        <f t="shared" ca="1" si="5"/>
        <v>67.109112684435374</v>
      </c>
      <c r="O24" s="146">
        <f t="shared" ca="1" si="5"/>
        <v>72.367454963844807</v>
      </c>
      <c r="P24" s="146">
        <f t="shared" ca="1" si="5"/>
        <v>76.721482540803777</v>
      </c>
      <c r="Q24" s="146">
        <f t="shared" ca="1" si="5"/>
        <v>80.898296111272572</v>
      </c>
      <c r="R24" s="146">
        <f t="shared" ca="1" si="5"/>
        <v>84.835743921017411</v>
      </c>
      <c r="S24" s="146">
        <f t="shared" ca="1" si="5"/>
        <v>88.721790321427648</v>
      </c>
      <c r="T24" s="146">
        <f t="shared" ca="1" si="5"/>
        <v>91.852722262013344</v>
      </c>
      <c r="U24" s="146">
        <f t="shared" ca="1" si="5"/>
        <v>94.991735118791951</v>
      </c>
      <c r="V24" s="146">
        <f t="shared" ca="1" si="5"/>
        <v>98.043053442315653</v>
      </c>
      <c r="W24" s="146">
        <f t="shared" ca="1" si="5"/>
        <v>101.16693035305231</v>
      </c>
      <c r="X24" s="146">
        <f t="shared" ca="1" si="5"/>
        <v>103.61245655182613</v>
      </c>
      <c r="Y24" s="146">
        <f t="shared" ca="1" si="5"/>
        <v>106.15695319375074</v>
      </c>
      <c r="Z24" s="146">
        <f t="shared" ca="1" si="5"/>
        <v>108.69789164341246</v>
      </c>
      <c r="AA24" s="146">
        <f t="shared" ca="1" si="5"/>
        <v>110.40437014044271</v>
      </c>
      <c r="AB24" s="146">
        <f t="shared" ca="1" si="5"/>
        <v>110.50677433324481</v>
      </c>
      <c r="AC24" s="146">
        <f t="shared" ca="1" si="5"/>
        <v>110.74811618269099</v>
      </c>
      <c r="AD24" s="146">
        <f t="shared" ca="1" si="5"/>
        <v>111.03517094858054</v>
      </c>
      <c r="AE24" s="146">
        <f t="shared" ca="1" si="5"/>
        <v>111.47475673132374</v>
      </c>
    </row>
    <row r="25" spans="2:31" x14ac:dyDescent="0.25">
      <c r="B25" s="70" t="s">
        <v>274</v>
      </c>
      <c r="F25" s="119">
        <f>E28</f>
        <v>0</v>
      </c>
      <c r="G25" s="119">
        <f t="shared" ref="G25:AE26" ca="1" si="6">F28</f>
        <v>0</v>
      </c>
      <c r="H25" s="119">
        <f t="shared" ca="1" si="6"/>
        <v>0</v>
      </c>
      <c r="I25" s="119">
        <f t="shared" ca="1" si="6"/>
        <v>0</v>
      </c>
      <c r="J25" s="119">
        <f t="shared" ca="1" si="6"/>
        <v>0</v>
      </c>
      <c r="K25" s="119">
        <f t="shared" ca="1" si="6"/>
        <v>0</v>
      </c>
      <c r="L25" s="119">
        <f t="shared" ca="1" si="6"/>
        <v>0</v>
      </c>
      <c r="M25" s="119">
        <f t="shared" ca="1" si="6"/>
        <v>0</v>
      </c>
      <c r="N25" s="119">
        <f t="shared" ca="1" si="6"/>
        <v>0</v>
      </c>
      <c r="O25" s="119">
        <f t="shared" ca="1" si="6"/>
        <v>0</v>
      </c>
      <c r="P25" s="119">
        <f t="shared" ca="1" si="6"/>
        <v>0</v>
      </c>
      <c r="Q25" s="119">
        <f t="shared" ca="1" si="6"/>
        <v>0</v>
      </c>
      <c r="R25" s="119">
        <f t="shared" ca="1" si="6"/>
        <v>0</v>
      </c>
      <c r="S25" s="119">
        <f t="shared" ca="1" si="6"/>
        <v>0</v>
      </c>
      <c r="T25" s="119">
        <f t="shared" ca="1" si="6"/>
        <v>0</v>
      </c>
      <c r="U25" s="119">
        <f t="shared" ca="1" si="6"/>
        <v>0</v>
      </c>
      <c r="V25" s="119">
        <f t="shared" ca="1" si="6"/>
        <v>0</v>
      </c>
      <c r="W25" s="119">
        <f t="shared" ca="1" si="6"/>
        <v>0</v>
      </c>
      <c r="X25" s="119">
        <f t="shared" ca="1" si="6"/>
        <v>0</v>
      </c>
      <c r="Y25" s="119">
        <f t="shared" ca="1" si="6"/>
        <v>0</v>
      </c>
      <c r="Z25" s="119">
        <f t="shared" ca="1" si="6"/>
        <v>0</v>
      </c>
      <c r="AA25" s="119">
        <f t="shared" ca="1" si="6"/>
        <v>0</v>
      </c>
      <c r="AB25" s="119">
        <f t="shared" ca="1" si="6"/>
        <v>0</v>
      </c>
      <c r="AC25" s="119">
        <f t="shared" ca="1" si="6"/>
        <v>0</v>
      </c>
      <c r="AD25" s="119">
        <f t="shared" ca="1" si="6"/>
        <v>0</v>
      </c>
      <c r="AE25" s="119">
        <f t="shared" ca="1" si="6"/>
        <v>0</v>
      </c>
    </row>
    <row r="26" spans="2:31" x14ac:dyDescent="0.25">
      <c r="B26" s="70" t="s">
        <v>275</v>
      </c>
      <c r="F26" s="119">
        <f>E29</f>
        <v>0</v>
      </c>
      <c r="G26" s="119">
        <f t="shared" ca="1" si="6"/>
        <v>0</v>
      </c>
      <c r="H26" s="119">
        <f t="shared" ca="1" si="6"/>
        <v>0</v>
      </c>
      <c r="I26" s="119">
        <f t="shared" ca="1" si="6"/>
        <v>0</v>
      </c>
      <c r="J26" s="119">
        <f t="shared" ca="1" si="6"/>
        <v>0</v>
      </c>
      <c r="K26" s="119">
        <f t="shared" ca="1" si="6"/>
        <v>0</v>
      </c>
      <c r="L26" s="119">
        <f t="shared" ca="1" si="6"/>
        <v>0</v>
      </c>
      <c r="M26" s="119">
        <f t="shared" ca="1" si="6"/>
        <v>0</v>
      </c>
      <c r="N26" s="119">
        <f t="shared" ca="1" si="6"/>
        <v>0</v>
      </c>
      <c r="O26" s="119">
        <f t="shared" ca="1" si="6"/>
        <v>0</v>
      </c>
      <c r="P26" s="119">
        <f t="shared" ca="1" si="6"/>
        <v>0</v>
      </c>
      <c r="Q26" s="119">
        <f t="shared" ca="1" si="6"/>
        <v>0</v>
      </c>
      <c r="R26" s="119">
        <f t="shared" ca="1" si="6"/>
        <v>0</v>
      </c>
      <c r="S26" s="119">
        <f t="shared" ca="1" si="6"/>
        <v>0</v>
      </c>
      <c r="T26" s="119">
        <f t="shared" ca="1" si="6"/>
        <v>0</v>
      </c>
      <c r="U26" s="119">
        <f t="shared" ca="1" si="6"/>
        <v>0</v>
      </c>
      <c r="V26" s="119">
        <f t="shared" ca="1" si="6"/>
        <v>0</v>
      </c>
      <c r="W26" s="119">
        <f t="shared" ca="1" si="6"/>
        <v>0</v>
      </c>
      <c r="X26" s="119">
        <f t="shared" ca="1" si="6"/>
        <v>0</v>
      </c>
      <c r="Y26" s="119">
        <f t="shared" ca="1" si="6"/>
        <v>0</v>
      </c>
      <c r="Z26" s="119">
        <f t="shared" ca="1" si="6"/>
        <v>0</v>
      </c>
      <c r="AA26" s="119">
        <f t="shared" ca="1" si="6"/>
        <v>0</v>
      </c>
      <c r="AB26" s="119">
        <f t="shared" ca="1" si="6"/>
        <v>0</v>
      </c>
      <c r="AC26" s="119">
        <f t="shared" ca="1" si="6"/>
        <v>0</v>
      </c>
      <c r="AD26" s="119">
        <f t="shared" ca="1" si="6"/>
        <v>0</v>
      </c>
      <c r="AE26" s="119">
        <f t="shared" ca="1" si="6"/>
        <v>0</v>
      </c>
    </row>
    <row r="27" spans="2:31" x14ac:dyDescent="0.25">
      <c r="B27" s="145" t="s">
        <v>276</v>
      </c>
      <c r="C27" s="145"/>
      <c r="D27" s="145"/>
      <c r="E27" s="145"/>
      <c r="F27" s="146">
        <f ca="1">IF((F24+F25+F26)&gt;0,(F24+F25+F26),0)</f>
        <v>4.9147929031431374</v>
      </c>
      <c r="G27" s="146">
        <f ca="1">IF((G24+G25+G26)&gt;0,(G24+G25+G26),0)</f>
        <v>15.991796588267981</v>
      </c>
      <c r="H27" s="146">
        <f t="shared" ref="H27:AE27" ca="1" si="7">IF((H24+H25+H26)&gt;0,(H24+H25+H26),0)</f>
        <v>22.811119901311905</v>
      </c>
      <c r="I27" s="146">
        <f t="shared" ca="1" si="7"/>
        <v>32.453682910012176</v>
      </c>
      <c r="J27" s="146">
        <f t="shared" ca="1" si="7"/>
        <v>41.044343111274152</v>
      </c>
      <c r="K27" s="146">
        <f t="shared" ca="1" si="7"/>
        <v>48.855703245662568</v>
      </c>
      <c r="L27" s="146">
        <f t="shared" ca="1" si="7"/>
        <v>55.474156343112341</v>
      </c>
      <c r="M27" s="146">
        <f t="shared" ca="1" si="7"/>
        <v>61.552126900141999</v>
      </c>
      <c r="N27" s="146">
        <f t="shared" ca="1" si="7"/>
        <v>67.109112684435374</v>
      </c>
      <c r="O27" s="146">
        <f t="shared" ca="1" si="7"/>
        <v>72.367454963844807</v>
      </c>
      <c r="P27" s="146">
        <f t="shared" ca="1" si="7"/>
        <v>76.721482540803777</v>
      </c>
      <c r="Q27" s="146">
        <f t="shared" ca="1" si="7"/>
        <v>80.898296111272572</v>
      </c>
      <c r="R27" s="146">
        <f t="shared" ca="1" si="7"/>
        <v>84.835743921017411</v>
      </c>
      <c r="S27" s="146">
        <f t="shared" ca="1" si="7"/>
        <v>88.721790321427648</v>
      </c>
      <c r="T27" s="146">
        <f t="shared" ca="1" si="7"/>
        <v>91.852722262013344</v>
      </c>
      <c r="U27" s="146">
        <f t="shared" ca="1" si="7"/>
        <v>94.991735118791951</v>
      </c>
      <c r="V27" s="146">
        <f t="shared" ca="1" si="7"/>
        <v>98.043053442315653</v>
      </c>
      <c r="W27" s="146">
        <f t="shared" ca="1" si="7"/>
        <v>101.16693035305231</v>
      </c>
      <c r="X27" s="146">
        <f t="shared" ca="1" si="7"/>
        <v>103.61245655182613</v>
      </c>
      <c r="Y27" s="146">
        <f t="shared" ca="1" si="7"/>
        <v>106.15695319375074</v>
      </c>
      <c r="Z27" s="146">
        <f t="shared" ca="1" si="7"/>
        <v>108.69789164341246</v>
      </c>
      <c r="AA27" s="146">
        <f t="shared" ca="1" si="7"/>
        <v>110.40437014044271</v>
      </c>
      <c r="AB27" s="146">
        <f t="shared" ca="1" si="7"/>
        <v>110.50677433324481</v>
      </c>
      <c r="AC27" s="146">
        <f t="shared" ca="1" si="7"/>
        <v>110.74811618269099</v>
      </c>
      <c r="AD27" s="146">
        <f t="shared" ca="1" si="7"/>
        <v>111.03517094858054</v>
      </c>
      <c r="AE27" s="146">
        <f t="shared" ca="1" si="7"/>
        <v>111.47475673132374</v>
      </c>
    </row>
    <row r="28" spans="2:31" x14ac:dyDescent="0.25">
      <c r="B28" s="70" t="s">
        <v>277</v>
      </c>
      <c r="E28" s="277">
        <v>0</v>
      </c>
      <c r="F28" s="119">
        <f ca="1">IF((F24+F25)&lt;0,(F24+F25),0)</f>
        <v>0</v>
      </c>
      <c r="G28" s="119">
        <f t="shared" ref="G28:AE28" ca="1" si="8">IF(G24+G25&lt;0,G24+G25,0)</f>
        <v>0</v>
      </c>
      <c r="H28" s="119">
        <f t="shared" ca="1" si="8"/>
        <v>0</v>
      </c>
      <c r="I28" s="119">
        <f t="shared" ca="1" si="8"/>
        <v>0</v>
      </c>
      <c r="J28" s="119">
        <f t="shared" ca="1" si="8"/>
        <v>0</v>
      </c>
      <c r="K28" s="119">
        <f t="shared" ca="1" si="8"/>
        <v>0</v>
      </c>
      <c r="L28" s="119">
        <f t="shared" ca="1" si="8"/>
        <v>0</v>
      </c>
      <c r="M28" s="119">
        <f t="shared" ca="1" si="8"/>
        <v>0</v>
      </c>
      <c r="N28" s="119">
        <f t="shared" ca="1" si="8"/>
        <v>0</v>
      </c>
      <c r="O28" s="119">
        <f t="shared" ca="1" si="8"/>
        <v>0</v>
      </c>
      <c r="P28" s="119">
        <f t="shared" ca="1" si="8"/>
        <v>0</v>
      </c>
      <c r="Q28" s="119">
        <f t="shared" ca="1" si="8"/>
        <v>0</v>
      </c>
      <c r="R28" s="119">
        <f t="shared" ca="1" si="8"/>
        <v>0</v>
      </c>
      <c r="S28" s="119">
        <f t="shared" ca="1" si="8"/>
        <v>0</v>
      </c>
      <c r="T28" s="119">
        <f t="shared" ca="1" si="8"/>
        <v>0</v>
      </c>
      <c r="U28" s="119">
        <f t="shared" ca="1" si="8"/>
        <v>0</v>
      </c>
      <c r="V28" s="119">
        <f t="shared" ca="1" si="8"/>
        <v>0</v>
      </c>
      <c r="W28" s="119">
        <f t="shared" ca="1" si="8"/>
        <v>0</v>
      </c>
      <c r="X28" s="119">
        <f t="shared" ca="1" si="8"/>
        <v>0</v>
      </c>
      <c r="Y28" s="119">
        <f t="shared" ca="1" si="8"/>
        <v>0</v>
      </c>
      <c r="Z28" s="119">
        <f t="shared" ca="1" si="8"/>
        <v>0</v>
      </c>
      <c r="AA28" s="119">
        <f t="shared" ca="1" si="8"/>
        <v>0</v>
      </c>
      <c r="AB28" s="119">
        <f t="shared" ca="1" si="8"/>
        <v>0</v>
      </c>
      <c r="AC28" s="119">
        <f t="shared" ca="1" si="8"/>
        <v>0</v>
      </c>
      <c r="AD28" s="119">
        <f t="shared" ca="1" si="8"/>
        <v>0</v>
      </c>
      <c r="AE28" s="119">
        <f t="shared" ca="1" si="8"/>
        <v>0</v>
      </c>
    </row>
    <row r="29" spans="2:31" x14ac:dyDescent="0.25">
      <c r="B29" s="70" t="s">
        <v>278</v>
      </c>
      <c r="E29" s="277">
        <v>0</v>
      </c>
      <c r="F29" s="119">
        <f ca="1">IF(F24+F25&gt;0,IF(F24+F25+F26&lt;0,F24+F25+F26,0),F26)</f>
        <v>0</v>
      </c>
      <c r="G29" s="119">
        <f t="shared" ref="G29:AE29" ca="1" si="9">IF(G24+G25&gt;0,IF(G24+G25+G26&lt;0,G24+G25+G26,0),G26)</f>
        <v>0</v>
      </c>
      <c r="H29" s="119">
        <f t="shared" ca="1" si="9"/>
        <v>0</v>
      </c>
      <c r="I29" s="119">
        <f t="shared" ca="1" si="9"/>
        <v>0</v>
      </c>
      <c r="J29" s="119">
        <f t="shared" ca="1" si="9"/>
        <v>0</v>
      </c>
      <c r="K29" s="119">
        <f t="shared" ca="1" si="9"/>
        <v>0</v>
      </c>
      <c r="L29" s="119">
        <f t="shared" ca="1" si="9"/>
        <v>0</v>
      </c>
      <c r="M29" s="119">
        <f t="shared" ca="1" si="9"/>
        <v>0</v>
      </c>
      <c r="N29" s="119">
        <f t="shared" ca="1" si="9"/>
        <v>0</v>
      </c>
      <c r="O29" s="119">
        <f t="shared" ca="1" si="9"/>
        <v>0</v>
      </c>
      <c r="P29" s="119">
        <f t="shared" ca="1" si="9"/>
        <v>0</v>
      </c>
      <c r="Q29" s="119">
        <f t="shared" ca="1" si="9"/>
        <v>0</v>
      </c>
      <c r="R29" s="119">
        <f t="shared" ca="1" si="9"/>
        <v>0</v>
      </c>
      <c r="S29" s="119">
        <f t="shared" ca="1" si="9"/>
        <v>0</v>
      </c>
      <c r="T29" s="119">
        <f t="shared" ca="1" si="9"/>
        <v>0</v>
      </c>
      <c r="U29" s="119">
        <f t="shared" ca="1" si="9"/>
        <v>0</v>
      </c>
      <c r="V29" s="119">
        <f t="shared" ca="1" si="9"/>
        <v>0</v>
      </c>
      <c r="W29" s="119">
        <f t="shared" ca="1" si="9"/>
        <v>0</v>
      </c>
      <c r="X29" s="119">
        <f t="shared" ca="1" si="9"/>
        <v>0</v>
      </c>
      <c r="Y29" s="119">
        <f t="shared" ca="1" si="9"/>
        <v>0</v>
      </c>
      <c r="Z29" s="119">
        <f t="shared" ca="1" si="9"/>
        <v>0</v>
      </c>
      <c r="AA29" s="119">
        <f t="shared" ca="1" si="9"/>
        <v>0</v>
      </c>
      <c r="AB29" s="119">
        <f t="shared" ca="1" si="9"/>
        <v>0</v>
      </c>
      <c r="AC29" s="119">
        <f t="shared" ca="1" si="9"/>
        <v>0</v>
      </c>
      <c r="AD29" s="119">
        <f t="shared" ca="1" si="9"/>
        <v>0</v>
      </c>
      <c r="AE29" s="119">
        <f t="shared" ca="1" si="9"/>
        <v>0</v>
      </c>
    </row>
    <row r="31" spans="2:31" x14ac:dyDescent="0.25">
      <c r="B31" s="272" t="s">
        <v>279</v>
      </c>
      <c r="C31" s="272"/>
      <c r="D31" s="272"/>
      <c r="E31" s="272"/>
      <c r="F31" s="278">
        <f ca="1">F27*$C$17</f>
        <v>1.4311876933952816</v>
      </c>
      <c r="G31" s="278">
        <f t="shared" ref="G31:AE31" ca="1" si="10">G27*$C$17</f>
        <v>4.656811166503636</v>
      </c>
      <c r="H31" s="278">
        <f t="shared" ca="1" si="10"/>
        <v>6.642598115262027</v>
      </c>
      <c r="I31" s="278">
        <f t="shared" ca="1" si="10"/>
        <v>9.4505124633955457</v>
      </c>
      <c r="J31" s="278">
        <f t="shared" ca="1" si="10"/>
        <v>11.952112714003034</v>
      </c>
      <c r="K31" s="278">
        <f t="shared" ca="1" si="10"/>
        <v>14.22678078513694</v>
      </c>
      <c r="L31" s="278">
        <f t="shared" ca="1" si="10"/>
        <v>16.154074327114316</v>
      </c>
      <c r="M31" s="278">
        <f t="shared" ca="1" si="10"/>
        <v>17.92397935332135</v>
      </c>
      <c r="N31" s="278">
        <f t="shared" ca="1" si="10"/>
        <v>19.542173613707583</v>
      </c>
      <c r="O31" s="278">
        <f t="shared" ca="1" si="10"/>
        <v>21.073402885471609</v>
      </c>
      <c r="P31" s="278">
        <f t="shared" ca="1" si="10"/>
        <v>22.341295715882062</v>
      </c>
      <c r="Q31" s="278">
        <f t="shared" ca="1" si="10"/>
        <v>23.557583827602574</v>
      </c>
      <c r="R31" s="278">
        <f t="shared" ca="1" si="10"/>
        <v>24.704168629800272</v>
      </c>
      <c r="S31" s="278">
        <f t="shared" ca="1" si="10"/>
        <v>25.835785341599731</v>
      </c>
      <c r="T31" s="278">
        <f t="shared" ca="1" si="10"/>
        <v>26.747512722698286</v>
      </c>
      <c r="U31" s="278">
        <f t="shared" ca="1" si="10"/>
        <v>27.661593266592217</v>
      </c>
      <c r="V31" s="278">
        <f t="shared" ca="1" si="10"/>
        <v>28.550137162402319</v>
      </c>
      <c r="W31" s="278">
        <f t="shared" ca="1" si="10"/>
        <v>29.459810118808832</v>
      </c>
      <c r="X31" s="278">
        <f t="shared" ca="1" si="10"/>
        <v>30.17194734789177</v>
      </c>
      <c r="Y31" s="278">
        <f t="shared" ca="1" si="10"/>
        <v>30.912904770020216</v>
      </c>
      <c r="Z31" s="278">
        <f t="shared" ca="1" si="10"/>
        <v>31.65282604656171</v>
      </c>
      <c r="AA31" s="278">
        <f t="shared" ca="1" si="10"/>
        <v>32.149752584896916</v>
      </c>
      <c r="AB31" s="278">
        <f t="shared" ca="1" si="10"/>
        <v>32.179572685840888</v>
      </c>
      <c r="AC31" s="278">
        <f t="shared" ca="1" si="10"/>
        <v>32.249851432399616</v>
      </c>
      <c r="AD31" s="278">
        <f t="shared" ca="1" si="10"/>
        <v>32.333441780226657</v>
      </c>
      <c r="AE31" s="278">
        <f t="shared" ca="1" si="10"/>
        <v>32.461449160161472</v>
      </c>
    </row>
    <row r="33" spans="2:31" x14ac:dyDescent="0.25">
      <c r="B33" s="272" t="s">
        <v>280</v>
      </c>
    </row>
    <row r="35" spans="2:31" x14ac:dyDescent="0.25">
      <c r="B35" s="70" t="s">
        <v>281</v>
      </c>
      <c r="F35" s="119">
        <f ca="1">IF(F19&gt;0,F19*$C$16,0)</f>
        <v>9.8366441068974773</v>
      </c>
      <c r="G35" s="119">
        <f t="shared" ref="G35:AE35" ca="1" si="11">IF(G19&gt;0,G19*$C$16,0)</f>
        <v>10.003350922846581</v>
      </c>
      <c r="H35" s="119">
        <f t="shared" ca="1" si="11"/>
        <v>9.6488015144893975</v>
      </c>
      <c r="I35" s="119">
        <f t="shared" ca="1" si="11"/>
        <v>10.038500393202051</v>
      </c>
      <c r="J35" s="119">
        <f t="shared" ca="1" si="11"/>
        <v>10.437013262124905</v>
      </c>
      <c r="K35" s="119">
        <f t="shared" ca="1" si="11"/>
        <v>10.869620230339331</v>
      </c>
      <c r="L35" s="119">
        <f t="shared" ca="1" si="11"/>
        <v>11.21830634517492</v>
      </c>
      <c r="M35" s="119">
        <f t="shared" ca="1" si="11"/>
        <v>11.600111877569443</v>
      </c>
      <c r="N35" s="119">
        <f t="shared" ca="1" si="11"/>
        <v>11.991826050934248</v>
      </c>
      <c r="O35" s="119">
        <f t="shared" ca="1" si="11"/>
        <v>12.416643311565052</v>
      </c>
      <c r="P35" s="119">
        <f t="shared" ca="1" si="11"/>
        <v>12.756665710691031</v>
      </c>
      <c r="Q35" s="119">
        <f t="shared" ca="1" si="11"/>
        <v>13.128661836201106</v>
      </c>
      <c r="R35" s="119">
        <f t="shared" ca="1" si="11"/>
        <v>13.511790493024559</v>
      </c>
      <c r="S35" s="119">
        <f t="shared" ca="1" si="11"/>
        <v>13.926718230747525</v>
      </c>
      <c r="T35" s="119">
        <f t="shared" ca="1" si="11"/>
        <v>14.256095361814213</v>
      </c>
      <c r="U35" s="119">
        <f t="shared" ca="1" si="11"/>
        <v>14.615962059477429</v>
      </c>
      <c r="V35" s="119">
        <f t="shared" ca="1" si="11"/>
        <v>14.988327015399639</v>
      </c>
      <c r="W35" s="119">
        <f t="shared" ca="1" si="11"/>
        <v>15.390819967431232</v>
      </c>
      <c r="X35" s="119">
        <f t="shared" ca="1" si="11"/>
        <v>15.707139801562814</v>
      </c>
      <c r="Y35" s="119">
        <f t="shared" ca="1" si="11"/>
        <v>16.05206814041474</v>
      </c>
      <c r="Z35" s="119">
        <f t="shared" ca="1" si="11"/>
        <v>16.4110154054923</v>
      </c>
      <c r="AA35" s="119">
        <f t="shared" ca="1" si="11"/>
        <v>16.629371909487212</v>
      </c>
      <c r="AB35" s="119">
        <f t="shared" ca="1" si="11"/>
        <v>16.592464551567829</v>
      </c>
      <c r="AC35" s="119">
        <f t="shared" ca="1" si="11"/>
        <v>16.581819263192472</v>
      </c>
      <c r="AD35" s="119">
        <f t="shared" ca="1" si="11"/>
        <v>16.586881911418732</v>
      </c>
      <c r="AE35" s="119">
        <f t="shared" ca="1" si="11"/>
        <v>16.617364844595727</v>
      </c>
    </row>
    <row r="36" spans="2:31" x14ac:dyDescent="0.25">
      <c r="B36" s="70" t="s">
        <v>279</v>
      </c>
      <c r="F36" s="119">
        <f t="shared" ref="F36:AE36" ca="1" si="12">F31</f>
        <v>1.4311876933952816</v>
      </c>
      <c r="G36" s="119">
        <f t="shared" ca="1" si="12"/>
        <v>4.656811166503636</v>
      </c>
      <c r="H36" s="119">
        <f t="shared" ca="1" si="12"/>
        <v>6.642598115262027</v>
      </c>
      <c r="I36" s="119">
        <f t="shared" ca="1" si="12"/>
        <v>9.4505124633955457</v>
      </c>
      <c r="J36" s="119">
        <f t="shared" ca="1" si="12"/>
        <v>11.952112714003034</v>
      </c>
      <c r="K36" s="119">
        <f t="shared" ca="1" si="12"/>
        <v>14.22678078513694</v>
      </c>
      <c r="L36" s="119">
        <f t="shared" ca="1" si="12"/>
        <v>16.154074327114316</v>
      </c>
      <c r="M36" s="119">
        <f t="shared" ca="1" si="12"/>
        <v>17.92397935332135</v>
      </c>
      <c r="N36" s="119">
        <f t="shared" ca="1" si="12"/>
        <v>19.542173613707583</v>
      </c>
      <c r="O36" s="119">
        <f t="shared" ca="1" si="12"/>
        <v>21.073402885471609</v>
      </c>
      <c r="P36" s="119">
        <f t="shared" ca="1" si="12"/>
        <v>22.341295715882062</v>
      </c>
      <c r="Q36" s="119">
        <f t="shared" ca="1" si="12"/>
        <v>23.557583827602574</v>
      </c>
      <c r="R36" s="119">
        <f t="shared" ca="1" si="12"/>
        <v>24.704168629800272</v>
      </c>
      <c r="S36" s="119">
        <f t="shared" ca="1" si="12"/>
        <v>25.835785341599731</v>
      </c>
      <c r="T36" s="119">
        <f t="shared" ca="1" si="12"/>
        <v>26.747512722698286</v>
      </c>
      <c r="U36" s="119">
        <f t="shared" ca="1" si="12"/>
        <v>27.661593266592217</v>
      </c>
      <c r="V36" s="119">
        <f t="shared" ca="1" si="12"/>
        <v>28.550137162402319</v>
      </c>
      <c r="W36" s="119">
        <f t="shared" ca="1" si="12"/>
        <v>29.459810118808832</v>
      </c>
      <c r="X36" s="119">
        <f t="shared" ca="1" si="12"/>
        <v>30.17194734789177</v>
      </c>
      <c r="Y36" s="119">
        <f t="shared" ca="1" si="12"/>
        <v>30.912904770020216</v>
      </c>
      <c r="Z36" s="119">
        <f t="shared" ca="1" si="12"/>
        <v>31.65282604656171</v>
      </c>
      <c r="AA36" s="119">
        <f t="shared" ca="1" si="12"/>
        <v>32.149752584896916</v>
      </c>
      <c r="AB36" s="119">
        <f t="shared" ca="1" si="12"/>
        <v>32.179572685840888</v>
      </c>
      <c r="AC36" s="119">
        <f t="shared" ca="1" si="12"/>
        <v>32.249851432399616</v>
      </c>
      <c r="AD36" s="119">
        <f t="shared" ca="1" si="12"/>
        <v>32.333441780226657</v>
      </c>
      <c r="AE36" s="119">
        <f t="shared" ca="1" si="12"/>
        <v>32.461449160161472</v>
      </c>
    </row>
    <row r="38" spans="2:31" x14ac:dyDescent="0.25">
      <c r="B38" s="70" t="s">
        <v>282</v>
      </c>
      <c r="F38" s="119">
        <f ca="1">MAX(F35,F36)</f>
        <v>9.8366441068974773</v>
      </c>
      <c r="G38" s="119">
        <f t="shared" ref="G38:AE38" ca="1" si="13">MAX(G35,G36)</f>
        <v>10.003350922846581</v>
      </c>
      <c r="H38" s="119">
        <f t="shared" ca="1" si="13"/>
        <v>9.6488015144893975</v>
      </c>
      <c r="I38" s="119">
        <f t="shared" ca="1" si="13"/>
        <v>10.038500393202051</v>
      </c>
      <c r="J38" s="119">
        <f t="shared" ca="1" si="13"/>
        <v>11.952112714003034</v>
      </c>
      <c r="K38" s="119">
        <f t="shared" ca="1" si="13"/>
        <v>14.22678078513694</v>
      </c>
      <c r="L38" s="119">
        <f t="shared" ca="1" si="13"/>
        <v>16.154074327114316</v>
      </c>
      <c r="M38" s="119">
        <f t="shared" ca="1" si="13"/>
        <v>17.92397935332135</v>
      </c>
      <c r="N38" s="119">
        <f t="shared" ca="1" si="13"/>
        <v>19.542173613707583</v>
      </c>
      <c r="O38" s="119">
        <f t="shared" ca="1" si="13"/>
        <v>21.073402885471609</v>
      </c>
      <c r="P38" s="119">
        <f t="shared" ca="1" si="13"/>
        <v>22.341295715882062</v>
      </c>
      <c r="Q38" s="119">
        <f t="shared" ca="1" si="13"/>
        <v>23.557583827602574</v>
      </c>
      <c r="R38" s="119">
        <f t="shared" ca="1" si="13"/>
        <v>24.704168629800272</v>
      </c>
      <c r="S38" s="119">
        <f t="shared" ca="1" si="13"/>
        <v>25.835785341599731</v>
      </c>
      <c r="T38" s="119">
        <f t="shared" ca="1" si="13"/>
        <v>26.747512722698286</v>
      </c>
      <c r="U38" s="119">
        <f t="shared" ca="1" si="13"/>
        <v>27.661593266592217</v>
      </c>
      <c r="V38" s="119">
        <f t="shared" ca="1" si="13"/>
        <v>28.550137162402319</v>
      </c>
      <c r="W38" s="119">
        <f t="shared" ca="1" si="13"/>
        <v>29.459810118808832</v>
      </c>
      <c r="X38" s="119">
        <f t="shared" ca="1" si="13"/>
        <v>30.17194734789177</v>
      </c>
      <c r="Y38" s="119">
        <f t="shared" ca="1" si="13"/>
        <v>30.912904770020216</v>
      </c>
      <c r="Z38" s="119">
        <f t="shared" ca="1" si="13"/>
        <v>31.65282604656171</v>
      </c>
      <c r="AA38" s="119">
        <f t="shared" ca="1" si="13"/>
        <v>32.149752584896916</v>
      </c>
      <c r="AB38" s="119">
        <f t="shared" ca="1" si="13"/>
        <v>32.179572685840888</v>
      </c>
      <c r="AC38" s="119">
        <f t="shared" ca="1" si="13"/>
        <v>32.249851432399616</v>
      </c>
      <c r="AD38" s="119">
        <f t="shared" ca="1" si="13"/>
        <v>32.333441780226657</v>
      </c>
      <c r="AE38" s="119">
        <f t="shared" ca="1" si="13"/>
        <v>32.461449160161472</v>
      </c>
    </row>
    <row r="39" spans="2:31" x14ac:dyDescent="0.25">
      <c r="B39" s="70" t="s">
        <v>283</v>
      </c>
      <c r="F39" s="119">
        <f ca="1">IF((F36-F35)&lt;0,0,MIN((F36-F35),E45))</f>
        <v>0</v>
      </c>
      <c r="G39" s="119">
        <f t="shared" ref="G39:AE39" ca="1" si="14">IF((G36-G35)&lt;0,0,MIN((G36-G35),F45))</f>
        <v>0</v>
      </c>
      <c r="H39" s="119">
        <f t="shared" ca="1" si="14"/>
        <v>0</v>
      </c>
      <c r="I39" s="119">
        <f t="shared" ca="1" si="14"/>
        <v>0</v>
      </c>
      <c r="J39" s="119">
        <f t="shared" ca="1" si="14"/>
        <v>1.5150994518781289</v>
      </c>
      <c r="K39" s="119">
        <f t="shared" ca="1" si="14"/>
        <v>3.3571605547976091</v>
      </c>
      <c r="L39" s="119">
        <f t="shared" ca="1" si="14"/>
        <v>4.9357679819393958</v>
      </c>
      <c r="M39" s="119">
        <f t="shared" ca="1" si="14"/>
        <v>6.3238674757519071</v>
      </c>
      <c r="N39" s="119">
        <f t="shared" ca="1" si="14"/>
        <v>7.5503475627733341</v>
      </c>
      <c r="O39" s="119">
        <f t="shared" ca="1" si="14"/>
        <v>8.656759573906557</v>
      </c>
      <c r="P39" s="119">
        <f t="shared" ca="1" si="14"/>
        <v>7.1882943363885765</v>
      </c>
      <c r="Q39" s="119">
        <f t="shared" ca="1" si="14"/>
        <v>0</v>
      </c>
      <c r="R39" s="119">
        <f t="shared" ca="1" si="14"/>
        <v>0</v>
      </c>
      <c r="S39" s="119">
        <f t="shared" ca="1" si="14"/>
        <v>0</v>
      </c>
      <c r="T39" s="119">
        <f t="shared" ca="1" si="14"/>
        <v>0</v>
      </c>
      <c r="U39" s="119">
        <f t="shared" ca="1" si="14"/>
        <v>0</v>
      </c>
      <c r="V39" s="119">
        <f t="shared" ca="1" si="14"/>
        <v>0</v>
      </c>
      <c r="W39" s="119">
        <f t="shared" ca="1" si="14"/>
        <v>0</v>
      </c>
      <c r="X39" s="119">
        <f t="shared" ca="1" si="14"/>
        <v>0</v>
      </c>
      <c r="Y39" s="119">
        <f t="shared" ca="1" si="14"/>
        <v>0</v>
      </c>
      <c r="Z39" s="119">
        <f t="shared" ca="1" si="14"/>
        <v>0</v>
      </c>
      <c r="AA39" s="119">
        <f t="shared" ca="1" si="14"/>
        <v>0</v>
      </c>
      <c r="AB39" s="119">
        <f t="shared" ca="1" si="14"/>
        <v>0</v>
      </c>
      <c r="AC39" s="119">
        <f t="shared" ca="1" si="14"/>
        <v>0</v>
      </c>
      <c r="AD39" s="119">
        <f t="shared" ca="1" si="14"/>
        <v>0</v>
      </c>
      <c r="AE39" s="119">
        <f t="shared" ca="1" si="14"/>
        <v>0</v>
      </c>
    </row>
    <row r="40" spans="2:31" x14ac:dyDescent="0.25">
      <c r="B40" s="154" t="s">
        <v>284</v>
      </c>
      <c r="C40" s="154"/>
      <c r="D40" s="154"/>
      <c r="E40" s="154"/>
      <c r="F40" s="155">
        <f ca="1">F38-F39</f>
        <v>9.8366441068974773</v>
      </c>
      <c r="G40" s="155">
        <f t="shared" ref="G40:AE40" ca="1" si="15">G38-G39</f>
        <v>10.003350922846581</v>
      </c>
      <c r="H40" s="155">
        <f t="shared" ca="1" si="15"/>
        <v>9.6488015144893975</v>
      </c>
      <c r="I40" s="155">
        <f t="shared" ca="1" si="15"/>
        <v>10.038500393202051</v>
      </c>
      <c r="J40" s="155">
        <f t="shared" ca="1" si="15"/>
        <v>10.437013262124905</v>
      </c>
      <c r="K40" s="155">
        <f t="shared" ca="1" si="15"/>
        <v>10.869620230339331</v>
      </c>
      <c r="L40" s="155">
        <f t="shared" ca="1" si="15"/>
        <v>11.21830634517492</v>
      </c>
      <c r="M40" s="155">
        <f t="shared" ca="1" si="15"/>
        <v>11.600111877569443</v>
      </c>
      <c r="N40" s="155">
        <f t="shared" ca="1" si="15"/>
        <v>11.991826050934248</v>
      </c>
      <c r="O40" s="155">
        <f t="shared" ca="1" si="15"/>
        <v>12.416643311565052</v>
      </c>
      <c r="P40" s="155">
        <f t="shared" ca="1" si="15"/>
        <v>15.153001379493485</v>
      </c>
      <c r="Q40" s="155">
        <f t="shared" ca="1" si="15"/>
        <v>23.557583827602574</v>
      </c>
      <c r="R40" s="155">
        <f t="shared" ca="1" si="15"/>
        <v>24.704168629800272</v>
      </c>
      <c r="S40" s="155">
        <f t="shared" ca="1" si="15"/>
        <v>25.835785341599731</v>
      </c>
      <c r="T40" s="155">
        <f t="shared" ca="1" si="15"/>
        <v>26.747512722698286</v>
      </c>
      <c r="U40" s="155">
        <f t="shared" ca="1" si="15"/>
        <v>27.661593266592217</v>
      </c>
      <c r="V40" s="155">
        <f t="shared" ca="1" si="15"/>
        <v>28.550137162402319</v>
      </c>
      <c r="W40" s="155">
        <f t="shared" ca="1" si="15"/>
        <v>29.459810118808832</v>
      </c>
      <c r="X40" s="155">
        <f t="shared" ca="1" si="15"/>
        <v>30.17194734789177</v>
      </c>
      <c r="Y40" s="155">
        <f t="shared" ca="1" si="15"/>
        <v>30.912904770020216</v>
      </c>
      <c r="Z40" s="155">
        <f t="shared" ca="1" si="15"/>
        <v>31.65282604656171</v>
      </c>
      <c r="AA40" s="155">
        <f t="shared" ca="1" si="15"/>
        <v>32.149752584896916</v>
      </c>
      <c r="AB40" s="155">
        <f t="shared" ca="1" si="15"/>
        <v>32.179572685840888</v>
      </c>
      <c r="AC40" s="155">
        <f t="shared" ca="1" si="15"/>
        <v>32.249851432399616</v>
      </c>
      <c r="AD40" s="155">
        <f t="shared" ca="1" si="15"/>
        <v>32.333441780226657</v>
      </c>
      <c r="AE40" s="155">
        <f t="shared" ca="1" si="15"/>
        <v>32.461449160161472</v>
      </c>
    </row>
    <row r="42" spans="2:31" x14ac:dyDescent="0.25">
      <c r="B42" s="70" t="s">
        <v>285</v>
      </c>
      <c r="F42" s="119">
        <f>E45</f>
        <v>0</v>
      </c>
      <c r="G42" s="119">
        <f t="shared" ref="G42:AE42" ca="1" si="16">F45</f>
        <v>9.8366441068974773</v>
      </c>
      <c r="H42" s="119">
        <f t="shared" ca="1" si="16"/>
        <v>19.83999502974406</v>
      </c>
      <c r="I42" s="119">
        <f t="shared" ca="1" si="16"/>
        <v>29.488796544233459</v>
      </c>
      <c r="J42" s="119">
        <f t="shared" ca="1" si="16"/>
        <v>39.527296937435509</v>
      </c>
      <c r="K42" s="119">
        <f t="shared" ca="1" si="16"/>
        <v>38.01219748555738</v>
      </c>
      <c r="L42" s="119">
        <f t="shared" ca="1" si="16"/>
        <v>34.655036930759771</v>
      </c>
      <c r="M42" s="119">
        <f t="shared" ca="1" si="16"/>
        <v>29.719268948820375</v>
      </c>
      <c r="N42" s="119">
        <f t="shared" ca="1" si="16"/>
        <v>23.395401473068468</v>
      </c>
      <c r="O42" s="119">
        <f t="shared" ca="1" si="16"/>
        <v>15.845053910295134</v>
      </c>
      <c r="P42" s="119">
        <f t="shared" ca="1" si="16"/>
        <v>7.1882943363885765</v>
      </c>
      <c r="Q42" s="119">
        <f t="shared" ca="1" si="16"/>
        <v>0</v>
      </c>
      <c r="R42" s="119">
        <f t="shared" ca="1" si="16"/>
        <v>0</v>
      </c>
      <c r="S42" s="119">
        <f t="shared" ca="1" si="16"/>
        <v>0</v>
      </c>
      <c r="T42" s="119">
        <f t="shared" ca="1" si="16"/>
        <v>0</v>
      </c>
      <c r="U42" s="119">
        <f t="shared" ca="1" si="16"/>
        <v>0</v>
      </c>
      <c r="V42" s="119">
        <f t="shared" ca="1" si="16"/>
        <v>0</v>
      </c>
      <c r="W42" s="119">
        <f t="shared" ca="1" si="16"/>
        <v>0</v>
      </c>
      <c r="X42" s="119">
        <f t="shared" ca="1" si="16"/>
        <v>0</v>
      </c>
      <c r="Y42" s="119">
        <f t="shared" ca="1" si="16"/>
        <v>0</v>
      </c>
      <c r="Z42" s="119">
        <f t="shared" ca="1" si="16"/>
        <v>0</v>
      </c>
      <c r="AA42" s="119">
        <f t="shared" ca="1" si="16"/>
        <v>0</v>
      </c>
      <c r="AB42" s="119">
        <f t="shared" ca="1" si="16"/>
        <v>0</v>
      </c>
      <c r="AC42" s="119">
        <f t="shared" ca="1" si="16"/>
        <v>0</v>
      </c>
      <c r="AD42" s="119">
        <f t="shared" ca="1" si="16"/>
        <v>0</v>
      </c>
      <c r="AE42" s="119">
        <f t="shared" ca="1" si="16"/>
        <v>0</v>
      </c>
    </row>
    <row r="43" spans="2:31" x14ac:dyDescent="0.25">
      <c r="B43" s="70" t="s">
        <v>286</v>
      </c>
      <c r="F43" s="119">
        <f ca="1">IF(F35&gt;F36,F35,0)</f>
        <v>9.8366441068974773</v>
      </c>
      <c r="G43" s="119">
        <f t="shared" ref="G43:AE43" ca="1" si="17">IF(G35&gt;G36,G35,0)</f>
        <v>10.003350922846581</v>
      </c>
      <c r="H43" s="119">
        <f t="shared" ca="1" si="17"/>
        <v>9.6488015144893975</v>
      </c>
      <c r="I43" s="119">
        <f t="shared" ca="1" si="17"/>
        <v>10.038500393202051</v>
      </c>
      <c r="J43" s="119">
        <f t="shared" ca="1" si="17"/>
        <v>0</v>
      </c>
      <c r="K43" s="119">
        <f t="shared" ca="1" si="17"/>
        <v>0</v>
      </c>
      <c r="L43" s="119">
        <f t="shared" ca="1" si="17"/>
        <v>0</v>
      </c>
      <c r="M43" s="119">
        <f t="shared" ca="1" si="17"/>
        <v>0</v>
      </c>
      <c r="N43" s="119">
        <f t="shared" ca="1" si="17"/>
        <v>0</v>
      </c>
      <c r="O43" s="119">
        <f t="shared" ca="1" si="17"/>
        <v>0</v>
      </c>
      <c r="P43" s="119">
        <f t="shared" ca="1" si="17"/>
        <v>0</v>
      </c>
      <c r="Q43" s="119">
        <f t="shared" ca="1" si="17"/>
        <v>0</v>
      </c>
      <c r="R43" s="119">
        <f t="shared" ca="1" si="17"/>
        <v>0</v>
      </c>
      <c r="S43" s="119">
        <f t="shared" ca="1" si="17"/>
        <v>0</v>
      </c>
      <c r="T43" s="119">
        <f t="shared" ca="1" si="17"/>
        <v>0</v>
      </c>
      <c r="U43" s="119">
        <f t="shared" ca="1" si="17"/>
        <v>0</v>
      </c>
      <c r="V43" s="119">
        <f t="shared" ca="1" si="17"/>
        <v>0</v>
      </c>
      <c r="W43" s="119">
        <f t="shared" ca="1" si="17"/>
        <v>0</v>
      </c>
      <c r="X43" s="119">
        <f t="shared" ca="1" si="17"/>
        <v>0</v>
      </c>
      <c r="Y43" s="119">
        <f t="shared" ca="1" si="17"/>
        <v>0</v>
      </c>
      <c r="Z43" s="119">
        <f t="shared" ca="1" si="17"/>
        <v>0</v>
      </c>
      <c r="AA43" s="119">
        <f t="shared" ca="1" si="17"/>
        <v>0</v>
      </c>
      <c r="AB43" s="119">
        <f t="shared" ca="1" si="17"/>
        <v>0</v>
      </c>
      <c r="AC43" s="119">
        <f t="shared" ca="1" si="17"/>
        <v>0</v>
      </c>
      <c r="AD43" s="119">
        <f t="shared" ca="1" si="17"/>
        <v>0</v>
      </c>
      <c r="AE43" s="119">
        <f t="shared" ca="1" si="17"/>
        <v>0</v>
      </c>
    </row>
    <row r="44" spans="2:31" x14ac:dyDescent="0.25">
      <c r="B44" s="70" t="s">
        <v>287</v>
      </c>
      <c r="F44" s="119">
        <f ca="1">-F39</f>
        <v>0</v>
      </c>
      <c r="G44" s="119">
        <f t="shared" ref="G44:AE44" ca="1" si="18">-G39</f>
        <v>0</v>
      </c>
      <c r="H44" s="119">
        <f t="shared" ca="1" si="18"/>
        <v>0</v>
      </c>
      <c r="I44" s="119">
        <f t="shared" ca="1" si="18"/>
        <v>0</v>
      </c>
      <c r="J44" s="119">
        <f t="shared" ca="1" si="18"/>
        <v>-1.5150994518781289</v>
      </c>
      <c r="K44" s="119">
        <f t="shared" ca="1" si="18"/>
        <v>-3.3571605547976091</v>
      </c>
      <c r="L44" s="119">
        <f t="shared" ca="1" si="18"/>
        <v>-4.9357679819393958</v>
      </c>
      <c r="M44" s="119">
        <f t="shared" ca="1" si="18"/>
        <v>-6.3238674757519071</v>
      </c>
      <c r="N44" s="119">
        <f t="shared" ca="1" si="18"/>
        <v>-7.5503475627733341</v>
      </c>
      <c r="O44" s="119">
        <f t="shared" ca="1" si="18"/>
        <v>-8.656759573906557</v>
      </c>
      <c r="P44" s="119">
        <f t="shared" ca="1" si="18"/>
        <v>-7.1882943363885765</v>
      </c>
      <c r="Q44" s="119">
        <f t="shared" ca="1" si="18"/>
        <v>0</v>
      </c>
      <c r="R44" s="119">
        <f t="shared" ca="1" si="18"/>
        <v>0</v>
      </c>
      <c r="S44" s="119">
        <f t="shared" ca="1" si="18"/>
        <v>0</v>
      </c>
      <c r="T44" s="119">
        <f t="shared" ca="1" si="18"/>
        <v>0</v>
      </c>
      <c r="U44" s="119">
        <f t="shared" ca="1" si="18"/>
        <v>0</v>
      </c>
      <c r="V44" s="119">
        <f t="shared" ca="1" si="18"/>
        <v>0</v>
      </c>
      <c r="W44" s="119">
        <f t="shared" ca="1" si="18"/>
        <v>0</v>
      </c>
      <c r="X44" s="119">
        <f t="shared" ca="1" si="18"/>
        <v>0</v>
      </c>
      <c r="Y44" s="119">
        <f t="shared" ca="1" si="18"/>
        <v>0</v>
      </c>
      <c r="Z44" s="119">
        <f t="shared" ca="1" si="18"/>
        <v>0</v>
      </c>
      <c r="AA44" s="119">
        <f t="shared" ca="1" si="18"/>
        <v>0</v>
      </c>
      <c r="AB44" s="119">
        <f t="shared" ca="1" si="18"/>
        <v>0</v>
      </c>
      <c r="AC44" s="119">
        <f t="shared" ca="1" si="18"/>
        <v>0</v>
      </c>
      <c r="AD44" s="119">
        <f t="shared" ca="1" si="18"/>
        <v>0</v>
      </c>
      <c r="AE44" s="119">
        <f t="shared" ca="1" si="18"/>
        <v>0</v>
      </c>
    </row>
    <row r="45" spans="2:31" x14ac:dyDescent="0.25">
      <c r="B45" s="145" t="s">
        <v>288</v>
      </c>
      <c r="C45" s="145"/>
      <c r="D45" s="145"/>
      <c r="E45" s="279">
        <v>0</v>
      </c>
      <c r="F45" s="146">
        <f ca="1">SUM(F42:F44)</f>
        <v>9.8366441068974773</v>
      </c>
      <c r="G45" s="146">
        <f t="shared" ref="G45:AE45" ca="1" si="19">SUM(G42:G44)</f>
        <v>19.83999502974406</v>
      </c>
      <c r="H45" s="146">
        <f t="shared" ca="1" si="19"/>
        <v>29.488796544233459</v>
      </c>
      <c r="I45" s="146">
        <f t="shared" ca="1" si="19"/>
        <v>39.527296937435509</v>
      </c>
      <c r="J45" s="146">
        <f t="shared" ca="1" si="19"/>
        <v>38.01219748555738</v>
      </c>
      <c r="K45" s="146">
        <f t="shared" ca="1" si="19"/>
        <v>34.655036930759771</v>
      </c>
      <c r="L45" s="146">
        <f t="shared" ca="1" si="19"/>
        <v>29.719268948820375</v>
      </c>
      <c r="M45" s="146">
        <f t="shared" ca="1" si="19"/>
        <v>23.395401473068468</v>
      </c>
      <c r="N45" s="146">
        <f t="shared" ca="1" si="19"/>
        <v>15.845053910295134</v>
      </c>
      <c r="O45" s="146">
        <f t="shared" ca="1" si="19"/>
        <v>7.1882943363885765</v>
      </c>
      <c r="P45" s="146">
        <f t="shared" ca="1" si="19"/>
        <v>0</v>
      </c>
      <c r="Q45" s="146">
        <f t="shared" ca="1" si="19"/>
        <v>0</v>
      </c>
      <c r="R45" s="146">
        <f t="shared" ca="1" si="19"/>
        <v>0</v>
      </c>
      <c r="S45" s="146">
        <f t="shared" ca="1" si="19"/>
        <v>0</v>
      </c>
      <c r="T45" s="146">
        <f t="shared" ca="1" si="19"/>
        <v>0</v>
      </c>
      <c r="U45" s="146">
        <f t="shared" ca="1" si="19"/>
        <v>0</v>
      </c>
      <c r="V45" s="146">
        <f t="shared" ca="1" si="19"/>
        <v>0</v>
      </c>
      <c r="W45" s="146">
        <f t="shared" ca="1" si="19"/>
        <v>0</v>
      </c>
      <c r="X45" s="146">
        <f t="shared" ca="1" si="19"/>
        <v>0</v>
      </c>
      <c r="Y45" s="146">
        <f t="shared" ca="1" si="19"/>
        <v>0</v>
      </c>
      <c r="Z45" s="146">
        <f t="shared" ca="1" si="19"/>
        <v>0</v>
      </c>
      <c r="AA45" s="146">
        <f t="shared" ca="1" si="19"/>
        <v>0</v>
      </c>
      <c r="AB45" s="146">
        <f t="shared" ca="1" si="19"/>
        <v>0</v>
      </c>
      <c r="AC45" s="146">
        <f t="shared" ca="1" si="19"/>
        <v>0</v>
      </c>
      <c r="AD45" s="146">
        <f t="shared" ca="1" si="19"/>
        <v>0</v>
      </c>
      <c r="AE45" s="146">
        <f t="shared" ca="1" si="19"/>
        <v>0</v>
      </c>
    </row>
    <row r="46" spans="2:31" x14ac:dyDescent="0.25">
      <c r="F46" s="119"/>
      <c r="G46" s="119"/>
      <c r="H46" s="119"/>
      <c r="I46" s="119"/>
      <c r="J46" s="119"/>
      <c r="K46" s="119"/>
      <c r="L46" s="119"/>
      <c r="M46" s="119"/>
      <c r="N46" s="119"/>
      <c r="O46" s="119"/>
    </row>
    <row r="47" spans="2:31" x14ac:dyDescent="0.25">
      <c r="F47" s="119"/>
      <c r="G47" s="119"/>
      <c r="H47" s="119"/>
      <c r="I47" s="119"/>
      <c r="J47" s="119"/>
      <c r="K47" s="119"/>
      <c r="L47" s="119"/>
      <c r="M47" s="119"/>
      <c r="N47" s="119"/>
      <c r="O47" s="119"/>
    </row>
  </sheetData>
  <mergeCells count="2">
    <mergeCell ref="D7:E7"/>
    <mergeCell ref="F7:AE7"/>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4"/>
  <sheetViews>
    <sheetView showGridLines="0" zoomScaleNormal="100" workbookViewId="0"/>
  </sheetViews>
  <sheetFormatPr defaultColWidth="13.7109375" defaultRowHeight="15" x14ac:dyDescent="0.25"/>
  <cols>
    <col min="1" max="1" width="4.5703125" style="70" customWidth="1"/>
    <col min="2" max="2" width="64.7109375" style="70" customWidth="1"/>
    <col min="3" max="3" width="7.42578125" style="70" customWidth="1"/>
    <col min="4" max="4" width="13.140625" style="70" customWidth="1"/>
    <col min="5" max="5" width="15.5703125" style="70" customWidth="1"/>
    <col min="6" max="15" width="12.7109375" style="70" customWidth="1"/>
    <col min="16" max="32" width="13.7109375" style="70" customWidth="1"/>
    <col min="33" max="16384" width="13.7109375" style="70"/>
  </cols>
  <sheetData>
    <row r="1" spans="2:31" s="1" customFormat="1" ht="19.899999999999999" customHeight="1" x14ac:dyDescent="0.25">
      <c r="B1" s="105" t="str">
        <f>Company</f>
        <v>M/s. Sai Infinium Limited</v>
      </c>
      <c r="C1" s="105"/>
      <c r="D1" s="105"/>
      <c r="E1" s="105"/>
      <c r="F1" s="105"/>
      <c r="G1" s="105"/>
      <c r="H1" s="105"/>
      <c r="I1" s="105"/>
      <c r="J1" s="105"/>
      <c r="K1" s="105"/>
      <c r="L1" s="105"/>
      <c r="M1" s="105"/>
      <c r="N1" s="105"/>
      <c r="O1" s="105"/>
      <c r="P1" s="105"/>
      <c r="Q1" s="105"/>
      <c r="R1" s="105"/>
      <c r="S1" s="105"/>
      <c r="T1" s="105"/>
      <c r="U1" s="105"/>
      <c r="V1" s="105"/>
      <c r="W1" s="105"/>
      <c r="X1" s="105"/>
      <c r="Y1" s="105"/>
      <c r="Z1" s="105"/>
      <c r="AA1" s="105"/>
      <c r="AB1" s="105"/>
      <c r="AC1" s="105"/>
      <c r="AD1" s="105"/>
      <c r="AE1" s="105"/>
    </row>
    <row r="2" spans="2:31" s="1" customFormat="1" ht="9" customHeight="1" x14ac:dyDescent="0.25">
      <c r="B2" s="2"/>
      <c r="C2" s="2"/>
      <c r="D2" s="2"/>
      <c r="E2" s="2"/>
      <c r="F2" s="2"/>
      <c r="G2" s="2"/>
      <c r="H2" s="2"/>
      <c r="I2" s="2"/>
      <c r="J2" s="2"/>
      <c r="K2" s="2"/>
      <c r="L2" s="2"/>
      <c r="M2" s="2"/>
      <c r="N2" s="2"/>
      <c r="O2" s="2"/>
      <c r="P2" s="2"/>
      <c r="Q2" s="2"/>
      <c r="R2" s="2"/>
      <c r="S2" s="2"/>
      <c r="T2" s="2"/>
      <c r="U2" s="2"/>
      <c r="V2" s="2"/>
      <c r="W2" s="2"/>
      <c r="X2" s="2"/>
      <c r="Y2" s="2"/>
      <c r="Z2" s="2"/>
      <c r="AA2" s="2"/>
      <c r="AB2" s="2"/>
      <c r="AC2" s="2"/>
      <c r="AD2" s="2"/>
      <c r="AE2" s="2"/>
    </row>
    <row r="3" spans="2:31" s="1" customFormat="1" ht="19.899999999999999" customHeight="1" x14ac:dyDescent="0.25">
      <c r="B3" s="106" t="str">
        <f>Project</f>
        <v>Financial Model for Proposed Hybrid Solar Plant (36 MW DC) &amp; Wind Plant (27.30 MW) @ GUJARAT</v>
      </c>
      <c r="C3" s="106"/>
      <c r="D3" s="106"/>
      <c r="E3" s="106"/>
      <c r="F3" s="106"/>
      <c r="G3" s="106"/>
      <c r="H3" s="106"/>
      <c r="I3" s="106"/>
      <c r="J3" s="106"/>
      <c r="K3" s="106"/>
      <c r="L3" s="106"/>
      <c r="M3" s="106"/>
      <c r="N3" s="106"/>
      <c r="O3" s="106"/>
      <c r="P3" s="106"/>
      <c r="Q3" s="106"/>
      <c r="R3" s="106"/>
      <c r="S3" s="106"/>
      <c r="T3" s="106"/>
      <c r="U3" s="106"/>
      <c r="V3" s="106"/>
      <c r="W3" s="106"/>
      <c r="X3" s="106"/>
      <c r="Y3" s="106"/>
      <c r="Z3" s="106"/>
      <c r="AA3" s="106"/>
      <c r="AB3" s="106"/>
      <c r="AC3" s="106"/>
      <c r="AD3" s="106"/>
      <c r="AE3" s="106"/>
    </row>
    <row r="4" spans="2:31" s="1" customFormat="1" ht="9" customHeight="1" x14ac:dyDescent="0.25">
      <c r="B4" s="2"/>
      <c r="C4" s="2"/>
      <c r="D4" s="2"/>
      <c r="E4" s="2"/>
      <c r="F4" s="2"/>
      <c r="G4" s="297"/>
    </row>
    <row r="5" spans="2:31" customFormat="1" ht="15.75" x14ac:dyDescent="0.25">
      <c r="B5" s="71" t="s">
        <v>315</v>
      </c>
      <c r="C5" s="71"/>
      <c r="D5" s="72"/>
      <c r="E5" s="72"/>
      <c r="F5" s="72"/>
      <c r="G5" s="72"/>
      <c r="H5" s="72"/>
      <c r="I5" s="72"/>
      <c r="J5" s="72"/>
      <c r="K5" s="72"/>
      <c r="L5" s="72"/>
      <c r="M5" s="72"/>
      <c r="N5" s="72"/>
      <c r="O5" s="72"/>
      <c r="P5" s="72"/>
      <c r="Q5" s="72"/>
      <c r="R5" s="72"/>
      <c r="S5" s="72"/>
      <c r="T5" s="72"/>
      <c r="U5" s="72"/>
      <c r="V5" s="72"/>
      <c r="W5" s="72"/>
      <c r="X5" s="72"/>
      <c r="Y5" s="72"/>
      <c r="Z5" s="72"/>
      <c r="AA5" s="72"/>
      <c r="AB5" s="72"/>
      <c r="AC5" s="72"/>
      <c r="AD5" s="72"/>
      <c r="AE5" s="72"/>
    </row>
    <row r="6" spans="2:31" customFormat="1" x14ac:dyDescent="0.25">
      <c r="B6" s="298" t="s">
        <v>327</v>
      </c>
      <c r="C6" s="68"/>
      <c r="D6" s="68"/>
      <c r="E6" s="31"/>
      <c r="F6" s="24"/>
      <c r="G6" s="24"/>
      <c r="H6" s="24"/>
      <c r="I6" s="24"/>
      <c r="J6" s="24"/>
      <c r="K6" s="24"/>
      <c r="L6" s="24"/>
      <c r="M6" s="24"/>
      <c r="N6" s="24"/>
      <c r="O6" s="24"/>
      <c r="P6" s="24"/>
      <c r="Q6" s="24"/>
      <c r="R6" s="24"/>
      <c r="S6" s="24"/>
      <c r="T6" s="24"/>
      <c r="U6" s="24"/>
      <c r="V6" s="24"/>
      <c r="W6" s="24"/>
      <c r="X6" s="24"/>
      <c r="Y6" s="24"/>
      <c r="Z6" s="24"/>
      <c r="AA6" s="24"/>
      <c r="AB6" s="24"/>
      <c r="AC6" s="24"/>
      <c r="AD6" s="24"/>
      <c r="AE6" s="24"/>
    </row>
    <row r="7" spans="2:31" s="31" customFormat="1" ht="15.75" x14ac:dyDescent="0.25">
      <c r="C7" s="68"/>
      <c r="D7" s="357" t="s">
        <v>25</v>
      </c>
      <c r="E7" s="357"/>
      <c r="F7" s="358" t="s">
        <v>91</v>
      </c>
      <c r="G7" s="358"/>
      <c r="H7" s="358"/>
      <c r="I7" s="358"/>
      <c r="J7" s="358"/>
      <c r="K7" s="358"/>
      <c r="L7" s="358"/>
      <c r="M7" s="358"/>
      <c r="N7" s="358"/>
      <c r="O7" s="358"/>
      <c r="P7" s="358"/>
      <c r="Q7" s="358"/>
      <c r="R7" s="358"/>
      <c r="S7" s="358"/>
      <c r="T7" s="358"/>
      <c r="U7" s="358"/>
      <c r="V7" s="358"/>
      <c r="W7" s="358"/>
      <c r="X7" s="358"/>
      <c r="Y7" s="358"/>
      <c r="Z7" s="358"/>
      <c r="AA7" s="358"/>
      <c r="AB7" s="358"/>
      <c r="AC7" s="358"/>
      <c r="AD7" s="358"/>
      <c r="AE7" s="358"/>
    </row>
    <row r="8" spans="2:31" s="31" customFormat="1" x14ac:dyDescent="0.25">
      <c r="B8" s="73" t="s">
        <v>92</v>
      </c>
      <c r="C8" s="74" t="s">
        <v>93</v>
      </c>
      <c r="D8" s="75">
        <f>'Revenue &amp; Expenses Modeling'!D8</f>
        <v>45747</v>
      </c>
      <c r="E8" s="75">
        <f>'Revenue &amp; Expenses Modeling'!E8</f>
        <v>46112</v>
      </c>
      <c r="F8" s="75">
        <f>DATE(YEAR(E8)+1,MONTH(E8),DAY(E8))</f>
        <v>46477</v>
      </c>
      <c r="G8" s="75">
        <f>DATE(YEAR(F8)+1,MONTH(F8),DAY(F8))</f>
        <v>46843</v>
      </c>
      <c r="H8" s="75">
        <f t="shared" ref="H8:AE8" si="0">DATE(YEAR(G8)+1,MONTH(G8),DAY(G8))</f>
        <v>47208</v>
      </c>
      <c r="I8" s="75">
        <f t="shared" si="0"/>
        <v>47573</v>
      </c>
      <c r="J8" s="75">
        <f t="shared" si="0"/>
        <v>47938</v>
      </c>
      <c r="K8" s="75">
        <f t="shared" si="0"/>
        <v>48304</v>
      </c>
      <c r="L8" s="75">
        <f t="shared" si="0"/>
        <v>48669</v>
      </c>
      <c r="M8" s="75">
        <f t="shared" si="0"/>
        <v>49034</v>
      </c>
      <c r="N8" s="75">
        <f t="shared" si="0"/>
        <v>49399</v>
      </c>
      <c r="O8" s="75">
        <f t="shared" si="0"/>
        <v>49765</v>
      </c>
      <c r="P8" s="75">
        <f t="shared" si="0"/>
        <v>50130</v>
      </c>
      <c r="Q8" s="75">
        <f t="shared" si="0"/>
        <v>50495</v>
      </c>
      <c r="R8" s="75">
        <f t="shared" si="0"/>
        <v>50860</v>
      </c>
      <c r="S8" s="75">
        <f t="shared" si="0"/>
        <v>51226</v>
      </c>
      <c r="T8" s="75">
        <f t="shared" si="0"/>
        <v>51591</v>
      </c>
      <c r="U8" s="75">
        <f t="shared" si="0"/>
        <v>51956</v>
      </c>
      <c r="V8" s="75">
        <f t="shared" si="0"/>
        <v>52321</v>
      </c>
      <c r="W8" s="75">
        <f t="shared" si="0"/>
        <v>52687</v>
      </c>
      <c r="X8" s="75">
        <f t="shared" si="0"/>
        <v>53052</v>
      </c>
      <c r="Y8" s="75">
        <f t="shared" si="0"/>
        <v>53417</v>
      </c>
      <c r="Z8" s="75">
        <f t="shared" si="0"/>
        <v>53782</v>
      </c>
      <c r="AA8" s="75">
        <f t="shared" si="0"/>
        <v>54148</v>
      </c>
      <c r="AB8" s="75">
        <f t="shared" si="0"/>
        <v>54513</v>
      </c>
      <c r="AC8" s="75">
        <f t="shared" si="0"/>
        <v>54878</v>
      </c>
      <c r="AD8" s="75">
        <f t="shared" si="0"/>
        <v>55243</v>
      </c>
      <c r="AE8" s="75">
        <f t="shared" si="0"/>
        <v>55609</v>
      </c>
    </row>
    <row r="9" spans="2:31" s="80" customFormat="1" ht="12.75" x14ac:dyDescent="0.25">
      <c r="B9" s="76" t="s">
        <v>94</v>
      </c>
      <c r="C9" s="77"/>
      <c r="D9" s="78">
        <v>0</v>
      </c>
      <c r="E9" s="78">
        <v>0</v>
      </c>
      <c r="F9" s="79">
        <v>1</v>
      </c>
      <c r="G9" s="79">
        <f>F9+1</f>
        <v>2</v>
      </c>
      <c r="H9" s="79">
        <f t="shared" ref="H9:AE9" si="1">G9+1</f>
        <v>3</v>
      </c>
      <c r="I9" s="79">
        <f t="shared" si="1"/>
        <v>4</v>
      </c>
      <c r="J9" s="79">
        <f t="shared" si="1"/>
        <v>5</v>
      </c>
      <c r="K9" s="79">
        <f t="shared" si="1"/>
        <v>6</v>
      </c>
      <c r="L9" s="79">
        <f t="shared" si="1"/>
        <v>7</v>
      </c>
      <c r="M9" s="79">
        <f t="shared" si="1"/>
        <v>8</v>
      </c>
      <c r="N9" s="79">
        <f t="shared" si="1"/>
        <v>9</v>
      </c>
      <c r="O9" s="79">
        <f t="shared" si="1"/>
        <v>10</v>
      </c>
      <c r="P9" s="79">
        <f t="shared" si="1"/>
        <v>11</v>
      </c>
      <c r="Q9" s="79">
        <f t="shared" si="1"/>
        <v>12</v>
      </c>
      <c r="R9" s="79">
        <f t="shared" si="1"/>
        <v>13</v>
      </c>
      <c r="S9" s="79">
        <f t="shared" si="1"/>
        <v>14</v>
      </c>
      <c r="T9" s="79">
        <f t="shared" si="1"/>
        <v>15</v>
      </c>
      <c r="U9" s="79">
        <f t="shared" si="1"/>
        <v>16</v>
      </c>
      <c r="V9" s="79">
        <f t="shared" si="1"/>
        <v>17</v>
      </c>
      <c r="W9" s="79">
        <f t="shared" si="1"/>
        <v>18</v>
      </c>
      <c r="X9" s="79">
        <f t="shared" si="1"/>
        <v>19</v>
      </c>
      <c r="Y9" s="79">
        <f t="shared" si="1"/>
        <v>20</v>
      </c>
      <c r="Z9" s="79">
        <f t="shared" si="1"/>
        <v>21</v>
      </c>
      <c r="AA9" s="79">
        <f t="shared" si="1"/>
        <v>22</v>
      </c>
      <c r="AB9" s="79">
        <f t="shared" si="1"/>
        <v>23</v>
      </c>
      <c r="AC9" s="79">
        <f t="shared" si="1"/>
        <v>24</v>
      </c>
      <c r="AD9" s="79">
        <f t="shared" si="1"/>
        <v>25</v>
      </c>
      <c r="AE9" s="79">
        <f t="shared" si="1"/>
        <v>26</v>
      </c>
    </row>
    <row r="10" spans="2:31" s="80" customFormat="1" ht="12.75" x14ac:dyDescent="0.25">
      <c r="B10" s="76" t="s">
        <v>95</v>
      </c>
      <c r="C10" s="77">
        <v>13</v>
      </c>
      <c r="D10" s="78">
        <f>C10-E10</f>
        <v>1</v>
      </c>
      <c r="E10" s="78">
        <f>MONTH(E8-D8)</f>
        <v>12</v>
      </c>
      <c r="F10" s="77">
        <f>MONTH(F8-E8)</f>
        <v>12</v>
      </c>
      <c r="G10" s="77">
        <f t="shared" ref="G10:AE10" si="2">MONTH(G8-F8)</f>
        <v>12</v>
      </c>
      <c r="H10" s="77">
        <f t="shared" si="2"/>
        <v>12</v>
      </c>
      <c r="I10" s="77">
        <f t="shared" si="2"/>
        <v>12</v>
      </c>
      <c r="J10" s="77">
        <f t="shared" si="2"/>
        <v>12</v>
      </c>
      <c r="K10" s="77">
        <f t="shared" si="2"/>
        <v>12</v>
      </c>
      <c r="L10" s="77">
        <f t="shared" si="2"/>
        <v>12</v>
      </c>
      <c r="M10" s="77">
        <f t="shared" si="2"/>
        <v>12</v>
      </c>
      <c r="N10" s="77">
        <f t="shared" si="2"/>
        <v>12</v>
      </c>
      <c r="O10" s="77">
        <f t="shared" si="2"/>
        <v>12</v>
      </c>
      <c r="P10" s="77">
        <f t="shared" si="2"/>
        <v>12</v>
      </c>
      <c r="Q10" s="77">
        <f t="shared" si="2"/>
        <v>12</v>
      </c>
      <c r="R10" s="77">
        <f t="shared" si="2"/>
        <v>12</v>
      </c>
      <c r="S10" s="77">
        <f t="shared" si="2"/>
        <v>12</v>
      </c>
      <c r="T10" s="77">
        <f t="shared" si="2"/>
        <v>12</v>
      </c>
      <c r="U10" s="77">
        <f t="shared" si="2"/>
        <v>12</v>
      </c>
      <c r="V10" s="77">
        <f t="shared" si="2"/>
        <v>12</v>
      </c>
      <c r="W10" s="77">
        <f t="shared" si="2"/>
        <v>12</v>
      </c>
      <c r="X10" s="77">
        <f t="shared" si="2"/>
        <v>12</v>
      </c>
      <c r="Y10" s="77">
        <f t="shared" si="2"/>
        <v>12</v>
      </c>
      <c r="Z10" s="77">
        <f t="shared" si="2"/>
        <v>12</v>
      </c>
      <c r="AA10" s="77">
        <f t="shared" si="2"/>
        <v>12</v>
      </c>
      <c r="AB10" s="77">
        <f t="shared" si="2"/>
        <v>12</v>
      </c>
      <c r="AC10" s="77">
        <f t="shared" si="2"/>
        <v>12</v>
      </c>
      <c r="AD10" s="77">
        <f t="shared" si="2"/>
        <v>12</v>
      </c>
      <c r="AE10" s="77">
        <f t="shared" si="2"/>
        <v>12</v>
      </c>
    </row>
    <row r="11" spans="2:31" ht="15" customHeight="1" x14ac:dyDescent="0.25"/>
    <row r="12" spans="2:31" ht="15" customHeight="1" x14ac:dyDescent="0.25">
      <c r="B12" s="31" t="s">
        <v>290</v>
      </c>
      <c r="C12" s="31"/>
      <c r="D12" s="31"/>
      <c r="E12" s="31"/>
      <c r="F12" s="86">
        <f ca="1">IS!F30</f>
        <v>64.095363577598249</v>
      </c>
      <c r="G12" s="86">
        <f ca="1">IS!G30</f>
        <v>64.931102069008404</v>
      </c>
      <c r="H12" s="86">
        <f ca="1">IS!H30</f>
        <v>63.208099757414303</v>
      </c>
      <c r="I12" s="86">
        <f ca="1">IS!I30</f>
        <v>65.048820285253015</v>
      </c>
      <c r="J12" s="86">
        <f ca="1">IS!J30</f>
        <v>66.931173195421579</v>
      </c>
      <c r="K12" s="86">
        <f ca="1">IS!K30</f>
        <v>69.022875959161894</v>
      </c>
      <c r="L12" s="86">
        <f ca="1">IS!L30</f>
        <v>70.621566714077233</v>
      </c>
      <c r="M12" s="86">
        <f ca="1">IS!M30</f>
        <v>72.425003468739277</v>
      </c>
      <c r="N12" s="86">
        <f ca="1">IS!N30</f>
        <v>74.275243126445929</v>
      </c>
      <c r="O12" s="86">
        <f ca="1">IS!O30</f>
        <v>76.330151648687774</v>
      </c>
      <c r="P12" s="86">
        <f ca="1">IS!P30</f>
        <v>75.491584165542264</v>
      </c>
      <c r="Q12" s="86">
        <f ca="1">IS!Q30</f>
        <v>69.21610042113096</v>
      </c>
      <c r="R12" s="86">
        <f ca="1">IS!R30</f>
        <v>70.262330733536345</v>
      </c>
      <c r="S12" s="86">
        <f ca="1">IS!S30</f>
        <v>71.553837681739594</v>
      </c>
      <c r="T12" s="86">
        <f ca="1">IS!T30</f>
        <v>72.478973298088277</v>
      </c>
      <c r="U12" s="86">
        <f ca="1">IS!U30</f>
        <v>73.624569366277768</v>
      </c>
      <c r="V12" s="86">
        <f ca="1">IS!V30</f>
        <v>74.867235154088377</v>
      </c>
      <c r="W12" s="86">
        <f ca="1">IS!W30</f>
        <v>76.309516067784315</v>
      </c>
      <c r="X12" s="86">
        <f ca="1">IS!X30</f>
        <v>77.359509138488889</v>
      </c>
      <c r="Y12" s="86">
        <f ca="1">IS!Y30</f>
        <v>78.592729479936025</v>
      </c>
      <c r="Z12" s="86">
        <f ca="1">IS!Z30</f>
        <v>79.907222495276173</v>
      </c>
      <c r="AA12" s="86">
        <f ca="1">IS!AA30</f>
        <v>80.708355321338956</v>
      </c>
      <c r="AB12" s="86">
        <f ca="1">IS!AB30</f>
        <v>80.418989741502543</v>
      </c>
      <c r="AC12" s="86">
        <f ca="1">IS!AC30</f>
        <v>80.287783291330271</v>
      </c>
      <c r="AD12" s="86">
        <f ca="1">IS!AD30</f>
        <v>80.233168723186509</v>
      </c>
      <c r="AE12" s="86">
        <f ca="1">IS!AE30</f>
        <v>80.327936991887782</v>
      </c>
    </row>
    <row r="13" spans="2:31" ht="15" customHeight="1" x14ac:dyDescent="0.25">
      <c r="B13" s="31" t="s">
        <v>144</v>
      </c>
      <c r="C13" s="31"/>
      <c r="D13" s="31"/>
      <c r="E13" s="31"/>
      <c r="F13" s="86">
        <f ca="1">IS!F22</f>
        <v>38.602848945502302</v>
      </c>
      <c r="G13" s="86">
        <f ca="1">IS!G22</f>
        <v>37.637777721864737</v>
      </c>
      <c r="H13" s="86">
        <f ca="1">IS!H22</f>
        <v>35.707635274589627</v>
      </c>
      <c r="I13" s="86">
        <f ca="1">IS!I22</f>
        <v>33.777492827314518</v>
      </c>
      <c r="J13" s="86">
        <f ca="1">IS!J22</f>
        <v>31.847350380039401</v>
      </c>
      <c r="K13" s="86">
        <f ca="1">IS!K22</f>
        <v>29.917207932764285</v>
      </c>
      <c r="L13" s="86">
        <f ca="1">IS!L22</f>
        <v>27.987065485489179</v>
      </c>
      <c r="M13" s="86">
        <f ca="1">IS!M22</f>
        <v>26.056923038214055</v>
      </c>
      <c r="N13" s="86">
        <f ca="1">IS!N22</f>
        <v>24.126780590938946</v>
      </c>
      <c r="O13" s="86">
        <f ca="1">IS!O22</f>
        <v>22.196638143663833</v>
      </c>
      <c r="P13" s="86">
        <f ca="1">IS!P22</f>
        <v>20.266495696388716</v>
      </c>
      <c r="Q13" s="86">
        <f ca="1">IS!Q22</f>
        <v>18.336353249113607</v>
      </c>
      <c r="R13" s="86">
        <f ca="1">IS!R22</f>
        <v>16.40621080183849</v>
      </c>
      <c r="S13" s="86">
        <f ca="1">IS!S22</f>
        <v>14.476068354563379</v>
      </c>
      <c r="T13" s="86">
        <f ca="1">IS!T22</f>
        <v>12.545925907288265</v>
      </c>
      <c r="U13" s="86">
        <f ca="1">IS!U22</f>
        <v>10.615783460013152</v>
      </c>
      <c r="V13" s="86">
        <f ca="1">IS!V22</f>
        <v>8.685641012738035</v>
      </c>
      <c r="W13" s="86">
        <f ca="1">IS!W22</f>
        <v>6.755498565462922</v>
      </c>
      <c r="X13" s="86">
        <f ca="1">IS!X22</f>
        <v>4.8253561181878082</v>
      </c>
      <c r="Y13" s="86">
        <f ca="1">IS!Y22</f>
        <v>2.8952136709126952</v>
      </c>
      <c r="Z13" s="86">
        <f ca="1">IS!Z22</f>
        <v>0.96507122363758158</v>
      </c>
      <c r="AA13" s="86">
        <f>IS!AA22</f>
        <v>0</v>
      </c>
      <c r="AB13" s="86">
        <f>IS!AB22</f>
        <v>0</v>
      </c>
      <c r="AC13" s="86">
        <f>IS!AC22</f>
        <v>0</v>
      </c>
      <c r="AD13" s="86">
        <f>IS!AD22</f>
        <v>0</v>
      </c>
      <c r="AE13" s="86">
        <f>IS!AE22</f>
        <v>0</v>
      </c>
    </row>
    <row r="14" spans="2:31" ht="15" customHeight="1" x14ac:dyDescent="0.25">
      <c r="B14" s="63" t="s">
        <v>291</v>
      </c>
      <c r="C14" s="63"/>
      <c r="D14" s="63"/>
      <c r="E14" s="63"/>
      <c r="F14" s="132">
        <f ca="1">SUM(F12:F13)</f>
        <v>102.69821252310055</v>
      </c>
      <c r="G14" s="132">
        <f t="shared" ref="G14:AE14" ca="1" si="3">SUM(G12:G13)</f>
        <v>102.56887979087314</v>
      </c>
      <c r="H14" s="132">
        <f t="shared" ca="1" si="3"/>
        <v>98.915735032003937</v>
      </c>
      <c r="I14" s="132">
        <f t="shared" ca="1" si="3"/>
        <v>98.826313112567533</v>
      </c>
      <c r="J14" s="132">
        <f t="shared" ca="1" si="3"/>
        <v>98.77852357546098</v>
      </c>
      <c r="K14" s="132">
        <f t="shared" ca="1" si="3"/>
        <v>98.940083891926179</v>
      </c>
      <c r="L14" s="132">
        <f t="shared" ca="1" si="3"/>
        <v>98.608632199566415</v>
      </c>
      <c r="M14" s="132">
        <f t="shared" ca="1" si="3"/>
        <v>98.481926506953329</v>
      </c>
      <c r="N14" s="132">
        <f t="shared" ca="1" si="3"/>
        <v>98.402023717384878</v>
      </c>
      <c r="O14" s="132">
        <f t="shared" ca="1" si="3"/>
        <v>98.526789792351607</v>
      </c>
      <c r="P14" s="132">
        <f t="shared" ca="1" si="3"/>
        <v>95.75807986193098</v>
      </c>
      <c r="Q14" s="132">
        <f t="shared" ca="1" si="3"/>
        <v>87.552453670244574</v>
      </c>
      <c r="R14" s="132">
        <f t="shared" ca="1" si="3"/>
        <v>86.668541535374828</v>
      </c>
      <c r="S14" s="132">
        <f t="shared" ca="1" si="3"/>
        <v>86.029906036302975</v>
      </c>
      <c r="T14" s="132">
        <f t="shared" ca="1" si="3"/>
        <v>85.024899205376542</v>
      </c>
      <c r="U14" s="132">
        <f t="shared" ca="1" si="3"/>
        <v>84.240352826290916</v>
      </c>
      <c r="V14" s="132">
        <f t="shared" ca="1" si="3"/>
        <v>83.552876166826408</v>
      </c>
      <c r="W14" s="132">
        <f t="shared" ca="1" si="3"/>
        <v>83.065014633247245</v>
      </c>
      <c r="X14" s="132">
        <f t="shared" ca="1" si="3"/>
        <v>82.184865256676702</v>
      </c>
      <c r="Y14" s="132">
        <f t="shared" ca="1" si="3"/>
        <v>81.487943150848722</v>
      </c>
      <c r="Z14" s="132">
        <f t="shared" ca="1" si="3"/>
        <v>80.872293718913753</v>
      </c>
      <c r="AA14" s="132">
        <f t="shared" ca="1" si="3"/>
        <v>80.708355321338956</v>
      </c>
      <c r="AB14" s="132">
        <f t="shared" ca="1" si="3"/>
        <v>80.418989741502543</v>
      </c>
      <c r="AC14" s="132">
        <f t="shared" ca="1" si="3"/>
        <v>80.287783291330271</v>
      </c>
      <c r="AD14" s="132">
        <f t="shared" ca="1" si="3"/>
        <v>80.233168723186509</v>
      </c>
      <c r="AE14" s="132">
        <f t="shared" ca="1" si="3"/>
        <v>80.327936991887782</v>
      </c>
    </row>
    <row r="15" spans="2:31" ht="15" customHeight="1" x14ac:dyDescent="0.25">
      <c r="B15" s="31" t="s">
        <v>144</v>
      </c>
      <c r="C15" s="31"/>
      <c r="D15" s="31"/>
      <c r="E15" s="31"/>
      <c r="F15" s="86">
        <f ca="1">F13</f>
        <v>38.602848945502302</v>
      </c>
      <c r="G15" s="86">
        <f t="shared" ref="G15:AE15" ca="1" si="4">G13</f>
        <v>37.637777721864737</v>
      </c>
      <c r="H15" s="86">
        <f t="shared" ca="1" si="4"/>
        <v>35.707635274589627</v>
      </c>
      <c r="I15" s="86">
        <f t="shared" ca="1" si="4"/>
        <v>33.777492827314518</v>
      </c>
      <c r="J15" s="86">
        <f t="shared" ca="1" si="4"/>
        <v>31.847350380039401</v>
      </c>
      <c r="K15" s="86">
        <f t="shared" ca="1" si="4"/>
        <v>29.917207932764285</v>
      </c>
      <c r="L15" s="86">
        <f t="shared" ca="1" si="4"/>
        <v>27.987065485489179</v>
      </c>
      <c r="M15" s="86">
        <f t="shared" ca="1" si="4"/>
        <v>26.056923038214055</v>
      </c>
      <c r="N15" s="86">
        <f t="shared" ca="1" si="4"/>
        <v>24.126780590938946</v>
      </c>
      <c r="O15" s="86">
        <f t="shared" ca="1" si="4"/>
        <v>22.196638143663833</v>
      </c>
      <c r="P15" s="86">
        <f t="shared" ca="1" si="4"/>
        <v>20.266495696388716</v>
      </c>
      <c r="Q15" s="86">
        <f t="shared" ca="1" si="4"/>
        <v>18.336353249113607</v>
      </c>
      <c r="R15" s="86">
        <f t="shared" ca="1" si="4"/>
        <v>16.40621080183849</v>
      </c>
      <c r="S15" s="86">
        <f t="shared" ca="1" si="4"/>
        <v>14.476068354563379</v>
      </c>
      <c r="T15" s="86">
        <f t="shared" ca="1" si="4"/>
        <v>12.545925907288265</v>
      </c>
      <c r="U15" s="86">
        <f t="shared" ca="1" si="4"/>
        <v>10.615783460013152</v>
      </c>
      <c r="V15" s="86">
        <f t="shared" ca="1" si="4"/>
        <v>8.685641012738035</v>
      </c>
      <c r="W15" s="86">
        <f t="shared" ca="1" si="4"/>
        <v>6.755498565462922</v>
      </c>
      <c r="X15" s="86">
        <f t="shared" ca="1" si="4"/>
        <v>4.8253561181878082</v>
      </c>
      <c r="Y15" s="86">
        <f t="shared" ca="1" si="4"/>
        <v>2.8952136709126952</v>
      </c>
      <c r="Z15" s="86">
        <f t="shared" ca="1" si="4"/>
        <v>0.96507122363758158</v>
      </c>
      <c r="AA15" s="86">
        <f t="shared" si="4"/>
        <v>0</v>
      </c>
      <c r="AB15" s="86">
        <f t="shared" si="4"/>
        <v>0</v>
      </c>
      <c r="AC15" s="86">
        <f t="shared" si="4"/>
        <v>0</v>
      </c>
      <c r="AD15" s="86">
        <f t="shared" si="4"/>
        <v>0</v>
      </c>
      <c r="AE15" s="86">
        <f t="shared" si="4"/>
        <v>0</v>
      </c>
    </row>
    <row r="16" spans="2:31" ht="15" customHeight="1" x14ac:dyDescent="0.25">
      <c r="B16" s="31" t="s">
        <v>292</v>
      </c>
      <c r="C16" s="31"/>
      <c r="D16" s="31"/>
      <c r="E16" s="31"/>
      <c r="F16" s="86">
        <f ca="1">CFS!F22</f>
        <v>0</v>
      </c>
      <c r="G16" s="86">
        <f ca="1">CFS!G22</f>
        <v>17.546749520682859</v>
      </c>
      <c r="H16" s="86">
        <f ca="1">CFS!H22</f>
        <v>17.546749520682859</v>
      </c>
      <c r="I16" s="86">
        <f ca="1">CFS!I22</f>
        <v>17.546749520682859</v>
      </c>
      <c r="J16" s="86">
        <f ca="1">CFS!J22</f>
        <v>17.546749520682859</v>
      </c>
      <c r="K16" s="86">
        <f ca="1">CFS!K22</f>
        <v>17.546749520682859</v>
      </c>
      <c r="L16" s="86">
        <f ca="1">CFS!L22</f>
        <v>17.546749520682859</v>
      </c>
      <c r="M16" s="86">
        <f ca="1">CFS!M22</f>
        <v>17.546749520682859</v>
      </c>
      <c r="N16" s="86">
        <f ca="1">CFS!N22</f>
        <v>17.546749520682859</v>
      </c>
      <c r="O16" s="86">
        <f ca="1">CFS!O22</f>
        <v>17.546749520682859</v>
      </c>
      <c r="P16" s="86">
        <f ca="1">CFS!P22</f>
        <v>17.546749520682859</v>
      </c>
      <c r="Q16" s="86">
        <f ca="1">CFS!Q22</f>
        <v>17.546749520682859</v>
      </c>
      <c r="R16" s="86">
        <f ca="1">CFS!R22</f>
        <v>17.546749520682859</v>
      </c>
      <c r="S16" s="86">
        <f ca="1">CFS!S22</f>
        <v>17.546749520682859</v>
      </c>
      <c r="T16" s="86">
        <f ca="1">CFS!T22</f>
        <v>17.546749520682859</v>
      </c>
      <c r="U16" s="86">
        <f ca="1">CFS!U22</f>
        <v>17.546749520682859</v>
      </c>
      <c r="V16" s="86">
        <f ca="1">CFS!V22</f>
        <v>17.546749520682859</v>
      </c>
      <c r="W16" s="86">
        <f ca="1">CFS!W22</f>
        <v>17.546749520682859</v>
      </c>
      <c r="X16" s="86">
        <f ca="1">CFS!X22</f>
        <v>17.546749520682859</v>
      </c>
      <c r="Y16" s="86">
        <f ca="1">CFS!Y22</f>
        <v>17.546749520682859</v>
      </c>
      <c r="Z16" s="86">
        <f ca="1">CFS!Z22</f>
        <v>17.546749520682859</v>
      </c>
      <c r="AA16" s="86">
        <f>CFS!AA22</f>
        <v>0</v>
      </c>
      <c r="AB16" s="86">
        <f>CFS!AB22</f>
        <v>0</v>
      </c>
      <c r="AC16" s="86">
        <f>CFS!AC22</f>
        <v>0</v>
      </c>
      <c r="AD16" s="86">
        <f>CFS!AD22</f>
        <v>0</v>
      </c>
      <c r="AE16" s="86">
        <f>CFS!AE22</f>
        <v>0</v>
      </c>
    </row>
    <row r="17" spans="2:31" ht="15" customHeight="1" x14ac:dyDescent="0.25">
      <c r="B17" s="63" t="s">
        <v>291</v>
      </c>
      <c r="C17" s="63"/>
      <c r="D17" s="63"/>
      <c r="E17" s="63"/>
      <c r="F17" s="132">
        <f ca="1">SUM(F15:F16)</f>
        <v>38.602848945502302</v>
      </c>
      <c r="G17" s="132">
        <f t="shared" ref="G17:AE17" ca="1" si="5">SUM(G15:G16)</f>
        <v>55.184527242547595</v>
      </c>
      <c r="H17" s="132">
        <f t="shared" ca="1" si="5"/>
        <v>53.254384795272486</v>
      </c>
      <c r="I17" s="132">
        <f t="shared" ca="1" si="5"/>
        <v>51.324242347997377</v>
      </c>
      <c r="J17" s="132">
        <f t="shared" ca="1" si="5"/>
        <v>49.39409990072226</v>
      </c>
      <c r="K17" s="132">
        <f t="shared" ca="1" si="5"/>
        <v>47.463957453447144</v>
      </c>
      <c r="L17" s="132">
        <f t="shared" ca="1" si="5"/>
        <v>45.533815006172034</v>
      </c>
      <c r="M17" s="132">
        <f t="shared" ca="1" si="5"/>
        <v>43.603672558896918</v>
      </c>
      <c r="N17" s="132">
        <f t="shared" ca="1" si="5"/>
        <v>41.673530111621801</v>
      </c>
      <c r="O17" s="132">
        <f t="shared" ca="1" si="5"/>
        <v>39.743387664346692</v>
      </c>
      <c r="P17" s="132">
        <f t="shared" ca="1" si="5"/>
        <v>37.813245217071575</v>
      </c>
      <c r="Q17" s="132">
        <f t="shared" ca="1" si="5"/>
        <v>35.883102769796466</v>
      </c>
      <c r="R17" s="132">
        <f t="shared" ca="1" si="5"/>
        <v>33.952960322521349</v>
      </c>
      <c r="S17" s="132">
        <f t="shared" ca="1" si="5"/>
        <v>32.02281787524624</v>
      </c>
      <c r="T17" s="132">
        <f t="shared" ca="1" si="5"/>
        <v>30.092675427971123</v>
      </c>
      <c r="U17" s="132">
        <f t="shared" ca="1" si="5"/>
        <v>28.16253298069601</v>
      </c>
      <c r="V17" s="132">
        <f t="shared" ca="1" si="5"/>
        <v>26.232390533420894</v>
      </c>
      <c r="W17" s="132">
        <f t="shared" ca="1" si="5"/>
        <v>24.302248086145781</v>
      </c>
      <c r="X17" s="132">
        <f t="shared" ca="1" si="5"/>
        <v>22.372105638870668</v>
      </c>
      <c r="Y17" s="132">
        <f t="shared" ca="1" si="5"/>
        <v>20.441963191595555</v>
      </c>
      <c r="Z17" s="132">
        <f t="shared" ca="1" si="5"/>
        <v>18.511820744320442</v>
      </c>
      <c r="AA17" s="132">
        <f t="shared" si="5"/>
        <v>0</v>
      </c>
      <c r="AB17" s="132">
        <f t="shared" si="5"/>
        <v>0</v>
      </c>
      <c r="AC17" s="132">
        <f t="shared" si="5"/>
        <v>0</v>
      </c>
      <c r="AD17" s="132">
        <f t="shared" si="5"/>
        <v>0</v>
      </c>
      <c r="AE17" s="132">
        <f t="shared" si="5"/>
        <v>0</v>
      </c>
    </row>
    <row r="18" spans="2:31" ht="15" customHeight="1" x14ac:dyDescent="0.25">
      <c r="B18" s="31" t="s">
        <v>293</v>
      </c>
      <c r="C18" s="31"/>
      <c r="D18" s="31"/>
      <c r="E18" s="31"/>
      <c r="F18" s="86">
        <f ca="1">F14/F17</f>
        <v>2.6603790996898984</v>
      </c>
      <c r="G18" s="86">
        <f t="shared" ref="G18:Z18" ca="1" si="6">G14/G17</f>
        <v>1.8586528673166185</v>
      </c>
      <c r="H18" s="86">
        <f t="shared" ca="1" si="6"/>
        <v>1.8574195423018935</v>
      </c>
      <c r="I18" s="86">
        <f t="shared" ca="1" si="6"/>
        <v>1.9255289233981969</v>
      </c>
      <c r="J18" s="86">
        <f t="shared" ca="1" si="6"/>
        <v>1.999804101582922</v>
      </c>
      <c r="K18" s="86">
        <f t="shared" ca="1" si="6"/>
        <v>2.0845308566814524</v>
      </c>
      <c r="L18" s="86">
        <f t="shared" ca="1" si="6"/>
        <v>2.1656132302158335</v>
      </c>
      <c r="M18" s="86">
        <f t="shared" ca="1" si="6"/>
        <v>2.2585695361768106</v>
      </c>
      <c r="N18" s="86">
        <f t="shared" ca="1" si="6"/>
        <v>2.3612596162076223</v>
      </c>
      <c r="O18" s="86">
        <f t="shared" ca="1" si="6"/>
        <v>2.4790737675525025</v>
      </c>
      <c r="P18" s="86">
        <f t="shared" ca="1" si="6"/>
        <v>2.5323951782561895</v>
      </c>
      <c r="Q18" s="86">
        <f t="shared" ca="1" si="6"/>
        <v>2.4399354267641327</v>
      </c>
      <c r="R18" s="86">
        <f t="shared" ca="1" si="6"/>
        <v>2.5526063327646482</v>
      </c>
      <c r="S18" s="86">
        <f t="shared" ca="1" si="6"/>
        <v>2.6865189182118923</v>
      </c>
      <c r="T18" s="86">
        <f t="shared" ca="1" si="6"/>
        <v>2.8254350268353323</v>
      </c>
      <c r="U18" s="86">
        <f t="shared" ca="1" si="6"/>
        <v>2.9912207429648965</v>
      </c>
      <c r="V18" s="86">
        <f t="shared" ca="1" si="6"/>
        <v>3.1851033957571424</v>
      </c>
      <c r="W18" s="86">
        <f t="shared" ca="1" si="6"/>
        <v>3.4179971473750581</v>
      </c>
      <c r="X18" s="86">
        <f t="shared" ca="1" si="6"/>
        <v>3.6735418017105945</v>
      </c>
      <c r="Y18" s="86">
        <f t="shared" ca="1" si="6"/>
        <v>3.9863071069588569</v>
      </c>
      <c r="Z18" s="86">
        <f t="shared" ca="1" si="6"/>
        <v>4.3686839255790622</v>
      </c>
      <c r="AA18" s="86"/>
      <c r="AB18" s="86"/>
      <c r="AC18" s="86"/>
      <c r="AD18" s="86"/>
      <c r="AE18" s="86"/>
    </row>
    <row r="19" spans="2:31" ht="15" customHeight="1" x14ac:dyDescent="0.25">
      <c r="B19" s="73" t="s">
        <v>294</v>
      </c>
      <c r="C19" s="73"/>
      <c r="D19" s="73"/>
      <c r="E19" s="73"/>
      <c r="F19" s="363">
        <f ca="1">AVERAGE(F18:Z18)</f>
        <v>2.6814560259191218</v>
      </c>
      <c r="G19" s="363"/>
      <c r="H19" s="363"/>
      <c r="I19" s="363"/>
      <c r="J19" s="363"/>
      <c r="K19" s="363"/>
      <c r="L19" s="363"/>
      <c r="M19" s="363"/>
      <c r="N19" s="363"/>
      <c r="O19" s="363"/>
      <c r="P19" s="363"/>
      <c r="Q19" s="363"/>
      <c r="R19" s="363"/>
      <c r="S19" s="363"/>
      <c r="T19" s="363"/>
      <c r="U19" s="363"/>
      <c r="V19" s="363"/>
      <c r="W19" s="363"/>
      <c r="X19" s="363"/>
      <c r="Y19" s="363"/>
      <c r="Z19" s="363"/>
      <c r="AA19" s="86"/>
      <c r="AB19" s="86"/>
      <c r="AC19" s="86"/>
      <c r="AD19" s="86"/>
      <c r="AE19" s="86"/>
    </row>
    <row r="20" spans="2:31" ht="15" customHeight="1" x14ac:dyDescent="0.25">
      <c r="B20" s="73" t="s">
        <v>295</v>
      </c>
      <c r="C20" s="73"/>
      <c r="D20" s="73"/>
      <c r="E20" s="73"/>
      <c r="F20" s="363">
        <f ca="1">MAX(F18:Z18)</f>
        <v>4.3686839255790622</v>
      </c>
      <c r="G20" s="363"/>
      <c r="H20" s="363"/>
      <c r="I20" s="363"/>
      <c r="J20" s="363"/>
      <c r="K20" s="363"/>
      <c r="L20" s="363"/>
      <c r="M20" s="363"/>
      <c r="N20" s="363"/>
      <c r="O20" s="363"/>
      <c r="P20" s="363"/>
      <c r="Q20" s="363"/>
      <c r="R20" s="363"/>
      <c r="S20" s="363"/>
      <c r="T20" s="363"/>
      <c r="U20" s="363"/>
      <c r="V20" s="363"/>
      <c r="W20" s="363"/>
      <c r="X20" s="363"/>
      <c r="Y20" s="363"/>
      <c r="Z20" s="363"/>
      <c r="AA20" s="86"/>
      <c r="AB20" s="86"/>
      <c r="AC20" s="86"/>
      <c r="AD20" s="86"/>
      <c r="AE20" s="86"/>
    </row>
    <row r="21" spans="2:31" ht="15" customHeight="1" x14ac:dyDescent="0.25"/>
    <row r="22" spans="2:31" x14ac:dyDescent="0.25">
      <c r="B22" s="31" t="s">
        <v>142</v>
      </c>
      <c r="C22" s="31"/>
      <c r="D22" s="86">
        <f>IS!D20</f>
        <v>0</v>
      </c>
      <c r="E22" s="86">
        <f>IS!E20</f>
        <v>0</v>
      </c>
      <c r="F22" s="86">
        <f ca="1">IS!F20</f>
        <v>94.902323000547383</v>
      </c>
      <c r="G22" s="86">
        <f ca="1">IS!G20</f>
        <v>94.891388772955509</v>
      </c>
      <c r="H22" s="86">
        <f ca="1">IS!H20</f>
        <v>90.932002917042681</v>
      </c>
      <c r="I22" s="86">
        <f ca="1">IS!I20</f>
        <v>91.232279876318927</v>
      </c>
      <c r="J22" s="86">
        <f ca="1">IS!J20</f>
        <v>91.583003208135239</v>
      </c>
      <c r="K22" s="86">
        <f ca="1">IS!K20</f>
        <v>92.12886218150129</v>
      </c>
      <c r="L22" s="86">
        <f ca="1">IS!L20</f>
        <v>92.19440491529069</v>
      </c>
      <c r="M22" s="86">
        <f ca="1">IS!M20</f>
        <v>92.449504755072127</v>
      </c>
      <c r="N22" s="86">
        <f ca="1">IS!N20</f>
        <v>92.76131613886848</v>
      </c>
      <c r="O22" s="86">
        <f ca="1">IS!O20</f>
        <v>93.26259116315245</v>
      </c>
      <c r="P22" s="86">
        <f ca="1">IS!P20</f>
        <v>93.278547611973821</v>
      </c>
      <c r="Q22" s="86">
        <f ca="1">IS!Q20</f>
        <v>93.477503868396482</v>
      </c>
      <c r="R22" s="86">
        <f ca="1">IS!R20</f>
        <v>93.740176535724459</v>
      </c>
      <c r="S22" s="86">
        <f ca="1">IS!S20</f>
        <v>94.184849437138496</v>
      </c>
      <c r="T22" s="86">
        <f ca="1">IS!T20</f>
        <v>94.139878298624183</v>
      </c>
      <c r="U22" s="86">
        <f ca="1">IS!U20</f>
        <v>94.269412463432488</v>
      </c>
      <c r="V22" s="86">
        <f ca="1">IS!V20</f>
        <v>94.470479699778082</v>
      </c>
      <c r="W22" s="86">
        <f ca="1">IS!W20</f>
        <v>94.843982811291852</v>
      </c>
      <c r="X22" s="86">
        <f ca="1">IS!X20</f>
        <v>94.724278975117826</v>
      </c>
      <c r="Y22" s="86">
        <f ca="1">IS!Y20</f>
        <v>94.768314291418292</v>
      </c>
      <c r="Z22" s="86">
        <f ca="1">IS!Z20</f>
        <v>94.892586136024818</v>
      </c>
      <c r="AA22" s="86">
        <f ca="1">IS!AA20</f>
        <v>95.177265965471662</v>
      </c>
      <c r="AB22" s="86">
        <f ca="1">IS!AB20</f>
        <v>94.96602879789279</v>
      </c>
      <c r="AC22" s="86">
        <f ca="1">IS!AC20</f>
        <v>94.905101094279246</v>
      </c>
      <c r="AD22" s="86">
        <f ca="1">IS!AD20</f>
        <v>94.934076873962525</v>
      </c>
      <c r="AE22" s="86">
        <f ca="1">IS!AE20</f>
        <v>95.10854421128505</v>
      </c>
    </row>
    <row r="23" spans="2:31" x14ac:dyDescent="0.25">
      <c r="B23" s="31" t="s">
        <v>297</v>
      </c>
      <c r="C23" s="31"/>
      <c r="D23" s="86">
        <f>IS!D24</f>
        <v>0</v>
      </c>
      <c r="E23" s="86">
        <f>IS!E24</f>
        <v>0</v>
      </c>
      <c r="F23" s="86">
        <f ca="1">+F22*Assumptions!$D$77</f>
        <v>27.6355564577594</v>
      </c>
      <c r="G23" s="86">
        <f ca="1">+G22*Assumptions!$D$77</f>
        <v>27.632372410684646</v>
      </c>
      <c r="H23" s="86">
        <f ca="1">+H22*Assumptions!$D$77</f>
        <v>26.479399249442832</v>
      </c>
      <c r="I23" s="86">
        <f ca="1">+I22*Assumptions!$D$77</f>
        <v>26.566839899984071</v>
      </c>
      <c r="J23" s="86">
        <f ca="1">+J22*Assumptions!$D$77</f>
        <v>26.668970534208984</v>
      </c>
      <c r="K23" s="86">
        <f ca="1">+K22*Assumptions!$D$77</f>
        <v>26.827924667253178</v>
      </c>
      <c r="L23" s="86">
        <f ca="1">+L22*Assumptions!$D$77</f>
        <v>26.847010711332651</v>
      </c>
      <c r="M23" s="86">
        <f ca="1">+M22*Assumptions!$D$77</f>
        <v>26.921295784677003</v>
      </c>
      <c r="N23" s="86">
        <f ca="1">+N22*Assumptions!$D$77</f>
        <v>27.012095259638503</v>
      </c>
      <c r="O23" s="86">
        <f ca="1">+O22*Assumptions!$D$77</f>
        <v>27.158066546709996</v>
      </c>
      <c r="P23" s="86">
        <f ca="1">+P22*Assumptions!$D$77</f>
        <v>27.162713064606777</v>
      </c>
      <c r="Q23" s="86">
        <f ca="1">+Q22*Assumptions!$D$77</f>
        <v>27.220649126477056</v>
      </c>
      <c r="R23" s="86">
        <f ca="1">+R22*Assumptions!$D$77</f>
        <v>27.297139407202963</v>
      </c>
      <c r="S23" s="86">
        <f ca="1">+S22*Assumptions!$D$77</f>
        <v>27.426628156094733</v>
      </c>
      <c r="T23" s="86">
        <f ca="1">+T22*Assumptions!$D$77</f>
        <v>27.413532560559364</v>
      </c>
      <c r="U23" s="86">
        <f ca="1">+U22*Assumptions!$D$77</f>
        <v>27.451252909351542</v>
      </c>
      <c r="V23" s="86">
        <f ca="1">+V22*Assumptions!$D$77</f>
        <v>27.509803688575378</v>
      </c>
      <c r="W23" s="86">
        <f ca="1">+W22*Assumptions!$D$77</f>
        <v>27.61856779464819</v>
      </c>
      <c r="X23" s="86">
        <f ca="1">+X22*Assumptions!$D$77</f>
        <v>27.583710037554312</v>
      </c>
      <c r="Y23" s="86">
        <f ca="1">+Y22*Assumptions!$D$77</f>
        <v>27.596533121661007</v>
      </c>
      <c r="Z23" s="86">
        <f ca="1">+Z22*Assumptions!$D$77</f>
        <v>27.632721082810427</v>
      </c>
      <c r="AA23" s="86">
        <f ca="1">+AA22*Assumptions!$D$77</f>
        <v>27.715619849145348</v>
      </c>
      <c r="AB23" s="86">
        <f ca="1">+AB22*Assumptions!$D$77</f>
        <v>27.654107585946381</v>
      </c>
      <c r="AC23" s="86">
        <f ca="1">+AC22*Assumptions!$D$77</f>
        <v>27.636365438654117</v>
      </c>
      <c r="AD23" s="86">
        <f ca="1">+AD22*Assumptions!$D$77</f>
        <v>27.644803185697889</v>
      </c>
      <c r="AE23" s="86">
        <f ca="1">+AE22*Assumptions!$D$77</f>
        <v>27.695608074326209</v>
      </c>
    </row>
    <row r="24" spans="2:31" x14ac:dyDescent="0.25">
      <c r="B24" s="31" t="s">
        <v>298</v>
      </c>
      <c r="C24" s="31"/>
      <c r="D24" s="86">
        <f>IS!D18</f>
        <v>0</v>
      </c>
      <c r="E24" s="86">
        <f>IS!E18</f>
        <v>0</v>
      </c>
      <c r="F24" s="86">
        <f ca="1">IS!F18</f>
        <v>17.632533629450649</v>
      </c>
      <c r="G24" s="86">
        <f ca="1">IS!G18</f>
        <v>17.680841940764211</v>
      </c>
      <c r="H24" s="86">
        <f ca="1">IS!H18</f>
        <v>17.632533629450649</v>
      </c>
      <c r="I24" s="86">
        <f ca="1">IS!I18</f>
        <v>17.632533629450649</v>
      </c>
      <c r="J24" s="86">
        <f ca="1">IS!J18</f>
        <v>17.632533629450649</v>
      </c>
      <c r="K24" s="86">
        <f ca="1">IS!K18</f>
        <v>17.680841940764211</v>
      </c>
      <c r="L24" s="86">
        <f ca="1">IS!L18</f>
        <v>17.632533629450649</v>
      </c>
      <c r="M24" s="86">
        <f ca="1">IS!M18</f>
        <v>17.632533629450649</v>
      </c>
      <c r="N24" s="86">
        <f ca="1">IS!N18</f>
        <v>17.632533629450649</v>
      </c>
      <c r="O24" s="86">
        <f ca="1">IS!O18</f>
        <v>17.680841940764211</v>
      </c>
      <c r="P24" s="86">
        <f ca="1">IS!P18</f>
        <v>17.632533629450649</v>
      </c>
      <c r="Q24" s="86">
        <f ca="1">IS!Q18</f>
        <v>17.632533629450649</v>
      </c>
      <c r="R24" s="86">
        <f ca="1">IS!R18</f>
        <v>17.632533629450649</v>
      </c>
      <c r="S24" s="86">
        <f ca="1">IS!S18</f>
        <v>17.680841940764211</v>
      </c>
      <c r="T24" s="86">
        <f ca="1">IS!T18</f>
        <v>17.632533629450649</v>
      </c>
      <c r="U24" s="86">
        <f ca="1">IS!U18</f>
        <v>17.632533629450649</v>
      </c>
      <c r="V24" s="86">
        <f ca="1">IS!V18</f>
        <v>17.632533629450649</v>
      </c>
      <c r="W24" s="86">
        <f ca="1">IS!W18</f>
        <v>17.680841940764211</v>
      </c>
      <c r="X24" s="86">
        <f ca="1">IS!X18</f>
        <v>17.632533629450649</v>
      </c>
      <c r="Y24" s="86">
        <f ca="1">IS!Y18</f>
        <v>17.632533629450649</v>
      </c>
      <c r="Z24" s="86">
        <f ca="1">IS!Z18</f>
        <v>17.632533629450649</v>
      </c>
      <c r="AA24" s="86">
        <f ca="1">IS!AA18</f>
        <v>17.680841940764211</v>
      </c>
      <c r="AB24" s="86">
        <f ca="1">IS!AB18</f>
        <v>17.632533629450649</v>
      </c>
      <c r="AC24" s="86">
        <f ca="1">IS!AC18</f>
        <v>17.632533629450649</v>
      </c>
      <c r="AD24" s="86">
        <f ca="1">IS!AD18</f>
        <v>17.632533629450649</v>
      </c>
      <c r="AE24" s="86">
        <f ca="1">IS!AE18</f>
        <v>17.680841940764211</v>
      </c>
    </row>
    <row r="25" spans="2:31" x14ac:dyDescent="0.25">
      <c r="B25" s="63" t="s">
        <v>299</v>
      </c>
      <c r="C25" s="63"/>
      <c r="D25" s="132">
        <f>D22-D23+D24</f>
        <v>0</v>
      </c>
      <c r="E25" s="132">
        <f t="shared" ref="E25:AE25" si="7">E22-E23+E24</f>
        <v>0</v>
      </c>
      <c r="F25" s="132">
        <f t="shared" ca="1" si="7"/>
        <v>84.89930017223864</v>
      </c>
      <c r="G25" s="132">
        <f t="shared" ca="1" si="7"/>
        <v>84.939858303035081</v>
      </c>
      <c r="H25" s="132">
        <f t="shared" ca="1" si="7"/>
        <v>82.085137297050494</v>
      </c>
      <c r="I25" s="132">
        <f t="shared" ca="1" si="7"/>
        <v>82.297973605785501</v>
      </c>
      <c r="J25" s="132">
        <f t="shared" ca="1" si="7"/>
        <v>82.546566303376906</v>
      </c>
      <c r="K25" s="132">
        <f t="shared" ca="1" si="7"/>
        <v>82.98177945501233</v>
      </c>
      <c r="L25" s="132">
        <f t="shared" ca="1" si="7"/>
        <v>82.979927833408681</v>
      </c>
      <c r="M25" s="132">
        <f t="shared" ca="1" si="7"/>
        <v>83.160742599845776</v>
      </c>
      <c r="N25" s="132">
        <f t="shared" ca="1" si="7"/>
        <v>83.381754508680629</v>
      </c>
      <c r="O25" s="132">
        <f t="shared" ca="1" si="7"/>
        <v>83.785366557206672</v>
      </c>
      <c r="P25" s="132">
        <f t="shared" ca="1" si="7"/>
        <v>83.748368176817692</v>
      </c>
      <c r="Q25" s="132">
        <f t="shared" ca="1" si="7"/>
        <v>83.889388371370075</v>
      </c>
      <c r="R25" s="132">
        <f t="shared" ca="1" si="7"/>
        <v>84.075570757972145</v>
      </c>
      <c r="S25" s="132">
        <f t="shared" ca="1" si="7"/>
        <v>84.43906322180797</v>
      </c>
      <c r="T25" s="132">
        <f t="shared" ca="1" si="7"/>
        <v>84.35887936751547</v>
      </c>
      <c r="U25" s="132">
        <f t="shared" ca="1" si="7"/>
        <v>84.450693183531598</v>
      </c>
      <c r="V25" s="132">
        <f t="shared" ca="1" si="7"/>
        <v>84.593209640653356</v>
      </c>
      <c r="W25" s="132">
        <f t="shared" ca="1" si="7"/>
        <v>84.906256957407876</v>
      </c>
      <c r="X25" s="132">
        <f t="shared" ca="1" si="7"/>
        <v>84.773102567014163</v>
      </c>
      <c r="Y25" s="132">
        <f t="shared" ca="1" si="7"/>
        <v>84.80431479920793</v>
      </c>
      <c r="Z25" s="132">
        <f t="shared" ca="1" si="7"/>
        <v>84.892398682665032</v>
      </c>
      <c r="AA25" s="132">
        <f t="shared" ca="1" si="7"/>
        <v>85.142488057090517</v>
      </c>
      <c r="AB25" s="132">
        <f t="shared" ca="1" si="7"/>
        <v>84.944454841397061</v>
      </c>
      <c r="AC25" s="132">
        <f t="shared" ca="1" si="7"/>
        <v>84.901269285075784</v>
      </c>
      <c r="AD25" s="132">
        <f t="shared" ca="1" si="7"/>
        <v>84.921807317715292</v>
      </c>
      <c r="AE25" s="132">
        <f t="shared" ca="1" si="7"/>
        <v>85.093778077723059</v>
      </c>
    </row>
    <row r="26" spans="2:31" x14ac:dyDescent="0.25">
      <c r="B26" s="31" t="s">
        <v>300</v>
      </c>
      <c r="C26" s="31"/>
      <c r="D26" s="86">
        <f ca="1">CFS!D20</f>
        <v>93.582664110308599</v>
      </c>
      <c r="E26" s="86">
        <f ca="1">CFS!E20</f>
        <v>374.3306564412344</v>
      </c>
      <c r="F26" s="86">
        <f ca="1">CFS!F20</f>
        <v>0</v>
      </c>
      <c r="G26" s="86">
        <f ca="1">CFS!G20</f>
        <v>0</v>
      </c>
      <c r="H26" s="86">
        <f ca="1">CFS!H20</f>
        <v>0</v>
      </c>
      <c r="I26" s="86">
        <f ca="1">CFS!I20</f>
        <v>0</v>
      </c>
      <c r="J26" s="86">
        <f ca="1">CFS!J20</f>
        <v>0</v>
      </c>
      <c r="K26" s="86">
        <f ca="1">CFS!K20</f>
        <v>0</v>
      </c>
      <c r="L26" s="86">
        <f ca="1">CFS!L20</f>
        <v>0</v>
      </c>
      <c r="M26" s="86">
        <f ca="1">CFS!M20</f>
        <v>0</v>
      </c>
      <c r="N26" s="86">
        <f ca="1">CFS!N20</f>
        <v>0</v>
      </c>
      <c r="O26" s="86">
        <f ca="1">CFS!O20</f>
        <v>0</v>
      </c>
      <c r="P26" s="86">
        <f ca="1">CFS!P20</f>
        <v>0</v>
      </c>
      <c r="Q26" s="86">
        <f ca="1">CFS!Q20</f>
        <v>0</v>
      </c>
      <c r="R26" s="86">
        <f ca="1">CFS!R20</f>
        <v>0</v>
      </c>
      <c r="S26" s="86">
        <f ca="1">CFS!S20</f>
        <v>0</v>
      </c>
      <c r="T26" s="86">
        <f ca="1">CFS!T20</f>
        <v>0</v>
      </c>
      <c r="U26" s="86">
        <f ca="1">CFS!U20</f>
        <v>0</v>
      </c>
      <c r="V26" s="86">
        <f ca="1">CFS!V20</f>
        <v>0</v>
      </c>
      <c r="W26" s="86">
        <f ca="1">CFS!W20</f>
        <v>0</v>
      </c>
      <c r="X26" s="86">
        <f ca="1">CFS!X20</f>
        <v>0</v>
      </c>
      <c r="Y26" s="86">
        <f ca="1">CFS!Y20</f>
        <v>0</v>
      </c>
      <c r="Z26" s="86">
        <f ca="1">CFS!Z20</f>
        <v>0</v>
      </c>
      <c r="AA26" s="86">
        <f ca="1">CFS!AA20</f>
        <v>0</v>
      </c>
      <c r="AB26" s="86">
        <f ca="1">CFS!AB20</f>
        <v>0</v>
      </c>
      <c r="AC26" s="86">
        <f ca="1">CFS!AC20</f>
        <v>0</v>
      </c>
      <c r="AD26" s="86">
        <f ca="1">CFS!AD20</f>
        <v>0</v>
      </c>
      <c r="AE26" s="86">
        <f ca="1">CFS!AE20</f>
        <v>0</v>
      </c>
    </row>
    <row r="27" spans="2:31" x14ac:dyDescent="0.25">
      <c r="B27" s="103" t="s">
        <v>301</v>
      </c>
      <c r="C27" s="103"/>
      <c r="D27" s="104">
        <f ca="1">D25-D26</f>
        <v>-93.582664110308599</v>
      </c>
      <c r="E27" s="104">
        <f t="shared" ref="E27:AE27" ca="1" si="8">E25-E26</f>
        <v>-374.3306564412344</v>
      </c>
      <c r="F27" s="104">
        <f t="shared" ca="1" si="8"/>
        <v>84.89930017223864</v>
      </c>
      <c r="G27" s="104">
        <f t="shared" ca="1" si="8"/>
        <v>84.939858303035081</v>
      </c>
      <c r="H27" s="104">
        <f t="shared" ca="1" si="8"/>
        <v>82.085137297050494</v>
      </c>
      <c r="I27" s="104">
        <f t="shared" ca="1" si="8"/>
        <v>82.297973605785501</v>
      </c>
      <c r="J27" s="104">
        <f t="shared" ca="1" si="8"/>
        <v>82.546566303376906</v>
      </c>
      <c r="K27" s="104">
        <f t="shared" ca="1" si="8"/>
        <v>82.98177945501233</v>
      </c>
      <c r="L27" s="104">
        <f t="shared" ca="1" si="8"/>
        <v>82.979927833408681</v>
      </c>
      <c r="M27" s="104">
        <f t="shared" ca="1" si="8"/>
        <v>83.160742599845776</v>
      </c>
      <c r="N27" s="104">
        <f t="shared" ca="1" si="8"/>
        <v>83.381754508680629</v>
      </c>
      <c r="O27" s="104">
        <f t="shared" ca="1" si="8"/>
        <v>83.785366557206672</v>
      </c>
      <c r="P27" s="104">
        <f t="shared" ca="1" si="8"/>
        <v>83.748368176817692</v>
      </c>
      <c r="Q27" s="104">
        <f t="shared" ca="1" si="8"/>
        <v>83.889388371370075</v>
      </c>
      <c r="R27" s="104">
        <f t="shared" ca="1" si="8"/>
        <v>84.075570757972145</v>
      </c>
      <c r="S27" s="104">
        <f t="shared" ca="1" si="8"/>
        <v>84.43906322180797</v>
      </c>
      <c r="T27" s="104">
        <f t="shared" ca="1" si="8"/>
        <v>84.35887936751547</v>
      </c>
      <c r="U27" s="104">
        <f t="shared" ca="1" si="8"/>
        <v>84.450693183531598</v>
      </c>
      <c r="V27" s="104">
        <f t="shared" ca="1" si="8"/>
        <v>84.593209640653356</v>
      </c>
      <c r="W27" s="104">
        <f t="shared" ca="1" si="8"/>
        <v>84.906256957407876</v>
      </c>
      <c r="X27" s="104">
        <f t="shared" ca="1" si="8"/>
        <v>84.773102567014163</v>
      </c>
      <c r="Y27" s="104">
        <f t="shared" ca="1" si="8"/>
        <v>84.80431479920793</v>
      </c>
      <c r="Z27" s="104">
        <f t="shared" ca="1" si="8"/>
        <v>84.892398682665032</v>
      </c>
      <c r="AA27" s="104">
        <f t="shared" ca="1" si="8"/>
        <v>85.142488057090517</v>
      </c>
      <c r="AB27" s="104">
        <f t="shared" ca="1" si="8"/>
        <v>84.944454841397061</v>
      </c>
      <c r="AC27" s="104">
        <f t="shared" ca="1" si="8"/>
        <v>84.901269285075784</v>
      </c>
      <c r="AD27" s="104">
        <f t="shared" ca="1" si="8"/>
        <v>84.921807317715292</v>
      </c>
      <c r="AE27" s="104">
        <f t="shared" ca="1" si="8"/>
        <v>85.093778077723059</v>
      </c>
    </row>
    <row r="29" spans="2:31" x14ac:dyDescent="0.25">
      <c r="B29" s="63" t="s">
        <v>302</v>
      </c>
      <c r="C29" s="63"/>
      <c r="D29" s="64">
        <f>C42</f>
        <v>0.103476</v>
      </c>
    </row>
    <row r="30" spans="2:31" x14ac:dyDescent="0.25">
      <c r="E30" s="119"/>
      <c r="F30" s="119"/>
      <c r="G30" s="119"/>
      <c r="H30" s="119"/>
      <c r="I30" s="119"/>
      <c r="J30" s="119"/>
      <c r="K30" s="119"/>
      <c r="L30" s="119"/>
      <c r="M30" s="119"/>
      <c r="N30" s="119"/>
      <c r="O30" s="119"/>
    </row>
    <row r="31" spans="2:31" x14ac:dyDescent="0.25">
      <c r="B31" s="73" t="s">
        <v>303</v>
      </c>
      <c r="C31" s="73"/>
      <c r="D31" s="295">
        <f ca="1">XNPV(D29,D27:AE27,D8:AE8)</f>
        <v>243.4048175595004</v>
      </c>
      <c r="E31" s="283"/>
      <c r="F31" s="284"/>
      <c r="G31" s="283"/>
      <c r="H31" s="284"/>
      <c r="I31" s="283"/>
      <c r="J31" s="283"/>
      <c r="K31" s="283"/>
      <c r="L31" s="283"/>
      <c r="M31" s="283"/>
      <c r="N31" s="283"/>
      <c r="O31" s="283"/>
      <c r="P31" s="283"/>
      <c r="Q31" s="283"/>
      <c r="R31" s="283"/>
      <c r="S31" s="283"/>
      <c r="T31" s="283"/>
      <c r="U31" s="283"/>
      <c r="V31" s="283"/>
      <c r="W31" s="283"/>
      <c r="X31" s="283"/>
      <c r="Y31" s="283"/>
      <c r="Z31" s="283"/>
      <c r="AA31" s="283"/>
      <c r="AB31" s="283"/>
      <c r="AC31" s="283"/>
      <c r="AD31" s="283"/>
      <c r="AE31" s="283"/>
    </row>
    <row r="32" spans="2:31" x14ac:dyDescent="0.25">
      <c r="B32" s="31"/>
      <c r="C32" s="31"/>
      <c r="D32" s="68"/>
      <c r="E32" s="31"/>
      <c r="F32" s="31"/>
      <c r="G32" s="31"/>
      <c r="H32" s="31"/>
      <c r="I32" s="31"/>
      <c r="J32" s="31"/>
      <c r="K32" s="31"/>
      <c r="L32" s="31"/>
      <c r="M32" s="31"/>
      <c r="N32" s="31"/>
    </row>
    <row r="33" spans="2:31" x14ac:dyDescent="0.25">
      <c r="B33" s="73" t="s">
        <v>304</v>
      </c>
      <c r="C33" s="73"/>
      <c r="D33" s="159">
        <f ca="1">XIRR(D27:AE27,D8:AE8)</f>
        <v>0.16982099413871765</v>
      </c>
      <c r="E33" s="285"/>
      <c r="F33" s="285"/>
      <c r="G33" s="285"/>
      <c r="H33" s="285"/>
      <c r="I33" s="285"/>
      <c r="J33" s="285"/>
      <c r="K33" s="285"/>
      <c r="L33" s="285"/>
      <c r="M33" s="285"/>
      <c r="N33" s="285"/>
      <c r="O33" s="285"/>
      <c r="P33" s="285"/>
      <c r="Q33" s="285"/>
      <c r="R33" s="285"/>
      <c r="S33" s="285"/>
      <c r="T33" s="285"/>
      <c r="U33" s="285"/>
      <c r="V33" s="285"/>
      <c r="W33" s="285"/>
      <c r="X33" s="285"/>
      <c r="Y33" s="285"/>
      <c r="Z33" s="285"/>
      <c r="AA33" s="285"/>
      <c r="AB33" s="285"/>
      <c r="AC33" s="285"/>
      <c r="AD33" s="285"/>
      <c r="AE33" s="285"/>
    </row>
    <row r="34" spans="2:31" x14ac:dyDescent="0.25">
      <c r="B34" s="31"/>
      <c r="C34" s="31"/>
      <c r="D34" s="66"/>
      <c r="E34" s="31"/>
      <c r="F34" s="31"/>
      <c r="G34" s="31"/>
      <c r="H34" s="31"/>
      <c r="I34" s="31"/>
      <c r="J34" s="31"/>
      <c r="K34" s="31"/>
      <c r="L34" s="31"/>
      <c r="M34" s="31"/>
      <c r="N34" s="31"/>
    </row>
    <row r="35" spans="2:31" x14ac:dyDescent="0.25">
      <c r="B35" s="286" t="s">
        <v>302</v>
      </c>
      <c r="C35" s="287"/>
      <c r="D35" s="31"/>
      <c r="E35" s="31"/>
      <c r="F35" s="31"/>
      <c r="G35" s="31"/>
      <c r="H35" s="31"/>
      <c r="I35" s="31"/>
      <c r="J35" s="31"/>
      <c r="K35" s="31"/>
      <c r="L35" s="31"/>
      <c r="M35" s="31"/>
    </row>
    <row r="36" spans="2:31" x14ac:dyDescent="0.25">
      <c r="B36" s="288" t="s">
        <v>305</v>
      </c>
      <c r="C36" s="289">
        <f>'TPC &amp; MoF'!C23</f>
        <v>0.75</v>
      </c>
      <c r="D36" s="31"/>
      <c r="E36" s="31"/>
      <c r="F36" s="31"/>
      <c r="G36" s="31"/>
      <c r="H36" s="31"/>
      <c r="I36" s="31"/>
      <c r="J36" s="31"/>
      <c r="K36" s="31"/>
      <c r="L36" s="31"/>
      <c r="M36" s="31"/>
    </row>
    <row r="37" spans="2:31" x14ac:dyDescent="0.25">
      <c r="B37" s="288" t="s">
        <v>306</v>
      </c>
      <c r="C37" s="290">
        <f>Assumptions!D66</f>
        <v>0.11</v>
      </c>
      <c r="D37" s="31"/>
      <c r="E37" s="31"/>
      <c r="F37" s="31"/>
      <c r="G37" s="31"/>
      <c r="H37" s="31"/>
      <c r="I37" s="31"/>
      <c r="J37" s="31"/>
      <c r="K37" s="31"/>
      <c r="L37" s="31"/>
      <c r="M37" s="31"/>
    </row>
    <row r="38" spans="2:31" x14ac:dyDescent="0.25">
      <c r="B38" s="288" t="s">
        <v>146</v>
      </c>
      <c r="C38" s="290">
        <f>Assumptions!D77</f>
        <v>0.29120000000000001</v>
      </c>
      <c r="D38" s="31"/>
      <c r="E38" s="31"/>
      <c r="F38" s="31"/>
      <c r="G38" s="31"/>
      <c r="H38" s="31"/>
      <c r="I38" s="31"/>
      <c r="J38" s="31"/>
      <c r="K38" s="31"/>
      <c r="L38" s="31"/>
      <c r="M38" s="31"/>
    </row>
    <row r="39" spans="2:31" x14ac:dyDescent="0.25">
      <c r="B39" s="288" t="s">
        <v>307</v>
      </c>
      <c r="C39" s="290">
        <f>C37*(1-C38)</f>
        <v>7.7967999999999996E-2</v>
      </c>
      <c r="D39" s="31"/>
      <c r="E39" s="31"/>
      <c r="F39" s="31"/>
      <c r="G39" s="31"/>
      <c r="H39" s="31"/>
      <c r="I39" s="31"/>
      <c r="J39" s="31"/>
      <c r="K39" s="31"/>
      <c r="L39" s="31"/>
      <c r="M39" s="31"/>
    </row>
    <row r="40" spans="2:31" x14ac:dyDescent="0.25">
      <c r="B40" s="288" t="s">
        <v>308</v>
      </c>
      <c r="C40" s="289">
        <f>1-C36</f>
        <v>0.25</v>
      </c>
      <c r="D40" s="31"/>
      <c r="E40" s="31"/>
      <c r="F40" s="31"/>
      <c r="G40" s="31"/>
      <c r="H40" s="31"/>
      <c r="I40" s="31"/>
      <c r="J40" s="31"/>
      <c r="K40" s="31"/>
      <c r="L40" s="31"/>
      <c r="M40" s="31"/>
    </row>
    <row r="41" spans="2:31" x14ac:dyDescent="0.25">
      <c r="B41" s="288" t="s">
        <v>309</v>
      </c>
      <c r="C41" s="290">
        <v>0.18</v>
      </c>
      <c r="D41" s="31"/>
      <c r="E41" s="31"/>
      <c r="F41" s="31"/>
      <c r="G41" s="31"/>
      <c r="H41" s="31"/>
      <c r="I41" s="31"/>
      <c r="J41" s="31"/>
      <c r="K41" s="31"/>
      <c r="L41" s="31"/>
      <c r="M41" s="31"/>
    </row>
    <row r="42" spans="2:31" x14ac:dyDescent="0.25">
      <c r="B42" s="286" t="s">
        <v>302</v>
      </c>
      <c r="C42" s="291">
        <f>C36*C39+C40*C41</f>
        <v>0.103476</v>
      </c>
      <c r="D42" s="31"/>
      <c r="E42" s="31"/>
      <c r="F42" s="31"/>
      <c r="G42" s="31"/>
      <c r="H42" s="31"/>
      <c r="I42" s="31"/>
      <c r="J42" s="31"/>
      <c r="K42" s="31"/>
      <c r="L42" s="31"/>
      <c r="M42" s="31"/>
    </row>
    <row r="44" spans="2:31" x14ac:dyDescent="0.25">
      <c r="B44" s="292" t="s">
        <v>310</v>
      </c>
      <c r="C44" s="292"/>
      <c r="D44" s="292"/>
      <c r="E44" s="292"/>
      <c r="F44" s="292"/>
      <c r="G44" s="292"/>
      <c r="H44" s="292"/>
      <c r="I44" s="292"/>
      <c r="J44" s="292"/>
      <c r="K44" s="292"/>
      <c r="L44" s="292"/>
      <c r="M44" s="292"/>
      <c r="N44" s="292"/>
      <c r="O44" s="293"/>
      <c r="P44" s="293"/>
      <c r="Q44" s="293"/>
      <c r="R44" s="293"/>
      <c r="S44" s="293"/>
      <c r="T44" s="293"/>
      <c r="U44" s="293"/>
      <c r="V44" s="293"/>
      <c r="W44" s="293"/>
      <c r="X44" s="293"/>
      <c r="Y44" s="293"/>
      <c r="Z44" s="293"/>
      <c r="AA44" s="293"/>
      <c r="AB44" s="293"/>
      <c r="AC44" s="293"/>
      <c r="AD44" s="293"/>
      <c r="AE44" s="293"/>
    </row>
    <row r="46" spans="2:31" x14ac:dyDescent="0.25">
      <c r="B46" s="31" t="s">
        <v>311</v>
      </c>
      <c r="C46" s="31"/>
      <c r="D46" s="87"/>
      <c r="E46" s="87"/>
      <c r="F46" s="87">
        <f>F9</f>
        <v>1</v>
      </c>
      <c r="G46" s="87">
        <f t="shared" ref="G46:AE46" si="9">G9</f>
        <v>2</v>
      </c>
      <c r="H46" s="87">
        <f t="shared" si="9"/>
        <v>3</v>
      </c>
      <c r="I46" s="87">
        <f t="shared" si="9"/>
        <v>4</v>
      </c>
      <c r="J46" s="87">
        <f t="shared" si="9"/>
        <v>5</v>
      </c>
      <c r="K46" s="87">
        <f t="shared" si="9"/>
        <v>6</v>
      </c>
      <c r="L46" s="87">
        <f t="shared" si="9"/>
        <v>7</v>
      </c>
      <c r="M46" s="87">
        <f t="shared" si="9"/>
        <v>8</v>
      </c>
      <c r="N46" s="87">
        <f t="shared" si="9"/>
        <v>9</v>
      </c>
      <c r="O46" s="87">
        <f t="shared" si="9"/>
        <v>10</v>
      </c>
      <c r="P46" s="87">
        <f t="shared" si="9"/>
        <v>11</v>
      </c>
      <c r="Q46" s="87">
        <f t="shared" si="9"/>
        <v>12</v>
      </c>
      <c r="R46" s="87">
        <f t="shared" si="9"/>
        <v>13</v>
      </c>
      <c r="S46" s="87">
        <f t="shared" si="9"/>
        <v>14</v>
      </c>
      <c r="T46" s="87">
        <f t="shared" si="9"/>
        <v>15</v>
      </c>
      <c r="U46" s="87">
        <f t="shared" si="9"/>
        <v>16</v>
      </c>
      <c r="V46" s="87">
        <f t="shared" si="9"/>
        <v>17</v>
      </c>
      <c r="W46" s="87">
        <f t="shared" si="9"/>
        <v>18</v>
      </c>
      <c r="X46" s="87">
        <f t="shared" si="9"/>
        <v>19</v>
      </c>
      <c r="Y46" s="87">
        <f t="shared" si="9"/>
        <v>20</v>
      </c>
      <c r="Z46" s="87">
        <f t="shared" si="9"/>
        <v>21</v>
      </c>
      <c r="AA46" s="87">
        <f t="shared" si="9"/>
        <v>22</v>
      </c>
      <c r="AB46" s="87">
        <f t="shared" si="9"/>
        <v>23</v>
      </c>
      <c r="AC46" s="87">
        <f t="shared" si="9"/>
        <v>24</v>
      </c>
      <c r="AD46" s="87">
        <f t="shared" si="9"/>
        <v>25</v>
      </c>
      <c r="AE46" s="87">
        <f t="shared" si="9"/>
        <v>26</v>
      </c>
    </row>
    <row r="47" spans="2:31" x14ac:dyDescent="0.25">
      <c r="B47" s="31" t="s">
        <v>148</v>
      </c>
      <c r="C47" s="31"/>
      <c r="D47" s="86"/>
      <c r="E47" s="86"/>
      <c r="F47" s="86">
        <f ca="1">IS!F30</f>
        <v>64.095363577598249</v>
      </c>
      <c r="G47" s="86">
        <f ca="1">IS!G30</f>
        <v>64.931102069008404</v>
      </c>
      <c r="H47" s="86">
        <f ca="1">IS!H30</f>
        <v>63.208099757414303</v>
      </c>
      <c r="I47" s="86">
        <f ca="1">IS!I30</f>
        <v>65.048820285253015</v>
      </c>
      <c r="J47" s="86">
        <f ca="1">IS!J30</f>
        <v>66.931173195421579</v>
      </c>
      <c r="K47" s="86">
        <f ca="1">IS!K30</f>
        <v>69.022875959161894</v>
      </c>
      <c r="L47" s="86">
        <f ca="1">IS!L30</f>
        <v>70.621566714077233</v>
      </c>
      <c r="M47" s="86">
        <f ca="1">IS!M30</f>
        <v>72.425003468739277</v>
      </c>
      <c r="N47" s="86">
        <f ca="1">IS!N30</f>
        <v>74.275243126445929</v>
      </c>
      <c r="O47" s="86">
        <f ca="1">IS!O30</f>
        <v>76.330151648687774</v>
      </c>
      <c r="P47" s="86">
        <f ca="1">IS!P30</f>
        <v>75.491584165542264</v>
      </c>
      <c r="Q47" s="86">
        <f ca="1">IS!Q30</f>
        <v>69.21610042113096</v>
      </c>
      <c r="R47" s="86">
        <f ca="1">IS!R30</f>
        <v>70.262330733536345</v>
      </c>
      <c r="S47" s="86">
        <f ca="1">IS!S30</f>
        <v>71.553837681739594</v>
      </c>
      <c r="T47" s="86">
        <f ca="1">IS!T30</f>
        <v>72.478973298088277</v>
      </c>
      <c r="U47" s="86">
        <f ca="1">IS!U30</f>
        <v>73.624569366277768</v>
      </c>
      <c r="V47" s="86">
        <f ca="1">IS!V30</f>
        <v>74.867235154088377</v>
      </c>
      <c r="W47" s="86">
        <f ca="1">IS!W30</f>
        <v>76.309516067784315</v>
      </c>
      <c r="X47" s="86">
        <f ca="1">IS!X30</f>
        <v>77.359509138488889</v>
      </c>
      <c r="Y47" s="86">
        <f ca="1">IS!Y30</f>
        <v>78.592729479936025</v>
      </c>
      <c r="Z47" s="86">
        <f ca="1">IS!Z30</f>
        <v>79.907222495276173</v>
      </c>
      <c r="AA47" s="86">
        <f ca="1">IS!AA30</f>
        <v>80.708355321338956</v>
      </c>
      <c r="AB47" s="86">
        <f ca="1">IS!AB30</f>
        <v>80.418989741502543</v>
      </c>
      <c r="AC47" s="86">
        <f ca="1">IS!AC30</f>
        <v>80.287783291330271</v>
      </c>
      <c r="AD47" s="86">
        <f ca="1">IS!AD30</f>
        <v>80.233168723186509</v>
      </c>
      <c r="AE47" s="86">
        <f ca="1">IS!AE30</f>
        <v>80.327936991887782</v>
      </c>
    </row>
    <row r="48" spans="2:31" x14ac:dyDescent="0.25">
      <c r="B48" s="31" t="s">
        <v>312</v>
      </c>
      <c r="C48" s="31"/>
      <c r="D48" s="86"/>
      <c r="E48" s="86"/>
      <c r="F48" s="86">
        <f t="shared" ref="F48:AE48" ca="1" si="10">E48+F47</f>
        <v>64.095363577598249</v>
      </c>
      <c r="G48" s="86">
        <f t="shared" ca="1" si="10"/>
        <v>129.02646564660665</v>
      </c>
      <c r="H48" s="86">
        <f t="shared" ca="1" si="10"/>
        <v>192.23456540402094</v>
      </c>
      <c r="I48" s="86">
        <f t="shared" ca="1" si="10"/>
        <v>257.28338568927393</v>
      </c>
      <c r="J48" s="86">
        <f t="shared" ca="1" si="10"/>
        <v>324.21455888469552</v>
      </c>
      <c r="K48" s="86">
        <f t="shared" ca="1" si="10"/>
        <v>393.23743484385739</v>
      </c>
      <c r="L48" s="86">
        <f t="shared" ca="1" si="10"/>
        <v>463.85900155793462</v>
      </c>
      <c r="M48" s="86">
        <f t="shared" ca="1" si="10"/>
        <v>536.28400502667387</v>
      </c>
      <c r="N48" s="86">
        <f t="shared" ca="1" si="10"/>
        <v>610.55924815311982</v>
      </c>
      <c r="O48" s="86">
        <f t="shared" ca="1" si="10"/>
        <v>686.8893998018076</v>
      </c>
      <c r="P48" s="86">
        <f t="shared" ca="1" si="10"/>
        <v>762.38098396734983</v>
      </c>
      <c r="Q48" s="86">
        <f t="shared" ca="1" si="10"/>
        <v>831.59708438848077</v>
      </c>
      <c r="R48" s="86">
        <f t="shared" ca="1" si="10"/>
        <v>901.85941512201714</v>
      </c>
      <c r="S48" s="86">
        <f t="shared" ca="1" si="10"/>
        <v>973.41325280375668</v>
      </c>
      <c r="T48" s="86">
        <f t="shared" ca="1" si="10"/>
        <v>1045.8922261018449</v>
      </c>
      <c r="U48" s="86">
        <f t="shared" ca="1" si="10"/>
        <v>1119.5167954681226</v>
      </c>
      <c r="V48" s="86">
        <f t="shared" ca="1" si="10"/>
        <v>1194.384030622211</v>
      </c>
      <c r="W48" s="86">
        <f t="shared" ca="1" si="10"/>
        <v>1270.6935466899952</v>
      </c>
      <c r="X48" s="86">
        <f t="shared" ca="1" si="10"/>
        <v>1348.053055828484</v>
      </c>
      <c r="Y48" s="86">
        <f t="shared" ca="1" si="10"/>
        <v>1426.64578530842</v>
      </c>
      <c r="Z48" s="86">
        <f t="shared" ca="1" si="10"/>
        <v>1506.5530078036961</v>
      </c>
      <c r="AA48" s="86">
        <f t="shared" ca="1" si="10"/>
        <v>1587.2613631250351</v>
      </c>
      <c r="AB48" s="86">
        <f t="shared" ca="1" si="10"/>
        <v>1667.6803528665378</v>
      </c>
      <c r="AC48" s="86">
        <f t="shared" ca="1" si="10"/>
        <v>1747.968136157868</v>
      </c>
      <c r="AD48" s="86">
        <f t="shared" ca="1" si="10"/>
        <v>1828.2013048810545</v>
      </c>
      <c r="AE48" s="86">
        <f t="shared" ca="1" si="10"/>
        <v>1908.5292418729423</v>
      </c>
    </row>
    <row r="49" spans="2:31" x14ac:dyDescent="0.25">
      <c r="B49" s="31" t="s">
        <v>313</v>
      </c>
      <c r="C49" s="31"/>
      <c r="E49" s="31"/>
      <c r="F49" s="86">
        <f ca="1">'TPC &amp; MoF'!H18</f>
        <v>467.91332055154299</v>
      </c>
      <c r="G49" s="31"/>
      <c r="H49" s="31"/>
      <c r="I49" s="31"/>
      <c r="J49" s="31"/>
      <c r="K49" s="31"/>
      <c r="L49" s="31"/>
      <c r="M49" s="31"/>
      <c r="N49" s="31"/>
    </row>
    <row r="50" spans="2:31" x14ac:dyDescent="0.25">
      <c r="B50" s="73" t="s">
        <v>314</v>
      </c>
      <c r="C50" s="73"/>
      <c r="D50" s="73"/>
      <c r="E50" s="294"/>
      <c r="F50" s="294">
        <f ca="1">L46+(F49-L48)/M47</f>
        <v>7.0559795484905754</v>
      </c>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row>
    <row r="55" spans="2:31" x14ac:dyDescent="0.25">
      <c r="D55" s="272" t="s">
        <v>353</v>
      </c>
      <c r="E55" s="272" t="s">
        <v>148</v>
      </c>
      <c r="F55" s="272" t="s">
        <v>312</v>
      </c>
      <c r="G55" s="272"/>
    </row>
    <row r="56" spans="2:31" x14ac:dyDescent="0.25">
      <c r="B56" s="120">
        <v>1</v>
      </c>
      <c r="D56" s="316">
        <f t="array" ref="D56:D81">TRANSPOSE(F8:AE8)</f>
        <v>46477</v>
      </c>
      <c r="E56" s="119">
        <f t="array" aca="1" ref="E56:E81" ca="1">TRANSPOSE(F47:AE47)</f>
        <v>64.095363577598249</v>
      </c>
      <c r="F56" s="119">
        <f ca="1">E56</f>
        <v>64.095363577598249</v>
      </c>
    </row>
    <row r="57" spans="2:31" x14ac:dyDescent="0.25">
      <c r="B57" s="120">
        <f>B56+1</f>
        <v>2</v>
      </c>
      <c r="D57" s="316">
        <v>46843</v>
      </c>
      <c r="E57" s="119">
        <f ca="1"/>
        <v>64.931102069008404</v>
      </c>
      <c r="F57" s="119">
        <f ca="1">E57+F56</f>
        <v>129.02646564660665</v>
      </c>
    </row>
    <row r="58" spans="2:31" x14ac:dyDescent="0.25">
      <c r="B58" s="120">
        <f t="shared" ref="B58:B81" si="11">B57+1</f>
        <v>3</v>
      </c>
      <c r="D58" s="316">
        <v>47208</v>
      </c>
      <c r="E58" s="119">
        <f ca="1"/>
        <v>63.208099757414303</v>
      </c>
      <c r="F58" s="119">
        <f t="shared" ref="F58:F81" ca="1" si="12">E58+F57</f>
        <v>192.23456540402094</v>
      </c>
    </row>
    <row r="59" spans="2:31" x14ac:dyDescent="0.25">
      <c r="B59" s="120">
        <f t="shared" si="11"/>
        <v>4</v>
      </c>
      <c r="D59" s="316">
        <v>47573</v>
      </c>
      <c r="E59" s="119">
        <f ca="1"/>
        <v>65.048820285253015</v>
      </c>
      <c r="F59" s="119">
        <f t="shared" ca="1" si="12"/>
        <v>257.28338568927393</v>
      </c>
    </row>
    <row r="60" spans="2:31" x14ac:dyDescent="0.25">
      <c r="B60" s="120">
        <f t="shared" si="11"/>
        <v>5</v>
      </c>
      <c r="D60" s="316">
        <v>47938</v>
      </c>
      <c r="E60" s="119">
        <f ca="1"/>
        <v>66.931173195421579</v>
      </c>
      <c r="F60" s="119">
        <f t="shared" ca="1" si="12"/>
        <v>324.21455888469552</v>
      </c>
    </row>
    <row r="61" spans="2:31" x14ac:dyDescent="0.25">
      <c r="B61" s="120">
        <f t="shared" si="11"/>
        <v>6</v>
      </c>
      <c r="D61" s="316">
        <v>48304</v>
      </c>
      <c r="E61" s="119">
        <f ca="1"/>
        <v>69.022875959161894</v>
      </c>
      <c r="F61" s="119">
        <f t="shared" ca="1" si="12"/>
        <v>393.23743484385739</v>
      </c>
    </row>
    <row r="62" spans="2:31" x14ac:dyDescent="0.25">
      <c r="B62" s="120">
        <f t="shared" si="11"/>
        <v>7</v>
      </c>
      <c r="D62" s="316">
        <v>48669</v>
      </c>
      <c r="E62" s="119">
        <f ca="1"/>
        <v>70.621566714077233</v>
      </c>
      <c r="F62" s="119">
        <f t="shared" ca="1" si="12"/>
        <v>463.85900155793462</v>
      </c>
    </row>
    <row r="63" spans="2:31" x14ac:dyDescent="0.25">
      <c r="B63" s="120">
        <f t="shared" si="11"/>
        <v>8</v>
      </c>
      <c r="D63" s="316">
        <v>49034</v>
      </c>
      <c r="E63" s="119">
        <f ca="1"/>
        <v>72.425003468739277</v>
      </c>
      <c r="F63" s="119">
        <f t="shared" ca="1" si="12"/>
        <v>536.28400502667387</v>
      </c>
    </row>
    <row r="64" spans="2:31" x14ac:dyDescent="0.25">
      <c r="B64" s="120">
        <f t="shared" si="11"/>
        <v>9</v>
      </c>
      <c r="D64" s="316">
        <v>49399</v>
      </c>
      <c r="E64" s="119">
        <f ca="1"/>
        <v>74.275243126445929</v>
      </c>
      <c r="F64" s="119">
        <f t="shared" ca="1" si="12"/>
        <v>610.55924815311982</v>
      </c>
    </row>
    <row r="65" spans="2:6" x14ac:dyDescent="0.25">
      <c r="B65" s="120">
        <f t="shared" si="11"/>
        <v>10</v>
      </c>
      <c r="D65" s="316">
        <v>49765</v>
      </c>
      <c r="E65" s="119">
        <f ca="1"/>
        <v>76.330151648687774</v>
      </c>
      <c r="F65" s="119">
        <f t="shared" ca="1" si="12"/>
        <v>686.8893998018076</v>
      </c>
    </row>
    <row r="66" spans="2:6" x14ac:dyDescent="0.25">
      <c r="B66" s="120">
        <f t="shared" si="11"/>
        <v>11</v>
      </c>
      <c r="D66" s="316">
        <v>50130</v>
      </c>
      <c r="E66" s="119">
        <f ca="1"/>
        <v>75.491584165542264</v>
      </c>
      <c r="F66" s="119">
        <f t="shared" ca="1" si="12"/>
        <v>762.38098396734983</v>
      </c>
    </row>
    <row r="67" spans="2:6" x14ac:dyDescent="0.25">
      <c r="B67" s="120">
        <f t="shared" si="11"/>
        <v>12</v>
      </c>
      <c r="D67" s="316">
        <v>50495</v>
      </c>
      <c r="E67" s="119">
        <f ca="1"/>
        <v>69.21610042113096</v>
      </c>
      <c r="F67" s="119">
        <f t="shared" ca="1" si="12"/>
        <v>831.59708438848077</v>
      </c>
    </row>
    <row r="68" spans="2:6" x14ac:dyDescent="0.25">
      <c r="B68" s="120">
        <f t="shared" si="11"/>
        <v>13</v>
      </c>
      <c r="D68" s="316">
        <v>50860</v>
      </c>
      <c r="E68" s="119">
        <f ca="1"/>
        <v>70.262330733536345</v>
      </c>
      <c r="F68" s="119">
        <f t="shared" ca="1" si="12"/>
        <v>901.85941512201714</v>
      </c>
    </row>
    <row r="69" spans="2:6" x14ac:dyDescent="0.25">
      <c r="B69" s="120">
        <f t="shared" si="11"/>
        <v>14</v>
      </c>
      <c r="D69" s="316">
        <v>51226</v>
      </c>
      <c r="E69" s="119">
        <f ca="1"/>
        <v>71.553837681739594</v>
      </c>
      <c r="F69" s="119">
        <f t="shared" ca="1" si="12"/>
        <v>973.41325280375668</v>
      </c>
    </row>
    <row r="70" spans="2:6" x14ac:dyDescent="0.25">
      <c r="B70" s="120">
        <f t="shared" si="11"/>
        <v>15</v>
      </c>
      <c r="D70" s="316">
        <v>51591</v>
      </c>
      <c r="E70" s="119">
        <f ca="1"/>
        <v>72.478973298088277</v>
      </c>
      <c r="F70" s="119">
        <f t="shared" ca="1" si="12"/>
        <v>1045.8922261018449</v>
      </c>
    </row>
    <row r="71" spans="2:6" x14ac:dyDescent="0.25">
      <c r="B71" s="120">
        <f t="shared" si="11"/>
        <v>16</v>
      </c>
      <c r="D71" s="316">
        <v>51956</v>
      </c>
      <c r="E71" s="119">
        <f ca="1"/>
        <v>73.624569366277768</v>
      </c>
      <c r="F71" s="119">
        <f t="shared" ca="1" si="12"/>
        <v>1119.5167954681226</v>
      </c>
    </row>
    <row r="72" spans="2:6" x14ac:dyDescent="0.25">
      <c r="B72" s="120">
        <f t="shared" si="11"/>
        <v>17</v>
      </c>
      <c r="D72" s="316">
        <v>52321</v>
      </c>
      <c r="E72" s="119">
        <f ca="1"/>
        <v>74.867235154088377</v>
      </c>
      <c r="F72" s="119">
        <f t="shared" ca="1" si="12"/>
        <v>1194.384030622211</v>
      </c>
    </row>
    <row r="73" spans="2:6" x14ac:dyDescent="0.25">
      <c r="B73" s="120">
        <f t="shared" si="11"/>
        <v>18</v>
      </c>
      <c r="D73" s="316">
        <v>52687</v>
      </c>
      <c r="E73" s="119">
        <f ca="1"/>
        <v>76.309516067784315</v>
      </c>
      <c r="F73" s="119">
        <f t="shared" ca="1" si="12"/>
        <v>1270.6935466899952</v>
      </c>
    </row>
    <row r="74" spans="2:6" x14ac:dyDescent="0.25">
      <c r="B74" s="120">
        <f t="shared" si="11"/>
        <v>19</v>
      </c>
      <c r="D74" s="316">
        <v>53052</v>
      </c>
      <c r="E74" s="119">
        <f ca="1"/>
        <v>77.359509138488889</v>
      </c>
      <c r="F74" s="119">
        <f t="shared" ca="1" si="12"/>
        <v>1348.053055828484</v>
      </c>
    </row>
    <row r="75" spans="2:6" x14ac:dyDescent="0.25">
      <c r="B75" s="120">
        <f t="shared" si="11"/>
        <v>20</v>
      </c>
      <c r="D75" s="316">
        <v>53417</v>
      </c>
      <c r="E75" s="119">
        <f ca="1"/>
        <v>78.592729479936025</v>
      </c>
      <c r="F75" s="119">
        <f t="shared" ca="1" si="12"/>
        <v>1426.64578530842</v>
      </c>
    </row>
    <row r="76" spans="2:6" x14ac:dyDescent="0.25">
      <c r="B76" s="120">
        <f t="shared" si="11"/>
        <v>21</v>
      </c>
      <c r="D76" s="316">
        <v>53782</v>
      </c>
      <c r="E76" s="119">
        <f ca="1"/>
        <v>79.907222495276173</v>
      </c>
      <c r="F76" s="119">
        <f t="shared" ca="1" si="12"/>
        <v>1506.5530078036961</v>
      </c>
    </row>
    <row r="77" spans="2:6" x14ac:dyDescent="0.25">
      <c r="B77" s="120">
        <f t="shared" si="11"/>
        <v>22</v>
      </c>
      <c r="D77" s="316">
        <v>54148</v>
      </c>
      <c r="E77" s="119">
        <f ca="1"/>
        <v>80.708355321338956</v>
      </c>
      <c r="F77" s="119">
        <f t="shared" ca="1" si="12"/>
        <v>1587.2613631250351</v>
      </c>
    </row>
    <row r="78" spans="2:6" x14ac:dyDescent="0.25">
      <c r="B78" s="120">
        <f t="shared" si="11"/>
        <v>23</v>
      </c>
      <c r="D78" s="316">
        <v>54513</v>
      </c>
      <c r="E78" s="119">
        <f ca="1"/>
        <v>80.418989741502543</v>
      </c>
      <c r="F78" s="119">
        <f t="shared" ca="1" si="12"/>
        <v>1667.6803528665378</v>
      </c>
    </row>
    <row r="79" spans="2:6" x14ac:dyDescent="0.25">
      <c r="B79" s="120">
        <f t="shared" si="11"/>
        <v>24</v>
      </c>
      <c r="D79" s="316">
        <v>54878</v>
      </c>
      <c r="E79" s="119">
        <f ca="1"/>
        <v>80.287783291330271</v>
      </c>
      <c r="F79" s="119">
        <f t="shared" ca="1" si="12"/>
        <v>1747.968136157868</v>
      </c>
    </row>
    <row r="80" spans="2:6" x14ac:dyDescent="0.25">
      <c r="B80" s="120">
        <f t="shared" si="11"/>
        <v>25</v>
      </c>
      <c r="D80" s="316">
        <v>55243</v>
      </c>
      <c r="E80" s="119">
        <f ca="1"/>
        <v>80.233168723186509</v>
      </c>
      <c r="F80" s="119">
        <f t="shared" ca="1" si="12"/>
        <v>1828.2013048810545</v>
      </c>
    </row>
    <row r="81" spans="2:31" x14ac:dyDescent="0.25">
      <c r="B81" s="120">
        <f t="shared" si="11"/>
        <v>26</v>
      </c>
      <c r="D81" s="316">
        <v>55609</v>
      </c>
      <c r="E81" s="119">
        <f ca="1"/>
        <v>80.327936991887782</v>
      </c>
      <c r="F81" s="119">
        <f t="shared" ca="1" si="12"/>
        <v>1908.5292418729423</v>
      </c>
    </row>
    <row r="82" spans="2:31" x14ac:dyDescent="0.25">
      <c r="B82" s="120"/>
      <c r="D82" s="272" t="s">
        <v>162</v>
      </c>
      <c r="E82" s="119">
        <f ca="1">SUM(E56:E81)</f>
        <v>1908.5292418729423</v>
      </c>
    </row>
    <row r="83" spans="2:31" x14ac:dyDescent="0.25">
      <c r="B83" s="120"/>
      <c r="D83" s="70" t="s">
        <v>313</v>
      </c>
      <c r="E83" s="118">
        <f ca="1">F49</f>
        <v>467.91332055154299</v>
      </c>
    </row>
    <row r="84" spans="2:31" x14ac:dyDescent="0.25">
      <c r="B84" s="120"/>
      <c r="D84" s="70" t="s">
        <v>314</v>
      </c>
      <c r="E84" s="317">
        <f ca="1">F50</f>
        <v>7.0559795484905754</v>
      </c>
    </row>
    <row r="85" spans="2:31" x14ac:dyDescent="0.25">
      <c r="B85" s="120"/>
    </row>
    <row r="86" spans="2:31" x14ac:dyDescent="0.25">
      <c r="B86" s="120"/>
    </row>
    <row r="87" spans="2:31" x14ac:dyDescent="0.25">
      <c r="B87" s="319" t="s">
        <v>354</v>
      </c>
    </row>
    <row r="88" spans="2:31" x14ac:dyDescent="0.25">
      <c r="B88" s="120"/>
    </row>
    <row r="89" spans="2:31" x14ac:dyDescent="0.25">
      <c r="B89" s="31" t="s">
        <v>355</v>
      </c>
      <c r="F89" s="119">
        <f>IS!F12</f>
        <v>120.38940261600013</v>
      </c>
      <c r="G89" s="119">
        <f>IS!G12</f>
        <v>121.2558336024382</v>
      </c>
      <c r="H89" s="119">
        <f>IS!H12</f>
        <v>121.462043062083</v>
      </c>
      <c r="I89" s="119">
        <f>IS!I12</f>
        <v>122.00194184349398</v>
      </c>
      <c r="J89" s="119">
        <f>IS!J12</f>
        <v>122.54424047498833</v>
      </c>
      <c r="K89" s="119">
        <f>IS!K12</f>
        <v>123.42617962286924</v>
      </c>
      <c r="L89" s="119">
        <f>IS!L12</f>
        <v>123.6360800049779</v>
      </c>
      <c r="M89" s="119">
        <f>IS!M12</f>
        <v>124.18564238060003</v>
      </c>
      <c r="N89" s="119">
        <f>IS!N12</f>
        <v>124.73764756098183</v>
      </c>
      <c r="O89" s="119">
        <f>IS!O12</f>
        <v>125.63537244933394</v>
      </c>
      <c r="P89" s="119">
        <f>IS!P12</f>
        <v>125.84902981735792</v>
      </c>
      <c r="Q89" s="119">
        <f>IS!Q12</f>
        <v>126.40842875489608</v>
      </c>
      <c r="R89" s="119">
        <f>IS!R12</f>
        <v>126.97031422071157</v>
      </c>
      <c r="S89" s="119">
        <f>IS!S12</f>
        <v>127.88410739692245</v>
      </c>
      <c r="T89" s="119">
        <f>IS!T12</f>
        <v>128.10158899677637</v>
      </c>
      <c r="U89" s="119">
        <f>IS!U12</f>
        <v>128.67100055986705</v>
      </c>
      <c r="V89" s="119">
        <f>IS!V12</f>
        <v>129.24294315735568</v>
      </c>
      <c r="W89" s="119">
        <f>IS!W12</f>
        <v>130.17309222610021</v>
      </c>
      <c r="X89" s="119">
        <f>IS!X12</f>
        <v>130.39446650732651</v>
      </c>
      <c r="Y89" s="119">
        <f>IS!Y12</f>
        <v>130.97406991095161</v>
      </c>
      <c r="Z89" s="119">
        <f>IS!Z12</f>
        <v>131.5562496517058</v>
      </c>
      <c r="AA89" s="119">
        <f>IS!AA12</f>
        <v>132.50304736546627</v>
      </c>
      <c r="AB89" s="119">
        <f>IS!AB12</f>
        <v>132.72838400277902</v>
      </c>
      <c r="AC89" s="119">
        <f>IS!AC12</f>
        <v>133.31836166967136</v>
      </c>
      <c r="AD89" s="119">
        <f>IS!AD12</f>
        <v>133.91096178729305</v>
      </c>
      <c r="AE89" s="119">
        <f>IS!AE12</f>
        <v>134.87470613849905</v>
      </c>
    </row>
    <row r="90" spans="2:31" x14ac:dyDescent="0.25">
      <c r="B90" s="31" t="s">
        <v>356</v>
      </c>
      <c r="F90" s="119">
        <f>+IS!F14+('Revenue &amp; Expenses Modeling'!F79/10^7)</f>
        <v>2.7517577740800032</v>
      </c>
      <c r="G90" s="119">
        <f>+IS!G14+('Revenue &amp; Expenses Modeling'!G79/10^7)</f>
        <v>2.744120703874132</v>
      </c>
      <c r="H90" s="119">
        <f>+IS!H14+('Revenue &amp; Expenses Modeling'!H79/10^7)</f>
        <v>6.9900316792377897</v>
      </c>
      <c r="I90" s="119">
        <f>+IS!I14+('Revenue &amp; Expenses Modeling'!I79/10^7)</f>
        <v>7.188486035001981</v>
      </c>
      <c r="J90" s="119">
        <f>+IS!J14+('Revenue &amp; Expenses Modeling'!J79/10^7)</f>
        <v>7.3976938683094708</v>
      </c>
      <c r="K90" s="119">
        <f>+IS!K14+('Revenue &amp; Expenses Modeling'!K79/10^7)</f>
        <v>7.6255222900953683</v>
      </c>
      <c r="L90" s="119">
        <f>+IS!L14+('Revenue &amp; Expenses Modeling'!L79/10^7)</f>
        <v>7.850529066713797</v>
      </c>
      <c r="M90" s="119">
        <f>+IS!M14+('Revenue &amp; Expenses Modeling'!M79/10^7)</f>
        <v>8.0953040161839329</v>
      </c>
      <c r="N90" s="119">
        <f>+IS!N14+('Revenue &amp; Expenses Modeling'!N79/10^7)</f>
        <v>8.3531303463988387</v>
      </c>
      <c r="O90" s="119">
        <f>+IS!O14+('Revenue &amp; Expenses Modeling'!O79/10^7)</f>
        <v>8.6318301412602132</v>
      </c>
      <c r="P90" s="119">
        <f>+IS!P14+('Revenue &amp; Expenses Modeling'!P79/10^7)</f>
        <v>8.9105619768398032</v>
      </c>
      <c r="Q90" s="119">
        <f>+IS!Q14+('Revenue &amp; Expenses Modeling'!Q79/10^7)</f>
        <v>9.2115623861967553</v>
      </c>
      <c r="R90" s="119">
        <f>+IS!R14+('Revenue &amp; Expenses Modeling'!R79/10^7)</f>
        <v>9.5284077183137228</v>
      </c>
      <c r="S90" s="119">
        <f>+IS!S14+('Revenue &amp; Expenses Modeling'!S79/10^7)</f>
        <v>9.8689033013683485</v>
      </c>
      <c r="T90" s="119">
        <f>+IS!T14+('Revenue &amp; Expenses Modeling'!T79/10^7)</f>
        <v>10.212824065283844</v>
      </c>
      <c r="U90" s="119">
        <f>+IS!U14+('Revenue &amp; Expenses Modeling'!U79/10^7)</f>
        <v>10.582091052506954</v>
      </c>
      <c r="V90" s="119">
        <f>+IS!V14+('Revenue &amp; Expenses Modeling'!V79/10^7)</f>
        <v>10.970598947279441</v>
      </c>
      <c r="W90" s="119">
        <f>+IS!W14+('Revenue &amp; Expenses Modeling'!W79/10^7)</f>
        <v>11.386169857427156</v>
      </c>
      <c r="X90" s="119">
        <f>+IS!X14+('Revenue &amp; Expenses Modeling'!X79/10^7)</f>
        <v>11.809216446663811</v>
      </c>
      <c r="Y90" s="119">
        <f>+IS!Y14+('Revenue &amp; Expenses Modeling'!Y79/10^7)</f>
        <v>12.261387720243784</v>
      </c>
      <c r="Z90" s="119">
        <f>+IS!Z14+('Revenue &amp; Expenses Modeling'!Z79/10^7)</f>
        <v>12.736928150020898</v>
      </c>
      <c r="AA90" s="119">
        <f>+IS!AA14+('Revenue &amp; Expenses Modeling'!AA79/10^7)</f>
        <v>13.243716575421761</v>
      </c>
      <c r="AB90" s="119">
        <f>+IS!AB14+('Revenue &amp; Expenses Modeling'!AB79/10^7)</f>
        <v>13.762831813106057</v>
      </c>
      <c r="AC90" s="119">
        <f>+IS!AC14+('Revenue &amp; Expenses Modeling'!AC79/10^7)</f>
        <v>14.315701217432768</v>
      </c>
      <c r="AD90" s="119">
        <f>+IS!AD14+('Revenue &amp; Expenses Modeling'!AD79/10^7)</f>
        <v>14.89695808900062</v>
      </c>
      <c r="AE90" s="119">
        <f>+IS!AE14+('Revenue &amp; Expenses Modeling'!AE79/10^7)</f>
        <v>15.514585767867493</v>
      </c>
    </row>
    <row r="91" spans="2:31" x14ac:dyDescent="0.25">
      <c r="B91" s="137" t="s">
        <v>357</v>
      </c>
      <c r="F91" s="119">
        <f>F89-F90</f>
        <v>117.63764484192012</v>
      </c>
      <c r="G91" s="119">
        <f t="shared" ref="G91:AE91" si="13">G89-G90</f>
        <v>118.51171289856407</v>
      </c>
      <c r="H91" s="119">
        <f t="shared" si="13"/>
        <v>114.47201138284521</v>
      </c>
      <c r="I91" s="119">
        <f t="shared" si="13"/>
        <v>114.81345580849199</v>
      </c>
      <c r="J91" s="119">
        <f t="shared" si="13"/>
        <v>115.14654660667885</v>
      </c>
      <c r="K91" s="119">
        <f t="shared" si="13"/>
        <v>115.80065733277388</v>
      </c>
      <c r="L91" s="119">
        <f t="shared" si="13"/>
        <v>115.78555093826409</v>
      </c>
      <c r="M91" s="119">
        <f t="shared" si="13"/>
        <v>116.0903383644161</v>
      </c>
      <c r="N91" s="119">
        <f t="shared" si="13"/>
        <v>116.38451721458298</v>
      </c>
      <c r="O91" s="119">
        <f t="shared" si="13"/>
        <v>117.00354230807373</v>
      </c>
      <c r="P91" s="119">
        <f t="shared" si="13"/>
        <v>116.93846784051811</v>
      </c>
      <c r="Q91" s="119">
        <f t="shared" si="13"/>
        <v>117.19686636869932</v>
      </c>
      <c r="R91" s="119">
        <f t="shared" si="13"/>
        <v>117.44190650239784</v>
      </c>
      <c r="S91" s="119">
        <f t="shared" si="13"/>
        <v>118.0152040955541</v>
      </c>
      <c r="T91" s="119">
        <f t="shared" si="13"/>
        <v>117.88876493149253</v>
      </c>
      <c r="U91" s="119">
        <f t="shared" si="13"/>
        <v>118.0889095073601</v>
      </c>
      <c r="V91" s="119">
        <f t="shared" si="13"/>
        <v>118.27234421007624</v>
      </c>
      <c r="W91" s="119">
        <f t="shared" si="13"/>
        <v>118.78692236867306</v>
      </c>
      <c r="X91" s="119">
        <f t="shared" si="13"/>
        <v>118.5852500606627</v>
      </c>
      <c r="Y91" s="119">
        <f t="shared" si="13"/>
        <v>118.71268219070782</v>
      </c>
      <c r="Z91" s="119">
        <f t="shared" si="13"/>
        <v>118.8193215016849</v>
      </c>
      <c r="AA91" s="119">
        <f t="shared" si="13"/>
        <v>119.25933079004452</v>
      </c>
      <c r="AB91" s="119">
        <f t="shared" si="13"/>
        <v>118.96555218967296</v>
      </c>
      <c r="AC91" s="119">
        <f t="shared" si="13"/>
        <v>119.00266045223859</v>
      </c>
      <c r="AD91" s="119">
        <f t="shared" si="13"/>
        <v>119.01400369829243</v>
      </c>
      <c r="AE91" s="119">
        <f t="shared" si="13"/>
        <v>119.36012037063156</v>
      </c>
    </row>
    <row r="92" spans="2:31" x14ac:dyDescent="0.25">
      <c r="B92" s="31" t="s">
        <v>358</v>
      </c>
      <c r="F92" s="119">
        <f ca="1">+IS!F16+IS!F18+IS!F15+(('Revenue &amp; Expenses Modeling'!F82+'Revenue &amp; Expenses Modeling'!F84+'Revenue &amp; Expenses Modeling'!F88+'Revenue &amp; Expenses Modeling'!F89+'Revenue &amp; Expenses Modeling'!F90)/10^7)</f>
        <v>22.735321841372741</v>
      </c>
      <c r="G92" s="119">
        <f ca="1">+IS!G16+IS!G18+IS!G15+(('Revenue &amp; Expenses Modeling'!G82+'Revenue &amp; Expenses Modeling'!G84+'Revenue &amp; Expenses Modeling'!G88+'Revenue &amp; Expenses Modeling'!G89+'Revenue &amp; Expenses Modeling'!G90)/10^7)</f>
        <v>23.620324125608548</v>
      </c>
      <c r="H92" s="119">
        <f ca="1">+IS!H16+IS!H18+IS!H15+(('Revenue &amp; Expenses Modeling'!H82+'Revenue &amp; Expenses Modeling'!H84+'Revenue &amp; Expenses Modeling'!H88+'Revenue &amp; Expenses Modeling'!H89+'Revenue &amp; Expenses Modeling'!H90)/10^7)</f>
        <v>23.540008465802526</v>
      </c>
      <c r="I92" s="119">
        <f ca="1">+IS!I16+IS!I18+IS!I15+(('Revenue &amp; Expenses Modeling'!I82+'Revenue &amp; Expenses Modeling'!I84+'Revenue &amp; Expenses Modeling'!I88+'Revenue &amp; Expenses Modeling'!I89+'Revenue &amp; Expenses Modeling'!I90)/10^7)</f>
        <v>23.581175932173075</v>
      </c>
      <c r="J92" s="119">
        <f ca="1">+IS!J16+IS!J18+IS!J15+(('Revenue &amp; Expenses Modeling'!J82+'Revenue &amp; Expenses Modeling'!J84+'Revenue &amp; Expenses Modeling'!J88+'Revenue &amp; Expenses Modeling'!J89+'Revenue &amp; Expenses Modeling'!J90)/10^7)</f>
        <v>23.563543398543626</v>
      </c>
      <c r="K92" s="119">
        <f ca="1">+IS!K16+IS!K18+IS!K15+(('Revenue &amp; Expenses Modeling'!K82+'Revenue &amp; Expenses Modeling'!K84+'Revenue &amp; Expenses Modeling'!K88+'Revenue &amp; Expenses Modeling'!K89+'Revenue &amp; Expenses Modeling'!K90)/10^7)</f>
        <v>23.67179515127259</v>
      </c>
      <c r="L92" s="119">
        <f ca="1">+IS!L16+IS!L18+IS!L15+(('Revenue &amp; Expenses Modeling'!L82+'Revenue &amp; Expenses Modeling'!L84+'Revenue &amp; Expenses Modeling'!L88+'Revenue &amp; Expenses Modeling'!L89+'Revenue &amp; Expenses Modeling'!L90)/10^7)</f>
        <v>23.591146022973408</v>
      </c>
      <c r="M92" s="119">
        <f ca="1">+IS!M16+IS!M18+IS!M15+(('Revenue &amp; Expenses Modeling'!M82+'Revenue &amp; Expenses Modeling'!M84+'Revenue &amp; Expenses Modeling'!M88+'Revenue &amp; Expenses Modeling'!M89+'Revenue &amp; Expenses Modeling'!M90)/10^7)</f>
        <v>23.640833609343961</v>
      </c>
      <c r="N92" s="119">
        <f ca="1">+IS!N16+IS!N18+IS!N15+(('Revenue &amp; Expenses Modeling'!N82+'Revenue &amp; Expenses Modeling'!N84+'Revenue &amp; Expenses Modeling'!N88+'Revenue &amp; Expenses Modeling'!N89+'Revenue &amp; Expenses Modeling'!N90)/10^7)</f>
        <v>23.623201075714508</v>
      </c>
      <c r="O92" s="119">
        <f ca="1">+IS!O16+IS!O18+IS!O15+(('Revenue &amp; Expenses Modeling'!O82+'Revenue &amp; Expenses Modeling'!O84+'Revenue &amp; Expenses Modeling'!O88+'Revenue &amp; Expenses Modeling'!O89+'Revenue &amp; Expenses Modeling'!O90)/10^7)</f>
        <v>23.740951144921283</v>
      </c>
      <c r="P92" s="119">
        <f ca="1">+IS!P16+IS!P18+IS!P15+(('Revenue &amp; Expenses Modeling'!P82+'Revenue &amp; Expenses Modeling'!P84+'Revenue &amp; Expenses Modeling'!P88+'Revenue &amp; Expenses Modeling'!P89+'Revenue &amp; Expenses Modeling'!P90)/10^7)</f>
        <v>23.659920228544291</v>
      </c>
      <c r="Q92" s="119">
        <f ca="1">+IS!Q16+IS!Q18+IS!Q15+(('Revenue &amp; Expenses Modeling'!Q82+'Revenue &amp; Expenses Modeling'!Q84+'Revenue &amp; Expenses Modeling'!Q88+'Revenue &amp; Expenses Modeling'!Q89+'Revenue &amp; Expenses Modeling'!Q90)/10^7)</f>
        <v>23.719362500302843</v>
      </c>
      <c r="R92" s="119">
        <f ca="1">+IS!R16+IS!R18+IS!R15+(('Revenue &amp; Expenses Modeling'!R82+'Revenue &amp; Expenses Modeling'!R84+'Revenue &amp; Expenses Modeling'!R88+'Revenue &amp; Expenses Modeling'!R89+'Revenue &amp; Expenses Modeling'!R90)/10^7)</f>
        <v>23.70172996667339</v>
      </c>
      <c r="S92" s="119">
        <f ca="1">+IS!S16+IS!S18+IS!S15+(('Revenue &amp; Expenses Modeling'!S82+'Revenue &amp; Expenses Modeling'!S84+'Revenue &amp; Expenses Modeling'!S88+'Revenue &amp; Expenses Modeling'!S89+'Revenue &amp; Expenses Modeling'!S90)/10^7)</f>
        <v>23.830354658415608</v>
      </c>
      <c r="T92" s="119">
        <f ca="1">+IS!T16+IS!T18+IS!T15+(('Revenue &amp; Expenses Modeling'!T82+'Revenue &amp; Expenses Modeling'!T84+'Revenue &amp; Expenses Modeling'!T88+'Revenue &amp; Expenses Modeling'!T89+'Revenue &amp; Expenses Modeling'!T90)/10^7)</f>
        <v>23.748886632868334</v>
      </c>
      <c r="U92" s="119">
        <f ca="1">+IS!U16+IS!U18+IS!U15+(('Revenue &amp; Expenses Modeling'!U82+'Revenue &amp; Expenses Modeling'!U84+'Revenue &amp; Expenses Modeling'!U88+'Revenue &amp; Expenses Modeling'!U89+'Revenue &amp; Expenses Modeling'!U90)/10^7)</f>
        <v>23.819497043927608</v>
      </c>
      <c r="V92" s="119">
        <f ca="1">+IS!V16+IS!V18+IS!V15+(('Revenue &amp; Expenses Modeling'!V82+'Revenue &amp; Expenses Modeling'!V84+'Revenue &amp; Expenses Modeling'!V88+'Revenue &amp; Expenses Modeling'!V89+'Revenue &amp; Expenses Modeling'!V90)/10^7)</f>
        <v>23.801864510298156</v>
      </c>
      <c r="W92" s="119">
        <f ca="1">+IS!W16+IS!W18+IS!W15+(('Revenue &amp; Expenses Modeling'!W82+'Revenue &amp; Expenses Modeling'!W84+'Revenue &amp; Expenses Modeling'!W88+'Revenue &amp; Expenses Modeling'!W89+'Revenue &amp; Expenses Modeling'!W90)/10^7)</f>
        <v>23.942939557381202</v>
      </c>
      <c r="X92" s="119">
        <f ca="1">+IS!X16+IS!X18+IS!X15+(('Revenue &amp; Expenses Modeling'!X82+'Revenue &amp; Expenses Modeling'!X84+'Revenue &amp; Expenses Modeling'!X88+'Revenue &amp; Expenses Modeling'!X89+'Revenue &amp; Expenses Modeling'!X90)/10^7)</f>
        <v>23.860971085544875</v>
      </c>
      <c r="Y92" s="119">
        <f ca="1">+IS!Y16+IS!Y18+IS!Y15+(('Revenue &amp; Expenses Modeling'!Y82+'Revenue &amp; Expenses Modeling'!Y84+'Revenue &amp; Expenses Modeling'!Y88+'Revenue &amp; Expenses Modeling'!Y89+'Revenue &amp; Expenses Modeling'!Y90)/10^7)</f>
        <v>23.944367899289539</v>
      </c>
      <c r="Z92" s="119">
        <f ca="1">+IS!Z16+IS!Z18+IS!Z15+(('Revenue &amp; Expenses Modeling'!Z82+'Revenue &amp; Expenses Modeling'!Z84+'Revenue &amp; Expenses Modeling'!Z88+'Revenue &amp; Expenses Modeling'!Z89+'Revenue &amp; Expenses Modeling'!Z90)/10^7)</f>
        <v>23.92673536566009</v>
      </c>
      <c r="AA92" s="119">
        <f ca="1">+IS!AA16+IS!AA18+IS!AA15+(('Revenue &amp; Expenses Modeling'!AA82+'Revenue &amp; Expenses Modeling'!AA84+'Revenue &amp; Expenses Modeling'!AA88+'Revenue &amp; Expenses Modeling'!AA89+'Revenue &amp; Expenses Modeling'!AA90)/10^7)</f>
        <v>24.082064824572846</v>
      </c>
      <c r="AB92" s="119">
        <f ca="1">+IS!AB16+IS!AB18+IS!AB15+(('Revenue &amp; Expenses Modeling'!AB82+'Revenue &amp; Expenses Modeling'!AB84+'Revenue &amp; Expenses Modeling'!AB88+'Revenue &amp; Expenses Modeling'!AB89+'Revenue &amp; Expenses Modeling'!AB90)/10^7)</f>
        <v>23.99952339178018</v>
      </c>
      <c r="AC92" s="119">
        <f ca="1">+IS!AC16+IS!AC18+IS!AC15+(('Revenue &amp; Expenses Modeling'!AC82+'Revenue &amp; Expenses Modeling'!AC84+'Revenue &amp; Expenses Modeling'!AC88+'Revenue &amp; Expenses Modeling'!AC89+'Revenue &amp; Expenses Modeling'!AC90)/10^7)</f>
        <v>24.097559357959355</v>
      </c>
      <c r="AD92" s="119">
        <f ca="1">+IS!AD16+IS!AD18+IS!AD15+(('Revenue &amp; Expenses Modeling'!AD82+'Revenue &amp; Expenses Modeling'!AD84+'Revenue &amp; Expenses Modeling'!AD88+'Revenue &amp; Expenses Modeling'!AD89+'Revenue &amp; Expenses Modeling'!AD90)/10^7)</f>
        <v>24.079926824329906</v>
      </c>
      <c r="AE92" s="119">
        <f ca="1">+IS!AE16+IS!AE18+IS!AE15+(('Revenue &amp; Expenses Modeling'!AE82+'Revenue &amp; Expenses Modeling'!AE84+'Revenue &amp; Expenses Modeling'!AE88+'Revenue &amp; Expenses Modeling'!AE89+'Revenue &amp; Expenses Modeling'!AE90)/10^7)</f>
        <v>24.251576159346499</v>
      </c>
    </row>
    <row r="93" spans="2:31" x14ac:dyDescent="0.25">
      <c r="B93" s="31" t="s">
        <v>359</v>
      </c>
      <c r="F93" s="119">
        <f ca="1">F91-F92</f>
        <v>94.902323000547383</v>
      </c>
      <c r="G93" s="119">
        <f t="shared" ref="G93:AE93" ca="1" si="14">G91-G92</f>
        <v>94.891388772955523</v>
      </c>
      <c r="H93" s="119">
        <f t="shared" ca="1" si="14"/>
        <v>90.932002917042681</v>
      </c>
      <c r="I93" s="119">
        <f t="shared" ca="1" si="14"/>
        <v>91.232279876318927</v>
      </c>
      <c r="J93" s="119">
        <f t="shared" ca="1" si="14"/>
        <v>91.583003208135224</v>
      </c>
      <c r="K93" s="119">
        <f t="shared" ca="1" si="14"/>
        <v>92.12886218150129</v>
      </c>
      <c r="L93" s="119">
        <f t="shared" ca="1" si="14"/>
        <v>92.19440491529069</v>
      </c>
      <c r="M93" s="119">
        <f t="shared" ca="1" si="14"/>
        <v>92.449504755072141</v>
      </c>
      <c r="N93" s="119">
        <f t="shared" ca="1" si="14"/>
        <v>92.76131613886848</v>
      </c>
      <c r="O93" s="119">
        <f t="shared" ca="1" si="14"/>
        <v>93.26259116315245</v>
      </c>
      <c r="P93" s="119">
        <f t="shared" ca="1" si="14"/>
        <v>93.278547611973821</v>
      </c>
      <c r="Q93" s="119">
        <f t="shared" ca="1" si="14"/>
        <v>93.477503868396468</v>
      </c>
      <c r="R93" s="119">
        <f t="shared" ca="1" si="14"/>
        <v>93.740176535724459</v>
      </c>
      <c r="S93" s="119">
        <f t="shared" ca="1" si="14"/>
        <v>94.184849437138496</v>
      </c>
      <c r="T93" s="119">
        <f t="shared" ca="1" si="14"/>
        <v>94.139878298624197</v>
      </c>
      <c r="U93" s="119">
        <f t="shared" ca="1" si="14"/>
        <v>94.269412463432488</v>
      </c>
      <c r="V93" s="119">
        <f t="shared" ca="1" si="14"/>
        <v>94.470479699778082</v>
      </c>
      <c r="W93" s="119">
        <f t="shared" ca="1" si="14"/>
        <v>94.843982811291852</v>
      </c>
      <c r="X93" s="119">
        <f t="shared" ca="1" si="14"/>
        <v>94.724278975117826</v>
      </c>
      <c r="Y93" s="119">
        <f t="shared" ca="1" si="14"/>
        <v>94.768314291418278</v>
      </c>
      <c r="Z93" s="119">
        <f t="shared" ca="1" si="14"/>
        <v>94.892586136024804</v>
      </c>
      <c r="AA93" s="119">
        <f t="shared" ca="1" si="14"/>
        <v>95.177265965471662</v>
      </c>
      <c r="AB93" s="119">
        <f t="shared" ca="1" si="14"/>
        <v>94.96602879789279</v>
      </c>
      <c r="AC93" s="119">
        <f t="shared" ca="1" si="14"/>
        <v>94.905101094279232</v>
      </c>
      <c r="AD93" s="119">
        <f t="shared" ca="1" si="14"/>
        <v>94.934076873962525</v>
      </c>
      <c r="AE93" s="119">
        <f t="shared" ca="1" si="14"/>
        <v>95.108544211285064</v>
      </c>
    </row>
    <row r="94" spans="2:31" x14ac:dyDescent="0.25">
      <c r="B94" s="137" t="s">
        <v>360</v>
      </c>
      <c r="F94" s="321">
        <f>F91/F89</f>
        <v>0.97714285714285709</v>
      </c>
      <c r="G94" s="321">
        <f t="shared" ref="G94:AE94" si="15">G91/G89</f>
        <v>0.97736916548797736</v>
      </c>
      <c r="H94" s="321">
        <f t="shared" si="15"/>
        <v>0.94245089656803349</v>
      </c>
      <c r="I94" s="321">
        <f t="shared" si="15"/>
        <v>0.94107892115173475</v>
      </c>
      <c r="J94" s="321">
        <f t="shared" si="15"/>
        <v>0.93963246383807508</v>
      </c>
      <c r="K94" s="321">
        <f t="shared" si="15"/>
        <v>0.93821795089667948</v>
      </c>
      <c r="L94" s="321">
        <f t="shared" si="15"/>
        <v>0.93650292805791224</v>
      </c>
      <c r="M94" s="321">
        <f t="shared" si="15"/>
        <v>0.93481288286633235</v>
      </c>
      <c r="N94" s="321">
        <f t="shared" si="15"/>
        <v>0.93303440853880815</v>
      </c>
      <c r="O94" s="321">
        <f t="shared" si="15"/>
        <v>0.93129458708182489</v>
      </c>
      <c r="P94" s="321">
        <f t="shared" si="15"/>
        <v>0.92919641899686067</v>
      </c>
      <c r="Q94" s="321">
        <f t="shared" si="15"/>
        <v>0.92712857459799747</v>
      </c>
      <c r="R94" s="321">
        <f t="shared" si="15"/>
        <v>0.92495562622810734</v>
      </c>
      <c r="S94" s="321">
        <f t="shared" si="15"/>
        <v>0.9228293217800897</v>
      </c>
      <c r="T94" s="321">
        <f t="shared" si="15"/>
        <v>0.92027558638994833</v>
      </c>
      <c r="U94" s="321">
        <f t="shared" si="15"/>
        <v>0.91775853916995542</v>
      </c>
      <c r="V94" s="321">
        <f t="shared" si="15"/>
        <v>0.91511645681170739</v>
      </c>
      <c r="W94" s="321">
        <f t="shared" si="15"/>
        <v>0.91253054173707204</v>
      </c>
      <c r="X94" s="321">
        <f t="shared" si="15"/>
        <v>0.90943468106447378</v>
      </c>
      <c r="Y94" s="321">
        <f t="shared" si="15"/>
        <v>0.90638308996139294</v>
      </c>
      <c r="Z94" s="321">
        <f t="shared" si="15"/>
        <v>0.90318264480979182</v>
      </c>
      <c r="AA94" s="321">
        <f t="shared" si="15"/>
        <v>0.90004972082722523</v>
      </c>
      <c r="AB94" s="321">
        <f t="shared" si="15"/>
        <v>0.89630829971667625</v>
      </c>
      <c r="AC94" s="321">
        <f t="shared" si="15"/>
        <v>0.8926201834605243</v>
      </c>
      <c r="AD94" s="321">
        <f t="shared" si="15"/>
        <v>0.88875475248498881</v>
      </c>
      <c r="AE94" s="321">
        <f t="shared" si="15"/>
        <v>0.88497038316483156</v>
      </c>
    </row>
    <row r="95" spans="2:31" x14ac:dyDescent="0.25">
      <c r="B95" s="320" t="s">
        <v>361</v>
      </c>
      <c r="F95" s="271">
        <f ca="1">(F92/F91)*F89</f>
        <v>23.267142235322982</v>
      </c>
      <c r="G95" s="271">
        <f t="shared" ref="G95:AE95" ca="1" si="16">(G92/G91)*G89</f>
        <v>24.167249141541596</v>
      </c>
      <c r="H95" s="271">
        <f t="shared" ca="1" si="16"/>
        <v>24.977437606059112</v>
      </c>
      <c r="I95" s="271">
        <f t="shared" ca="1" si="16"/>
        <v>25.057596554509342</v>
      </c>
      <c r="J95" s="271">
        <f t="shared" ca="1" si="16"/>
        <v>25.077404522928745</v>
      </c>
      <c r="K95" s="271">
        <f t="shared" ca="1" si="16"/>
        <v>25.230592879457095</v>
      </c>
      <c r="L95" s="271">
        <f t="shared" ca="1" si="16"/>
        <v>25.190680473253749</v>
      </c>
      <c r="M95" s="271">
        <f t="shared" ca="1" si="16"/>
        <v>25.289375063869688</v>
      </c>
      <c r="N95" s="271">
        <f t="shared" ca="1" si="16"/>
        <v>25.31868156149778</v>
      </c>
      <c r="O95" s="271">
        <f t="shared" ca="1" si="16"/>
        <v>25.492418268329708</v>
      </c>
      <c r="P95" s="271">
        <f t="shared" ca="1" si="16"/>
        <v>25.462775947938976</v>
      </c>
      <c r="Q95" s="271">
        <f t="shared" ca="1" si="16"/>
        <v>25.583681864823927</v>
      </c>
      <c r="R95" s="271">
        <f t="shared" ca="1" si="16"/>
        <v>25.624721115895134</v>
      </c>
      <c r="S95" s="271">
        <f t="shared" ca="1" si="16"/>
        <v>25.823144210944765</v>
      </c>
      <c r="T95" s="271">
        <f t="shared" ca="1" si="16"/>
        <v>25.80627692844741</v>
      </c>
      <c r="U95" s="271">
        <f t="shared" ca="1" si="16"/>
        <v>25.953991194100553</v>
      </c>
      <c r="V95" s="271">
        <f t="shared" ca="1" si="16"/>
        <v>26.009656293609392</v>
      </c>
      <c r="W95" s="271">
        <f t="shared" ca="1" si="16"/>
        <v>26.237959676181333</v>
      </c>
      <c r="X95" s="271">
        <f t="shared" ca="1" si="16"/>
        <v>26.237146638850543</v>
      </c>
      <c r="Y95" s="271">
        <f t="shared" ca="1" si="16"/>
        <v>26.417491858006134</v>
      </c>
      <c r="Z95" s="271">
        <f t="shared" ca="1" si="16"/>
        <v>26.491580084224278</v>
      </c>
      <c r="AA95" s="271">
        <f t="shared" ca="1" si="16"/>
        <v>26.756371639601536</v>
      </c>
      <c r="AB95" s="271">
        <f t="shared" ca="1" si="16"/>
        <v>26.775969160797072</v>
      </c>
      <c r="AC95" s="271">
        <f t="shared" ca="1" si="16"/>
        <v>26.996431185924507</v>
      </c>
      <c r="AD95" s="271">
        <f t="shared" ca="1" si="16"/>
        <v>27.09400625650845</v>
      </c>
      <c r="AE95" s="271">
        <f t="shared" ca="1" si="16"/>
        <v>27.403827993223906</v>
      </c>
    </row>
    <row r="96" spans="2:31" x14ac:dyDescent="0.25">
      <c r="B96" s="96" t="s">
        <v>362</v>
      </c>
      <c r="C96" s="323"/>
      <c r="D96" s="323"/>
      <c r="E96" s="323"/>
      <c r="F96" s="322">
        <f ca="1">F95/F89</f>
        <v>0.19326570054954909</v>
      </c>
      <c r="G96" s="322">
        <f t="shared" ref="G96:AE96" ca="1" si="17">G95/G89</f>
        <v>0.1993079295531365</v>
      </c>
      <c r="H96" s="322">
        <f t="shared" ca="1" si="17"/>
        <v>0.20563986062125081</v>
      </c>
      <c r="I96" s="322">
        <f t="shared" ca="1" si="17"/>
        <v>0.20538686660130068</v>
      </c>
      <c r="J96" s="322">
        <f t="shared" ca="1" si="17"/>
        <v>0.20463960138581236</v>
      </c>
      <c r="K96" s="322">
        <f t="shared" ca="1" si="17"/>
        <v>0.20441848687652486</v>
      </c>
      <c r="L96" s="322">
        <f t="shared" ca="1" si="17"/>
        <v>0.2037486183017086</v>
      </c>
      <c r="M96" s="322">
        <f t="shared" ca="1" si="17"/>
        <v>0.20364169785717781</v>
      </c>
      <c r="N96" s="322">
        <f t="shared" ca="1" si="17"/>
        <v>0.2029754613507519</v>
      </c>
      <c r="O96" s="322">
        <f t="shared" ca="1" si="17"/>
        <v>0.20290796908020672</v>
      </c>
      <c r="P96" s="322">
        <f t="shared" ca="1" si="17"/>
        <v>0.2023279478983078</v>
      </c>
      <c r="Q96" s="322">
        <f t="shared" ca="1" si="17"/>
        <v>0.20238905045193051</v>
      </c>
      <c r="R96" s="322">
        <f t="shared" ca="1" si="17"/>
        <v>0.20181663149507426</v>
      </c>
      <c r="S96" s="322">
        <f t="shared" ca="1" si="17"/>
        <v>0.20192614028884565</v>
      </c>
      <c r="T96" s="322">
        <f t="shared" ca="1" si="17"/>
        <v>0.20145165357079853</v>
      </c>
      <c r="U96" s="322">
        <f t="shared" ca="1" si="17"/>
        <v>0.20170816330929889</v>
      </c>
      <c r="V96" s="322">
        <f t="shared" ca="1" si="17"/>
        <v>0.20124623950989845</v>
      </c>
      <c r="W96" s="322">
        <f t="shared" ca="1" si="17"/>
        <v>0.2015620834343253</v>
      </c>
      <c r="X96" s="322">
        <f t="shared" ca="1" si="17"/>
        <v>0.20121365071405348</v>
      </c>
      <c r="Y96" s="322">
        <f t="shared" ca="1" si="17"/>
        <v>0.20170016764361989</v>
      </c>
      <c r="Z96" s="322">
        <f t="shared" ca="1" si="17"/>
        <v>0.20137074562676072</v>
      </c>
      <c r="AA96" s="322">
        <f t="shared" ca="1" si="17"/>
        <v>0.20193023610847866</v>
      </c>
      <c r="AB96" s="322">
        <f t="shared" ca="1" si="17"/>
        <v>0.20173506489942983</v>
      </c>
      <c r="AC96" s="322">
        <f t="shared" ca="1" si="17"/>
        <v>0.20249597165628788</v>
      </c>
      <c r="AD96" s="322">
        <f t="shared" ca="1" si="17"/>
        <v>0.20232851661199427</v>
      </c>
      <c r="AE96" s="322">
        <f t="shared" ca="1" si="17"/>
        <v>0.20317989026855551</v>
      </c>
    </row>
    <row r="97" spans="2:31" x14ac:dyDescent="0.25">
      <c r="B97" s="120"/>
    </row>
    <row r="98" spans="2:31" x14ac:dyDescent="0.25">
      <c r="B98" s="120"/>
    </row>
    <row r="99" spans="2:31" x14ac:dyDescent="0.25">
      <c r="B99" s="325" t="s">
        <v>363</v>
      </c>
      <c r="C99" s="325"/>
      <c r="D99" s="325"/>
      <c r="E99" s="325"/>
      <c r="F99" s="325"/>
      <c r="G99" s="325"/>
      <c r="H99" s="325"/>
      <c r="I99" s="325"/>
      <c r="J99" s="325"/>
      <c r="K99" s="325"/>
      <c r="L99" s="325"/>
      <c r="M99" s="325"/>
      <c r="N99" s="325"/>
      <c r="O99" s="326"/>
      <c r="P99" s="326"/>
      <c r="Q99" s="326"/>
      <c r="R99" s="326"/>
      <c r="S99" s="326"/>
      <c r="T99" s="326"/>
      <c r="U99" s="326"/>
      <c r="V99" s="326"/>
      <c r="W99" s="326"/>
      <c r="X99" s="326"/>
      <c r="Y99" s="326"/>
      <c r="Z99" s="326"/>
      <c r="AA99" s="326"/>
      <c r="AB99" s="326"/>
      <c r="AC99" s="326"/>
      <c r="AD99" s="326"/>
      <c r="AE99" s="326"/>
    </row>
    <row r="101" spans="2:31" x14ac:dyDescent="0.25">
      <c r="B101" s="31" t="s">
        <v>348</v>
      </c>
      <c r="C101" s="31"/>
      <c r="D101" s="31"/>
      <c r="E101" s="31"/>
      <c r="F101" s="324">
        <f ca="1">IS!F42</f>
        <v>0.93475716454001079</v>
      </c>
      <c r="G101" s="324">
        <f ca="1">IS!G42</f>
        <v>0.92838610208899774</v>
      </c>
      <c r="H101" s="324">
        <f ca="1">IS!H42</f>
        <v>0.89381451035697335</v>
      </c>
      <c r="I101" s="324">
        <f ca="1">IS!I42</f>
        <v>0.8923203340929039</v>
      </c>
      <c r="J101" s="324">
        <f ca="1">IS!J42</f>
        <v>0.89123353667426852</v>
      </c>
      <c r="K101" s="324">
        <f ca="1">IS!K42</f>
        <v>0.88967919494705983</v>
      </c>
      <c r="L101" s="324">
        <f ca="1">IS!L42</f>
        <v>0.88830815843012356</v>
      </c>
      <c r="M101" s="324">
        <f ca="1">IS!M42</f>
        <v>0.88643128363540613</v>
      </c>
      <c r="N101" s="324">
        <f ca="1">IS!N42</f>
        <v>0.88500827077366284</v>
      </c>
      <c r="O101" s="324">
        <f ca="1">IS!O42</f>
        <v>0.88305889448974872</v>
      </c>
      <c r="P101" s="324">
        <f ca="1">IS!P42</f>
        <v>0.88130263222837246</v>
      </c>
      <c r="Q101" s="324">
        <f ca="1">IS!Q42</f>
        <v>0.87897649383244625</v>
      </c>
      <c r="R101" s="324">
        <f ca="1">IS!R42</f>
        <v>0.8771555055898872</v>
      </c>
      <c r="S101" s="324">
        <f ca="1">IS!S42</f>
        <v>0.87474271553303873</v>
      </c>
      <c r="T101" s="324">
        <f ca="1">IS!T42</f>
        <v>0.87252947292392713</v>
      </c>
      <c r="U101" s="324">
        <f ca="1">IS!U42</f>
        <v>0.8696749508901056</v>
      </c>
      <c r="V101" s="324">
        <f ca="1">IS!V42</f>
        <v>0.86738208362170488</v>
      </c>
      <c r="W101" s="324">
        <f ca="1">IS!W42</f>
        <v>0.8644246120896435</v>
      </c>
      <c r="X101" s="324">
        <f ca="1">IS!X42</f>
        <v>0.86166856319976926</v>
      </c>
      <c r="Y101" s="324">
        <f ca="1">IS!Y42</f>
        <v>0.85819160996745014</v>
      </c>
      <c r="Z101" s="324">
        <f ca="1">IS!Z42</f>
        <v>0.85533845836579325</v>
      </c>
      <c r="AA101" s="324">
        <f ca="1">IS!AA42</f>
        <v>0.85173971580407304</v>
      </c>
      <c r="AB101" s="324">
        <f ca="1">IS!AB42</f>
        <v>0.84833823053994151</v>
      </c>
      <c r="AC101" s="324">
        <f ca="1">IS!AC42</f>
        <v>0.84412704532455352</v>
      </c>
      <c r="AD101" s="324">
        <f ca="1">IS!AD42</f>
        <v>0.84060788602367231</v>
      </c>
      <c r="AE101" s="324">
        <f ca="1">IS!AE42</f>
        <v>0.8362530631668551</v>
      </c>
    </row>
    <row r="102" spans="2:31" x14ac:dyDescent="0.25">
      <c r="B102" s="135" t="s">
        <v>352</v>
      </c>
      <c r="C102" s="135"/>
      <c r="D102" s="135"/>
      <c r="E102" s="135"/>
      <c r="F102" s="361">
        <f ca="1">AVERAGE(F101:AE101)</f>
        <v>0.87520963419732256</v>
      </c>
      <c r="G102" s="361"/>
      <c r="H102" s="361"/>
      <c r="I102" s="361"/>
      <c r="J102" s="361"/>
      <c r="K102" s="361"/>
      <c r="L102" s="361"/>
      <c r="M102" s="361"/>
      <c r="N102" s="361"/>
      <c r="O102" s="361"/>
      <c r="P102" s="361"/>
      <c r="Q102" s="361"/>
      <c r="R102" s="361"/>
      <c r="S102" s="361"/>
      <c r="T102" s="361"/>
      <c r="U102" s="361"/>
      <c r="V102" s="361"/>
      <c r="W102" s="361"/>
      <c r="X102" s="361"/>
      <c r="Y102" s="361"/>
      <c r="Z102" s="361"/>
      <c r="AA102" s="361"/>
      <c r="AB102" s="361"/>
      <c r="AC102" s="361"/>
      <c r="AD102" s="361"/>
      <c r="AE102" s="361"/>
    </row>
    <row r="103" spans="2:31" x14ac:dyDescent="0.25">
      <c r="B103" s="31" t="s">
        <v>349</v>
      </c>
      <c r="C103" s="31"/>
      <c r="D103" s="31"/>
      <c r="E103" s="31"/>
      <c r="F103" s="324">
        <f ca="1">IS!F44</f>
        <v>0.78829465832015488</v>
      </c>
      <c r="G103" s="324">
        <f ca="1">IS!G44</f>
        <v>0.78257174070549163</v>
      </c>
      <c r="H103" s="324">
        <f ca="1">IS!H44</f>
        <v>0.74864542555541014</v>
      </c>
      <c r="I103" s="324">
        <f ca="1">IS!I44</f>
        <v>0.74779367031184751</v>
      </c>
      <c r="J103" s="324">
        <f ca="1">IS!J44</f>
        <v>0.74734645098908281</v>
      </c>
      <c r="K103" s="324">
        <f ca="1">IS!K44</f>
        <v>0.74642885701398654</v>
      </c>
      <c r="L103" s="324">
        <f ca="1">IS!L44</f>
        <v>0.7456917504306082</v>
      </c>
      <c r="M103" s="324">
        <f ca="1">IS!M44</f>
        <v>0.74444600022066931</v>
      </c>
      <c r="N103" s="324">
        <f ca="1">IS!N44</f>
        <v>0.74365131900951764</v>
      </c>
      <c r="O103" s="324">
        <f ca="1">IS!O44</f>
        <v>0.74232749380166207</v>
      </c>
      <c r="P103" s="324">
        <f ca="1">IS!P44</f>
        <v>0.74119401434676957</v>
      </c>
      <c r="Q103" s="324">
        <f ca="1">IS!Q44</f>
        <v>0.73948790273825704</v>
      </c>
      <c r="R103" s="324">
        <f ca="1">IS!R44</f>
        <v>0.73828419746033391</v>
      </c>
      <c r="S103" s="324">
        <f ca="1">IS!S44</f>
        <v>0.73648595868766309</v>
      </c>
      <c r="T103" s="324">
        <f ca="1">IS!T44</f>
        <v>0.73488454777085688</v>
      </c>
      <c r="U103" s="324">
        <f ca="1">IS!U44</f>
        <v>0.7326391498725584</v>
      </c>
      <c r="V103" s="324">
        <f ca="1">IS!V44</f>
        <v>0.73095271116472893</v>
      </c>
      <c r="W103" s="324">
        <f ca="1">IS!W44</f>
        <v>0.72859898454709415</v>
      </c>
      <c r="X103" s="324">
        <f ca="1">IS!X44</f>
        <v>0.72644400880152016</v>
      </c>
      <c r="Y103" s="324">
        <f ca="1">IS!Y44</f>
        <v>0.7235654687668378</v>
      </c>
      <c r="Z103" s="324">
        <f ca="1">IS!Z44</f>
        <v>0.72130808218729436</v>
      </c>
      <c r="AA103" s="324">
        <f ca="1">IS!AA44</f>
        <v>0.71830246819121324</v>
      </c>
      <c r="AB103" s="324">
        <f ca="1">IS!AB44</f>
        <v>0.7154914867034351</v>
      </c>
      <c r="AC103" s="324">
        <f ca="1">IS!AC44</f>
        <v>0.71186819209067165</v>
      </c>
      <c r="AD103" s="324">
        <f ca="1">IS!AD44</f>
        <v>0.70893432178284088</v>
      </c>
      <c r="AE103" s="324">
        <f ca="1">IS!AE44</f>
        <v>0.70516219782247946</v>
      </c>
    </row>
    <row r="104" spans="2:31" x14ac:dyDescent="0.25">
      <c r="B104" s="135" t="s">
        <v>352</v>
      </c>
      <c r="C104" s="135"/>
      <c r="D104" s="135"/>
      <c r="E104" s="135"/>
      <c r="F104" s="361">
        <f ca="1">AVERAGE(F103:AE103)</f>
        <v>0.73656927151126861</v>
      </c>
      <c r="G104" s="361"/>
      <c r="H104" s="361"/>
      <c r="I104" s="361"/>
      <c r="J104" s="361"/>
      <c r="K104" s="361"/>
      <c r="L104" s="361"/>
      <c r="M104" s="361"/>
      <c r="N104" s="361"/>
      <c r="O104" s="361"/>
      <c r="P104" s="361"/>
      <c r="Q104" s="361"/>
      <c r="R104" s="361"/>
      <c r="S104" s="361"/>
      <c r="T104" s="361"/>
      <c r="U104" s="361"/>
      <c r="V104" s="361"/>
      <c r="W104" s="361"/>
      <c r="X104" s="361"/>
      <c r="Y104" s="361"/>
      <c r="Z104" s="361"/>
      <c r="AA104" s="361"/>
      <c r="AB104" s="361"/>
      <c r="AC104" s="361"/>
      <c r="AD104" s="361"/>
      <c r="AE104" s="361"/>
    </row>
    <row r="105" spans="2:31" x14ac:dyDescent="0.25">
      <c r="B105" s="31" t="s">
        <v>350</v>
      </c>
      <c r="C105" s="31"/>
      <c r="D105" s="31"/>
      <c r="E105" s="31"/>
      <c r="F105" s="324">
        <f ca="1">IS!F46</f>
        <v>0.38593787275735303</v>
      </c>
      <c r="G105" s="324">
        <f ca="1">IS!G46</f>
        <v>0.38967411896374188</v>
      </c>
      <c r="H105" s="324">
        <f ca="1">IS!H46</f>
        <v>0.37522476140689132</v>
      </c>
      <c r="I105" s="324">
        <f ca="1">IS!I46</f>
        <v>0.38865190126751198</v>
      </c>
      <c r="J105" s="324">
        <f ca="1">IS!J46</f>
        <v>0.40229258735364998</v>
      </c>
      <c r="K105" s="324">
        <f ca="1">IS!K46</f>
        <v>0.41597361414955986</v>
      </c>
      <c r="L105" s="324">
        <f ca="1">IS!L46</f>
        <v>0.42858875081200498</v>
      </c>
      <c r="M105" s="324">
        <f ca="1">IS!M46</f>
        <v>0.44121420793043442</v>
      </c>
      <c r="N105" s="324">
        <f ca="1">IS!N46</f>
        <v>0.45409473887427415</v>
      </c>
      <c r="O105" s="324">
        <f ca="1">IS!O46</f>
        <v>0.46682163282936562</v>
      </c>
      <c r="P105" s="324">
        <f ca="1">IS!P46</f>
        <v>0.45974967482912865</v>
      </c>
      <c r="Q105" s="324">
        <f ca="1">IS!Q46</f>
        <v>0.40807062709164771</v>
      </c>
      <c r="R105" s="324">
        <f ca="1">IS!R46</f>
        <v>0.4145047401599693</v>
      </c>
      <c r="S105" s="324">
        <f ca="1">IS!S46</f>
        <v>0.42126419644753954</v>
      </c>
      <c r="T105" s="324">
        <f ca="1">IS!T46</f>
        <v>0.42814800423761973</v>
      </c>
      <c r="U105" s="324">
        <f ca="1">IS!U46</f>
        <v>0.43515660477650187</v>
      </c>
      <c r="V105" s="324">
        <f ca="1">IS!V46</f>
        <v>0.44284585391214293</v>
      </c>
      <c r="W105" s="324">
        <f ca="1">IS!W46</f>
        <v>0.45039011614771202</v>
      </c>
      <c r="X105" s="324">
        <f ca="1">IS!X46</f>
        <v>0.45804839046358109</v>
      </c>
      <c r="Y105" s="324">
        <f ca="1">IS!Y46</f>
        <v>0.46543713493771555</v>
      </c>
      <c r="Z105" s="324">
        <f ca="1">IS!Z46</f>
        <v>0.47336929283631379</v>
      </c>
      <c r="AA105" s="324">
        <f ca="1">IS!AA46</f>
        <v>0.47566840637811136</v>
      </c>
      <c r="AB105" s="324">
        <f ca="1">IS!AB46</f>
        <v>0.47304468131501776</v>
      </c>
      <c r="AC105" s="324">
        <f ca="1">IS!AC46</f>
        <v>0.46996714388917588</v>
      </c>
      <c r="AD105" s="324">
        <f ca="1">IS!AD46</f>
        <v>0.46747954206446529</v>
      </c>
      <c r="AE105" s="324">
        <f ca="1">IS!AE46</f>
        <v>0.46448364444844858</v>
      </c>
    </row>
    <row r="106" spans="2:31" x14ac:dyDescent="0.25">
      <c r="B106" s="135" t="s">
        <v>352</v>
      </c>
      <c r="C106" s="135"/>
      <c r="D106" s="135"/>
      <c r="E106" s="135"/>
      <c r="F106" s="361">
        <f ca="1">AVERAGE(F105:AE105)</f>
        <v>0.4367731630876876</v>
      </c>
      <c r="G106" s="361"/>
      <c r="H106" s="361"/>
      <c r="I106" s="361"/>
      <c r="J106" s="361"/>
      <c r="K106" s="361"/>
      <c r="L106" s="361"/>
      <c r="M106" s="361"/>
      <c r="N106" s="361"/>
      <c r="O106" s="361"/>
      <c r="P106" s="361"/>
      <c r="Q106" s="361"/>
      <c r="R106" s="361"/>
      <c r="S106" s="361"/>
      <c r="T106" s="361"/>
      <c r="U106" s="361"/>
      <c r="V106" s="361"/>
      <c r="W106" s="361"/>
      <c r="X106" s="361"/>
      <c r="Y106" s="361"/>
      <c r="Z106" s="361"/>
      <c r="AA106" s="361"/>
      <c r="AB106" s="361"/>
      <c r="AC106" s="361"/>
      <c r="AD106" s="361"/>
      <c r="AE106" s="361"/>
    </row>
    <row r="107" spans="2:31" x14ac:dyDescent="0.25">
      <c r="B107" s="31" t="s">
        <v>364</v>
      </c>
      <c r="C107" s="31"/>
      <c r="D107" s="31"/>
      <c r="E107" s="31"/>
      <c r="F107" s="324">
        <f>IS!F48</f>
        <v>0</v>
      </c>
      <c r="G107" s="324">
        <f>IS!G48</f>
        <v>7.196904109589175E-3</v>
      </c>
      <c r="H107" s="324">
        <f>IS!H48</f>
        <v>1.7006147540983285E-3</v>
      </c>
      <c r="I107" s="324">
        <f>IS!I48</f>
        <v>4.4450000000002543E-3</v>
      </c>
      <c r="J107" s="324">
        <f>IS!J48</f>
        <v>4.4450000000000323E-3</v>
      </c>
      <c r="K107" s="324">
        <f>IS!K48</f>
        <v>7.196904109588953E-3</v>
      </c>
      <c r="L107" s="324">
        <f>IS!L48</f>
        <v>1.7006147540985506E-3</v>
      </c>
      <c r="M107" s="324">
        <f>IS!M48</f>
        <v>4.4450000000000323E-3</v>
      </c>
      <c r="N107" s="324">
        <f>IS!N48</f>
        <v>4.4450000000002543E-3</v>
      </c>
      <c r="O107" s="324">
        <f>IS!O48</f>
        <v>7.196904109589175E-3</v>
      </c>
      <c r="P107" s="324">
        <f>IS!P48</f>
        <v>1.7006147540983285E-3</v>
      </c>
      <c r="Q107" s="324">
        <f>IS!Q48</f>
        <v>4.4450000000000323E-3</v>
      </c>
      <c r="R107" s="324">
        <f>IS!R48</f>
        <v>4.4449999999998102E-3</v>
      </c>
      <c r="S107" s="324">
        <f>IS!S48</f>
        <v>7.196904109589175E-3</v>
      </c>
      <c r="T107" s="324">
        <f>IS!T48</f>
        <v>1.7006147540985506E-3</v>
      </c>
      <c r="U107" s="324">
        <f>IS!U48</f>
        <v>4.4450000000000323E-3</v>
      </c>
      <c r="V107" s="324">
        <f>IS!V48</f>
        <v>4.4450000000002543E-3</v>
      </c>
      <c r="W107" s="324">
        <f>IS!W48</f>
        <v>7.1969041095887309E-3</v>
      </c>
      <c r="X107" s="324">
        <f>IS!X48</f>
        <v>1.7006147540983285E-3</v>
      </c>
      <c r="Y107" s="324">
        <f>IS!Y48</f>
        <v>4.4450000000002543E-3</v>
      </c>
      <c r="Z107" s="324">
        <f>IS!Z48</f>
        <v>4.4450000000000323E-3</v>
      </c>
      <c r="AA107" s="324">
        <f>IS!AA48</f>
        <v>7.196904109588953E-3</v>
      </c>
      <c r="AB107" s="324">
        <f>IS!AB48</f>
        <v>1.7006147540987726E-3</v>
      </c>
      <c r="AC107" s="324">
        <f>IS!AC48</f>
        <v>4.4449999999998102E-3</v>
      </c>
      <c r="AD107" s="324">
        <f>IS!AD48</f>
        <v>4.4450000000000323E-3</v>
      </c>
      <c r="AE107" s="324">
        <f>IS!AE48</f>
        <v>7.196904109589175E-3</v>
      </c>
    </row>
    <row r="108" spans="2:31" x14ac:dyDescent="0.25">
      <c r="B108" s="135" t="s">
        <v>352</v>
      </c>
      <c r="C108" s="135"/>
      <c r="D108" s="135"/>
      <c r="E108" s="135"/>
      <c r="F108" s="361">
        <f>AVERAGE(F107:AE107)</f>
        <v>4.3816160496813472E-3</v>
      </c>
      <c r="G108" s="361"/>
      <c r="H108" s="361"/>
      <c r="I108" s="361"/>
      <c r="J108" s="361"/>
      <c r="K108" s="361"/>
      <c r="L108" s="361"/>
      <c r="M108" s="361"/>
      <c r="N108" s="361"/>
      <c r="O108" s="361"/>
      <c r="P108" s="361"/>
      <c r="Q108" s="361"/>
      <c r="R108" s="361"/>
      <c r="S108" s="361"/>
      <c r="T108" s="361"/>
      <c r="U108" s="361"/>
      <c r="V108" s="361"/>
      <c r="W108" s="361"/>
      <c r="X108" s="361"/>
      <c r="Y108" s="361"/>
      <c r="Z108" s="361"/>
      <c r="AA108" s="361"/>
      <c r="AB108" s="361"/>
      <c r="AC108" s="361"/>
      <c r="AD108" s="361"/>
      <c r="AE108" s="361"/>
    </row>
    <row r="109" spans="2:31" x14ac:dyDescent="0.25">
      <c r="B109" s="31" t="s">
        <v>365</v>
      </c>
      <c r="C109" s="31"/>
      <c r="D109" s="31"/>
      <c r="E109" s="31"/>
      <c r="F109" s="324">
        <f ca="1">IS!F39/(BS!F12+BS!F13+BS!F14)</f>
        <v>0.19101591575204951</v>
      </c>
      <c r="G109" s="324">
        <f ca="1">IS!G39/(BS!G12+BS!G13+BS!G14)</f>
        <v>0.18021929244085647</v>
      </c>
      <c r="H109" s="324">
        <f ca="1">IS!H39/(BS!H12+BS!H13+BS!H14)</f>
        <v>0.16397093108678593</v>
      </c>
      <c r="I109" s="324">
        <f ca="1">IS!I39/(BS!I12+BS!I13+BS!I14)</f>
        <v>0.15610437922920734</v>
      </c>
      <c r="J109" s="324">
        <f ca="1">IS!J39/(BS!J12+BS!J13+BS!J14)</f>
        <v>0.14862951447043296</v>
      </c>
      <c r="K109" s="324">
        <f ca="1">IS!K39/(BS!K12+BS!K13+BS!K14)</f>
        <v>0.14174141253000347</v>
      </c>
      <c r="L109" s="324">
        <f ca="1">IS!L39/(BS!L12+BS!L13+BS!L14)</f>
        <v>0.13450775817388963</v>
      </c>
      <c r="M109" s="324">
        <f ca="1">IS!M39/(BS!M12+BS!M13+BS!M14)</f>
        <v>0.12792832094812989</v>
      </c>
      <c r="N109" s="324">
        <f ca="1">IS!N39/(BS!N12+BS!N13+BS!N14)</f>
        <v>0.12177197993043158</v>
      </c>
      <c r="O109" s="324">
        <f ca="1">IS!O39/(BS!O12+BS!O13+BS!O14)</f>
        <v>0.11616223817766325</v>
      </c>
      <c r="P109" s="324">
        <f ca="1">IS!P39/(BS!P12+BS!P13+BS!P14)</f>
        <v>0.11062744631679833</v>
      </c>
      <c r="Q109" s="324">
        <f ca="1">IS!Q39/(BS!Q12+BS!Q13+BS!Q14)</f>
        <v>0.10656179120321804</v>
      </c>
      <c r="R109" s="324">
        <f ca="1">IS!R39/(BS!R12+BS!R13+BS!R14)</f>
        <v>0.10275180473002227</v>
      </c>
      <c r="S109" s="324">
        <f ca="1">IS!S39/(BS!S12+BS!S13+BS!S14)</f>
        <v>9.9285819661613178E-2</v>
      </c>
      <c r="T109" s="324">
        <f ca="1">IS!T39/(BS!T12+BS!T13+BS!T14)</f>
        <v>9.548400025333835E-2</v>
      </c>
      <c r="U109" s="324">
        <f ca="1">IS!U39/(BS!U12+BS!U13+BS!U14)</f>
        <v>9.2026869284978774E-2</v>
      </c>
      <c r="V109" s="324">
        <f ca="1">IS!V39/(BS!V12+BS!V13+BS!V14)</f>
        <v>8.8783346624837126E-2</v>
      </c>
      <c r="W109" s="324">
        <f ca="1">IS!W39/(BS!W12+BS!W13+BS!W14)</f>
        <v>8.5820922961473159E-2</v>
      </c>
      <c r="X109" s="324">
        <f ca="1">IS!X39/(BS!X12+BS!X13+BS!X14)</f>
        <v>8.2561453243178623E-2</v>
      </c>
      <c r="Y109" s="324">
        <f ca="1">IS!Y39/(BS!Y12+BS!Y13+BS!Y14)</f>
        <v>7.9588288671778903E-2</v>
      </c>
      <c r="Z109" s="324">
        <f ca="1">IS!Z39/(BS!Z12+BS!Z13+BS!Z14)</f>
        <v>7.5731913048766614E-2</v>
      </c>
      <c r="AA109" s="324">
        <f ca="1">IS!AA39/(BS!AA12+BS!AA13+BS!AA14)</f>
        <v>7.2321276256397157E-2</v>
      </c>
      <c r="AB109" s="324">
        <f ca="1">IS!AB39/(BS!AB12+BS!AB13+BS!AB14)</f>
        <v>6.8874827933641247E-2</v>
      </c>
      <c r="AC109" s="324">
        <f ca="1">IS!AC39/(BS!AC12+BS!AC13+BS!AC14)</f>
        <v>6.5838844107262567E-2</v>
      </c>
      <c r="AD109" s="324">
        <f ca="1">IS!AD39/(BS!AD12+BS!AD13+BS!AD14)</f>
        <v>6.3117853634693091E-2</v>
      </c>
      <c r="AE109" s="324">
        <f ca="1">IS!AE39/(BS!AE12+BS!AE13+BS!AE14)</f>
        <v>6.0705377697782441E-2</v>
      </c>
    </row>
    <row r="110" spans="2:31" x14ac:dyDescent="0.25">
      <c r="B110" s="135" t="s">
        <v>352</v>
      </c>
      <c r="C110" s="135"/>
      <c r="D110" s="135"/>
      <c r="E110" s="135"/>
      <c r="F110" s="361">
        <f ca="1">AVERAGE(F109:AE109)</f>
        <v>0.10892821455266266</v>
      </c>
      <c r="G110" s="361"/>
      <c r="H110" s="361"/>
      <c r="I110" s="361"/>
      <c r="J110" s="361"/>
      <c r="K110" s="361"/>
      <c r="L110" s="361"/>
      <c r="M110" s="361"/>
      <c r="N110" s="361"/>
      <c r="O110" s="361"/>
      <c r="P110" s="361"/>
      <c r="Q110" s="361"/>
      <c r="R110" s="361"/>
      <c r="S110" s="361"/>
      <c r="T110" s="361"/>
      <c r="U110" s="361"/>
      <c r="V110" s="361"/>
      <c r="W110" s="361"/>
      <c r="X110" s="361"/>
      <c r="Y110" s="361"/>
      <c r="Z110" s="361"/>
      <c r="AA110" s="361"/>
      <c r="AB110" s="361"/>
      <c r="AC110" s="361"/>
      <c r="AD110" s="361"/>
      <c r="AE110" s="361"/>
    </row>
    <row r="111" spans="2:31" x14ac:dyDescent="0.25">
      <c r="B111" s="31" t="s">
        <v>366</v>
      </c>
      <c r="C111" s="31"/>
      <c r="D111" s="31"/>
      <c r="E111" s="31"/>
      <c r="F111" s="324">
        <f ca="1">IS!F25/BS!F12</f>
        <v>0.397191769564333</v>
      </c>
      <c r="G111" s="324">
        <f ca="1">IS!G25/BS!G12</f>
        <v>0.40392318878675154</v>
      </c>
      <c r="H111" s="324">
        <f ca="1">IS!H25/BS!H12</f>
        <v>0.3896069132996034</v>
      </c>
      <c r="I111" s="324">
        <f ca="1">IS!I25/BS!I12</f>
        <v>0.40534248180762533</v>
      </c>
      <c r="J111" s="324">
        <f ca="1">IS!J25/BS!J12</f>
        <v>0.42143394856005534</v>
      </c>
      <c r="K111" s="324">
        <f ca="1">IS!K25/BS!K12</f>
        <v>0.43890209372863603</v>
      </c>
      <c r="L111" s="324">
        <f ca="1">IS!L25/BS!L12</f>
        <v>0.45298161652817964</v>
      </c>
      <c r="M111" s="324">
        <f ca="1">IS!M25/BS!M12</f>
        <v>0.46839846127657264</v>
      </c>
      <c r="N111" s="324">
        <f ca="1">IS!N25/BS!N12</f>
        <v>0.48421540494063181</v>
      </c>
      <c r="O111" s="324">
        <f ca="1">IS!O25/BS!O12</f>
        <v>0.50136901115609955</v>
      </c>
      <c r="P111" s="324">
        <f ca="1">IS!P25/BS!P12</f>
        <v>0.49461340803797982</v>
      </c>
      <c r="Q111" s="324">
        <f ca="1">IS!Q25/BS!Q12</f>
        <v>0.44096685882656428</v>
      </c>
      <c r="R111" s="324">
        <f ca="1">IS!R25/BS!R12</f>
        <v>0.44991065475160585</v>
      </c>
      <c r="S111" s="324">
        <f ca="1">IS!S25/BS!S12</f>
        <v>0.46053825249064251</v>
      </c>
      <c r="T111" s="324">
        <f ca="1">IS!T25/BS!T12</f>
        <v>0.46885982732005593</v>
      </c>
      <c r="U111" s="324">
        <f ca="1">IS!U25/BS!U12</f>
        <v>0.47865306053546552</v>
      </c>
      <c r="V111" s="324">
        <f ca="1">IS!V25/BS!V12</f>
        <v>0.48927610316520592</v>
      </c>
      <c r="W111" s="324">
        <f ca="1">IS!W25/BS!W12</f>
        <v>0.50119260599730531</v>
      </c>
      <c r="X111" s="324">
        <f ca="1">IS!X25/BS!X12</f>
        <v>0.51058153624381797</v>
      </c>
      <c r="Y111" s="324">
        <f ca="1">IS!Y25/BS!Y12</f>
        <v>0.52112383360772718</v>
      </c>
      <c r="Z111" s="324">
        <f ca="1">IS!Z25/BS!Z12</f>
        <v>0.53236089788955376</v>
      </c>
      <c r="AA111" s="324">
        <f ca="1">IS!AA25/BS!AA12</f>
        <v>0.53879648740311448</v>
      </c>
      <c r="AB111" s="324">
        <f ca="1">IS!AB25/BS!AB12</f>
        <v>0.53673578720130188</v>
      </c>
      <c r="AC111" s="324">
        <f ca="1">IS!AC25/BS!AC12</f>
        <v>0.53561415681029168</v>
      </c>
      <c r="AD111" s="324">
        <f ca="1">IS!AD25/BS!AD12</f>
        <v>0.53514727915800009</v>
      </c>
      <c r="AE111" s="324">
        <f ca="1">IS!AE25/BS!AE12</f>
        <v>0.53554444637121768</v>
      </c>
    </row>
    <row r="112" spans="2:31" x14ac:dyDescent="0.25">
      <c r="B112" s="135" t="s">
        <v>352</v>
      </c>
      <c r="C112" s="135"/>
      <c r="D112" s="135"/>
      <c r="E112" s="135"/>
      <c r="F112" s="361">
        <f ca="1">AVERAGE(F111:AE111)</f>
        <v>0.47666461867147453</v>
      </c>
      <c r="G112" s="361"/>
      <c r="H112" s="361"/>
      <c r="I112" s="361"/>
      <c r="J112" s="361"/>
      <c r="K112" s="361"/>
      <c r="L112" s="361"/>
      <c r="M112" s="361"/>
      <c r="N112" s="361"/>
      <c r="O112" s="361"/>
      <c r="P112" s="361"/>
      <c r="Q112" s="361"/>
      <c r="R112" s="361"/>
      <c r="S112" s="361"/>
      <c r="T112" s="361"/>
      <c r="U112" s="361"/>
      <c r="V112" s="361"/>
      <c r="W112" s="361"/>
      <c r="X112" s="361"/>
      <c r="Y112" s="361"/>
      <c r="Z112" s="361"/>
      <c r="AA112" s="361"/>
      <c r="AB112" s="361"/>
      <c r="AC112" s="361"/>
      <c r="AD112" s="361"/>
      <c r="AE112" s="361"/>
    </row>
    <row r="113" spans="2:31" x14ac:dyDescent="0.25">
      <c r="B113" s="31" t="s">
        <v>367</v>
      </c>
      <c r="C113" s="31"/>
      <c r="D113" s="31"/>
      <c r="E113" s="31"/>
      <c r="F113" s="324">
        <f ca="1">IS!F25/(BS!F12+BS!F13)</f>
        <v>0.28427863534308095</v>
      </c>
      <c r="G113" s="324">
        <f ca="1">IS!G25/(BS!G12+BS!G13)</f>
        <v>0.22426285835554999</v>
      </c>
      <c r="H113" s="324">
        <f ca="1">IS!H25/(BS!H12+BS!H13)</f>
        <v>0.17784407885882764</v>
      </c>
      <c r="I113" s="324">
        <f ca="1">IS!I25/(BS!I12+BS!I13)</f>
        <v>0.15613730116807528</v>
      </c>
      <c r="J113" s="324">
        <f ca="1">IS!J25/(BS!J12+BS!J13)</f>
        <v>0.13966335897460594</v>
      </c>
      <c r="K113" s="324">
        <f ca="1">IS!K25/(BS!K12+BS!K13)</f>
        <v>0.12698242202167656</v>
      </c>
      <c r="L113" s="324">
        <f ca="1">IS!L25/(BS!L12+BS!L13)</f>
        <v>0.1158703895157468</v>
      </c>
      <c r="M113" s="324">
        <f ca="1">IS!M25/(BS!M12+BS!M13)</f>
        <v>0.10699450648710901</v>
      </c>
      <c r="N113" s="324">
        <f ca="1">IS!N25/(BS!N12+BS!N13)</f>
        <v>9.9591899508310086E-2</v>
      </c>
      <c r="O113" s="324">
        <f ca="1">IS!O25/(BS!O12+BS!O13)</f>
        <v>9.3480309744310347E-2</v>
      </c>
      <c r="P113" s="324">
        <f ca="1">IS!P25/(BS!P12+BS!P13)</f>
        <v>8.4434148250996571E-2</v>
      </c>
      <c r="Q113" s="324">
        <f ca="1">IS!Q25/(BS!Q12+BS!Q13)</f>
        <v>7.0006461061279418E-2</v>
      </c>
      <c r="R113" s="324">
        <f ca="1">IS!R25/(BS!R12+BS!R13)</f>
        <v>6.6664730634880612E-2</v>
      </c>
      <c r="S113" s="324">
        <f ca="1">IS!S25/(BS!S12+BS!S13)</f>
        <v>6.3880299567194695E-2</v>
      </c>
      <c r="T113" s="324">
        <f ca="1">IS!T25/(BS!T12+BS!T13)</f>
        <v>6.1063339917038384E-2</v>
      </c>
      <c r="U113" s="324">
        <f ca="1">IS!U25/(BS!U12+BS!U13)</f>
        <v>5.8680706225408448E-2</v>
      </c>
      <c r="V113" s="324">
        <f ca="1">IS!V25/(BS!V12+BS!V13)</f>
        <v>5.6588681972785417E-2</v>
      </c>
      <c r="W113" s="324">
        <f ca="1">IS!W25/(BS!W12+BS!W13)</f>
        <v>5.4790862929853121E-2</v>
      </c>
      <c r="X113" s="324">
        <f ca="1">IS!X25/(BS!X12+BS!X13)</f>
        <v>5.2866411170419299E-2</v>
      </c>
      <c r="Y113" s="324">
        <f ca="1">IS!Y25/(BS!Y12+BS!Y13)</f>
        <v>5.1195567855277915E-2</v>
      </c>
      <c r="Z113" s="324">
        <f ca="1">IS!Z25/(BS!Z12+BS!Z13)</f>
        <v>4.9700208565980404E-2</v>
      </c>
      <c r="AA113" s="324">
        <f ca="1">IS!AA25/(BS!AA12+BS!AA13)</f>
        <v>4.789200614991343E-2</v>
      </c>
      <c r="AB113" s="324">
        <f ca="1">IS!AB25/(BS!AB12+BS!AB13)</f>
        <v>4.5536350377290369E-2</v>
      </c>
      <c r="AC113" s="324">
        <f ca="1">IS!AC25/(BS!AC12+BS!AC13)</f>
        <v>4.3466043104386599E-2</v>
      </c>
      <c r="AD113" s="324">
        <f ca="1">IS!AD25/(BS!AD12+BS!AD13)</f>
        <v>4.1620647225874587E-2</v>
      </c>
      <c r="AE113" s="324">
        <f ca="1">IS!AE25/(BS!AE12+BS!AE13)</f>
        <v>3.998605591416559E-2</v>
      </c>
    </row>
    <row r="114" spans="2:31" x14ac:dyDescent="0.25">
      <c r="B114" s="135" t="s">
        <v>352</v>
      </c>
      <c r="C114" s="135"/>
      <c r="D114" s="135"/>
      <c r="E114" s="135"/>
      <c r="F114" s="361">
        <f ca="1">AVERAGE(F113:AE113)</f>
        <v>9.2826087726924536E-2</v>
      </c>
      <c r="G114" s="361"/>
      <c r="H114" s="361"/>
      <c r="I114" s="361"/>
      <c r="J114" s="361"/>
      <c r="K114" s="361"/>
      <c r="L114" s="361"/>
      <c r="M114" s="361"/>
      <c r="N114" s="361"/>
      <c r="O114" s="361"/>
      <c r="P114" s="361"/>
      <c r="Q114" s="361"/>
      <c r="R114" s="361"/>
      <c r="S114" s="361"/>
      <c r="T114" s="361"/>
      <c r="U114" s="361"/>
      <c r="V114" s="361"/>
      <c r="W114" s="361"/>
      <c r="X114" s="361"/>
      <c r="Y114" s="361"/>
      <c r="Z114" s="361"/>
      <c r="AA114" s="361"/>
      <c r="AB114" s="361"/>
      <c r="AC114" s="361"/>
      <c r="AD114" s="361"/>
      <c r="AE114" s="361"/>
    </row>
    <row r="115" spans="2:31" x14ac:dyDescent="0.25">
      <c r="B115" s="31" t="s">
        <v>293</v>
      </c>
      <c r="C115" s="31"/>
      <c r="D115" s="31"/>
      <c r="E115" s="31"/>
      <c r="F115" s="86">
        <f ca="1">F18</f>
        <v>2.6603790996898984</v>
      </c>
      <c r="G115" s="86">
        <f t="shared" ref="G115:AE115" ca="1" si="18">G18</f>
        <v>1.8586528673166185</v>
      </c>
      <c r="H115" s="86">
        <f t="shared" ca="1" si="18"/>
        <v>1.8574195423018935</v>
      </c>
      <c r="I115" s="86">
        <f t="shared" ca="1" si="18"/>
        <v>1.9255289233981969</v>
      </c>
      <c r="J115" s="86">
        <f t="shared" ca="1" si="18"/>
        <v>1.999804101582922</v>
      </c>
      <c r="K115" s="86">
        <f t="shared" ca="1" si="18"/>
        <v>2.0845308566814524</v>
      </c>
      <c r="L115" s="86">
        <f t="shared" ca="1" si="18"/>
        <v>2.1656132302158335</v>
      </c>
      <c r="M115" s="86">
        <f t="shared" ca="1" si="18"/>
        <v>2.2585695361768106</v>
      </c>
      <c r="N115" s="86">
        <f t="shared" ca="1" si="18"/>
        <v>2.3612596162076223</v>
      </c>
      <c r="O115" s="86">
        <f t="shared" ca="1" si="18"/>
        <v>2.4790737675525025</v>
      </c>
      <c r="P115" s="86">
        <f t="shared" ca="1" si="18"/>
        <v>2.5323951782561895</v>
      </c>
      <c r="Q115" s="86">
        <f t="shared" ca="1" si="18"/>
        <v>2.4399354267641327</v>
      </c>
      <c r="R115" s="86">
        <f t="shared" ca="1" si="18"/>
        <v>2.5526063327646482</v>
      </c>
      <c r="S115" s="86">
        <f t="shared" ca="1" si="18"/>
        <v>2.6865189182118923</v>
      </c>
      <c r="T115" s="86">
        <f t="shared" ca="1" si="18"/>
        <v>2.8254350268353323</v>
      </c>
      <c r="U115" s="86">
        <f t="shared" ca="1" si="18"/>
        <v>2.9912207429648965</v>
      </c>
      <c r="V115" s="86">
        <f t="shared" ca="1" si="18"/>
        <v>3.1851033957571424</v>
      </c>
      <c r="W115" s="86">
        <f t="shared" ca="1" si="18"/>
        <v>3.4179971473750581</v>
      </c>
      <c r="X115" s="86">
        <f t="shared" ca="1" si="18"/>
        <v>3.6735418017105945</v>
      </c>
      <c r="Y115" s="86">
        <f t="shared" ca="1" si="18"/>
        <v>3.9863071069588569</v>
      </c>
      <c r="Z115" s="86">
        <f t="shared" ca="1" si="18"/>
        <v>4.3686839255790622</v>
      </c>
      <c r="AA115" s="86">
        <f t="shared" si="18"/>
        <v>0</v>
      </c>
      <c r="AB115" s="86">
        <f t="shared" si="18"/>
        <v>0</v>
      </c>
      <c r="AC115" s="86">
        <f t="shared" si="18"/>
        <v>0</v>
      </c>
      <c r="AD115" s="86">
        <f t="shared" si="18"/>
        <v>0</v>
      </c>
      <c r="AE115" s="86">
        <f t="shared" si="18"/>
        <v>0</v>
      </c>
    </row>
    <row r="116" spans="2:31" x14ac:dyDescent="0.25">
      <c r="B116" s="135" t="s">
        <v>352</v>
      </c>
      <c r="C116" s="135"/>
      <c r="D116" s="135"/>
      <c r="E116" s="135"/>
      <c r="F116" s="362">
        <f ca="1">AVERAGE(F115:AE115)</f>
        <v>2.1657914055500598</v>
      </c>
      <c r="G116" s="362"/>
      <c r="H116" s="362"/>
      <c r="I116" s="362"/>
      <c r="J116" s="362"/>
      <c r="K116" s="362"/>
      <c r="L116" s="362"/>
      <c r="M116" s="362"/>
      <c r="N116" s="362"/>
      <c r="O116" s="362"/>
      <c r="P116" s="362"/>
      <c r="Q116" s="362"/>
      <c r="R116" s="362"/>
      <c r="S116" s="362"/>
      <c r="T116" s="362"/>
      <c r="U116" s="362"/>
      <c r="V116" s="362"/>
      <c r="W116" s="362"/>
      <c r="X116" s="362"/>
      <c r="Y116" s="362"/>
      <c r="Z116" s="362"/>
      <c r="AA116" s="362"/>
      <c r="AB116" s="362"/>
      <c r="AC116" s="362"/>
      <c r="AD116" s="362"/>
      <c r="AE116" s="362"/>
    </row>
    <row r="117" spans="2:31" x14ac:dyDescent="0.25">
      <c r="B117" s="31" t="s">
        <v>368</v>
      </c>
      <c r="C117" s="31"/>
      <c r="D117" s="31"/>
      <c r="E117" s="31"/>
      <c r="F117" s="86">
        <f ca="1">IS!F38/IS!F22</f>
        <v>2.9151956320340369</v>
      </c>
      <c r="G117" s="86">
        <f ca="1">IS!G38/IS!G22</f>
        <v>2.9909372318845397</v>
      </c>
      <c r="H117" s="86">
        <f ca="1">IS!H38/IS!H22</f>
        <v>3.0403731782191228</v>
      </c>
      <c r="I117" s="86">
        <f ca="1">IS!I38/IS!I22</f>
        <v>3.2229986417977985</v>
      </c>
      <c r="J117" s="86">
        <f ca="1">IS!J38/IS!J22</f>
        <v>3.4293445305276529</v>
      </c>
      <c r="K117" s="86">
        <f ca="1">IS!K38/IS!K22</f>
        <v>3.6704529503238081</v>
      </c>
      <c r="L117" s="86">
        <f ca="1">IS!L38/IS!L22</f>
        <v>3.9242034361081819</v>
      </c>
      <c r="M117" s="86">
        <f ca="1">IS!M38/IS!M22</f>
        <v>4.2246752704868795</v>
      </c>
      <c r="N117" s="86">
        <f ca="1">IS!N38/IS!N22</f>
        <v>4.5755731624541172</v>
      </c>
      <c r="O117" s="86">
        <f ca="1">IS!O38/IS!O22</f>
        <v>4.9982088452248856</v>
      </c>
      <c r="P117" s="86">
        <f ca="1">IS!P38/IS!P22</f>
        <v>5.4726324127751251</v>
      </c>
      <c r="Q117" s="86">
        <f ca="1">IS!Q38/IS!Q22</f>
        <v>6.0595493546797954</v>
      </c>
      <c r="R117" s="86">
        <f ca="1">IS!R38/IS!R22</f>
        <v>6.7884480767914193</v>
      </c>
      <c r="S117" s="86">
        <f ca="1">IS!S38/IS!S22</f>
        <v>7.7276293975662664</v>
      </c>
      <c r="T117" s="86">
        <f ca="1">IS!T38/IS!T22</f>
        <v>8.9090604196174343</v>
      </c>
      <c r="U117" s="86">
        <f ca="1">IS!U38/IS!U22</f>
        <v>10.541091622148112</v>
      </c>
      <c r="V117" s="86">
        <f ca="1">IS!V38/IS!V22</f>
        <v>12.906705810753939</v>
      </c>
      <c r="W117" s="86">
        <f ca="1">IS!W38/IS!W22</f>
        <v>16.656775760020501</v>
      </c>
      <c r="X117" s="86">
        <f ca="1">IS!X38/IS!X22</f>
        <v>23.284667463417136</v>
      </c>
      <c r="Y117" s="86">
        <f ca="1">IS!Y38/IS!Y22</f>
        <v>38.822988800489945</v>
      </c>
      <c r="Z117" s="86"/>
      <c r="AA117" s="86"/>
      <c r="AB117" s="86"/>
      <c r="AC117" s="86"/>
      <c r="AD117" s="86"/>
      <c r="AE117" s="86"/>
    </row>
    <row r="118" spans="2:31" x14ac:dyDescent="0.25">
      <c r="B118" s="135" t="s">
        <v>352</v>
      </c>
      <c r="C118" s="135"/>
      <c r="D118" s="135"/>
      <c r="E118" s="135"/>
      <c r="F118" s="362">
        <f ca="1">AVERAGE(F117:AE117)</f>
        <v>8.7080755998660351</v>
      </c>
      <c r="G118" s="362"/>
      <c r="H118" s="362"/>
      <c r="I118" s="362"/>
      <c r="J118" s="362"/>
      <c r="K118" s="362"/>
      <c r="L118" s="362"/>
      <c r="M118" s="362"/>
      <c r="N118" s="362"/>
      <c r="O118" s="362"/>
      <c r="P118" s="362"/>
      <c r="Q118" s="362"/>
      <c r="R118" s="362"/>
      <c r="S118" s="362"/>
      <c r="T118" s="362"/>
      <c r="U118" s="362"/>
      <c r="V118" s="362"/>
      <c r="W118" s="362"/>
      <c r="X118" s="362"/>
      <c r="Y118" s="362"/>
      <c r="Z118" s="362"/>
      <c r="AA118" s="362"/>
      <c r="AB118" s="362"/>
      <c r="AC118" s="362"/>
      <c r="AD118" s="362"/>
      <c r="AE118" s="362"/>
    </row>
    <row r="119" spans="2:31" x14ac:dyDescent="0.25">
      <c r="B119" s="31" t="s">
        <v>369</v>
      </c>
      <c r="C119" s="31"/>
      <c r="D119" s="31"/>
      <c r="E119" s="31"/>
      <c r="F119" s="86">
        <f ca="1">IFERROR(BS!F29/BS!F14,0)</f>
        <v>1.3506198830409357</v>
      </c>
      <c r="G119" s="86">
        <f ca="1">IFERROR(BS!G29/BS!G14,0)</f>
        <v>1.3696742093691863</v>
      </c>
      <c r="H119" s="86">
        <f ca="1">IFERROR(BS!H29/BS!H14,0)</f>
        <v>1.3911321693974392</v>
      </c>
      <c r="I119" s="86">
        <f ca="1">IFERROR(BS!I29/BS!I14,0)</f>
        <v>1.4152723744292233</v>
      </c>
      <c r="J119" s="86">
        <f ca="1">IFERROR(BS!J29/BS!J14,0)</f>
        <v>1.4426312734652458</v>
      </c>
      <c r="K119" s="86">
        <f ca="1">IFERROR(BS!K29/BS!K14,0)</f>
        <v>1.4737019352033045</v>
      </c>
      <c r="L119" s="86">
        <f ca="1">IFERROR(BS!L29/BS!L14,0)</f>
        <v>1.5097644772274903</v>
      </c>
      <c r="M119" s="86">
        <f ca="1">IFERROR(BS!M29/BS!M14,0)</f>
        <v>1.5518374429223738</v>
      </c>
      <c r="N119" s="86">
        <f ca="1">IFERROR(BS!N29/BS!N14,0)</f>
        <v>1.6015600387435993</v>
      </c>
      <c r="O119" s="86">
        <f ca="1">IFERROR(BS!O29/BS!O14,0)</f>
        <v>1.6609518417047171</v>
      </c>
      <c r="P119" s="86">
        <f ca="1">IFERROR(BS!P29/BS!P14,0)</f>
        <v>1.7338477253509204</v>
      </c>
      <c r="Q119" s="86">
        <f ca="1">IFERROR(BS!Q29/BS!Q14,0)</f>
        <v>1.8249675799086738</v>
      </c>
      <c r="R119" s="86">
        <f ca="1">IFERROR(BS!R29/BS!R14,0)</f>
        <v>1.9421216786257856</v>
      </c>
      <c r="S119" s="86">
        <f ca="1">IFERROR(BS!S29/BS!S14,0)</f>
        <v>2.0978682902080128</v>
      </c>
      <c r="T119" s="86">
        <f ca="1">IFERROR(BS!T29/BS!T14,0)</f>
        <v>2.3164641704718361</v>
      </c>
      <c r="U119" s="86">
        <f ca="1">IFERROR(BS!U29/BS!U14,0)</f>
        <v>2.6443579908675714</v>
      </c>
      <c r="V119" s="86">
        <f ca="1">IFERROR(BS!V29/BS!V14,0)</f>
        <v>3.1908476915271295</v>
      </c>
      <c r="W119" s="86">
        <f ca="1">IFERROR(BS!W29/BS!W14,0)</f>
        <v>4.2824505327244786</v>
      </c>
      <c r="X119" s="86">
        <f ca="1">IFERROR(BS!X29/BS!X14,0)</f>
        <v>7.5600121765600319</v>
      </c>
      <c r="Y119" s="86">
        <v>0</v>
      </c>
      <c r="Z119" s="86">
        <v>0</v>
      </c>
      <c r="AA119" s="86">
        <v>0</v>
      </c>
      <c r="AB119" s="86">
        <v>0</v>
      </c>
      <c r="AC119" s="86">
        <v>0</v>
      </c>
      <c r="AD119" s="86">
        <v>0</v>
      </c>
      <c r="AE119" s="86">
        <v>0</v>
      </c>
    </row>
    <row r="120" spans="2:31" x14ac:dyDescent="0.25">
      <c r="B120" s="135" t="s">
        <v>352</v>
      </c>
      <c r="C120" s="135"/>
      <c r="D120" s="135"/>
      <c r="E120" s="135"/>
      <c r="F120" s="362">
        <f ca="1">AVERAGE(F119:AE119)</f>
        <v>1.6292339800672289</v>
      </c>
      <c r="G120" s="362"/>
      <c r="H120" s="362"/>
      <c r="I120" s="362"/>
      <c r="J120" s="362"/>
      <c r="K120" s="362"/>
      <c r="L120" s="362"/>
      <c r="M120" s="362"/>
      <c r="N120" s="362"/>
      <c r="O120" s="362"/>
      <c r="P120" s="362"/>
      <c r="Q120" s="362"/>
      <c r="R120" s="362"/>
      <c r="S120" s="362"/>
      <c r="T120" s="362"/>
      <c r="U120" s="362"/>
      <c r="V120" s="362"/>
      <c r="W120" s="362"/>
      <c r="X120" s="362"/>
      <c r="Y120" s="362"/>
      <c r="Z120" s="362"/>
      <c r="AA120" s="362"/>
      <c r="AB120" s="362"/>
      <c r="AC120" s="362"/>
      <c r="AD120" s="362"/>
      <c r="AE120" s="362"/>
    </row>
    <row r="121" spans="2:31" x14ac:dyDescent="0.25">
      <c r="B121" s="31" t="s">
        <v>370</v>
      </c>
      <c r="C121" s="31"/>
      <c r="D121" s="31"/>
      <c r="E121" s="31"/>
      <c r="F121" s="86">
        <f ca="1">(BS!F14+BS!F16+BS!F17)/(BS!F12+BS!F13)</f>
        <v>2.1471640939707566</v>
      </c>
      <c r="G121" s="86">
        <f ca="1">(BS!G14+BS!G16+BS!G17)/(BS!G12+BS!G13)</f>
        <v>1.5823531900535466</v>
      </c>
      <c r="H121" s="86">
        <f ca="1">(BS!H14+BS!H16+BS!H17)/(BS!H12+BS!H13)</f>
        <v>1.2324704632476122</v>
      </c>
      <c r="I121" s="86">
        <f ca="1">(BS!I14+BS!I16+BS!I17)/(BS!I12+BS!I13)</f>
        <v>0.98225608182749791</v>
      </c>
      <c r="J121" s="86">
        <f ca="1">(BS!J14+BS!J16+BS!J17)/(BS!J12+BS!J13)</f>
        <v>0.79536084523880868</v>
      </c>
      <c r="K121" s="86">
        <f ca="1">(BS!K14+BS!K16+BS!K17)/(BS!K12+BS!K13)</f>
        <v>0.65096624880860343</v>
      </c>
      <c r="L121" s="86">
        <f ca="1">(BS!L14+BS!L16+BS!L17)/(BS!L12+BS!L13)</f>
        <v>0.53716930026437626</v>
      </c>
      <c r="M121" s="86">
        <f ca="1">(BS!M14+BS!M16+BS!M17)/(BS!M12+BS!M13)</f>
        <v>0.44543119779095197</v>
      </c>
      <c r="N121" s="86">
        <f ca="1">(BS!N14+BS!N16+BS!N17)/(BS!N12+BS!N13)</f>
        <v>0.37021833111017477</v>
      </c>
      <c r="O121" s="86">
        <f ca="1">(BS!O14+BS!O16+BS!O17)/(BS!O12+BS!O13)</f>
        <v>0.30764268960789282</v>
      </c>
      <c r="P121" s="86">
        <f ca="1">(BS!P14+BS!P16+BS!P17)/(BS!P12+BS!P13)</f>
        <v>0.25606103740473157</v>
      </c>
      <c r="Q121" s="86">
        <f ca="1">(BS!Q14+BS!Q16+BS!Q17)/(BS!Q12+BS!Q13)</f>
        <v>0.21432159932431177</v>
      </c>
      <c r="R121" s="86">
        <f ca="1">(BS!R14+BS!R16+BS!R17)/(BS!R12+BS!R13)</f>
        <v>0.17780791789877312</v>
      </c>
      <c r="S121" s="86">
        <f ca="1">(BS!S14+BS!S16+BS!S17)/(BS!S12+BS!S13)</f>
        <v>0.14564330798323283</v>
      </c>
      <c r="T121" s="86">
        <f ca="1">(BS!T14+BS!T16+BS!T17)/(BS!T12+BS!T13)</f>
        <v>0.11721414956675212</v>
      </c>
      <c r="U121" s="86">
        <f ca="1">(BS!U14+BS!U16+BS!U17)/(BS!U12+BS!U13)</f>
        <v>9.1946617075470416E-2</v>
      </c>
      <c r="V121" s="86">
        <f ca="1">(BS!V14+BS!V16+BS!V17)/(BS!V12+BS!V13)</f>
        <v>6.939478336265055E-2</v>
      </c>
      <c r="W121" s="86">
        <f ca="1">(BS!W14+BS!W16+BS!W17)/(BS!W12+BS!W13)</f>
        <v>4.9194437474535578E-2</v>
      </c>
      <c r="X121" s="86">
        <f ca="1">(BS!X14+BS!X16+BS!X17)/(BS!X12+BS!X13)</f>
        <v>3.1062469410472925E-2</v>
      </c>
      <c r="Y121" s="86">
        <f ca="1">(BS!Y14+BS!Y16+BS!Y17)/(BS!Y12+BS!Y13)</f>
        <v>1.4736104325008369E-2</v>
      </c>
      <c r="Z121" s="86">
        <f ca="1">(BS!Z14+BS!Z16+BS!Z17)/(BS!Z12+BS!Z13)</f>
        <v>1.5877966450789624E-16</v>
      </c>
      <c r="AA121" s="86">
        <f ca="1">(BS!AA14+BS!AA16+BS!AA17)/(BS!AA12+BS!AA13)</f>
        <v>1.5117538783880293E-16</v>
      </c>
      <c r="AB121" s="86">
        <f ca="1">(BS!AB14+BS!AB16+BS!AB17)/(BS!AB12+BS!AB13)</f>
        <v>1.4429141240975245E-16</v>
      </c>
      <c r="AC121" s="86">
        <f ca="1">(BS!AC14+BS!AC16+BS!AC17)/(BS!AC12+BS!AC13)</f>
        <v>1.3801963565835732E-16</v>
      </c>
      <c r="AD121" s="86">
        <f ca="1">(BS!AD14+BS!AD16+BS!AD17)/(BS!AD12+BS!AD13)</f>
        <v>1.3227516909237708E-16</v>
      </c>
      <c r="AE121" s="86">
        <f ca="1">(BS!AE14+BS!AE16+BS!AE17)/(BS!AE12+BS!AE13)</f>
        <v>1.2698600678499356E-16</v>
      </c>
    </row>
    <row r="122" spans="2:31" x14ac:dyDescent="0.25">
      <c r="B122" s="135" t="s">
        <v>352</v>
      </c>
      <c r="C122" s="135"/>
      <c r="D122" s="135"/>
      <c r="E122" s="135"/>
      <c r="F122" s="362">
        <f ca="1">AVERAGE(F121:AE121)</f>
        <v>0.39301595637485226</v>
      </c>
      <c r="G122" s="362"/>
      <c r="H122" s="362"/>
      <c r="I122" s="362"/>
      <c r="J122" s="362"/>
      <c r="K122" s="362"/>
      <c r="L122" s="362"/>
      <c r="M122" s="362"/>
      <c r="N122" s="362"/>
      <c r="O122" s="362"/>
      <c r="P122" s="362"/>
      <c r="Q122" s="362"/>
      <c r="R122" s="362"/>
      <c r="S122" s="362"/>
      <c r="T122" s="362"/>
      <c r="U122" s="362"/>
      <c r="V122" s="362"/>
      <c r="W122" s="362"/>
      <c r="X122" s="362"/>
      <c r="Y122" s="362"/>
      <c r="Z122" s="362"/>
      <c r="AA122" s="362"/>
      <c r="AB122" s="362"/>
      <c r="AC122" s="362"/>
      <c r="AD122" s="362"/>
      <c r="AE122" s="362"/>
    </row>
    <row r="123" spans="2:31" x14ac:dyDescent="0.25">
      <c r="B123" s="31" t="s">
        <v>371</v>
      </c>
      <c r="C123" s="31"/>
      <c r="D123" s="31"/>
      <c r="E123" s="31"/>
      <c r="F123" s="86">
        <f ca="1">(BS!F14+BS!F17)/BS!F12</f>
        <v>2.9999999999999991</v>
      </c>
      <c r="G123" s="86">
        <f ca="1">(BS!G14+BS!G17)/BS!G12</f>
        <v>2.8499999999999992</v>
      </c>
      <c r="H123" s="86">
        <f ca="1">(BS!H14+BS!H17)/BS!H12</f>
        <v>2.6999999999999993</v>
      </c>
      <c r="I123" s="86">
        <f ca="1">(BS!I14+BS!I17)/BS!I12</f>
        <v>2.5499999999999994</v>
      </c>
      <c r="J123" s="86">
        <f ca="1">(BS!J14+BS!J17)/BS!J12</f>
        <v>2.3999999999999995</v>
      </c>
      <c r="K123" s="86">
        <f ca="1">(BS!K14+BS!K17)/BS!K12</f>
        <v>2.2499999999999996</v>
      </c>
      <c r="L123" s="86">
        <f ca="1">(BS!L14+BS!L17)/BS!L12</f>
        <v>2.1</v>
      </c>
      <c r="M123" s="86">
        <f ca="1">(BS!M14+BS!M17)/BS!M12</f>
        <v>1.95</v>
      </c>
      <c r="N123" s="86">
        <f ca="1">(BS!N14+BS!N17)/BS!N12</f>
        <v>1.8000000000000003</v>
      </c>
      <c r="O123" s="86">
        <f ca="1">(BS!O14+BS!O17)/BS!O12</f>
        <v>1.6500000000000004</v>
      </c>
      <c r="P123" s="86">
        <f ca="1">(BS!P14+BS!P17)/BS!P12</f>
        <v>1.5000000000000004</v>
      </c>
      <c r="Q123" s="86">
        <f ca="1">(BS!Q14+BS!Q17)/BS!Q12</f>
        <v>1.3500000000000005</v>
      </c>
      <c r="R123" s="86">
        <f ca="1">(BS!R14+BS!R17)/BS!R12</f>
        <v>1.2000000000000008</v>
      </c>
      <c r="S123" s="86">
        <f ca="1">(BS!S14+BS!S17)/BS!S12</f>
        <v>1.0500000000000009</v>
      </c>
      <c r="T123" s="86">
        <f ca="1">(BS!T14+BS!T17)/BS!T12</f>
        <v>0.90000000000000102</v>
      </c>
      <c r="U123" s="86">
        <f ca="1">(BS!U14+BS!U17)/BS!U12</f>
        <v>0.75000000000000122</v>
      </c>
      <c r="V123" s="86">
        <f ca="1">(BS!V14+BS!V17)/BS!V12</f>
        <v>0.60000000000000131</v>
      </c>
      <c r="W123" s="86">
        <f ca="1">(BS!W14+BS!W17)/BS!W12</f>
        <v>0.45000000000000145</v>
      </c>
      <c r="X123" s="86">
        <f ca="1">(BS!X14+BS!X17)/BS!X12</f>
        <v>0.30000000000000154</v>
      </c>
      <c r="Y123" s="86">
        <f ca="1">(BS!Y14+BS!Y17)/BS!Y12</f>
        <v>0.1500000000000016</v>
      </c>
      <c r="Z123" s="86">
        <f ca="1">(BS!Z14+BS!Z17)/BS!Z12</f>
        <v>1.7007591558053319E-15</v>
      </c>
      <c r="AA123" s="86">
        <f ca="1">(BS!AA14+BS!AA17)/BS!AA12</f>
        <v>1.7007591558053319E-15</v>
      </c>
      <c r="AB123" s="86">
        <f ca="1">(BS!AB14+BS!AB17)/BS!AB12</f>
        <v>1.7007591558053319E-15</v>
      </c>
      <c r="AC123" s="86">
        <f ca="1">(BS!AC14+BS!AC17)/BS!AC12</f>
        <v>1.7007591558053319E-15</v>
      </c>
      <c r="AD123" s="86">
        <f ca="1">(BS!AD14+BS!AD17)/BS!AD12</f>
        <v>1.7007591558053319E-15</v>
      </c>
      <c r="AE123" s="86">
        <f ca="1">(BS!AE14+BS!AE17)/BS!AE12</f>
        <v>1.7007591558053319E-15</v>
      </c>
    </row>
    <row r="124" spans="2:31" x14ac:dyDescent="0.25">
      <c r="B124" s="135" t="s">
        <v>352</v>
      </c>
      <c r="C124" s="135"/>
      <c r="D124" s="135"/>
      <c r="E124" s="135"/>
      <c r="F124" s="362">
        <f ca="1">AVERAGE(F123:AE123)</f>
        <v>1.2115384615384619</v>
      </c>
      <c r="G124" s="362"/>
      <c r="H124" s="362"/>
      <c r="I124" s="362"/>
      <c r="J124" s="362"/>
      <c r="K124" s="362"/>
      <c r="L124" s="362"/>
      <c r="M124" s="362"/>
      <c r="N124" s="362"/>
      <c r="O124" s="362"/>
      <c r="P124" s="362"/>
      <c r="Q124" s="362"/>
      <c r="R124" s="362"/>
      <c r="S124" s="362"/>
      <c r="T124" s="362"/>
      <c r="U124" s="362"/>
      <c r="V124" s="362"/>
      <c r="W124" s="362"/>
      <c r="X124" s="362"/>
      <c r="Y124" s="362"/>
      <c r="Z124" s="362"/>
      <c r="AA124" s="362"/>
      <c r="AB124" s="362"/>
      <c r="AC124" s="362"/>
      <c r="AD124" s="362"/>
      <c r="AE124" s="362"/>
    </row>
  </sheetData>
  <mergeCells count="16">
    <mergeCell ref="D7:E7"/>
    <mergeCell ref="F7:AE7"/>
    <mergeCell ref="F19:Z19"/>
    <mergeCell ref="F20:Z20"/>
    <mergeCell ref="F102:AE102"/>
    <mergeCell ref="F104:AE104"/>
    <mergeCell ref="F106:AE106"/>
    <mergeCell ref="F108:AE108"/>
    <mergeCell ref="F110:AE110"/>
    <mergeCell ref="F112:AE112"/>
    <mergeCell ref="F124:AE124"/>
    <mergeCell ref="F114:AE114"/>
    <mergeCell ref="F116:AE116"/>
    <mergeCell ref="F118:AE118"/>
    <mergeCell ref="F120:AE120"/>
    <mergeCell ref="F122:AE122"/>
  </mergeCell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F3:L67"/>
  <sheetViews>
    <sheetView topLeftCell="A61" workbookViewId="0">
      <selection activeCell="K63" sqref="K63"/>
    </sheetView>
  </sheetViews>
  <sheetFormatPr defaultRowHeight="15" x14ac:dyDescent="0.25"/>
  <sheetData>
    <row r="3" spans="6:6" x14ac:dyDescent="0.25">
      <c r="F3" t="s">
        <v>372</v>
      </c>
    </row>
    <row r="4" spans="6:6" x14ac:dyDescent="0.25">
      <c r="F4" t="s">
        <v>389</v>
      </c>
    </row>
    <row r="5" spans="6:6" x14ac:dyDescent="0.25">
      <c r="F5" t="s">
        <v>385</v>
      </c>
    </row>
    <row r="6" spans="6:6" x14ac:dyDescent="0.25">
      <c r="F6" t="s">
        <v>386</v>
      </c>
    </row>
    <row r="7" spans="6:6" x14ac:dyDescent="0.25">
      <c r="F7" t="s">
        <v>376</v>
      </c>
    </row>
    <row r="8" spans="6:6" x14ac:dyDescent="0.25">
      <c r="F8" t="s">
        <v>373</v>
      </c>
    </row>
    <row r="9" spans="6:6" x14ac:dyDescent="0.25">
      <c r="F9" t="s">
        <v>374</v>
      </c>
    </row>
    <row r="10" spans="6:6" x14ac:dyDescent="0.25">
      <c r="F10" t="s">
        <v>387</v>
      </c>
    </row>
    <row r="11" spans="6:6" x14ac:dyDescent="0.25">
      <c r="F11" t="s">
        <v>375</v>
      </c>
    </row>
    <row r="12" spans="6:6" x14ac:dyDescent="0.25">
      <c r="F12" t="s">
        <v>391</v>
      </c>
    </row>
    <row r="13" spans="6:6" x14ac:dyDescent="0.25">
      <c r="F13" t="s">
        <v>379</v>
      </c>
    </row>
    <row r="14" spans="6:6" x14ac:dyDescent="0.25">
      <c r="F14" t="s">
        <v>390</v>
      </c>
    </row>
    <row r="15" spans="6:6" x14ac:dyDescent="0.25">
      <c r="F15" t="s">
        <v>378</v>
      </c>
    </row>
    <row r="16" spans="6:6" x14ac:dyDescent="0.25">
      <c r="F16" t="s">
        <v>381</v>
      </c>
    </row>
    <row r="17" spans="6:12" x14ac:dyDescent="0.25">
      <c r="F17" t="s">
        <v>380</v>
      </c>
    </row>
    <row r="18" spans="6:12" x14ac:dyDescent="0.25">
      <c r="F18" t="s">
        <v>377</v>
      </c>
    </row>
    <row r="19" spans="6:12" x14ac:dyDescent="0.25">
      <c r="F19" t="s">
        <v>382</v>
      </c>
    </row>
    <row r="20" spans="6:12" x14ac:dyDescent="0.25">
      <c r="F20" t="s">
        <v>383</v>
      </c>
    </row>
    <row r="21" spans="6:12" x14ac:dyDescent="0.25">
      <c r="J21">
        <v>137.77000000000001</v>
      </c>
      <c r="K21">
        <v>66.2</v>
      </c>
      <c r="L21">
        <f>J21/K21</f>
        <v>2.0811178247734139</v>
      </c>
    </row>
    <row r="22" spans="6:12" x14ac:dyDescent="0.25">
      <c r="F22" t="s">
        <v>384</v>
      </c>
    </row>
    <row r="25" spans="6:12" x14ac:dyDescent="0.25">
      <c r="F25" t="s">
        <v>388</v>
      </c>
    </row>
    <row r="28" spans="6:12" x14ac:dyDescent="0.25">
      <c r="F28" t="s">
        <v>392</v>
      </c>
    </row>
    <row r="34" spans="6:6" x14ac:dyDescent="0.25">
      <c r="F34" t="s">
        <v>393</v>
      </c>
    </row>
    <row r="37" spans="6:6" x14ac:dyDescent="0.25">
      <c r="F37">
        <f>137.77/66.2</f>
        <v>2.0811178247734139</v>
      </c>
    </row>
    <row r="41" spans="6:6" x14ac:dyDescent="0.25">
      <c r="F41" t="s">
        <v>394</v>
      </c>
    </row>
    <row r="45" spans="6:6" ht="75" x14ac:dyDescent="0.25">
      <c r="F45" s="332" t="s">
        <v>395</v>
      </c>
    </row>
    <row r="51" spans="6:11" x14ac:dyDescent="0.25">
      <c r="F51" t="s">
        <v>0</v>
      </c>
      <c r="G51" t="s">
        <v>300</v>
      </c>
      <c r="H51" t="s">
        <v>45</v>
      </c>
      <c r="I51" t="s">
        <v>398</v>
      </c>
    </row>
    <row r="52" spans="6:11" x14ac:dyDescent="0.25">
      <c r="F52" t="s">
        <v>396</v>
      </c>
      <c r="G52" s="327">
        <v>149.30600000000001</v>
      </c>
      <c r="H52" s="327">
        <v>41</v>
      </c>
      <c r="I52" s="327">
        <f>G52/H52</f>
        <v>3.6416097560975613</v>
      </c>
    </row>
    <row r="53" spans="6:11" x14ac:dyDescent="0.25">
      <c r="F53" t="s">
        <v>397</v>
      </c>
      <c r="G53" s="327">
        <v>284.04500000000002</v>
      </c>
      <c r="H53" s="327">
        <v>25.2</v>
      </c>
      <c r="I53" s="327">
        <f>G53/H53</f>
        <v>11.271626984126986</v>
      </c>
    </row>
    <row r="54" spans="6:11" x14ac:dyDescent="0.25">
      <c r="G54" s="327"/>
      <c r="H54" s="327"/>
      <c r="I54" s="327"/>
    </row>
    <row r="56" spans="6:11" x14ac:dyDescent="0.25">
      <c r="F56" t="s">
        <v>399</v>
      </c>
    </row>
    <row r="63" spans="6:11" x14ac:dyDescent="0.25">
      <c r="K63" t="s">
        <v>403</v>
      </c>
    </row>
    <row r="65" spans="6:10" ht="409.5" x14ac:dyDescent="0.25">
      <c r="F65" s="332" t="s">
        <v>401</v>
      </c>
      <c r="J65" s="332" t="s">
        <v>402</v>
      </c>
    </row>
    <row r="67" spans="6:10" ht="409.5" x14ac:dyDescent="0.25">
      <c r="F67" s="332" t="s">
        <v>400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J101"/>
  <sheetViews>
    <sheetView showGridLines="0" zoomScaleNormal="100" workbookViewId="0"/>
  </sheetViews>
  <sheetFormatPr defaultColWidth="13.7109375" defaultRowHeight="15" x14ac:dyDescent="0.25"/>
  <cols>
    <col min="1" max="1" width="5.140625" style="31" customWidth="1"/>
    <col min="2" max="2" width="56.140625" style="31" bestFit="1" customWidth="1"/>
    <col min="3" max="3" width="15.140625" style="31" customWidth="1"/>
    <col min="4" max="4" width="17.7109375" style="31" customWidth="1"/>
    <col min="5" max="5" width="15" style="31" customWidth="1"/>
    <col min="6" max="6" width="13.28515625" style="31" bestFit="1" customWidth="1"/>
    <col min="7" max="16384" width="13.7109375" style="31"/>
  </cols>
  <sheetData>
    <row r="1" spans="2:6" s="1" customFormat="1" ht="19.899999999999999" customHeight="1" x14ac:dyDescent="0.25">
      <c r="B1" s="355" t="str">
        <f>'TPC &amp; MoF'!B1</f>
        <v>M/s. Sai Infinium Limited</v>
      </c>
      <c r="C1" s="355"/>
      <c r="D1" s="355"/>
      <c r="E1" s="355"/>
      <c r="F1" s="31"/>
    </row>
    <row r="2" spans="2:6" s="1" customFormat="1" ht="9" customHeight="1" x14ac:dyDescent="0.25">
      <c r="B2" s="2"/>
      <c r="C2" s="2"/>
      <c r="D2" s="2"/>
      <c r="E2" s="2"/>
      <c r="F2" s="2"/>
    </row>
    <row r="3" spans="2:6" s="1" customFormat="1" ht="19.899999999999999" customHeight="1" x14ac:dyDescent="0.25">
      <c r="B3" s="356" t="str">
        <f>'TPC &amp; MoF'!B3</f>
        <v>Financial Model for Proposed Hybrid Solar Plant (36 MW DC) &amp; Wind Plant (27.30 MW) @ GUJARAT</v>
      </c>
      <c r="C3" s="356"/>
      <c r="D3" s="356"/>
      <c r="E3" s="356"/>
      <c r="F3" s="31"/>
    </row>
    <row r="4" spans="2:6" s="1" customFormat="1" ht="9" customHeight="1" x14ac:dyDescent="0.25">
      <c r="B4" s="2"/>
      <c r="C4" s="2"/>
      <c r="D4" s="2"/>
      <c r="E4" s="2"/>
      <c r="F4" s="2"/>
    </row>
    <row r="5" spans="2:6" ht="15.75" x14ac:dyDescent="0.25">
      <c r="B5" s="33" t="s">
        <v>83</v>
      </c>
      <c r="C5" s="33"/>
      <c r="D5" s="33"/>
      <c r="E5" s="34"/>
    </row>
    <row r="6" spans="2:6" x14ac:dyDescent="0.25">
      <c r="B6" s="32"/>
      <c r="C6" s="32"/>
      <c r="D6" s="32"/>
      <c r="E6" s="32"/>
    </row>
    <row r="7" spans="2:6" x14ac:dyDescent="0.25">
      <c r="B7" s="35" t="s">
        <v>84</v>
      </c>
      <c r="C7" s="35"/>
      <c r="D7" s="35"/>
      <c r="E7" s="35"/>
    </row>
    <row r="8" spans="2:6" x14ac:dyDescent="0.25">
      <c r="B8" s="36" t="s">
        <v>0</v>
      </c>
      <c r="C8" s="36"/>
      <c r="D8" s="36"/>
      <c r="E8" s="37" t="s">
        <v>20</v>
      </c>
    </row>
    <row r="9" spans="2:6" x14ac:dyDescent="0.25">
      <c r="B9" s="32" t="s">
        <v>21</v>
      </c>
      <c r="C9" s="32"/>
      <c r="D9" s="32" t="s">
        <v>22</v>
      </c>
      <c r="E9" s="38">
        <v>45667</v>
      </c>
    </row>
    <row r="10" spans="2:6" x14ac:dyDescent="0.25">
      <c r="B10" s="32" t="s">
        <v>23</v>
      </c>
      <c r="C10" s="32"/>
      <c r="D10" s="32" t="s">
        <v>24</v>
      </c>
      <c r="E10" s="38">
        <f>EOMONTH(E9,2)</f>
        <v>45747</v>
      </c>
    </row>
    <row r="11" spans="2:6" x14ac:dyDescent="0.25">
      <c r="B11" s="32" t="s">
        <v>25</v>
      </c>
      <c r="C11" s="32"/>
      <c r="D11" s="32" t="s">
        <v>26</v>
      </c>
      <c r="E11" s="39">
        <v>12</v>
      </c>
    </row>
    <row r="12" spans="2:6" x14ac:dyDescent="0.25">
      <c r="B12" s="32" t="s">
        <v>27</v>
      </c>
      <c r="C12" s="32"/>
      <c r="D12" s="32" t="s">
        <v>28</v>
      </c>
      <c r="E12" s="38">
        <f>EOMONTH(E10,E11)</f>
        <v>46112</v>
      </c>
    </row>
    <row r="13" spans="2:6" x14ac:dyDescent="0.25">
      <c r="B13" s="32" t="s">
        <v>29</v>
      </c>
      <c r="C13" s="32"/>
      <c r="D13" s="32" t="s">
        <v>30</v>
      </c>
      <c r="E13" s="38">
        <f>E12+1</f>
        <v>46113</v>
      </c>
    </row>
    <row r="14" spans="2:6" x14ac:dyDescent="0.25">
      <c r="B14" s="32" t="s">
        <v>31</v>
      </c>
      <c r="C14" s="32"/>
      <c r="D14" s="32" t="s">
        <v>32</v>
      </c>
      <c r="E14" s="40">
        <v>26</v>
      </c>
    </row>
    <row r="15" spans="2:6" x14ac:dyDescent="0.25">
      <c r="B15" s="32" t="s">
        <v>33</v>
      </c>
      <c r="C15" s="32"/>
      <c r="D15" s="32" t="s">
        <v>34</v>
      </c>
      <c r="E15" s="38">
        <f>EOMONTH(E13,E14*12-1)</f>
        <v>55609</v>
      </c>
    </row>
    <row r="16" spans="2:6" x14ac:dyDescent="0.25">
      <c r="B16" s="41"/>
      <c r="C16" s="41"/>
      <c r="D16" s="41"/>
      <c r="E16" s="41"/>
    </row>
    <row r="17" spans="2:5" x14ac:dyDescent="0.25">
      <c r="B17" s="35" t="s">
        <v>35</v>
      </c>
      <c r="C17" s="35"/>
      <c r="D17" s="67" t="s">
        <v>85</v>
      </c>
      <c r="E17" s="67" t="s">
        <v>86</v>
      </c>
    </row>
    <row r="18" spans="2:5" x14ac:dyDescent="0.25">
      <c r="B18" s="36" t="s">
        <v>0</v>
      </c>
      <c r="C18" s="37" t="s">
        <v>37</v>
      </c>
      <c r="D18" s="37" t="s">
        <v>36</v>
      </c>
      <c r="E18" s="37" t="s">
        <v>36</v>
      </c>
    </row>
    <row r="19" spans="2:5" x14ac:dyDescent="0.25">
      <c r="B19" s="42" t="s">
        <v>38</v>
      </c>
      <c r="C19" s="43" t="s">
        <v>39</v>
      </c>
      <c r="D19" s="43">
        <v>24</v>
      </c>
      <c r="E19" s="43">
        <v>24</v>
      </c>
    </row>
    <row r="20" spans="2:5" x14ac:dyDescent="0.25">
      <c r="B20" s="42" t="s">
        <v>40</v>
      </c>
      <c r="C20" s="43" t="s">
        <v>41</v>
      </c>
      <c r="D20" s="43">
        <v>365</v>
      </c>
      <c r="E20" s="43">
        <v>365</v>
      </c>
    </row>
    <row r="21" spans="2:5" x14ac:dyDescent="0.25">
      <c r="B21" s="42" t="s">
        <v>42</v>
      </c>
      <c r="C21" s="43" t="s">
        <v>41</v>
      </c>
      <c r="D21" s="43">
        <v>365</v>
      </c>
      <c r="E21" s="43">
        <v>365</v>
      </c>
    </row>
    <row r="22" spans="2:5" x14ac:dyDescent="0.25">
      <c r="B22" s="32"/>
      <c r="C22" s="44"/>
      <c r="D22" s="44"/>
      <c r="E22" s="44"/>
    </row>
    <row r="23" spans="2:5" x14ac:dyDescent="0.25">
      <c r="B23" s="45" t="s">
        <v>43</v>
      </c>
      <c r="C23" s="45"/>
      <c r="D23" s="45"/>
      <c r="E23" s="45"/>
    </row>
    <row r="24" spans="2:5" x14ac:dyDescent="0.25">
      <c r="B24" s="32" t="s">
        <v>44</v>
      </c>
      <c r="C24" s="43" t="s">
        <v>45</v>
      </c>
      <c r="D24" s="60">
        <f>'TPC &amp; MoF'!D5</f>
        <v>36</v>
      </c>
      <c r="E24" s="60">
        <f>'TPC &amp; MoF'!E5</f>
        <v>27.3</v>
      </c>
    </row>
    <row r="25" spans="2:5" x14ac:dyDescent="0.25">
      <c r="B25" s="32" t="s">
        <v>46</v>
      </c>
      <c r="C25" s="43" t="s">
        <v>47</v>
      </c>
      <c r="D25" s="69">
        <f>D24*1000</f>
        <v>36000</v>
      </c>
      <c r="E25" s="69">
        <f>E24*1000</f>
        <v>27300</v>
      </c>
    </row>
    <row r="26" spans="2:5" x14ac:dyDescent="0.25">
      <c r="B26" s="32" t="s">
        <v>48</v>
      </c>
      <c r="C26" s="46" t="s">
        <v>49</v>
      </c>
      <c r="D26" s="47">
        <v>0.185506849315069</v>
      </c>
      <c r="E26" s="47">
        <v>0.36964557512502721</v>
      </c>
    </row>
    <row r="27" spans="2:5" x14ac:dyDescent="0.25">
      <c r="B27" s="32" t="s">
        <v>87</v>
      </c>
      <c r="C27" s="46" t="s">
        <v>49</v>
      </c>
      <c r="D27" s="47">
        <v>0</v>
      </c>
      <c r="E27" s="47">
        <v>0</v>
      </c>
    </row>
    <row r="28" spans="2:5" x14ac:dyDescent="0.25">
      <c r="B28" s="32" t="s">
        <v>88</v>
      </c>
      <c r="C28" s="46" t="s">
        <v>49</v>
      </c>
      <c r="D28" s="47">
        <v>5.4999999999999997E-3</v>
      </c>
      <c r="E28" s="47">
        <v>5.4999999999999997E-3</v>
      </c>
    </row>
    <row r="29" spans="2:5" x14ac:dyDescent="0.25">
      <c r="B29" s="32" t="s">
        <v>410</v>
      </c>
      <c r="C29" s="46" t="s">
        <v>49</v>
      </c>
      <c r="D29" s="307">
        <f>3.84%+2.5%</f>
        <v>6.3399999999999998E-2</v>
      </c>
      <c r="E29" s="307">
        <f>3.84%+2.5%</f>
        <v>6.3399999999999998E-2</v>
      </c>
    </row>
    <row r="30" spans="2:5" x14ac:dyDescent="0.25">
      <c r="B30" s="32"/>
      <c r="C30" s="46"/>
      <c r="D30" s="47"/>
      <c r="E30" s="47"/>
    </row>
    <row r="31" spans="2:5" x14ac:dyDescent="0.25">
      <c r="B31" s="45" t="s">
        <v>50</v>
      </c>
      <c r="C31" s="45"/>
      <c r="D31" s="45"/>
      <c r="E31" s="45"/>
    </row>
    <row r="32" spans="2:5" x14ac:dyDescent="0.25">
      <c r="B32" s="48" t="s">
        <v>411</v>
      </c>
      <c r="C32" s="49" t="s">
        <v>51</v>
      </c>
      <c r="D32" s="49">
        <v>8.75</v>
      </c>
      <c r="E32" s="49">
        <v>8.75</v>
      </c>
    </row>
    <row r="33" spans="2:7" x14ac:dyDescent="0.25">
      <c r="B33" s="50" t="s">
        <v>52</v>
      </c>
      <c r="C33" s="49" t="s">
        <v>51</v>
      </c>
      <c r="D33" s="49">
        <v>0</v>
      </c>
      <c r="E33" s="49">
        <v>0</v>
      </c>
    </row>
    <row r="34" spans="2:7" x14ac:dyDescent="0.25">
      <c r="B34" s="51" t="s">
        <v>53</v>
      </c>
      <c r="C34" s="53" t="s">
        <v>51</v>
      </c>
      <c r="D34" s="52">
        <f>D32</f>
        <v>8.75</v>
      </c>
      <c r="E34" s="52">
        <f>E32</f>
        <v>8.75</v>
      </c>
    </row>
    <row r="35" spans="2:7" x14ac:dyDescent="0.25">
      <c r="B35" s="32" t="s">
        <v>54</v>
      </c>
      <c r="C35" s="32"/>
      <c r="D35" s="47">
        <v>0.01</v>
      </c>
      <c r="E35" s="47">
        <v>0.01</v>
      </c>
    </row>
    <row r="36" spans="2:7" x14ac:dyDescent="0.25">
      <c r="B36" s="32"/>
      <c r="C36" s="32"/>
      <c r="D36" s="32"/>
      <c r="E36" s="32"/>
    </row>
    <row r="37" spans="2:7" x14ac:dyDescent="0.25">
      <c r="B37" s="36" t="s">
        <v>55</v>
      </c>
      <c r="C37" s="36"/>
      <c r="D37" s="36"/>
      <c r="E37" s="36"/>
    </row>
    <row r="38" spans="2:7" x14ac:dyDescent="0.25">
      <c r="B38" s="54" t="s">
        <v>55</v>
      </c>
      <c r="C38" s="56" t="s">
        <v>339</v>
      </c>
      <c r="D38" s="55">
        <f>350000*D24</f>
        <v>12600000</v>
      </c>
      <c r="E38" s="55">
        <f>1102000*E24</f>
        <v>30084600</v>
      </c>
      <c r="F38" s="334">
        <f>+D38/36</f>
        <v>350000</v>
      </c>
      <c r="G38" s="334">
        <f>+E38/27.3</f>
        <v>1102000</v>
      </c>
    </row>
    <row r="39" spans="2:7" x14ac:dyDescent="0.25">
      <c r="B39" s="54" t="s">
        <v>340</v>
      </c>
      <c r="C39" s="56"/>
      <c r="D39" s="55" t="s">
        <v>341</v>
      </c>
      <c r="E39" s="55" t="s">
        <v>341</v>
      </c>
    </row>
    <row r="40" spans="2:7" x14ac:dyDescent="0.25">
      <c r="B40" s="32" t="s">
        <v>57</v>
      </c>
      <c r="C40" s="49" t="s">
        <v>58</v>
      </c>
      <c r="D40" s="57">
        <v>0.05</v>
      </c>
      <c r="E40" s="57">
        <v>0.05</v>
      </c>
    </row>
    <row r="41" spans="2:7" x14ac:dyDescent="0.25">
      <c r="B41" s="32"/>
      <c r="C41" s="49"/>
      <c r="D41" s="57"/>
      <c r="E41" s="57"/>
    </row>
    <row r="42" spans="2:7" x14ac:dyDescent="0.25">
      <c r="B42" s="32" t="s">
        <v>56</v>
      </c>
      <c r="C42" s="49" t="s">
        <v>342</v>
      </c>
      <c r="D42" s="47">
        <v>1E-3</v>
      </c>
      <c r="E42" s="47">
        <v>1E-3</v>
      </c>
    </row>
    <row r="43" spans="2:7" x14ac:dyDescent="0.25">
      <c r="B43" s="32"/>
      <c r="C43" s="49"/>
      <c r="D43" s="47"/>
      <c r="E43" s="47"/>
    </row>
    <row r="44" spans="2:7" x14ac:dyDescent="0.25">
      <c r="B44" s="32" t="s">
        <v>59</v>
      </c>
      <c r="C44" s="49" t="s">
        <v>58</v>
      </c>
      <c r="D44" s="55">
        <f>50000*90</f>
        <v>4500000</v>
      </c>
      <c r="E44" s="55">
        <f>300000*13</f>
        <v>3900000</v>
      </c>
    </row>
    <row r="45" spans="2:7" x14ac:dyDescent="0.25">
      <c r="B45" s="32" t="s">
        <v>60</v>
      </c>
      <c r="C45" s="49" t="s">
        <v>61</v>
      </c>
      <c r="D45" s="58">
        <v>7.0000000000000007E-2</v>
      </c>
      <c r="E45" s="58">
        <v>7.0000000000000007E-2</v>
      </c>
    </row>
    <row r="46" spans="2:7" x14ac:dyDescent="0.25">
      <c r="B46" s="32"/>
      <c r="C46" s="32"/>
      <c r="D46" s="32"/>
      <c r="E46" s="32"/>
    </row>
    <row r="47" spans="2:7" x14ac:dyDescent="0.25">
      <c r="B47" s="36" t="s">
        <v>62</v>
      </c>
      <c r="C47" s="36"/>
      <c r="D47" s="36"/>
      <c r="E47" s="36"/>
    </row>
    <row r="48" spans="2:7" x14ac:dyDescent="0.25">
      <c r="B48" s="59" t="s">
        <v>126</v>
      </c>
      <c r="C48" s="49" t="s">
        <v>63</v>
      </c>
      <c r="D48" s="49">
        <v>0.2</v>
      </c>
      <c r="E48" s="49">
        <v>0.2</v>
      </c>
    </row>
    <row r="49" spans="2:8" x14ac:dyDescent="0.25">
      <c r="B49" s="59" t="s">
        <v>127</v>
      </c>
      <c r="C49" s="49" t="s">
        <v>343</v>
      </c>
      <c r="D49" s="49">
        <v>614.45000000000005</v>
      </c>
      <c r="E49" s="49">
        <v>614.45000000000005</v>
      </c>
      <c r="H49" s="133"/>
    </row>
    <row r="50" spans="2:8" x14ac:dyDescent="0.25">
      <c r="B50" s="59" t="s">
        <v>128</v>
      </c>
      <c r="C50" s="49" t="s">
        <v>129</v>
      </c>
      <c r="D50" s="49">
        <v>4400</v>
      </c>
      <c r="E50" s="49">
        <v>4400</v>
      </c>
    </row>
    <row r="51" spans="2:8" x14ac:dyDescent="0.25">
      <c r="B51" s="32" t="s">
        <v>64</v>
      </c>
      <c r="C51" s="49" t="s">
        <v>130</v>
      </c>
      <c r="D51" s="58">
        <v>0</v>
      </c>
      <c r="E51" s="58">
        <v>0</v>
      </c>
    </row>
    <row r="53" spans="2:8" ht="30" x14ac:dyDescent="0.25">
      <c r="B53" s="42" t="s">
        <v>412</v>
      </c>
      <c r="C53" s="336" t="s">
        <v>413</v>
      </c>
      <c r="D53" s="55">
        <v>1500</v>
      </c>
      <c r="E53" s="49"/>
    </row>
    <row r="54" spans="2:8" x14ac:dyDescent="0.25">
      <c r="B54" s="42" t="s">
        <v>428</v>
      </c>
      <c r="C54" s="49" t="s">
        <v>51</v>
      </c>
      <c r="D54" s="49">
        <f>D53/1000</f>
        <v>1.5</v>
      </c>
      <c r="E54" s="49"/>
    </row>
    <row r="55" spans="2:8" x14ac:dyDescent="0.25">
      <c r="C55" s="49"/>
      <c r="D55" s="49"/>
      <c r="E55" s="49"/>
    </row>
    <row r="56" spans="2:8" x14ac:dyDescent="0.25">
      <c r="B56" s="31" t="s">
        <v>414</v>
      </c>
      <c r="C56" s="49" t="s">
        <v>415</v>
      </c>
      <c r="D56" s="55">
        <v>12000</v>
      </c>
      <c r="E56" s="49"/>
      <c r="F56" s="31" t="s">
        <v>416</v>
      </c>
    </row>
    <row r="57" spans="2:8" x14ac:dyDescent="0.25">
      <c r="B57" s="31" t="s">
        <v>417</v>
      </c>
      <c r="C57" s="49" t="s">
        <v>415</v>
      </c>
      <c r="D57" s="55">
        <v>60000</v>
      </c>
      <c r="E57" s="49"/>
      <c r="F57" s="31" t="s">
        <v>418</v>
      </c>
    </row>
    <row r="58" spans="2:8" x14ac:dyDescent="0.25">
      <c r="C58" s="49"/>
      <c r="D58" s="49"/>
      <c r="E58" s="49"/>
    </row>
    <row r="60" spans="2:8" x14ac:dyDescent="0.25">
      <c r="B60" s="36" t="s">
        <v>65</v>
      </c>
      <c r="C60" s="36"/>
      <c r="D60" s="36"/>
      <c r="E60" s="36"/>
    </row>
    <row r="61" spans="2:8" x14ac:dyDescent="0.25">
      <c r="B61" s="59" t="s">
        <v>65</v>
      </c>
      <c r="C61" s="47" t="s">
        <v>66</v>
      </c>
      <c r="D61" s="57">
        <v>0</v>
      </c>
      <c r="E61" s="57">
        <v>0</v>
      </c>
    </row>
    <row r="62" spans="2:8" x14ac:dyDescent="0.25">
      <c r="B62" s="32" t="s">
        <v>67</v>
      </c>
      <c r="C62" s="47" t="s">
        <v>66</v>
      </c>
      <c r="D62" s="57">
        <v>0</v>
      </c>
      <c r="E62" s="57">
        <v>0</v>
      </c>
    </row>
    <row r="63" spans="2:8" x14ac:dyDescent="0.25">
      <c r="B63" s="32"/>
      <c r="C63" s="47"/>
      <c r="D63" s="57"/>
      <c r="E63" s="57"/>
    </row>
    <row r="64" spans="2:8" ht="15.75" x14ac:dyDescent="0.25">
      <c r="B64" s="33" t="s">
        <v>89</v>
      </c>
      <c r="C64" s="33"/>
      <c r="D64" s="33"/>
      <c r="E64" s="33"/>
    </row>
    <row r="65" spans="2:10" x14ac:dyDescent="0.25">
      <c r="B65" s="36" t="s">
        <v>68</v>
      </c>
      <c r="C65" s="36"/>
      <c r="D65" s="36"/>
      <c r="E65" s="36"/>
    </row>
    <row r="66" spans="2:10" x14ac:dyDescent="0.25">
      <c r="B66" s="32" t="s">
        <v>69</v>
      </c>
      <c r="C66" s="46" t="s">
        <v>70</v>
      </c>
      <c r="D66" s="57">
        <v>0.11</v>
      </c>
    </row>
    <row r="67" spans="2:10" x14ac:dyDescent="0.25">
      <c r="B67" s="32" t="s">
        <v>71</v>
      </c>
      <c r="C67" s="46" t="s">
        <v>72</v>
      </c>
      <c r="D67" s="60">
        <v>265</v>
      </c>
    </row>
    <row r="68" spans="2:10" x14ac:dyDescent="0.25">
      <c r="B68" s="32" t="s">
        <v>405</v>
      </c>
      <c r="C68" s="46" t="s">
        <v>72</v>
      </c>
      <c r="D68" s="60">
        <v>12</v>
      </c>
    </row>
    <row r="69" spans="2:10" x14ac:dyDescent="0.25">
      <c r="B69" s="32" t="s">
        <v>73</v>
      </c>
      <c r="C69" s="46" t="s">
        <v>72</v>
      </c>
      <c r="D69" s="60">
        <v>12</v>
      </c>
    </row>
    <row r="70" spans="2:10" x14ac:dyDescent="0.25">
      <c r="B70" s="32"/>
      <c r="C70" s="46"/>
      <c r="D70" s="60"/>
    </row>
    <row r="71" spans="2:10" x14ac:dyDescent="0.25">
      <c r="B71" s="36" t="s">
        <v>74</v>
      </c>
      <c r="C71" s="36"/>
      <c r="D71" s="36"/>
      <c r="E71" s="36"/>
    </row>
    <row r="72" spans="2:10" x14ac:dyDescent="0.25">
      <c r="B72" s="32" t="s">
        <v>75</v>
      </c>
      <c r="C72" s="46" t="s">
        <v>76</v>
      </c>
      <c r="D72" s="57">
        <f>15%*(1+D75)*(1+D76)</f>
        <v>0.17472000000000001</v>
      </c>
    </row>
    <row r="73" spans="2:10" x14ac:dyDescent="0.25">
      <c r="B73" s="62" t="s">
        <v>77</v>
      </c>
      <c r="C73" s="62"/>
      <c r="D73" s="62"/>
    </row>
    <row r="74" spans="2:10" x14ac:dyDescent="0.25">
      <c r="B74" s="31" t="s">
        <v>78</v>
      </c>
      <c r="C74" s="46" t="s">
        <v>70</v>
      </c>
      <c r="D74" s="44">
        <v>0.25</v>
      </c>
      <c r="F74" s="345" t="s">
        <v>531</v>
      </c>
      <c r="G74" s="345"/>
    </row>
    <row r="75" spans="2:10" x14ac:dyDescent="0.25">
      <c r="B75" s="31" t="s">
        <v>79</v>
      </c>
      <c r="C75" s="46" t="s">
        <v>70</v>
      </c>
      <c r="D75" s="44">
        <v>0.12</v>
      </c>
    </row>
    <row r="76" spans="2:10" x14ac:dyDescent="0.25">
      <c r="B76" s="31" t="s">
        <v>80</v>
      </c>
      <c r="C76" s="46" t="s">
        <v>70</v>
      </c>
      <c r="D76" s="44">
        <v>0.04</v>
      </c>
    </row>
    <row r="77" spans="2:10" x14ac:dyDescent="0.25">
      <c r="B77" s="63" t="s">
        <v>81</v>
      </c>
      <c r="C77" s="65" t="s">
        <v>70</v>
      </c>
      <c r="D77" s="64">
        <f>D74*(1+D75)*(1+D76)</f>
        <v>0.29120000000000001</v>
      </c>
      <c r="E77" s="64"/>
      <c r="J77" s="304"/>
    </row>
    <row r="78" spans="2:10" x14ac:dyDescent="0.25">
      <c r="C78" s="46"/>
      <c r="H78" s="133"/>
      <c r="J78" s="304"/>
    </row>
    <row r="79" spans="2:10" ht="30" x14ac:dyDescent="0.25">
      <c r="B79" s="73" t="s">
        <v>263</v>
      </c>
      <c r="C79" s="242" t="s">
        <v>252</v>
      </c>
      <c r="D79" s="74" t="s">
        <v>255</v>
      </c>
      <c r="E79" s="74" t="s">
        <v>256</v>
      </c>
      <c r="J79" s="304"/>
    </row>
    <row r="80" spans="2:10" x14ac:dyDescent="0.25">
      <c r="B80" s="31" t="s">
        <v>1</v>
      </c>
      <c r="D80" s="243">
        <v>0</v>
      </c>
      <c r="E80" s="243">
        <v>0</v>
      </c>
      <c r="J80" s="304"/>
    </row>
    <row r="81" spans="2:10" x14ac:dyDescent="0.25">
      <c r="B81" s="31" t="s">
        <v>2</v>
      </c>
      <c r="C81" s="87">
        <v>30</v>
      </c>
      <c r="D81" s="243">
        <f>1/C81</f>
        <v>3.3333333333333333E-2</v>
      </c>
      <c r="E81" s="243">
        <v>0.1</v>
      </c>
      <c r="J81" s="304"/>
    </row>
    <row r="82" spans="2:10" x14ac:dyDescent="0.25">
      <c r="B82" s="31" t="s">
        <v>3</v>
      </c>
      <c r="C82" s="87">
        <v>25</v>
      </c>
      <c r="D82" s="243">
        <f>1/C82</f>
        <v>0.04</v>
      </c>
      <c r="E82" s="243">
        <v>0.15</v>
      </c>
      <c r="H82" s="305"/>
      <c r="J82" s="304"/>
    </row>
    <row r="83" spans="2:10" x14ac:dyDescent="0.25">
      <c r="B83" s="31" t="s">
        <v>4</v>
      </c>
      <c r="C83" s="87">
        <v>10</v>
      </c>
      <c r="D83" s="243">
        <f>1/C83</f>
        <v>0.1</v>
      </c>
      <c r="E83" s="243">
        <v>0.1</v>
      </c>
      <c r="H83" s="306"/>
      <c r="J83" s="304"/>
    </row>
    <row r="84" spans="2:10" x14ac:dyDescent="0.25">
      <c r="B84" s="31" t="s">
        <v>5</v>
      </c>
      <c r="C84" s="87">
        <v>8</v>
      </c>
      <c r="D84" s="243">
        <f>1/C84</f>
        <v>0.125</v>
      </c>
      <c r="E84" s="243">
        <v>0.4</v>
      </c>
      <c r="J84" s="304"/>
    </row>
    <row r="85" spans="2:10" x14ac:dyDescent="0.25">
      <c r="B85" s="31" t="s">
        <v>6</v>
      </c>
      <c r="C85" s="87">
        <v>5</v>
      </c>
      <c r="D85" s="243">
        <f>1/C85</f>
        <v>0.2</v>
      </c>
      <c r="E85" s="243">
        <v>0.15</v>
      </c>
      <c r="J85" s="304"/>
    </row>
    <row r="86" spans="2:10" x14ac:dyDescent="0.25">
      <c r="B86" s="100" t="s">
        <v>254</v>
      </c>
      <c r="C86" s="101"/>
      <c r="D86" s="244"/>
      <c r="E86" s="244"/>
      <c r="J86" s="304"/>
    </row>
    <row r="87" spans="2:10" x14ac:dyDescent="0.25">
      <c r="J87" s="304"/>
    </row>
    <row r="88" spans="2:10" x14ac:dyDescent="0.25">
      <c r="J88" s="304"/>
    </row>
    <row r="89" spans="2:10" x14ac:dyDescent="0.25">
      <c r="J89" s="304"/>
    </row>
    <row r="90" spans="2:10" x14ac:dyDescent="0.25">
      <c r="J90" s="304"/>
    </row>
    <row r="91" spans="2:10" x14ac:dyDescent="0.25">
      <c r="J91" s="304"/>
    </row>
    <row r="92" spans="2:10" x14ac:dyDescent="0.25">
      <c r="J92" s="304"/>
    </row>
    <row r="93" spans="2:10" x14ac:dyDescent="0.25">
      <c r="J93" s="304"/>
    </row>
    <row r="94" spans="2:10" x14ac:dyDescent="0.25">
      <c r="J94" s="304"/>
    </row>
    <row r="95" spans="2:10" x14ac:dyDescent="0.25">
      <c r="J95" s="304"/>
    </row>
    <row r="96" spans="2:10" x14ac:dyDescent="0.25">
      <c r="J96" s="304"/>
    </row>
    <row r="97" spans="10:10" x14ac:dyDescent="0.25">
      <c r="J97" s="304"/>
    </row>
    <row r="98" spans="10:10" x14ac:dyDescent="0.25">
      <c r="J98" s="304"/>
    </row>
    <row r="99" spans="10:10" x14ac:dyDescent="0.25">
      <c r="J99" s="304"/>
    </row>
    <row r="100" spans="10:10" x14ac:dyDescent="0.25">
      <c r="J100" s="304"/>
    </row>
    <row r="101" spans="10:10" x14ac:dyDescent="0.25">
      <c r="J101" s="304"/>
    </row>
  </sheetData>
  <mergeCells count="2">
    <mergeCell ref="B1:E1"/>
    <mergeCell ref="B3:E3"/>
  </mergeCells>
  <dataValidations count="1">
    <dataValidation type="list" allowBlank="1" showInputMessage="1" showErrorMessage="1" sqref="D66">
      <formula1>"11%,13%"</formula1>
    </dataValidation>
  </dataValidation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N128"/>
  <sheetViews>
    <sheetView topLeftCell="A98" workbookViewId="0">
      <selection activeCell="J103" sqref="J103"/>
    </sheetView>
  </sheetViews>
  <sheetFormatPr defaultRowHeight="15" x14ac:dyDescent="0.25"/>
  <cols>
    <col min="7" max="7" width="14.42578125" customWidth="1"/>
    <col min="8" max="8" width="16.7109375" customWidth="1"/>
    <col min="9" max="9" width="16.42578125" customWidth="1"/>
    <col min="10" max="10" width="17.140625" customWidth="1"/>
    <col min="11" max="11" width="11.140625" customWidth="1"/>
  </cols>
  <sheetData>
    <row r="2" spans="3:10" x14ac:dyDescent="0.25">
      <c r="D2" t="s">
        <v>422</v>
      </c>
    </row>
    <row r="3" spans="3:10" x14ac:dyDescent="0.25">
      <c r="D3" t="s">
        <v>423</v>
      </c>
      <c r="J3" t="s">
        <v>436</v>
      </c>
    </row>
    <row r="4" spans="3:10" x14ac:dyDescent="0.25">
      <c r="D4" t="s">
        <v>424</v>
      </c>
    </row>
    <row r="5" spans="3:10" x14ac:dyDescent="0.25">
      <c r="D5" t="s">
        <v>425</v>
      </c>
    </row>
    <row r="7" spans="3:10" x14ac:dyDescent="0.25">
      <c r="D7" t="s">
        <v>426</v>
      </c>
    </row>
    <row r="8" spans="3:10" x14ac:dyDescent="0.25">
      <c r="D8" t="s">
        <v>438</v>
      </c>
    </row>
    <row r="10" spans="3:10" x14ac:dyDescent="0.25">
      <c r="D10" t="s">
        <v>427</v>
      </c>
    </row>
    <row r="13" spans="3:10" x14ac:dyDescent="0.25">
      <c r="C13" s="341" t="s">
        <v>435</v>
      </c>
      <c r="E13" t="s">
        <v>434</v>
      </c>
      <c r="G13" t="s">
        <v>429</v>
      </c>
      <c r="H13" t="s">
        <v>430</v>
      </c>
      <c r="I13" t="s">
        <v>431</v>
      </c>
      <c r="J13" t="s">
        <v>432</v>
      </c>
    </row>
    <row r="14" spans="3:10" x14ac:dyDescent="0.25">
      <c r="G14" s="328">
        <v>150000000</v>
      </c>
      <c r="H14" s="342">
        <v>0.12</v>
      </c>
      <c r="I14" s="328">
        <f>G14*H14</f>
        <v>18000000</v>
      </c>
      <c r="J14" s="328">
        <f>G14+I14</f>
        <v>168000000</v>
      </c>
    </row>
    <row r="15" spans="3:10" x14ac:dyDescent="0.25">
      <c r="D15" t="s">
        <v>437</v>
      </c>
      <c r="G15" s="328"/>
      <c r="H15" s="342"/>
      <c r="I15" s="328"/>
      <c r="J15" s="328"/>
    </row>
    <row r="16" spans="3:10" x14ac:dyDescent="0.25">
      <c r="G16" s="328">
        <v>58000000</v>
      </c>
      <c r="H16" s="342">
        <v>0.18</v>
      </c>
      <c r="I16" s="328">
        <f>G16*H16</f>
        <v>10440000</v>
      </c>
      <c r="J16" s="328">
        <f>G16+I16</f>
        <v>68440000</v>
      </c>
    </row>
    <row r="17" spans="4:14" x14ac:dyDescent="0.25">
      <c r="D17" t="s">
        <v>437</v>
      </c>
      <c r="G17" s="328"/>
      <c r="H17" s="342"/>
      <c r="I17" s="328"/>
      <c r="J17" s="328"/>
    </row>
    <row r="18" spans="4:14" x14ac:dyDescent="0.25">
      <c r="G18" s="328">
        <f>G14+G16</f>
        <v>208000000</v>
      </c>
      <c r="H18" s="342">
        <v>0.13800000000000001</v>
      </c>
      <c r="I18" s="328">
        <f t="shared" ref="I18:I20" si="0">G18*H18</f>
        <v>28704000.000000004</v>
      </c>
      <c r="J18" s="328">
        <f>G18+I18</f>
        <v>236704000</v>
      </c>
    </row>
    <row r="19" spans="4:14" x14ac:dyDescent="0.25">
      <c r="G19" s="328">
        <f>G18*13</f>
        <v>2704000000</v>
      </c>
      <c r="H19" s="342">
        <v>0.13800000000000001</v>
      </c>
      <c r="I19" s="328">
        <f t="shared" si="0"/>
        <v>373152000.00000006</v>
      </c>
      <c r="J19" s="328">
        <f>G19+I19</f>
        <v>3077152000</v>
      </c>
    </row>
    <row r="20" spans="4:14" x14ac:dyDescent="0.25">
      <c r="G20" s="328">
        <v>32000000</v>
      </c>
      <c r="H20" s="342">
        <v>0.13800000000000001</v>
      </c>
      <c r="I20" s="328">
        <f t="shared" si="0"/>
        <v>4416000</v>
      </c>
      <c r="J20" s="328">
        <f>G20+I20</f>
        <v>36416000</v>
      </c>
    </row>
    <row r="21" spans="4:14" x14ac:dyDescent="0.25">
      <c r="D21" t="s">
        <v>433</v>
      </c>
      <c r="G21" s="328"/>
      <c r="H21" s="342"/>
      <c r="I21" s="328"/>
      <c r="J21" s="328"/>
    </row>
    <row r="22" spans="4:14" x14ac:dyDescent="0.25">
      <c r="D22" t="s">
        <v>491</v>
      </c>
      <c r="G22" s="328"/>
      <c r="H22" s="342"/>
      <c r="I22" s="328"/>
      <c r="J22" s="328"/>
    </row>
    <row r="23" spans="4:14" x14ac:dyDescent="0.25">
      <c r="D23" t="s">
        <v>490</v>
      </c>
      <c r="G23" s="328"/>
      <c r="H23" s="342"/>
      <c r="I23" s="328"/>
      <c r="J23" s="328"/>
    </row>
    <row r="24" spans="4:14" x14ac:dyDescent="0.25">
      <c r="G24" s="328"/>
      <c r="H24" s="342"/>
      <c r="I24" s="328"/>
      <c r="J24" s="328"/>
    </row>
    <row r="25" spans="4:14" x14ac:dyDescent="0.25">
      <c r="G25" s="328">
        <f>G20*36</f>
        <v>1152000000</v>
      </c>
      <c r="H25" s="342">
        <v>0.13800000000000001</v>
      </c>
      <c r="I25" s="328">
        <f>G25*H25</f>
        <v>158976000</v>
      </c>
      <c r="J25" s="328">
        <f>G25+I25</f>
        <v>1310976000</v>
      </c>
    </row>
    <row r="26" spans="4:14" x14ac:dyDescent="0.25">
      <c r="G26" s="328">
        <f>G19+G25</f>
        <v>3856000000</v>
      </c>
      <c r="H26" s="328">
        <f t="shared" ref="H26:I26" si="1">H19+H25</f>
        <v>0.27600000000000002</v>
      </c>
      <c r="I26" s="328">
        <f t="shared" si="1"/>
        <v>532128000.00000006</v>
      </c>
      <c r="J26" s="328">
        <f>J19+J25</f>
        <v>4388128000</v>
      </c>
    </row>
    <row r="27" spans="4:14" x14ac:dyDescent="0.25">
      <c r="L27">
        <v>126.45</v>
      </c>
      <c r="N27">
        <f>L27/L28</f>
        <v>1.9976303317535546</v>
      </c>
    </row>
    <row r="28" spans="4:14" x14ac:dyDescent="0.25">
      <c r="L28">
        <v>63.3</v>
      </c>
    </row>
    <row r="29" spans="4:14" x14ac:dyDescent="0.25">
      <c r="L29">
        <f>L28/L27</f>
        <v>0.5005931198102016</v>
      </c>
    </row>
    <row r="31" spans="4:14" x14ac:dyDescent="0.25">
      <c r="F31" s="341" t="s">
        <v>439</v>
      </c>
    </row>
    <row r="33" spans="6:6" x14ac:dyDescent="0.25">
      <c r="F33" t="s">
        <v>440</v>
      </c>
    </row>
    <row r="34" spans="6:6" x14ac:dyDescent="0.25">
      <c r="F34" t="s">
        <v>441</v>
      </c>
    </row>
    <row r="35" spans="6:6" ht="409.5" x14ac:dyDescent="0.25">
      <c r="F35" s="332" t="s">
        <v>442</v>
      </c>
    </row>
    <row r="36" spans="6:6" x14ac:dyDescent="0.25">
      <c r="F36" s="332"/>
    </row>
    <row r="37" spans="6:6" x14ac:dyDescent="0.25">
      <c r="F37" t="s">
        <v>443</v>
      </c>
    </row>
    <row r="40" spans="6:6" x14ac:dyDescent="0.25">
      <c r="F40" t="s">
        <v>444</v>
      </c>
    </row>
    <row r="43" spans="6:6" x14ac:dyDescent="0.25">
      <c r="F43" s="343" t="s">
        <v>445</v>
      </c>
    </row>
    <row r="47" spans="6:6" ht="409.5" x14ac:dyDescent="0.25">
      <c r="F47" s="332" t="s">
        <v>446</v>
      </c>
    </row>
    <row r="48" spans="6:6" x14ac:dyDescent="0.25">
      <c r="F48" s="332"/>
    </row>
    <row r="50" spans="6:10" x14ac:dyDescent="0.25">
      <c r="F50" t="s">
        <v>447</v>
      </c>
      <c r="G50" t="s">
        <v>448</v>
      </c>
      <c r="H50" t="s">
        <v>449</v>
      </c>
      <c r="I50" t="s">
        <v>450</v>
      </c>
      <c r="J50" t="s">
        <v>451</v>
      </c>
    </row>
    <row r="51" spans="6:10" x14ac:dyDescent="0.25">
      <c r="F51">
        <v>1</v>
      </c>
      <c r="G51" t="s">
        <v>452</v>
      </c>
      <c r="H51" t="s">
        <v>453</v>
      </c>
      <c r="I51" t="s">
        <v>397</v>
      </c>
      <c r="J51">
        <v>300</v>
      </c>
    </row>
    <row r="52" spans="6:10" x14ac:dyDescent="0.25">
      <c r="F52">
        <v>2</v>
      </c>
      <c r="G52" t="s">
        <v>454</v>
      </c>
      <c r="H52" t="s">
        <v>455</v>
      </c>
      <c r="I52" t="s">
        <v>397</v>
      </c>
      <c r="J52">
        <v>78.599999999999994</v>
      </c>
    </row>
    <row r="53" spans="6:10" x14ac:dyDescent="0.25">
      <c r="F53">
        <v>3</v>
      </c>
      <c r="G53" t="s">
        <v>456</v>
      </c>
      <c r="H53" t="s">
        <v>457</v>
      </c>
      <c r="I53" t="s">
        <v>397</v>
      </c>
      <c r="J53">
        <v>100</v>
      </c>
    </row>
    <row r="54" spans="6:10" x14ac:dyDescent="0.25">
      <c r="F54">
        <v>4</v>
      </c>
      <c r="G54" t="s">
        <v>458</v>
      </c>
      <c r="H54" t="s">
        <v>459</v>
      </c>
      <c r="I54" t="s">
        <v>397</v>
      </c>
      <c r="J54">
        <v>35.700000000000003</v>
      </c>
    </row>
    <row r="55" spans="6:10" x14ac:dyDescent="0.25">
      <c r="F55">
        <v>5</v>
      </c>
      <c r="G55" t="s">
        <v>456</v>
      </c>
      <c r="H55" t="s">
        <v>460</v>
      </c>
      <c r="I55" t="s">
        <v>397</v>
      </c>
      <c r="J55">
        <v>197.5</v>
      </c>
    </row>
    <row r="56" spans="6:10" x14ac:dyDescent="0.25">
      <c r="F56">
        <v>6</v>
      </c>
      <c r="G56" t="s">
        <v>461</v>
      </c>
      <c r="H56" t="s">
        <v>462</v>
      </c>
      <c r="I56" t="s">
        <v>397</v>
      </c>
      <c r="J56">
        <v>17.600000000000001</v>
      </c>
    </row>
    <row r="57" spans="6:10" x14ac:dyDescent="0.25">
      <c r="F57">
        <v>7</v>
      </c>
      <c r="G57" t="s">
        <v>463</v>
      </c>
      <c r="H57" t="s">
        <v>464</v>
      </c>
      <c r="I57" t="s">
        <v>397</v>
      </c>
      <c r="J57">
        <v>300</v>
      </c>
    </row>
    <row r="58" spans="6:10" x14ac:dyDescent="0.25">
      <c r="F58">
        <v>8</v>
      </c>
      <c r="G58" t="s">
        <v>465</v>
      </c>
      <c r="H58" t="s">
        <v>466</v>
      </c>
      <c r="I58" t="s">
        <v>467</v>
      </c>
    </row>
    <row r="59" spans="6:10" x14ac:dyDescent="0.25">
      <c r="F59">
        <v>9</v>
      </c>
      <c r="G59" t="s">
        <v>468</v>
      </c>
      <c r="H59" t="s">
        <v>469</v>
      </c>
      <c r="I59" t="s">
        <v>397</v>
      </c>
      <c r="J59">
        <v>48.6</v>
      </c>
    </row>
    <row r="60" spans="6:10" x14ac:dyDescent="0.25">
      <c r="F60">
        <v>10</v>
      </c>
      <c r="G60" t="s">
        <v>468</v>
      </c>
      <c r="H60" t="s">
        <v>470</v>
      </c>
      <c r="I60" t="s">
        <v>396</v>
      </c>
      <c r="J60">
        <v>100</v>
      </c>
    </row>
    <row r="61" spans="6:10" x14ac:dyDescent="0.25">
      <c r="F61">
        <v>11</v>
      </c>
      <c r="G61" t="s">
        <v>468</v>
      </c>
      <c r="H61" t="s">
        <v>466</v>
      </c>
      <c r="I61" t="s">
        <v>397</v>
      </c>
      <c r="J61">
        <v>115</v>
      </c>
    </row>
    <row r="62" spans="6:10" x14ac:dyDescent="0.25">
      <c r="F62">
        <v>12</v>
      </c>
      <c r="G62" t="s">
        <v>468</v>
      </c>
      <c r="H62" t="s">
        <v>471</v>
      </c>
      <c r="I62" t="s">
        <v>16</v>
      </c>
      <c r="J62">
        <v>60</v>
      </c>
    </row>
    <row r="63" spans="6:10" x14ac:dyDescent="0.25">
      <c r="F63">
        <v>13</v>
      </c>
      <c r="G63" t="s">
        <v>468</v>
      </c>
      <c r="H63" t="s">
        <v>472</v>
      </c>
      <c r="I63" t="s">
        <v>473</v>
      </c>
      <c r="J63">
        <v>151.19999999999999</v>
      </c>
    </row>
    <row r="64" spans="6:10" x14ac:dyDescent="0.25">
      <c r="F64">
        <v>14</v>
      </c>
      <c r="G64" t="s">
        <v>468</v>
      </c>
      <c r="H64" t="s">
        <v>474</v>
      </c>
      <c r="I64" t="s">
        <v>475</v>
      </c>
      <c r="J64">
        <v>300</v>
      </c>
    </row>
    <row r="65" spans="6:10" x14ac:dyDescent="0.25">
      <c r="F65">
        <v>15</v>
      </c>
      <c r="G65" t="s">
        <v>476</v>
      </c>
      <c r="H65" t="s">
        <v>471</v>
      </c>
      <c r="I65" t="s">
        <v>473</v>
      </c>
      <c r="J65">
        <v>520</v>
      </c>
    </row>
    <row r="66" spans="6:10" x14ac:dyDescent="0.25">
      <c r="F66">
        <v>16</v>
      </c>
      <c r="G66" t="s">
        <v>476</v>
      </c>
      <c r="H66" t="s">
        <v>471</v>
      </c>
      <c r="I66" t="s">
        <v>397</v>
      </c>
      <c r="J66">
        <v>37.799999999999997</v>
      </c>
    </row>
    <row r="67" spans="6:10" x14ac:dyDescent="0.25">
      <c r="F67">
        <v>17</v>
      </c>
      <c r="G67" t="s">
        <v>477</v>
      </c>
      <c r="H67" t="s">
        <v>471</v>
      </c>
      <c r="I67" t="s">
        <v>397</v>
      </c>
      <c r="J67">
        <v>24.3</v>
      </c>
    </row>
    <row r="68" spans="6:10" x14ac:dyDescent="0.25">
      <c r="F68">
        <v>18</v>
      </c>
      <c r="G68" t="s">
        <v>477</v>
      </c>
      <c r="H68" t="s">
        <v>459</v>
      </c>
      <c r="I68" t="s">
        <v>397</v>
      </c>
      <c r="J68">
        <v>140</v>
      </c>
    </row>
    <row r="72" spans="6:10" ht="19.5" customHeight="1" x14ac:dyDescent="0.25">
      <c r="F72" t="s">
        <v>478</v>
      </c>
    </row>
    <row r="73" spans="6:10" x14ac:dyDescent="0.25">
      <c r="F73" t="s">
        <v>479</v>
      </c>
      <c r="G73" t="s">
        <v>353</v>
      </c>
      <c r="H73" t="s">
        <v>480</v>
      </c>
      <c r="I73" t="s">
        <v>481</v>
      </c>
      <c r="J73" t="s">
        <v>482</v>
      </c>
    </row>
    <row r="74" spans="6:10" x14ac:dyDescent="0.25">
      <c r="F74">
        <v>1</v>
      </c>
      <c r="G74" t="s">
        <v>483</v>
      </c>
      <c r="H74" t="s">
        <v>484</v>
      </c>
      <c r="I74" t="s">
        <v>397</v>
      </c>
      <c r="J74">
        <v>197.5</v>
      </c>
    </row>
    <row r="75" spans="6:10" x14ac:dyDescent="0.25">
      <c r="F75">
        <v>2</v>
      </c>
      <c r="G75" t="s">
        <v>485</v>
      </c>
      <c r="H75" t="s">
        <v>486</v>
      </c>
      <c r="I75" t="s">
        <v>397</v>
      </c>
      <c r="J75">
        <v>35.1</v>
      </c>
    </row>
    <row r="76" spans="6:10" x14ac:dyDescent="0.25">
      <c r="F76">
        <v>3</v>
      </c>
      <c r="G76" t="s">
        <v>485</v>
      </c>
      <c r="H76" t="s">
        <v>487</v>
      </c>
      <c r="I76" t="s">
        <v>396</v>
      </c>
      <c r="J76">
        <v>154</v>
      </c>
    </row>
    <row r="77" spans="6:10" x14ac:dyDescent="0.25">
      <c r="F77" t="s">
        <v>162</v>
      </c>
      <c r="J77">
        <v>386.6</v>
      </c>
    </row>
    <row r="80" spans="6:10" ht="19.5" customHeight="1" x14ac:dyDescent="0.25">
      <c r="G80" t="s">
        <v>488</v>
      </c>
    </row>
    <row r="81" spans="7:10" x14ac:dyDescent="0.25">
      <c r="G81" t="s">
        <v>479</v>
      </c>
      <c r="H81" t="s">
        <v>353</v>
      </c>
      <c r="I81" t="s">
        <v>481</v>
      </c>
      <c r="J81" t="s">
        <v>482</v>
      </c>
    </row>
    <row r="82" spans="7:10" x14ac:dyDescent="0.25">
      <c r="G82">
        <v>1</v>
      </c>
      <c r="H82" t="s">
        <v>213</v>
      </c>
      <c r="I82" t="s">
        <v>17</v>
      </c>
      <c r="J82">
        <v>250</v>
      </c>
    </row>
    <row r="83" spans="7:10" x14ac:dyDescent="0.25">
      <c r="G83">
        <v>2</v>
      </c>
      <c r="H83" t="s">
        <v>485</v>
      </c>
      <c r="I83" t="s">
        <v>17</v>
      </c>
      <c r="J83">
        <v>140</v>
      </c>
    </row>
    <row r="84" spans="7:10" x14ac:dyDescent="0.25">
      <c r="G84">
        <v>3</v>
      </c>
      <c r="H84" t="s">
        <v>489</v>
      </c>
      <c r="I84" t="s">
        <v>397</v>
      </c>
      <c r="J84">
        <v>25</v>
      </c>
    </row>
    <row r="85" spans="7:10" x14ac:dyDescent="0.25">
      <c r="G85">
        <v>4</v>
      </c>
      <c r="H85" t="s">
        <v>489</v>
      </c>
      <c r="I85" t="s">
        <v>397</v>
      </c>
      <c r="J85">
        <v>25</v>
      </c>
    </row>
    <row r="86" spans="7:10" x14ac:dyDescent="0.25">
      <c r="G86">
        <v>5</v>
      </c>
      <c r="H86" t="s">
        <v>489</v>
      </c>
      <c r="I86" t="s">
        <v>17</v>
      </c>
      <c r="J86">
        <v>70</v>
      </c>
    </row>
    <row r="87" spans="7:10" x14ac:dyDescent="0.25">
      <c r="G87">
        <v>6</v>
      </c>
      <c r="H87" t="s">
        <v>213</v>
      </c>
      <c r="I87" t="s">
        <v>17</v>
      </c>
      <c r="J87">
        <v>36</v>
      </c>
    </row>
    <row r="88" spans="7:10" x14ac:dyDescent="0.25">
      <c r="G88" t="s">
        <v>162</v>
      </c>
      <c r="J88">
        <v>546</v>
      </c>
    </row>
    <row r="93" spans="7:10" x14ac:dyDescent="0.25">
      <c r="G93" t="s">
        <v>449</v>
      </c>
    </row>
    <row r="94" spans="7:10" x14ac:dyDescent="0.25">
      <c r="G94" t="s">
        <v>492</v>
      </c>
    </row>
    <row r="95" spans="7:10" x14ac:dyDescent="0.25">
      <c r="G95" t="s">
        <v>493</v>
      </c>
    </row>
    <row r="96" spans="7:10" x14ac:dyDescent="0.25">
      <c r="G96" t="s">
        <v>494</v>
      </c>
    </row>
    <row r="97" spans="7:10" x14ac:dyDescent="0.25">
      <c r="G97" t="s">
        <v>495</v>
      </c>
    </row>
    <row r="98" spans="7:10" x14ac:dyDescent="0.25">
      <c r="G98" t="s">
        <v>496</v>
      </c>
    </row>
    <row r="100" spans="7:10" x14ac:dyDescent="0.25">
      <c r="G100" t="s">
        <v>505</v>
      </c>
    </row>
    <row r="101" spans="7:10" x14ac:dyDescent="0.25">
      <c r="G101" t="s">
        <v>449</v>
      </c>
      <c r="H101" t="s">
        <v>500</v>
      </c>
    </row>
    <row r="102" spans="7:10" x14ac:dyDescent="0.25">
      <c r="G102" t="s">
        <v>497</v>
      </c>
      <c r="H102" t="s">
        <v>501</v>
      </c>
    </row>
    <row r="103" spans="7:10" x14ac:dyDescent="0.25">
      <c r="G103" t="s">
        <v>493</v>
      </c>
      <c r="H103">
        <v>13</v>
      </c>
      <c r="J103" t="s">
        <v>532</v>
      </c>
    </row>
    <row r="104" spans="7:10" x14ac:dyDescent="0.25">
      <c r="G104" t="s">
        <v>498</v>
      </c>
      <c r="H104" t="s">
        <v>502</v>
      </c>
    </row>
    <row r="105" spans="7:10" x14ac:dyDescent="0.25">
      <c r="G105" t="s">
        <v>495</v>
      </c>
      <c r="H105" t="s">
        <v>503</v>
      </c>
    </row>
    <row r="106" spans="7:10" x14ac:dyDescent="0.25">
      <c r="G106" t="s">
        <v>499</v>
      </c>
      <c r="H106" t="s">
        <v>504</v>
      </c>
    </row>
    <row r="111" spans="7:10" x14ac:dyDescent="0.25">
      <c r="G111" t="s">
        <v>528</v>
      </c>
    </row>
    <row r="112" spans="7:10" x14ac:dyDescent="0.25">
      <c r="G112" t="s">
        <v>316</v>
      </c>
      <c r="H112" s="344" t="s">
        <v>518</v>
      </c>
    </row>
    <row r="113" spans="5:10" x14ac:dyDescent="0.25">
      <c r="G113" t="s">
        <v>506</v>
      </c>
      <c r="H113" s="344">
        <v>1</v>
      </c>
      <c r="J113" t="s">
        <v>438</v>
      </c>
    </row>
    <row r="114" spans="5:10" x14ac:dyDescent="0.25">
      <c r="G114" t="s">
        <v>507</v>
      </c>
      <c r="H114" s="344" t="s">
        <v>519</v>
      </c>
    </row>
    <row r="115" spans="5:10" x14ac:dyDescent="0.25">
      <c r="G115" t="s">
        <v>508</v>
      </c>
      <c r="H115" s="344" t="s">
        <v>520</v>
      </c>
    </row>
    <row r="116" spans="5:10" x14ac:dyDescent="0.25">
      <c r="G116" t="s">
        <v>509</v>
      </c>
      <c r="H116" s="344" t="s">
        <v>521</v>
      </c>
    </row>
    <row r="117" spans="5:10" x14ac:dyDescent="0.25">
      <c r="G117" t="s">
        <v>510</v>
      </c>
      <c r="H117" s="344" t="s">
        <v>522</v>
      </c>
    </row>
    <row r="118" spans="5:10" x14ac:dyDescent="0.25">
      <c r="G118" t="s">
        <v>511</v>
      </c>
      <c r="H118" s="344" t="s">
        <v>523</v>
      </c>
    </row>
    <row r="119" spans="5:10" x14ac:dyDescent="0.25">
      <c r="G119" t="s">
        <v>512</v>
      </c>
      <c r="H119" s="344" t="s">
        <v>524</v>
      </c>
    </row>
    <row r="120" spans="5:10" x14ac:dyDescent="0.25">
      <c r="G120" t="s">
        <v>513</v>
      </c>
      <c r="H120" s="344" t="s">
        <v>525</v>
      </c>
    </row>
    <row r="121" spans="5:10" x14ac:dyDescent="0.25">
      <c r="G121" t="s">
        <v>514</v>
      </c>
      <c r="H121" s="344" t="s">
        <v>526</v>
      </c>
    </row>
    <row r="122" spans="5:10" x14ac:dyDescent="0.25">
      <c r="G122" t="s">
        <v>515</v>
      </c>
      <c r="H122" s="344" t="s">
        <v>527</v>
      </c>
    </row>
    <row r="123" spans="5:10" x14ac:dyDescent="0.25">
      <c r="G123" t="s">
        <v>516</v>
      </c>
      <c r="H123" s="344">
        <v>0.32900000000000001</v>
      </c>
    </row>
    <row r="124" spans="5:10" x14ac:dyDescent="0.25">
      <c r="G124" t="s">
        <v>517</v>
      </c>
      <c r="H124" s="344">
        <v>0.08</v>
      </c>
    </row>
    <row r="126" spans="5:10" x14ac:dyDescent="0.25">
      <c r="E126" t="s">
        <v>529</v>
      </c>
    </row>
    <row r="128" spans="5:10" x14ac:dyDescent="0.25">
      <c r="E128" t="s">
        <v>530</v>
      </c>
    </row>
  </sheetData>
  <hyperlinks>
    <hyperlink ref="F43" r:id="rId1"/>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10"/>
  <sheetViews>
    <sheetView showGridLines="0" zoomScaleNormal="100" workbookViewId="0">
      <pane xSplit="2" ySplit="10" topLeftCell="C11" activePane="bottomRight" state="frozen"/>
      <selection pane="topRight" activeCell="C1" sqref="C1"/>
      <selection pane="bottomLeft" activeCell="A11" sqref="A11"/>
      <selection pane="bottomRight"/>
    </sheetView>
  </sheetViews>
  <sheetFormatPr defaultRowHeight="15" x14ac:dyDescent="0.25"/>
  <cols>
    <col min="1" max="1" width="3.85546875" customWidth="1"/>
    <col min="2" max="2" width="64.7109375" customWidth="1"/>
    <col min="3" max="3" width="9.140625" bestFit="1" customWidth="1"/>
    <col min="4" max="4" width="11.140625" bestFit="1" customWidth="1"/>
    <col min="5" max="5" width="9.7109375" bestFit="1" customWidth="1"/>
    <col min="6" max="6" width="13.7109375" bestFit="1" customWidth="1"/>
    <col min="7" max="7" width="12.5703125" bestFit="1" customWidth="1"/>
    <col min="8" max="8" width="15.28515625" bestFit="1" customWidth="1"/>
    <col min="9" max="9" width="15.85546875" bestFit="1" customWidth="1"/>
    <col min="10" max="31" width="12.28515625" bestFit="1" customWidth="1"/>
  </cols>
  <sheetData>
    <row r="1" spans="2:31" s="1" customFormat="1" ht="19.899999999999999" customHeight="1" x14ac:dyDescent="0.25">
      <c r="B1" s="105" t="str">
        <f>Company</f>
        <v>M/s. Sai Infinium Limited</v>
      </c>
      <c r="C1" s="105"/>
      <c r="D1" s="105"/>
      <c r="E1" s="105"/>
      <c r="F1" s="105"/>
      <c r="G1" s="105"/>
      <c r="H1" s="105"/>
      <c r="I1" s="105"/>
      <c r="J1" s="105"/>
      <c r="K1" s="105"/>
      <c r="L1" s="105"/>
      <c r="M1" s="105"/>
      <c r="N1" s="105"/>
      <c r="O1" s="105"/>
      <c r="P1" s="105"/>
      <c r="Q1" s="105"/>
      <c r="R1" s="105"/>
      <c r="S1" s="105"/>
      <c r="T1" s="105"/>
      <c r="U1" s="105"/>
      <c r="V1" s="105"/>
      <c r="W1" s="105"/>
      <c r="X1" s="105"/>
      <c r="Y1" s="105"/>
      <c r="Z1" s="105"/>
      <c r="AA1" s="105"/>
      <c r="AB1" s="105"/>
      <c r="AC1" s="105"/>
      <c r="AD1" s="105"/>
      <c r="AE1" s="105"/>
    </row>
    <row r="2" spans="2:31" s="1" customFormat="1" ht="9" customHeight="1" x14ac:dyDescent="0.25">
      <c r="B2" s="2"/>
      <c r="C2" s="2"/>
      <c r="D2" s="2"/>
      <c r="E2" s="2"/>
      <c r="F2" s="2"/>
      <c r="G2" s="2"/>
      <c r="H2" s="2"/>
      <c r="I2" s="2"/>
      <c r="J2" s="2"/>
      <c r="K2" s="2"/>
      <c r="L2" s="2"/>
      <c r="M2" s="2"/>
      <c r="N2" s="2"/>
      <c r="O2" s="2"/>
      <c r="P2" s="2"/>
      <c r="Q2" s="2"/>
      <c r="R2" s="2"/>
      <c r="S2" s="2"/>
      <c r="T2" s="2"/>
      <c r="U2" s="2"/>
      <c r="V2" s="2"/>
      <c r="W2" s="2"/>
      <c r="X2" s="2"/>
      <c r="Y2" s="2"/>
      <c r="Z2" s="2"/>
      <c r="AA2" s="2"/>
      <c r="AB2" s="2"/>
      <c r="AC2" s="2"/>
      <c r="AD2" s="2"/>
      <c r="AE2" s="2"/>
    </row>
    <row r="3" spans="2:31" s="1" customFormat="1" ht="19.899999999999999" customHeight="1" x14ac:dyDescent="0.25">
      <c r="B3" s="106" t="str">
        <f>Project</f>
        <v>Financial Model for Proposed Hybrid Solar Plant (36 MW DC) &amp; Wind Plant (27.30 MW) @ GUJARAT</v>
      </c>
      <c r="C3" s="106"/>
      <c r="D3" s="106"/>
      <c r="E3" s="106"/>
      <c r="F3" s="106"/>
      <c r="G3" s="106"/>
      <c r="H3" s="106"/>
      <c r="I3" s="106"/>
      <c r="J3" s="106"/>
      <c r="K3" s="106"/>
      <c r="L3" s="106"/>
      <c r="M3" s="106"/>
      <c r="N3" s="106"/>
      <c r="O3" s="106"/>
      <c r="P3" s="106"/>
      <c r="Q3" s="106"/>
      <c r="R3" s="106"/>
      <c r="S3" s="106"/>
      <c r="T3" s="106"/>
      <c r="U3" s="106"/>
      <c r="V3" s="106"/>
      <c r="W3" s="106"/>
      <c r="X3" s="106"/>
      <c r="Y3" s="106"/>
      <c r="Z3" s="106"/>
      <c r="AA3" s="106"/>
      <c r="AB3" s="106"/>
      <c r="AC3" s="106"/>
      <c r="AD3" s="106"/>
      <c r="AE3" s="106"/>
    </row>
    <row r="4" spans="2:31" s="1" customFormat="1" ht="9" customHeight="1" x14ac:dyDescent="0.25">
      <c r="B4" s="2"/>
      <c r="C4" s="2"/>
      <c r="D4" s="2"/>
      <c r="E4" s="2"/>
      <c r="F4" s="2"/>
      <c r="G4" s="297"/>
    </row>
    <row r="5" spans="2:31" ht="15.75" x14ac:dyDescent="0.25">
      <c r="B5" s="71" t="s">
        <v>90</v>
      </c>
      <c r="C5" s="71"/>
      <c r="D5" s="72"/>
      <c r="E5" s="72"/>
      <c r="F5" s="72"/>
      <c r="G5" s="72"/>
      <c r="H5" s="72"/>
      <c r="I5" s="72"/>
      <c r="J5" s="72"/>
      <c r="K5" s="72"/>
      <c r="L5" s="72"/>
      <c r="M5" s="72"/>
      <c r="N5" s="72"/>
      <c r="O5" s="72"/>
      <c r="P5" s="72"/>
      <c r="Q5" s="72"/>
      <c r="R5" s="72"/>
      <c r="S5" s="72"/>
      <c r="T5" s="72"/>
      <c r="U5" s="72"/>
      <c r="V5" s="72"/>
      <c r="W5" s="72"/>
      <c r="X5" s="72"/>
      <c r="Y5" s="72"/>
      <c r="Z5" s="72"/>
      <c r="AA5" s="72"/>
      <c r="AB5" s="72"/>
      <c r="AC5" s="72"/>
      <c r="AD5" s="72"/>
      <c r="AE5" s="72"/>
    </row>
    <row r="6" spans="2:31" x14ac:dyDescent="0.25">
      <c r="B6" s="298" t="s">
        <v>327</v>
      </c>
      <c r="C6" s="68"/>
      <c r="D6" s="68"/>
      <c r="E6" s="31"/>
      <c r="F6" s="24"/>
      <c r="G6" s="24"/>
      <c r="H6" s="24"/>
      <c r="I6" s="24"/>
      <c r="J6" s="24"/>
      <c r="K6" s="24"/>
      <c r="L6" s="24"/>
      <c r="M6" s="24"/>
      <c r="N6" s="24"/>
      <c r="O6" s="24"/>
      <c r="P6" s="24"/>
      <c r="Q6" s="24"/>
      <c r="R6" s="24"/>
      <c r="S6" s="24"/>
      <c r="T6" s="24"/>
      <c r="U6" s="24"/>
      <c r="V6" s="24"/>
      <c r="W6" s="24"/>
      <c r="X6" s="24"/>
      <c r="Y6" s="24"/>
      <c r="Z6" s="24"/>
      <c r="AA6" s="24"/>
      <c r="AB6" s="24"/>
      <c r="AC6" s="24"/>
      <c r="AD6" s="24"/>
      <c r="AE6" s="24"/>
    </row>
    <row r="7" spans="2:31" ht="15.75" x14ac:dyDescent="0.25">
      <c r="B7" s="31"/>
      <c r="C7" s="68"/>
      <c r="D7" s="357" t="s">
        <v>25</v>
      </c>
      <c r="E7" s="357"/>
      <c r="F7" s="358" t="s">
        <v>91</v>
      </c>
      <c r="G7" s="358"/>
      <c r="H7" s="358"/>
      <c r="I7" s="358"/>
      <c r="J7" s="358"/>
      <c r="K7" s="358"/>
      <c r="L7" s="358"/>
      <c r="M7" s="358"/>
      <c r="N7" s="358"/>
      <c r="O7" s="358"/>
      <c r="P7" s="358"/>
      <c r="Q7" s="358"/>
      <c r="R7" s="358"/>
      <c r="S7" s="358"/>
      <c r="T7" s="358"/>
      <c r="U7" s="358"/>
      <c r="V7" s="358"/>
      <c r="W7" s="358"/>
      <c r="X7" s="358"/>
      <c r="Y7" s="358"/>
      <c r="Z7" s="358"/>
      <c r="AA7" s="358"/>
      <c r="AB7" s="358"/>
      <c r="AC7" s="358"/>
      <c r="AD7" s="358"/>
      <c r="AE7" s="358"/>
    </row>
    <row r="8" spans="2:31" x14ac:dyDescent="0.25">
      <c r="B8" s="73" t="s">
        <v>326</v>
      </c>
      <c r="C8" s="74" t="s">
        <v>93</v>
      </c>
      <c r="D8" s="75">
        <f>EOMONTH(Assumptions!E10,0)</f>
        <v>45747</v>
      </c>
      <c r="E8" s="75">
        <f>Assumptions!E12</f>
        <v>46112</v>
      </c>
      <c r="F8" s="75">
        <f>DATE(YEAR(E8)+1,MONTH(E8),DAY(E8))</f>
        <v>46477</v>
      </c>
      <c r="G8" s="75">
        <f t="shared" ref="G8:AE8" si="0">DATE(YEAR(F8)+1,MONTH(F8),DAY(F8))</f>
        <v>46843</v>
      </c>
      <c r="H8" s="75">
        <f t="shared" si="0"/>
        <v>47208</v>
      </c>
      <c r="I8" s="75">
        <f t="shared" si="0"/>
        <v>47573</v>
      </c>
      <c r="J8" s="75">
        <f t="shared" si="0"/>
        <v>47938</v>
      </c>
      <c r="K8" s="75">
        <f t="shared" si="0"/>
        <v>48304</v>
      </c>
      <c r="L8" s="75">
        <f t="shared" si="0"/>
        <v>48669</v>
      </c>
      <c r="M8" s="75">
        <f t="shared" si="0"/>
        <v>49034</v>
      </c>
      <c r="N8" s="75">
        <f t="shared" si="0"/>
        <v>49399</v>
      </c>
      <c r="O8" s="75">
        <f t="shared" si="0"/>
        <v>49765</v>
      </c>
      <c r="P8" s="75">
        <f t="shared" si="0"/>
        <v>50130</v>
      </c>
      <c r="Q8" s="75">
        <f t="shared" si="0"/>
        <v>50495</v>
      </c>
      <c r="R8" s="75">
        <f t="shared" si="0"/>
        <v>50860</v>
      </c>
      <c r="S8" s="75">
        <f t="shared" si="0"/>
        <v>51226</v>
      </c>
      <c r="T8" s="75">
        <f t="shared" si="0"/>
        <v>51591</v>
      </c>
      <c r="U8" s="75">
        <f t="shared" si="0"/>
        <v>51956</v>
      </c>
      <c r="V8" s="75">
        <f t="shared" si="0"/>
        <v>52321</v>
      </c>
      <c r="W8" s="75">
        <f t="shared" si="0"/>
        <v>52687</v>
      </c>
      <c r="X8" s="75">
        <f t="shared" si="0"/>
        <v>53052</v>
      </c>
      <c r="Y8" s="75">
        <f t="shared" si="0"/>
        <v>53417</v>
      </c>
      <c r="Z8" s="75">
        <f t="shared" si="0"/>
        <v>53782</v>
      </c>
      <c r="AA8" s="75">
        <f t="shared" si="0"/>
        <v>54148</v>
      </c>
      <c r="AB8" s="75">
        <f t="shared" si="0"/>
        <v>54513</v>
      </c>
      <c r="AC8" s="75">
        <f t="shared" si="0"/>
        <v>54878</v>
      </c>
      <c r="AD8" s="75">
        <f t="shared" si="0"/>
        <v>55243</v>
      </c>
      <c r="AE8" s="75">
        <f t="shared" si="0"/>
        <v>55609</v>
      </c>
    </row>
    <row r="9" spans="2:31" x14ac:dyDescent="0.25">
      <c r="B9" s="76" t="s">
        <v>94</v>
      </c>
      <c r="C9" s="77"/>
      <c r="D9" s="78">
        <v>0</v>
      </c>
      <c r="E9" s="78">
        <v>0</v>
      </c>
      <c r="F9" s="79">
        <v>1</v>
      </c>
      <c r="G9" s="79">
        <v>2</v>
      </c>
      <c r="H9" s="79">
        <v>3</v>
      </c>
      <c r="I9" s="79">
        <v>4</v>
      </c>
      <c r="J9" s="79">
        <v>5</v>
      </c>
      <c r="K9" s="79">
        <v>6</v>
      </c>
      <c r="L9" s="79">
        <v>7</v>
      </c>
      <c r="M9" s="79">
        <v>8</v>
      </c>
      <c r="N9" s="79">
        <v>9</v>
      </c>
      <c r="O9" s="79">
        <v>10</v>
      </c>
      <c r="P9" s="79">
        <v>11</v>
      </c>
      <c r="Q9" s="79">
        <v>12</v>
      </c>
      <c r="R9" s="79">
        <v>13</v>
      </c>
      <c r="S9" s="79">
        <v>14</v>
      </c>
      <c r="T9" s="79">
        <v>15</v>
      </c>
      <c r="U9" s="79">
        <v>16</v>
      </c>
      <c r="V9" s="79">
        <v>17</v>
      </c>
      <c r="W9" s="79">
        <v>18</v>
      </c>
      <c r="X9" s="79">
        <v>19</v>
      </c>
      <c r="Y9" s="79">
        <v>20</v>
      </c>
      <c r="Z9" s="79">
        <v>21</v>
      </c>
      <c r="AA9" s="79">
        <v>22</v>
      </c>
      <c r="AB9" s="79">
        <v>23</v>
      </c>
      <c r="AC9" s="79">
        <v>24</v>
      </c>
      <c r="AD9" s="79">
        <v>25</v>
      </c>
      <c r="AE9" s="79">
        <v>26</v>
      </c>
    </row>
    <row r="10" spans="2:31" x14ac:dyDescent="0.25">
      <c r="B10" s="76" t="s">
        <v>95</v>
      </c>
      <c r="C10" s="77">
        <v>13</v>
      </c>
      <c r="D10" s="78">
        <f>C10-E10</f>
        <v>1</v>
      </c>
      <c r="E10" s="78">
        <f>MONTH(E8-D8)</f>
        <v>12</v>
      </c>
      <c r="F10" s="77">
        <f t="shared" ref="F10:AE10" si="1">MONTH(F8-E8)</f>
        <v>12</v>
      </c>
      <c r="G10" s="77">
        <f t="shared" si="1"/>
        <v>12</v>
      </c>
      <c r="H10" s="77">
        <f t="shared" si="1"/>
        <v>12</v>
      </c>
      <c r="I10" s="77">
        <f t="shared" si="1"/>
        <v>12</v>
      </c>
      <c r="J10" s="77">
        <f t="shared" si="1"/>
        <v>12</v>
      </c>
      <c r="K10" s="77">
        <f t="shared" si="1"/>
        <v>12</v>
      </c>
      <c r="L10" s="77">
        <f t="shared" si="1"/>
        <v>12</v>
      </c>
      <c r="M10" s="77">
        <f t="shared" si="1"/>
        <v>12</v>
      </c>
      <c r="N10" s="77">
        <f t="shared" si="1"/>
        <v>12</v>
      </c>
      <c r="O10" s="77">
        <f t="shared" si="1"/>
        <v>12</v>
      </c>
      <c r="P10" s="77">
        <f t="shared" si="1"/>
        <v>12</v>
      </c>
      <c r="Q10" s="77">
        <f t="shared" si="1"/>
        <v>12</v>
      </c>
      <c r="R10" s="77">
        <f t="shared" si="1"/>
        <v>12</v>
      </c>
      <c r="S10" s="77">
        <f t="shared" si="1"/>
        <v>12</v>
      </c>
      <c r="T10" s="77">
        <f t="shared" si="1"/>
        <v>12</v>
      </c>
      <c r="U10" s="77">
        <f t="shared" si="1"/>
        <v>12</v>
      </c>
      <c r="V10" s="77">
        <f t="shared" si="1"/>
        <v>12</v>
      </c>
      <c r="W10" s="77">
        <f t="shared" si="1"/>
        <v>12</v>
      </c>
      <c r="X10" s="77">
        <f t="shared" si="1"/>
        <v>12</v>
      </c>
      <c r="Y10" s="77">
        <f t="shared" si="1"/>
        <v>12</v>
      </c>
      <c r="Z10" s="77">
        <f t="shared" si="1"/>
        <v>12</v>
      </c>
      <c r="AA10" s="77">
        <f t="shared" si="1"/>
        <v>12</v>
      </c>
      <c r="AB10" s="77">
        <f t="shared" si="1"/>
        <v>12</v>
      </c>
      <c r="AC10" s="77">
        <f t="shared" si="1"/>
        <v>12</v>
      </c>
      <c r="AD10" s="77">
        <f t="shared" si="1"/>
        <v>12</v>
      </c>
      <c r="AE10" s="77">
        <f t="shared" si="1"/>
        <v>12</v>
      </c>
    </row>
    <row r="11" spans="2:31" ht="6" customHeight="1" x14ac:dyDescent="0.25">
      <c r="B11" s="70"/>
      <c r="C11" s="70"/>
      <c r="D11" s="70"/>
      <c r="E11" s="70"/>
      <c r="F11" s="70"/>
      <c r="G11" s="70"/>
      <c r="H11" s="70"/>
      <c r="I11" s="70"/>
      <c r="J11" s="70"/>
      <c r="K11" s="70"/>
      <c r="L11" s="70"/>
      <c r="M11" s="70"/>
      <c r="N11" s="70"/>
      <c r="O11" s="70"/>
      <c r="P11" s="70"/>
      <c r="Q11" s="70"/>
      <c r="R11" s="70"/>
      <c r="S11" s="70"/>
      <c r="T11" s="70"/>
      <c r="U11" s="70"/>
      <c r="V11" s="70"/>
      <c r="W11" s="70"/>
      <c r="X11" s="70"/>
      <c r="Y11" s="70"/>
      <c r="Z11" s="70"/>
      <c r="AA11" s="70"/>
      <c r="AB11" s="70"/>
      <c r="AC11" s="70"/>
      <c r="AD11" s="70"/>
      <c r="AE11" s="70"/>
    </row>
    <row r="12" spans="2:31" x14ac:dyDescent="0.25">
      <c r="B12" s="81" t="s">
        <v>96</v>
      </c>
      <c r="C12" s="81"/>
      <c r="D12" s="81"/>
      <c r="E12" s="81"/>
      <c r="F12" s="82">
        <f>F8-E8</f>
        <v>365</v>
      </c>
      <c r="G12" s="82">
        <f t="shared" ref="G12:AE12" si="2">G8-F8</f>
        <v>366</v>
      </c>
      <c r="H12" s="82">
        <f t="shared" si="2"/>
        <v>365</v>
      </c>
      <c r="I12" s="82">
        <f t="shared" si="2"/>
        <v>365</v>
      </c>
      <c r="J12" s="82">
        <f t="shared" si="2"/>
        <v>365</v>
      </c>
      <c r="K12" s="82">
        <f t="shared" si="2"/>
        <v>366</v>
      </c>
      <c r="L12" s="82">
        <f t="shared" si="2"/>
        <v>365</v>
      </c>
      <c r="M12" s="82">
        <f t="shared" si="2"/>
        <v>365</v>
      </c>
      <c r="N12" s="82">
        <f t="shared" si="2"/>
        <v>365</v>
      </c>
      <c r="O12" s="82">
        <f t="shared" si="2"/>
        <v>366</v>
      </c>
      <c r="P12" s="82">
        <f t="shared" si="2"/>
        <v>365</v>
      </c>
      <c r="Q12" s="82">
        <f t="shared" si="2"/>
        <v>365</v>
      </c>
      <c r="R12" s="82">
        <f t="shared" si="2"/>
        <v>365</v>
      </c>
      <c r="S12" s="82">
        <f t="shared" si="2"/>
        <v>366</v>
      </c>
      <c r="T12" s="82">
        <f t="shared" si="2"/>
        <v>365</v>
      </c>
      <c r="U12" s="82">
        <f t="shared" si="2"/>
        <v>365</v>
      </c>
      <c r="V12" s="82">
        <f t="shared" si="2"/>
        <v>365</v>
      </c>
      <c r="W12" s="82">
        <f t="shared" si="2"/>
        <v>366</v>
      </c>
      <c r="X12" s="82">
        <f t="shared" si="2"/>
        <v>365</v>
      </c>
      <c r="Y12" s="82">
        <f t="shared" si="2"/>
        <v>365</v>
      </c>
      <c r="Z12" s="82">
        <f t="shared" si="2"/>
        <v>365</v>
      </c>
      <c r="AA12" s="82">
        <f t="shared" si="2"/>
        <v>366</v>
      </c>
      <c r="AB12" s="82">
        <f t="shared" si="2"/>
        <v>365</v>
      </c>
      <c r="AC12" s="82">
        <f t="shared" si="2"/>
        <v>365</v>
      </c>
      <c r="AD12" s="82">
        <f t="shared" si="2"/>
        <v>365</v>
      </c>
      <c r="AE12" s="82">
        <f t="shared" si="2"/>
        <v>366</v>
      </c>
    </row>
    <row r="13" spans="2:31" ht="6" customHeight="1" x14ac:dyDescent="0.25">
      <c r="B13" s="70"/>
      <c r="C13" s="70"/>
      <c r="D13" s="70"/>
      <c r="E13" s="70"/>
      <c r="F13" s="70"/>
      <c r="G13" s="70"/>
      <c r="H13" s="70"/>
      <c r="I13" s="70"/>
      <c r="J13" s="70"/>
      <c r="K13" s="70"/>
      <c r="L13" s="70"/>
      <c r="M13" s="70"/>
      <c r="N13" s="70"/>
      <c r="O13" s="70"/>
      <c r="P13" s="70"/>
      <c r="Q13" s="70"/>
      <c r="R13" s="70"/>
      <c r="S13" s="70"/>
      <c r="T13" s="70"/>
      <c r="U13" s="70"/>
      <c r="V13" s="70"/>
      <c r="W13" s="70"/>
      <c r="X13" s="70"/>
      <c r="Y13" s="70"/>
      <c r="Z13" s="70"/>
      <c r="AA13" s="70"/>
      <c r="AB13" s="70"/>
      <c r="AC13" s="70"/>
      <c r="AD13" s="70"/>
      <c r="AE13" s="70"/>
    </row>
    <row r="14" spans="2:31" x14ac:dyDescent="0.25">
      <c r="B14" s="81" t="s">
        <v>97</v>
      </c>
      <c r="C14" s="81"/>
      <c r="D14" s="81"/>
      <c r="E14" s="81"/>
      <c r="F14" s="82">
        <v>24</v>
      </c>
      <c r="G14" s="82">
        <v>24</v>
      </c>
      <c r="H14" s="82">
        <v>24</v>
      </c>
      <c r="I14" s="82">
        <v>24</v>
      </c>
      <c r="J14" s="82">
        <v>24</v>
      </c>
      <c r="K14" s="82">
        <v>24</v>
      </c>
      <c r="L14" s="82">
        <v>24</v>
      </c>
      <c r="M14" s="82">
        <v>24</v>
      </c>
      <c r="N14" s="82">
        <v>24</v>
      </c>
      <c r="O14" s="82">
        <v>24</v>
      </c>
      <c r="P14" s="82">
        <v>24</v>
      </c>
      <c r="Q14" s="82">
        <v>24</v>
      </c>
      <c r="R14" s="82">
        <v>24</v>
      </c>
      <c r="S14" s="82">
        <v>24</v>
      </c>
      <c r="T14" s="82">
        <v>24</v>
      </c>
      <c r="U14" s="82">
        <v>24</v>
      </c>
      <c r="V14" s="82">
        <v>24</v>
      </c>
      <c r="W14" s="82">
        <v>24</v>
      </c>
      <c r="X14" s="82">
        <v>24</v>
      </c>
      <c r="Y14" s="82">
        <v>24</v>
      </c>
      <c r="Z14" s="82">
        <v>24</v>
      </c>
      <c r="AA14" s="82">
        <v>24</v>
      </c>
      <c r="AB14" s="82">
        <v>24</v>
      </c>
      <c r="AC14" s="82">
        <v>24</v>
      </c>
      <c r="AD14" s="82">
        <v>24</v>
      </c>
      <c r="AE14" s="82">
        <v>24</v>
      </c>
    </row>
    <row r="15" spans="2:31" ht="6" customHeight="1" x14ac:dyDescent="0.25">
      <c r="B15" s="70"/>
      <c r="C15" s="70"/>
      <c r="D15" s="70"/>
      <c r="E15" s="70"/>
      <c r="F15" s="70"/>
      <c r="G15" s="70"/>
      <c r="H15" s="70"/>
      <c r="I15" s="70"/>
      <c r="J15" s="70"/>
      <c r="K15" s="70"/>
      <c r="L15" s="70"/>
      <c r="M15" s="70"/>
      <c r="N15" s="70"/>
      <c r="O15" s="70"/>
      <c r="P15" s="70"/>
      <c r="Q15" s="70"/>
      <c r="R15" s="70"/>
      <c r="S15" s="70"/>
      <c r="T15" s="70"/>
      <c r="U15" s="70"/>
      <c r="V15" s="70"/>
      <c r="W15" s="70"/>
      <c r="X15" s="70"/>
      <c r="Y15" s="70"/>
      <c r="Z15" s="70"/>
      <c r="AA15" s="70"/>
      <c r="AB15" s="70"/>
      <c r="AC15" s="70"/>
      <c r="AD15" s="70"/>
      <c r="AE15" s="70"/>
    </row>
    <row r="16" spans="2:31" x14ac:dyDescent="0.25">
      <c r="B16" s="83" t="s">
        <v>138</v>
      </c>
      <c r="C16" s="84"/>
      <c r="D16" s="84"/>
      <c r="E16" s="84"/>
      <c r="F16" s="85"/>
      <c r="G16" s="85"/>
      <c r="H16" s="85"/>
      <c r="I16" s="85"/>
      <c r="J16" s="85"/>
      <c r="K16" s="85"/>
      <c r="L16" s="85"/>
      <c r="M16" s="85"/>
      <c r="N16" s="85"/>
      <c r="O16" s="85"/>
      <c r="P16" s="85"/>
      <c r="Q16" s="85"/>
      <c r="R16" s="85"/>
      <c r="S16" s="85"/>
      <c r="T16" s="85"/>
      <c r="U16" s="85"/>
      <c r="V16" s="85"/>
      <c r="W16" s="85"/>
      <c r="X16" s="85"/>
      <c r="Y16" s="85"/>
      <c r="Z16" s="85"/>
      <c r="AA16" s="85"/>
      <c r="AB16" s="85"/>
      <c r="AC16" s="85"/>
      <c r="AD16" s="85"/>
      <c r="AE16" s="85"/>
    </row>
    <row r="17" spans="2:31" ht="15.75" x14ac:dyDescent="0.25">
      <c r="B17" s="117"/>
      <c r="C17" s="31"/>
      <c r="D17" s="31"/>
      <c r="E17" s="31"/>
      <c r="F17" s="86"/>
      <c r="G17" s="88"/>
      <c r="H17" s="86"/>
      <c r="I17" s="70"/>
      <c r="J17" s="70"/>
      <c r="K17" s="70"/>
      <c r="L17" s="70"/>
      <c r="M17" s="70"/>
      <c r="N17" s="70"/>
      <c r="O17" s="70"/>
      <c r="P17" s="70"/>
      <c r="Q17" s="70"/>
      <c r="R17" s="70"/>
      <c r="S17" s="70"/>
      <c r="T17" s="70"/>
      <c r="U17" s="70"/>
      <c r="V17" s="70"/>
      <c r="W17" s="70"/>
      <c r="X17" s="70"/>
      <c r="Y17" s="70"/>
      <c r="Z17" s="70"/>
      <c r="AA17" s="70"/>
      <c r="AB17" s="70"/>
      <c r="AC17" s="70"/>
      <c r="AD17" s="70"/>
      <c r="AE17" s="70"/>
    </row>
    <row r="18" spans="2:31" ht="15.75" x14ac:dyDescent="0.25">
      <c r="B18" s="117" t="s">
        <v>98</v>
      </c>
      <c r="C18" s="31"/>
      <c r="D18" s="31"/>
      <c r="E18" s="31"/>
      <c r="F18" s="86"/>
      <c r="G18" s="88"/>
      <c r="H18" s="86"/>
      <c r="I18" s="70"/>
      <c r="J18" s="70"/>
      <c r="K18" s="70"/>
      <c r="L18" s="70"/>
      <c r="M18" s="70"/>
      <c r="N18" s="70"/>
      <c r="O18" s="70"/>
      <c r="P18" s="70"/>
      <c r="Q18" s="70"/>
      <c r="R18" s="70"/>
      <c r="S18" s="70"/>
      <c r="T18" s="70"/>
      <c r="U18" s="70"/>
      <c r="V18" s="70"/>
      <c r="W18" s="70"/>
      <c r="X18" s="70"/>
      <c r="Y18" s="70"/>
      <c r="Z18" s="70"/>
      <c r="AA18" s="70"/>
      <c r="AB18" s="70"/>
      <c r="AC18" s="70"/>
      <c r="AD18" s="70"/>
      <c r="AE18" s="70"/>
    </row>
    <row r="19" spans="2:31" x14ac:dyDescent="0.25">
      <c r="B19" s="31" t="s">
        <v>346</v>
      </c>
      <c r="C19" s="31"/>
      <c r="D19" s="335"/>
      <c r="E19" s="335"/>
      <c r="F19" s="114">
        <f>Assumptions!D24</f>
        <v>36</v>
      </c>
      <c r="G19" s="107">
        <f>F19</f>
        <v>36</v>
      </c>
      <c r="H19" s="107">
        <f t="shared" ref="H19:AE19" si="3">G19</f>
        <v>36</v>
      </c>
      <c r="I19" s="107">
        <f t="shared" si="3"/>
        <v>36</v>
      </c>
      <c r="J19" s="107">
        <f t="shared" si="3"/>
        <v>36</v>
      </c>
      <c r="K19" s="107">
        <f t="shared" si="3"/>
        <v>36</v>
      </c>
      <c r="L19" s="107">
        <f t="shared" si="3"/>
        <v>36</v>
      </c>
      <c r="M19" s="107">
        <f t="shared" si="3"/>
        <v>36</v>
      </c>
      <c r="N19" s="107">
        <f t="shared" si="3"/>
        <v>36</v>
      </c>
      <c r="O19" s="107">
        <f t="shared" si="3"/>
        <v>36</v>
      </c>
      <c r="P19" s="107">
        <f t="shared" si="3"/>
        <v>36</v>
      </c>
      <c r="Q19" s="107">
        <f t="shared" si="3"/>
        <v>36</v>
      </c>
      <c r="R19" s="107">
        <f t="shared" si="3"/>
        <v>36</v>
      </c>
      <c r="S19" s="107">
        <f t="shared" si="3"/>
        <v>36</v>
      </c>
      <c r="T19" s="107">
        <f t="shared" si="3"/>
        <v>36</v>
      </c>
      <c r="U19" s="107">
        <f t="shared" si="3"/>
        <v>36</v>
      </c>
      <c r="V19" s="107">
        <f t="shared" si="3"/>
        <v>36</v>
      </c>
      <c r="W19" s="107">
        <f t="shared" si="3"/>
        <v>36</v>
      </c>
      <c r="X19" s="107">
        <f t="shared" si="3"/>
        <v>36</v>
      </c>
      <c r="Y19" s="107">
        <f t="shared" si="3"/>
        <v>36</v>
      </c>
      <c r="Z19" s="107">
        <f t="shared" si="3"/>
        <v>36</v>
      </c>
      <c r="AA19" s="107">
        <f t="shared" si="3"/>
        <v>36</v>
      </c>
      <c r="AB19" s="107">
        <f t="shared" si="3"/>
        <v>36</v>
      </c>
      <c r="AC19" s="107">
        <f t="shared" si="3"/>
        <v>36</v>
      </c>
      <c r="AD19" s="107">
        <f t="shared" si="3"/>
        <v>36</v>
      </c>
      <c r="AE19" s="107">
        <f t="shared" si="3"/>
        <v>36</v>
      </c>
    </row>
    <row r="20" spans="2:31" x14ac:dyDescent="0.25">
      <c r="B20" s="31" t="s">
        <v>100</v>
      </c>
      <c r="C20" s="46"/>
      <c r="D20" s="335"/>
      <c r="E20" s="335"/>
      <c r="F20" s="87">
        <f t="shared" ref="F20:AE20" si="4">F19*1000</f>
        <v>36000</v>
      </c>
      <c r="G20" s="87">
        <f t="shared" si="4"/>
        <v>36000</v>
      </c>
      <c r="H20" s="87">
        <f t="shared" si="4"/>
        <v>36000</v>
      </c>
      <c r="I20" s="87">
        <f t="shared" si="4"/>
        <v>36000</v>
      </c>
      <c r="J20" s="87">
        <f t="shared" si="4"/>
        <v>36000</v>
      </c>
      <c r="K20" s="87">
        <f t="shared" si="4"/>
        <v>36000</v>
      </c>
      <c r="L20" s="87">
        <f t="shared" si="4"/>
        <v>36000</v>
      </c>
      <c r="M20" s="87">
        <f t="shared" si="4"/>
        <v>36000</v>
      </c>
      <c r="N20" s="87">
        <f t="shared" si="4"/>
        <v>36000</v>
      </c>
      <c r="O20" s="87">
        <f t="shared" si="4"/>
        <v>36000</v>
      </c>
      <c r="P20" s="87">
        <f t="shared" si="4"/>
        <v>36000</v>
      </c>
      <c r="Q20" s="87">
        <f t="shared" si="4"/>
        <v>36000</v>
      </c>
      <c r="R20" s="87">
        <f t="shared" si="4"/>
        <v>36000</v>
      </c>
      <c r="S20" s="87">
        <f t="shared" si="4"/>
        <v>36000</v>
      </c>
      <c r="T20" s="87">
        <f t="shared" si="4"/>
        <v>36000</v>
      </c>
      <c r="U20" s="87">
        <f t="shared" si="4"/>
        <v>36000</v>
      </c>
      <c r="V20" s="87">
        <f t="shared" si="4"/>
        <v>36000</v>
      </c>
      <c r="W20" s="87">
        <f t="shared" si="4"/>
        <v>36000</v>
      </c>
      <c r="X20" s="87">
        <f t="shared" si="4"/>
        <v>36000</v>
      </c>
      <c r="Y20" s="87">
        <f t="shared" si="4"/>
        <v>36000</v>
      </c>
      <c r="Z20" s="87">
        <f t="shared" si="4"/>
        <v>36000</v>
      </c>
      <c r="AA20" s="87">
        <f t="shared" si="4"/>
        <v>36000</v>
      </c>
      <c r="AB20" s="87">
        <f t="shared" si="4"/>
        <v>36000</v>
      </c>
      <c r="AC20" s="87">
        <f t="shared" si="4"/>
        <v>36000</v>
      </c>
      <c r="AD20" s="87">
        <f t="shared" si="4"/>
        <v>36000</v>
      </c>
      <c r="AE20" s="87">
        <f t="shared" si="4"/>
        <v>36000</v>
      </c>
    </row>
    <row r="21" spans="2:31" x14ac:dyDescent="0.25">
      <c r="B21" s="31" t="s">
        <v>101</v>
      </c>
      <c r="C21" s="46"/>
      <c r="D21" s="335"/>
      <c r="E21" s="335"/>
      <c r="F21" s="112">
        <f>Assumptions!D26</f>
        <v>0.185506849315069</v>
      </c>
      <c r="G21" s="88">
        <f>F21*(1-G22)</f>
        <v>0.18448656164383612</v>
      </c>
      <c r="H21" s="88">
        <f t="shared" ref="H21:AE21" si="5">G21*(1-H22)</f>
        <v>0.18347188555479502</v>
      </c>
      <c r="I21" s="88">
        <f t="shared" si="5"/>
        <v>0.18246279018424366</v>
      </c>
      <c r="J21" s="88">
        <f t="shared" si="5"/>
        <v>0.18145924483823034</v>
      </c>
      <c r="K21" s="88">
        <f t="shared" si="5"/>
        <v>0.18046121899162007</v>
      </c>
      <c r="L21" s="88">
        <f t="shared" si="5"/>
        <v>0.17946868228716617</v>
      </c>
      <c r="M21" s="88">
        <f t="shared" si="5"/>
        <v>0.17848160453458675</v>
      </c>
      <c r="N21" s="88">
        <f t="shared" si="5"/>
        <v>0.17749995570964652</v>
      </c>
      <c r="O21" s="88">
        <f t="shared" si="5"/>
        <v>0.17652370595324349</v>
      </c>
      <c r="P21" s="88">
        <f t="shared" si="5"/>
        <v>0.17555282557050067</v>
      </c>
      <c r="Q21" s="88">
        <f t="shared" si="5"/>
        <v>0.17458728502986293</v>
      </c>
      <c r="R21" s="88">
        <f t="shared" si="5"/>
        <v>0.17362705496219868</v>
      </c>
      <c r="S21" s="88">
        <f t="shared" si="5"/>
        <v>0.17267210615990661</v>
      </c>
      <c r="T21" s="88">
        <f t="shared" si="5"/>
        <v>0.17172240957602714</v>
      </c>
      <c r="U21" s="88">
        <f t="shared" si="5"/>
        <v>0.170777936323359</v>
      </c>
      <c r="V21" s="88">
        <f t="shared" si="5"/>
        <v>0.16983865767358053</v>
      </c>
      <c r="W21" s="88">
        <f t="shared" si="5"/>
        <v>0.16890454505637584</v>
      </c>
      <c r="X21" s="88">
        <f t="shared" si="5"/>
        <v>0.16797557005856578</v>
      </c>
      <c r="Y21" s="88">
        <f t="shared" si="5"/>
        <v>0.16705170442324369</v>
      </c>
      <c r="Z21" s="88">
        <f t="shared" si="5"/>
        <v>0.16613292004891586</v>
      </c>
      <c r="AA21" s="88">
        <f t="shared" si="5"/>
        <v>0.16521918898864682</v>
      </c>
      <c r="AB21" s="88">
        <f t="shared" si="5"/>
        <v>0.16431048344920926</v>
      </c>
      <c r="AC21" s="88">
        <f t="shared" si="5"/>
        <v>0.16340677579023863</v>
      </c>
      <c r="AD21" s="88">
        <f t="shared" si="5"/>
        <v>0.16250803852339232</v>
      </c>
      <c r="AE21" s="88">
        <f t="shared" si="5"/>
        <v>0.16161424431151367</v>
      </c>
    </row>
    <row r="22" spans="2:31" x14ac:dyDescent="0.25">
      <c r="B22" s="89" t="s">
        <v>102</v>
      </c>
      <c r="C22" s="90"/>
      <c r="D22" s="335"/>
      <c r="E22" s="335"/>
      <c r="F22" s="113">
        <f>Assumptions!D27</f>
        <v>0</v>
      </c>
      <c r="G22" s="113">
        <f>Assumptions!D28</f>
        <v>5.4999999999999997E-3</v>
      </c>
      <c r="H22" s="108">
        <f>G22</f>
        <v>5.4999999999999997E-3</v>
      </c>
      <c r="I22" s="108">
        <f t="shared" ref="I22:AE22" si="6">H22</f>
        <v>5.4999999999999997E-3</v>
      </c>
      <c r="J22" s="108">
        <f t="shared" si="6"/>
        <v>5.4999999999999997E-3</v>
      </c>
      <c r="K22" s="108">
        <f t="shared" si="6"/>
        <v>5.4999999999999997E-3</v>
      </c>
      <c r="L22" s="108">
        <f t="shared" si="6"/>
        <v>5.4999999999999997E-3</v>
      </c>
      <c r="M22" s="108">
        <f t="shared" si="6"/>
        <v>5.4999999999999997E-3</v>
      </c>
      <c r="N22" s="108">
        <f t="shared" si="6"/>
        <v>5.4999999999999997E-3</v>
      </c>
      <c r="O22" s="108">
        <f t="shared" si="6"/>
        <v>5.4999999999999997E-3</v>
      </c>
      <c r="P22" s="108">
        <f t="shared" si="6"/>
        <v>5.4999999999999997E-3</v>
      </c>
      <c r="Q22" s="108">
        <f t="shared" si="6"/>
        <v>5.4999999999999997E-3</v>
      </c>
      <c r="R22" s="108">
        <f t="shared" si="6"/>
        <v>5.4999999999999997E-3</v>
      </c>
      <c r="S22" s="108">
        <f t="shared" si="6"/>
        <v>5.4999999999999997E-3</v>
      </c>
      <c r="T22" s="108">
        <f t="shared" si="6"/>
        <v>5.4999999999999997E-3</v>
      </c>
      <c r="U22" s="108">
        <f t="shared" si="6"/>
        <v>5.4999999999999997E-3</v>
      </c>
      <c r="V22" s="108">
        <f t="shared" si="6"/>
        <v>5.4999999999999997E-3</v>
      </c>
      <c r="W22" s="108">
        <f t="shared" si="6"/>
        <v>5.4999999999999997E-3</v>
      </c>
      <c r="X22" s="108">
        <f t="shared" si="6"/>
        <v>5.4999999999999997E-3</v>
      </c>
      <c r="Y22" s="108">
        <f t="shared" si="6"/>
        <v>5.4999999999999997E-3</v>
      </c>
      <c r="Z22" s="108">
        <f t="shared" si="6"/>
        <v>5.4999999999999997E-3</v>
      </c>
      <c r="AA22" s="108">
        <f t="shared" si="6"/>
        <v>5.4999999999999997E-3</v>
      </c>
      <c r="AB22" s="108">
        <f t="shared" si="6"/>
        <v>5.4999999999999997E-3</v>
      </c>
      <c r="AC22" s="108">
        <f t="shared" si="6"/>
        <v>5.4999999999999997E-3</v>
      </c>
      <c r="AD22" s="108">
        <f t="shared" si="6"/>
        <v>5.4999999999999997E-3</v>
      </c>
      <c r="AE22" s="108">
        <f t="shared" si="6"/>
        <v>5.4999999999999997E-3</v>
      </c>
    </row>
    <row r="23" spans="2:31" x14ac:dyDescent="0.25">
      <c r="B23" s="31" t="s">
        <v>103</v>
      </c>
      <c r="C23" s="46"/>
      <c r="D23" s="335"/>
      <c r="E23" s="335"/>
      <c r="F23" s="91">
        <f t="shared" ref="F23:AE23" si="7">F20*F21*F14*F12</f>
        <v>58501440.000000156</v>
      </c>
      <c r="G23" s="91">
        <f t="shared" si="7"/>
        <v>58339078.469260439</v>
      </c>
      <c r="H23" s="91">
        <f t="shared" si="7"/>
        <v>57859693.828560151</v>
      </c>
      <c r="I23" s="91">
        <f t="shared" si="7"/>
        <v>57541465.512503088</v>
      </c>
      <c r="J23" s="91">
        <f t="shared" si="7"/>
        <v>57224987.452184319</v>
      </c>
      <c r="K23" s="91">
        <f t="shared" si="7"/>
        <v>57066168.51440607</v>
      </c>
      <c r="L23" s="91">
        <f t="shared" si="7"/>
        <v>56597243.646080725</v>
      </c>
      <c r="M23" s="91">
        <f t="shared" si="7"/>
        <v>56285958.806027278</v>
      </c>
      <c r="N23" s="91">
        <f t="shared" si="7"/>
        <v>55976386.032594129</v>
      </c>
      <c r="O23" s="91">
        <f t="shared" si="7"/>
        <v>55821032.391358472</v>
      </c>
      <c r="P23" s="91">
        <f t="shared" si="7"/>
        <v>55362339.071913093</v>
      </c>
      <c r="Q23" s="91">
        <f t="shared" si="7"/>
        <v>55057846.207017563</v>
      </c>
      <c r="R23" s="91">
        <f t="shared" si="7"/>
        <v>54755028.052878968</v>
      </c>
      <c r="S23" s="91">
        <f t="shared" si="7"/>
        <v>54603064.098310307</v>
      </c>
      <c r="T23" s="91">
        <f t="shared" si="7"/>
        <v>54154379.083895914</v>
      </c>
      <c r="U23" s="91">
        <f t="shared" si="7"/>
        <v>53856529.998934492</v>
      </c>
      <c r="V23" s="91">
        <f t="shared" si="7"/>
        <v>53560319.083940357</v>
      </c>
      <c r="W23" s="91">
        <f t="shared" si="7"/>
        <v>53411670.855907388</v>
      </c>
      <c r="X23" s="91">
        <f t="shared" si="7"/>
        <v>52972775.773669302</v>
      </c>
      <c r="Y23" s="91">
        <f t="shared" si="7"/>
        <v>52681425.506914131</v>
      </c>
      <c r="Z23" s="91">
        <f t="shared" si="7"/>
        <v>52391677.666626111</v>
      </c>
      <c r="AA23" s="91">
        <f t="shared" si="7"/>
        <v>52246272.818745852</v>
      </c>
      <c r="AB23" s="91">
        <f t="shared" si="7"/>
        <v>51816954.060542636</v>
      </c>
      <c r="AC23" s="91">
        <f t="shared" si="7"/>
        <v>51531960.813209653</v>
      </c>
      <c r="AD23" s="91">
        <f t="shared" si="7"/>
        <v>51248535.028737001</v>
      </c>
      <c r="AE23" s="91">
        <f t="shared" si="7"/>
        <v>51106302.793164089</v>
      </c>
    </row>
    <row r="24" spans="2:31" x14ac:dyDescent="0.25">
      <c r="B24" s="31" t="s">
        <v>317</v>
      </c>
      <c r="C24" s="111">
        <f>Assumptions!D29</f>
        <v>6.3399999999999998E-2</v>
      </c>
      <c r="D24" s="335"/>
      <c r="E24" s="335"/>
      <c r="F24" s="92">
        <f>F23*$C$24</f>
        <v>3708991.2960000099</v>
      </c>
      <c r="G24" s="92">
        <f t="shared" ref="G24:AE24" si="8">G23*$C$24</f>
        <v>3698697.5749511118</v>
      </c>
      <c r="H24" s="92">
        <f t="shared" si="8"/>
        <v>3668304.5887307134</v>
      </c>
      <c r="I24" s="92">
        <f t="shared" si="8"/>
        <v>3648128.9134926954</v>
      </c>
      <c r="J24" s="92">
        <f t="shared" si="8"/>
        <v>3628064.2044684859</v>
      </c>
      <c r="K24" s="92">
        <f t="shared" si="8"/>
        <v>3617995.0838133446</v>
      </c>
      <c r="L24" s="92">
        <f t="shared" si="8"/>
        <v>3588265.2471615179</v>
      </c>
      <c r="M24" s="92">
        <f t="shared" si="8"/>
        <v>3568529.7883021291</v>
      </c>
      <c r="N24" s="92">
        <f t="shared" si="8"/>
        <v>3548902.8744664676</v>
      </c>
      <c r="O24" s="92">
        <f t="shared" si="8"/>
        <v>3539053.4536121269</v>
      </c>
      <c r="P24" s="92">
        <f t="shared" si="8"/>
        <v>3509972.2971592899</v>
      </c>
      <c r="Q24" s="92">
        <f t="shared" si="8"/>
        <v>3490667.4495249134</v>
      </c>
      <c r="R24" s="92">
        <f t="shared" si="8"/>
        <v>3471468.7785525266</v>
      </c>
      <c r="S24" s="92">
        <f t="shared" si="8"/>
        <v>3461834.2638328732</v>
      </c>
      <c r="T24" s="92">
        <f t="shared" si="8"/>
        <v>3433387.6339190006</v>
      </c>
      <c r="U24" s="92">
        <f t="shared" si="8"/>
        <v>3414504.0019324468</v>
      </c>
      <c r="V24" s="92">
        <f t="shared" si="8"/>
        <v>3395724.2299218187</v>
      </c>
      <c r="W24" s="92">
        <f t="shared" si="8"/>
        <v>3386299.9322645282</v>
      </c>
      <c r="X24" s="92">
        <f t="shared" si="8"/>
        <v>3358473.9840506339</v>
      </c>
      <c r="Y24" s="92">
        <f t="shared" si="8"/>
        <v>3340002.3771383557</v>
      </c>
      <c r="Z24" s="92">
        <f t="shared" si="8"/>
        <v>3321632.3640640955</v>
      </c>
      <c r="AA24" s="92">
        <f t="shared" si="8"/>
        <v>3312413.6967084869</v>
      </c>
      <c r="AB24" s="92">
        <f t="shared" si="8"/>
        <v>3285194.887438403</v>
      </c>
      <c r="AC24" s="92">
        <f t="shared" si="8"/>
        <v>3267126.315557492</v>
      </c>
      <c r="AD24" s="92">
        <f t="shared" si="8"/>
        <v>3249157.1208219258</v>
      </c>
      <c r="AE24" s="92">
        <f t="shared" si="8"/>
        <v>3240139.5970866033</v>
      </c>
    </row>
    <row r="25" spans="2:31" x14ac:dyDescent="0.25">
      <c r="B25" s="93" t="s">
        <v>322</v>
      </c>
      <c r="C25" s="94"/>
      <c r="D25" s="93"/>
      <c r="E25" s="93"/>
      <c r="F25" s="95">
        <f>F23-F24</f>
        <v>54792448.704000145</v>
      </c>
      <c r="G25" s="95">
        <f t="shared" ref="G25:AE25" si="9">G23-G24</f>
        <v>54640380.894309327</v>
      </c>
      <c r="H25" s="95">
        <f t="shared" si="9"/>
        <v>54191389.239829436</v>
      </c>
      <c r="I25" s="95">
        <f t="shared" si="9"/>
        <v>53893336.599010393</v>
      </c>
      <c r="J25" s="95">
        <f t="shared" si="9"/>
        <v>53596923.247715831</v>
      </c>
      <c r="K25" s="95">
        <f t="shared" si="9"/>
        <v>53448173.430592723</v>
      </c>
      <c r="L25" s="95">
        <f t="shared" si="9"/>
        <v>53008978.39891921</v>
      </c>
      <c r="M25" s="95">
        <f t="shared" si="9"/>
        <v>52717429.017725147</v>
      </c>
      <c r="N25" s="95">
        <f t="shared" si="9"/>
        <v>52427483.158127666</v>
      </c>
      <c r="O25" s="95">
        <f t="shared" si="9"/>
        <v>52281978.937746346</v>
      </c>
      <c r="P25" s="95">
        <f t="shared" si="9"/>
        <v>51852366.774753802</v>
      </c>
      <c r="Q25" s="95">
        <f t="shared" si="9"/>
        <v>51567178.757492647</v>
      </c>
      <c r="R25" s="95">
        <f t="shared" si="9"/>
        <v>51283559.274326444</v>
      </c>
      <c r="S25" s="95">
        <f t="shared" si="9"/>
        <v>51141229.834477432</v>
      </c>
      <c r="T25" s="95">
        <f t="shared" si="9"/>
        <v>50720991.449976914</v>
      </c>
      <c r="U25" s="95">
        <f t="shared" si="9"/>
        <v>50442025.997002043</v>
      </c>
      <c r="V25" s="95">
        <f t="shared" si="9"/>
        <v>50164594.854018539</v>
      </c>
      <c r="W25" s="95">
        <f t="shared" si="9"/>
        <v>50025370.923642859</v>
      </c>
      <c r="X25" s="95">
        <f t="shared" si="9"/>
        <v>49614301.789618671</v>
      </c>
      <c r="Y25" s="95">
        <f t="shared" si="9"/>
        <v>49341423.129775777</v>
      </c>
      <c r="Z25" s="95">
        <f t="shared" si="9"/>
        <v>49070045.302562013</v>
      </c>
      <c r="AA25" s="95">
        <f t="shared" si="9"/>
        <v>48933859.122037366</v>
      </c>
      <c r="AB25" s="95">
        <f t="shared" si="9"/>
        <v>48531759.173104234</v>
      </c>
      <c r="AC25" s="95">
        <f t="shared" si="9"/>
        <v>48264834.497652158</v>
      </c>
      <c r="AD25" s="95">
        <f t="shared" si="9"/>
        <v>47999377.907915078</v>
      </c>
      <c r="AE25" s="95">
        <f t="shared" si="9"/>
        <v>47866163.196077488</v>
      </c>
    </row>
    <row r="26" spans="2:31" x14ac:dyDescent="0.25">
      <c r="B26" s="31" t="s">
        <v>109</v>
      </c>
      <c r="C26" s="31"/>
      <c r="D26" s="31"/>
      <c r="E26" s="31"/>
      <c r="F26" s="110">
        <f>Assumptions!D32</f>
        <v>8.75</v>
      </c>
      <c r="G26" s="86">
        <f>F26*(1+G27)</f>
        <v>8.8375000000000004</v>
      </c>
      <c r="H26" s="86">
        <f t="shared" ref="H26:AE26" si="10">G26*(1+H27)</f>
        <v>8.9258749999999996</v>
      </c>
      <c r="I26" s="86">
        <f t="shared" si="10"/>
        <v>9.0151337500000004</v>
      </c>
      <c r="J26" s="86">
        <f t="shared" si="10"/>
        <v>9.1052850875000004</v>
      </c>
      <c r="K26" s="86">
        <f t="shared" si="10"/>
        <v>9.1963379383750006</v>
      </c>
      <c r="L26" s="86">
        <f t="shared" si="10"/>
        <v>9.2883013177587515</v>
      </c>
      <c r="M26" s="86">
        <f t="shared" si="10"/>
        <v>9.381184330936339</v>
      </c>
      <c r="N26" s="86">
        <f t="shared" si="10"/>
        <v>9.4749961742457032</v>
      </c>
      <c r="O26" s="86">
        <f t="shared" si="10"/>
        <v>9.5697461359881597</v>
      </c>
      <c r="P26" s="86">
        <f t="shared" si="10"/>
        <v>9.665443597348041</v>
      </c>
      <c r="Q26" s="86">
        <f t="shared" si="10"/>
        <v>9.7620980333215215</v>
      </c>
      <c r="R26" s="86">
        <f t="shared" si="10"/>
        <v>9.8597190136547361</v>
      </c>
      <c r="S26" s="86">
        <f t="shared" si="10"/>
        <v>9.9583162037912842</v>
      </c>
      <c r="T26" s="86">
        <f t="shared" si="10"/>
        <v>10.057899365829197</v>
      </c>
      <c r="U26" s="86">
        <f t="shared" si="10"/>
        <v>10.158478359487489</v>
      </c>
      <c r="V26" s="86">
        <f t="shared" si="10"/>
        <v>10.260063143082364</v>
      </c>
      <c r="W26" s="86">
        <f t="shared" si="10"/>
        <v>10.362663774513187</v>
      </c>
      <c r="X26" s="86">
        <f t="shared" si="10"/>
        <v>10.466290412258319</v>
      </c>
      <c r="Y26" s="86">
        <f t="shared" si="10"/>
        <v>10.570953316380903</v>
      </c>
      <c r="Z26" s="86">
        <f t="shared" si="10"/>
        <v>10.676662849544712</v>
      </c>
      <c r="AA26" s="86">
        <f t="shared" si="10"/>
        <v>10.78342947804016</v>
      </c>
      <c r="AB26" s="86">
        <f t="shared" si="10"/>
        <v>10.891263772820562</v>
      </c>
      <c r="AC26" s="86">
        <f t="shared" si="10"/>
        <v>11.000176410548768</v>
      </c>
      <c r="AD26" s="86">
        <f t="shared" si="10"/>
        <v>11.110178174654255</v>
      </c>
      <c r="AE26" s="86">
        <f t="shared" si="10"/>
        <v>11.221279956400798</v>
      </c>
    </row>
    <row r="27" spans="2:31" x14ac:dyDescent="0.25">
      <c r="B27" s="31" t="s">
        <v>104</v>
      </c>
      <c r="C27" s="31"/>
      <c r="D27" s="31"/>
      <c r="E27" s="31"/>
      <c r="F27" s="46"/>
      <c r="G27" s="46">
        <f>Assumptions!D35</f>
        <v>0.01</v>
      </c>
      <c r="H27" s="46">
        <f>G27</f>
        <v>0.01</v>
      </c>
      <c r="I27" s="46">
        <f t="shared" ref="I27:AE27" si="11">H27</f>
        <v>0.01</v>
      </c>
      <c r="J27" s="46">
        <f t="shared" si="11"/>
        <v>0.01</v>
      </c>
      <c r="K27" s="46">
        <f t="shared" si="11"/>
        <v>0.01</v>
      </c>
      <c r="L27" s="46">
        <f t="shared" si="11"/>
        <v>0.01</v>
      </c>
      <c r="M27" s="46">
        <f t="shared" si="11"/>
        <v>0.01</v>
      </c>
      <c r="N27" s="46">
        <f t="shared" si="11"/>
        <v>0.01</v>
      </c>
      <c r="O27" s="46">
        <f t="shared" si="11"/>
        <v>0.01</v>
      </c>
      <c r="P27" s="46">
        <f t="shared" si="11"/>
        <v>0.01</v>
      </c>
      <c r="Q27" s="46">
        <f t="shared" si="11"/>
        <v>0.01</v>
      </c>
      <c r="R27" s="46">
        <f t="shared" si="11"/>
        <v>0.01</v>
      </c>
      <c r="S27" s="46">
        <f t="shared" si="11"/>
        <v>0.01</v>
      </c>
      <c r="T27" s="46">
        <f t="shared" si="11"/>
        <v>0.01</v>
      </c>
      <c r="U27" s="46">
        <f t="shared" si="11"/>
        <v>0.01</v>
      </c>
      <c r="V27" s="46">
        <f t="shared" si="11"/>
        <v>0.01</v>
      </c>
      <c r="W27" s="46">
        <f t="shared" si="11"/>
        <v>0.01</v>
      </c>
      <c r="X27" s="46">
        <f t="shared" si="11"/>
        <v>0.01</v>
      </c>
      <c r="Y27" s="46">
        <f t="shared" si="11"/>
        <v>0.01</v>
      </c>
      <c r="Z27" s="46">
        <f t="shared" si="11"/>
        <v>0.01</v>
      </c>
      <c r="AA27" s="46">
        <f t="shared" si="11"/>
        <v>0.01</v>
      </c>
      <c r="AB27" s="46">
        <f t="shared" si="11"/>
        <v>0.01</v>
      </c>
      <c r="AC27" s="46">
        <f t="shared" si="11"/>
        <v>0.01</v>
      </c>
      <c r="AD27" s="46">
        <f t="shared" si="11"/>
        <v>0.01</v>
      </c>
      <c r="AE27" s="46">
        <f t="shared" si="11"/>
        <v>0.01</v>
      </c>
    </row>
    <row r="28" spans="2:31" x14ac:dyDescent="0.25">
      <c r="B28" s="123" t="s">
        <v>112</v>
      </c>
      <c r="C28" s="123"/>
      <c r="D28" s="123"/>
      <c r="E28" s="123"/>
      <c r="F28" s="124">
        <f>(F25*F26)/10^7</f>
        <v>47.943392616000125</v>
      </c>
      <c r="G28" s="124">
        <f t="shared" ref="G28:AE28" si="12">(G25*G26)/10^7</f>
        <v>48.288436615345873</v>
      </c>
      <c r="H28" s="124">
        <f t="shared" si="12"/>
        <v>48.370556643106255</v>
      </c>
      <c r="I28" s="124">
        <f t="shared" si="12"/>
        <v>48.585563767384883</v>
      </c>
      <c r="J28" s="124">
        <f t="shared" si="12"/>
        <v>48.801526598330902</v>
      </c>
      <c r="K28" s="124">
        <f t="shared" si="12"/>
        <v>49.152746505660659</v>
      </c>
      <c r="L28" s="124">
        <f t="shared" si="12"/>
        <v>49.23633639157265</v>
      </c>
      <c r="M28" s="124">
        <f t="shared" si="12"/>
        <v>49.455191906833186</v>
      </c>
      <c r="N28" s="124">
        <f t="shared" si="12"/>
        <v>49.675020234859069</v>
      </c>
      <c r="O28" s="124">
        <f t="shared" si="12"/>
        <v>50.032526592131248</v>
      </c>
      <c r="P28" s="124">
        <f t="shared" si="12"/>
        <v>50.117612645038641</v>
      </c>
      <c r="Q28" s="124">
        <f t="shared" si="12"/>
        <v>50.340385433245835</v>
      </c>
      <c r="R28" s="124">
        <f t="shared" si="12"/>
        <v>50.56414844649661</v>
      </c>
      <c r="S28" s="124">
        <f t="shared" si="12"/>
        <v>50.928053774249086</v>
      </c>
      <c r="T28" s="124">
        <f t="shared" si="12"/>
        <v>51.01466277389509</v>
      </c>
      <c r="U28" s="124">
        <f t="shared" si="12"/>
        <v>51.24142294992506</v>
      </c>
      <c r="V28" s="124">
        <f t="shared" si="12"/>
        <v>51.469191074937484</v>
      </c>
      <c r="W28" s="124">
        <f t="shared" si="12"/>
        <v>51.839609907701913</v>
      </c>
      <c r="X28" s="124">
        <f t="shared" si="12"/>
        <v>51.927769113157666</v>
      </c>
      <c r="Y28" s="124">
        <f t="shared" si="12"/>
        <v>52.158588046865667</v>
      </c>
      <c r="Z28" s="124">
        <f t="shared" si="12"/>
        <v>52.39043297073399</v>
      </c>
      <c r="AA28" s="124">
        <f t="shared" si="12"/>
        <v>52.767481893084209</v>
      </c>
      <c r="AB28" s="124">
        <f t="shared" si="12"/>
        <v>52.857219051328215</v>
      </c>
      <c r="AC28" s="124">
        <f t="shared" si="12"/>
        <v>53.092169390011364</v>
      </c>
      <c r="AD28" s="124">
        <f t="shared" si="12"/>
        <v>53.328164082949975</v>
      </c>
      <c r="AE28" s="124">
        <f t="shared" si="12"/>
        <v>53.71196176619538</v>
      </c>
    </row>
    <row r="29" spans="2:31" ht="15.75" x14ac:dyDescent="0.25">
      <c r="B29" s="117" t="s">
        <v>110</v>
      </c>
      <c r="C29" s="31"/>
      <c r="D29" s="31"/>
      <c r="E29" s="31"/>
      <c r="F29" s="86"/>
      <c r="G29" s="88"/>
      <c r="H29" s="86"/>
      <c r="I29" s="70"/>
      <c r="J29" s="70"/>
      <c r="K29" s="70"/>
      <c r="L29" s="70"/>
      <c r="M29" s="70"/>
      <c r="N29" s="70"/>
      <c r="O29" s="70"/>
      <c r="P29" s="70"/>
      <c r="Q29" s="70"/>
      <c r="R29" s="70"/>
      <c r="S29" s="70"/>
      <c r="T29" s="70"/>
      <c r="U29" s="70"/>
      <c r="V29" s="70"/>
      <c r="W29" s="70"/>
      <c r="X29" s="70"/>
      <c r="Y29" s="70"/>
      <c r="Z29" s="70"/>
      <c r="AA29" s="70"/>
      <c r="AB29" s="70"/>
      <c r="AC29" s="70"/>
      <c r="AD29" s="70"/>
      <c r="AE29" s="70"/>
    </row>
    <row r="30" spans="2:31" x14ac:dyDescent="0.25">
      <c r="B30" s="31" t="s">
        <v>99</v>
      </c>
      <c r="C30" s="31"/>
      <c r="D30" s="31"/>
      <c r="E30" s="31"/>
      <c r="F30" s="114">
        <f>Assumptions!E24</f>
        <v>27.3</v>
      </c>
      <c r="G30" s="107">
        <f>F30</f>
        <v>27.3</v>
      </c>
      <c r="H30" s="107">
        <f t="shared" ref="H30:AE30" si="13">G30</f>
        <v>27.3</v>
      </c>
      <c r="I30" s="107">
        <f t="shared" si="13"/>
        <v>27.3</v>
      </c>
      <c r="J30" s="107">
        <f t="shared" si="13"/>
        <v>27.3</v>
      </c>
      <c r="K30" s="107">
        <f t="shared" si="13"/>
        <v>27.3</v>
      </c>
      <c r="L30" s="107">
        <f t="shared" si="13"/>
        <v>27.3</v>
      </c>
      <c r="M30" s="107">
        <f t="shared" si="13"/>
        <v>27.3</v>
      </c>
      <c r="N30" s="107">
        <f t="shared" si="13"/>
        <v>27.3</v>
      </c>
      <c r="O30" s="107">
        <f t="shared" si="13"/>
        <v>27.3</v>
      </c>
      <c r="P30" s="107">
        <f t="shared" si="13"/>
        <v>27.3</v>
      </c>
      <c r="Q30" s="107">
        <f t="shared" si="13"/>
        <v>27.3</v>
      </c>
      <c r="R30" s="107">
        <f t="shared" si="13"/>
        <v>27.3</v>
      </c>
      <c r="S30" s="107">
        <f t="shared" si="13"/>
        <v>27.3</v>
      </c>
      <c r="T30" s="107">
        <f t="shared" si="13"/>
        <v>27.3</v>
      </c>
      <c r="U30" s="107">
        <f t="shared" si="13"/>
        <v>27.3</v>
      </c>
      <c r="V30" s="107">
        <f t="shared" si="13"/>
        <v>27.3</v>
      </c>
      <c r="W30" s="107">
        <f t="shared" si="13"/>
        <v>27.3</v>
      </c>
      <c r="X30" s="107">
        <f t="shared" si="13"/>
        <v>27.3</v>
      </c>
      <c r="Y30" s="107">
        <f t="shared" si="13"/>
        <v>27.3</v>
      </c>
      <c r="Z30" s="107">
        <f t="shared" si="13"/>
        <v>27.3</v>
      </c>
      <c r="AA30" s="107">
        <f t="shared" si="13"/>
        <v>27.3</v>
      </c>
      <c r="AB30" s="107">
        <f t="shared" si="13"/>
        <v>27.3</v>
      </c>
      <c r="AC30" s="107">
        <f t="shared" si="13"/>
        <v>27.3</v>
      </c>
      <c r="AD30" s="107">
        <f t="shared" si="13"/>
        <v>27.3</v>
      </c>
      <c r="AE30" s="107">
        <f t="shared" si="13"/>
        <v>27.3</v>
      </c>
    </row>
    <row r="31" spans="2:31" x14ac:dyDescent="0.25">
      <c r="B31" s="31" t="s">
        <v>100</v>
      </c>
      <c r="C31" s="46"/>
      <c r="D31" s="31"/>
      <c r="E31" s="31"/>
      <c r="F31" s="87">
        <f>F30*1000</f>
        <v>27300</v>
      </c>
      <c r="G31" s="87">
        <f t="shared" ref="G31:AE31" si="14">G30*1000</f>
        <v>27300</v>
      </c>
      <c r="H31" s="87">
        <f t="shared" si="14"/>
        <v>27300</v>
      </c>
      <c r="I31" s="87">
        <f t="shared" si="14"/>
        <v>27300</v>
      </c>
      <c r="J31" s="87">
        <f t="shared" si="14"/>
        <v>27300</v>
      </c>
      <c r="K31" s="87">
        <f t="shared" si="14"/>
        <v>27300</v>
      </c>
      <c r="L31" s="87">
        <f t="shared" si="14"/>
        <v>27300</v>
      </c>
      <c r="M31" s="87">
        <f t="shared" si="14"/>
        <v>27300</v>
      </c>
      <c r="N31" s="87">
        <f t="shared" si="14"/>
        <v>27300</v>
      </c>
      <c r="O31" s="87">
        <f t="shared" si="14"/>
        <v>27300</v>
      </c>
      <c r="P31" s="87">
        <f t="shared" si="14"/>
        <v>27300</v>
      </c>
      <c r="Q31" s="87">
        <f t="shared" si="14"/>
        <v>27300</v>
      </c>
      <c r="R31" s="87">
        <f t="shared" si="14"/>
        <v>27300</v>
      </c>
      <c r="S31" s="87">
        <f t="shared" si="14"/>
        <v>27300</v>
      </c>
      <c r="T31" s="87">
        <f t="shared" si="14"/>
        <v>27300</v>
      </c>
      <c r="U31" s="87">
        <f t="shared" si="14"/>
        <v>27300</v>
      </c>
      <c r="V31" s="87">
        <f t="shared" si="14"/>
        <v>27300</v>
      </c>
      <c r="W31" s="87">
        <f t="shared" si="14"/>
        <v>27300</v>
      </c>
      <c r="X31" s="87">
        <f t="shared" si="14"/>
        <v>27300</v>
      </c>
      <c r="Y31" s="87">
        <f t="shared" si="14"/>
        <v>27300</v>
      </c>
      <c r="Z31" s="87">
        <f t="shared" si="14"/>
        <v>27300</v>
      </c>
      <c r="AA31" s="87">
        <f t="shared" si="14"/>
        <v>27300</v>
      </c>
      <c r="AB31" s="87">
        <f t="shared" si="14"/>
        <v>27300</v>
      </c>
      <c r="AC31" s="87">
        <f t="shared" si="14"/>
        <v>27300</v>
      </c>
      <c r="AD31" s="87">
        <f t="shared" si="14"/>
        <v>27300</v>
      </c>
      <c r="AE31" s="87">
        <f t="shared" si="14"/>
        <v>27300</v>
      </c>
    </row>
    <row r="32" spans="2:31" x14ac:dyDescent="0.25">
      <c r="B32" s="31" t="s">
        <v>101</v>
      </c>
      <c r="C32" s="46"/>
      <c r="D32" s="31"/>
      <c r="E32" s="31"/>
      <c r="F32" s="112">
        <f>Assumptions!E26</f>
        <v>0.36964557512502721</v>
      </c>
      <c r="G32" s="88">
        <f>F32*(1-G33)</f>
        <v>0.36761252446183956</v>
      </c>
      <c r="H32" s="88">
        <f t="shared" ref="H32" si="15">G32*(1-H33)</f>
        <v>0.36559065557729947</v>
      </c>
      <c r="I32" s="88">
        <f t="shared" ref="I32" si="16">H32*(1-I33)</f>
        <v>0.36357990697162434</v>
      </c>
      <c r="J32" s="88">
        <f t="shared" ref="J32" si="17">I32*(1-J33)</f>
        <v>0.36158021748328045</v>
      </c>
      <c r="K32" s="88">
        <f t="shared" ref="K32" si="18">J32*(1-K33)</f>
        <v>0.35959152628712243</v>
      </c>
      <c r="L32" s="88">
        <f t="shared" ref="L32" si="19">K32*(1-L33)</f>
        <v>0.35761377289254326</v>
      </c>
      <c r="M32" s="88">
        <f t="shared" ref="M32" si="20">L32*(1-M33)</f>
        <v>0.35564689714163428</v>
      </c>
      <c r="N32" s="88">
        <f t="shared" ref="N32" si="21">M32*(1-N33)</f>
        <v>0.35369083920735533</v>
      </c>
      <c r="O32" s="88">
        <f t="shared" ref="O32" si="22">N32*(1-O33)</f>
        <v>0.3517455395917149</v>
      </c>
      <c r="P32" s="88">
        <f t="shared" ref="P32" si="23">O32*(1-P33)</f>
        <v>0.3498109391239605</v>
      </c>
      <c r="Q32" s="88">
        <f t="shared" ref="Q32" si="24">P32*(1-Q33)</f>
        <v>0.34788697895877874</v>
      </c>
      <c r="R32" s="88">
        <f t="shared" ref="R32" si="25">Q32*(1-R33)</f>
        <v>0.34597360057450549</v>
      </c>
      <c r="S32" s="88">
        <f t="shared" ref="S32" si="26">R32*(1-S33)</f>
        <v>0.34407074577134572</v>
      </c>
      <c r="T32" s="88">
        <f t="shared" ref="T32" si="27">S32*(1-T33)</f>
        <v>0.34217835666960333</v>
      </c>
      <c r="U32" s="88">
        <f t="shared" ref="U32" si="28">T32*(1-U33)</f>
        <v>0.34029637570792054</v>
      </c>
      <c r="V32" s="88">
        <f t="shared" ref="V32" si="29">U32*(1-V33)</f>
        <v>0.33842474564152697</v>
      </c>
      <c r="W32" s="88">
        <f t="shared" ref="W32" si="30">V32*(1-W33)</f>
        <v>0.33656340954049857</v>
      </c>
      <c r="X32" s="88">
        <f t="shared" ref="X32" si="31">W32*(1-X33)</f>
        <v>0.33471231078802582</v>
      </c>
      <c r="Y32" s="88">
        <f t="shared" ref="Y32" si="32">X32*(1-Y33)</f>
        <v>0.33287139307869168</v>
      </c>
      <c r="Z32" s="88">
        <f t="shared" ref="Z32" si="33">Y32*(1-Z33)</f>
        <v>0.33104060041675887</v>
      </c>
      <c r="AA32" s="88">
        <f t="shared" ref="AA32" si="34">Z32*(1-AA33)</f>
        <v>0.32921987711446671</v>
      </c>
      <c r="AB32" s="88">
        <f t="shared" ref="AB32" si="35">AA32*(1-AB33)</f>
        <v>0.32740916779033713</v>
      </c>
      <c r="AC32" s="88">
        <f t="shared" ref="AC32" si="36">AB32*(1-AC33)</f>
        <v>0.3256084173674903</v>
      </c>
      <c r="AD32" s="88">
        <f t="shared" ref="AD32" si="37">AC32*(1-AD33)</f>
        <v>0.32381757107196912</v>
      </c>
      <c r="AE32" s="88">
        <f t="shared" ref="AE32" si="38">AD32*(1-AE33)</f>
        <v>0.32203657443107331</v>
      </c>
    </row>
    <row r="33" spans="2:31" x14ac:dyDescent="0.25">
      <c r="B33" s="89" t="s">
        <v>102</v>
      </c>
      <c r="C33" s="90"/>
      <c r="D33" s="31"/>
      <c r="E33" s="31"/>
      <c r="F33" s="113">
        <f>Assumptions!E27</f>
        <v>0</v>
      </c>
      <c r="G33" s="113">
        <f>Assumptions!E28</f>
        <v>5.4999999999999997E-3</v>
      </c>
      <c r="H33" s="108">
        <f>G33</f>
        <v>5.4999999999999997E-3</v>
      </c>
      <c r="I33" s="108">
        <f t="shared" ref="I33:AE33" si="39">H33</f>
        <v>5.4999999999999997E-3</v>
      </c>
      <c r="J33" s="108">
        <f t="shared" si="39"/>
        <v>5.4999999999999997E-3</v>
      </c>
      <c r="K33" s="108">
        <f t="shared" si="39"/>
        <v>5.4999999999999997E-3</v>
      </c>
      <c r="L33" s="108">
        <f t="shared" si="39"/>
        <v>5.4999999999999997E-3</v>
      </c>
      <c r="M33" s="108">
        <f t="shared" si="39"/>
        <v>5.4999999999999997E-3</v>
      </c>
      <c r="N33" s="108">
        <f t="shared" si="39"/>
        <v>5.4999999999999997E-3</v>
      </c>
      <c r="O33" s="108">
        <f t="shared" si="39"/>
        <v>5.4999999999999997E-3</v>
      </c>
      <c r="P33" s="108">
        <f t="shared" si="39"/>
        <v>5.4999999999999997E-3</v>
      </c>
      <c r="Q33" s="108">
        <f t="shared" si="39"/>
        <v>5.4999999999999997E-3</v>
      </c>
      <c r="R33" s="108">
        <f t="shared" si="39"/>
        <v>5.4999999999999997E-3</v>
      </c>
      <c r="S33" s="108">
        <f t="shared" si="39"/>
        <v>5.4999999999999997E-3</v>
      </c>
      <c r="T33" s="108">
        <f t="shared" si="39"/>
        <v>5.4999999999999997E-3</v>
      </c>
      <c r="U33" s="108">
        <f t="shared" si="39"/>
        <v>5.4999999999999997E-3</v>
      </c>
      <c r="V33" s="108">
        <f t="shared" si="39"/>
        <v>5.4999999999999997E-3</v>
      </c>
      <c r="W33" s="108">
        <f t="shared" si="39"/>
        <v>5.4999999999999997E-3</v>
      </c>
      <c r="X33" s="108">
        <f t="shared" si="39"/>
        <v>5.4999999999999997E-3</v>
      </c>
      <c r="Y33" s="108">
        <f t="shared" si="39"/>
        <v>5.4999999999999997E-3</v>
      </c>
      <c r="Z33" s="108">
        <f t="shared" si="39"/>
        <v>5.4999999999999997E-3</v>
      </c>
      <c r="AA33" s="108">
        <f t="shared" si="39"/>
        <v>5.4999999999999997E-3</v>
      </c>
      <c r="AB33" s="108">
        <f t="shared" si="39"/>
        <v>5.4999999999999997E-3</v>
      </c>
      <c r="AC33" s="108">
        <f t="shared" si="39"/>
        <v>5.4999999999999997E-3</v>
      </c>
      <c r="AD33" s="108">
        <f t="shared" si="39"/>
        <v>5.4999999999999997E-3</v>
      </c>
      <c r="AE33" s="108">
        <f t="shared" si="39"/>
        <v>5.4999999999999997E-3</v>
      </c>
    </row>
    <row r="34" spans="2:31" x14ac:dyDescent="0.25">
      <c r="B34" s="31" t="s">
        <v>103</v>
      </c>
      <c r="C34" s="46"/>
      <c r="D34" s="31"/>
      <c r="E34" s="31"/>
      <c r="F34" s="91">
        <f t="shared" ref="F34:AE34" si="40">F31*F32*F14*F12</f>
        <v>88400000</v>
      </c>
      <c r="G34" s="91">
        <f t="shared" si="40"/>
        <v>88154659.726027399</v>
      </c>
      <c r="H34" s="91">
        <f t="shared" si="40"/>
        <v>87430274.100000009</v>
      </c>
      <c r="I34" s="91">
        <f t="shared" si="40"/>
        <v>86949407.592450023</v>
      </c>
      <c r="J34" s="91">
        <f t="shared" si="40"/>
        <v>86471185.850691542</v>
      </c>
      <c r="K34" s="91">
        <f t="shared" si="40"/>
        <v>86231198.696536079</v>
      </c>
      <c r="L34" s="91">
        <f t="shared" si="40"/>
        <v>85522618.559705928</v>
      </c>
      <c r="M34" s="91">
        <f t="shared" si="40"/>
        <v>85052244.157627553</v>
      </c>
      <c r="N34" s="91">
        <f t="shared" si="40"/>
        <v>84584456.81476061</v>
      </c>
      <c r="O34" s="91">
        <f t="shared" si="40"/>
        <v>84349705.979819939</v>
      </c>
      <c r="P34" s="91">
        <f t="shared" si="40"/>
        <v>83656586.469616905</v>
      </c>
      <c r="Q34" s="91">
        <f t="shared" si="40"/>
        <v>83196475.244034022</v>
      </c>
      <c r="R34" s="91">
        <f t="shared" si="40"/>
        <v>82738894.630191833</v>
      </c>
      <c r="S34" s="91">
        <f t="shared" si="40"/>
        <v>82509265.862355173</v>
      </c>
      <c r="T34" s="91">
        <f t="shared" si="40"/>
        <v>81831269.640822291</v>
      </c>
      <c r="U34" s="91">
        <f t="shared" si="40"/>
        <v>81381197.657797784</v>
      </c>
      <c r="V34" s="91">
        <f t="shared" si="40"/>
        <v>80933601.070679888</v>
      </c>
      <c r="W34" s="91">
        <f t="shared" si="40"/>
        <v>80708982.610722095</v>
      </c>
      <c r="X34" s="91">
        <f t="shared" si="40"/>
        <v>80045779.700334787</v>
      </c>
      <c r="Y34" s="91">
        <f t="shared" si="40"/>
        <v>79605527.911982954</v>
      </c>
      <c r="Z34" s="91">
        <f t="shared" si="40"/>
        <v>79167697.508467048</v>
      </c>
      <c r="AA34" s="91">
        <f t="shared" si="40"/>
        <v>78947980.035655886</v>
      </c>
      <c r="AB34" s="91">
        <f t="shared" si="40"/>
        <v>78299247.658723563</v>
      </c>
      <c r="AC34" s="91">
        <f t="shared" si="40"/>
        <v>77868601.79660058</v>
      </c>
      <c r="AD34" s="91">
        <f t="shared" si="40"/>
        <v>77440324.48671928</v>
      </c>
      <c r="AE34" s="91">
        <f t="shared" si="40"/>
        <v>77225401.065609574</v>
      </c>
    </row>
    <row r="35" spans="2:31" x14ac:dyDescent="0.25">
      <c r="B35" s="31" t="s">
        <v>328</v>
      </c>
      <c r="C35" s="111">
        <f>Assumptions!E29</f>
        <v>6.3399999999999998E-2</v>
      </c>
      <c r="D35" s="31"/>
      <c r="E35" s="31"/>
      <c r="F35" s="92">
        <f>F34*$C$35</f>
        <v>5604560</v>
      </c>
      <c r="G35" s="92">
        <f t="shared" ref="G35:AE35" si="41">G34*$C$35</f>
        <v>5589005.4266301366</v>
      </c>
      <c r="H35" s="92">
        <f t="shared" si="41"/>
        <v>5543079.37794</v>
      </c>
      <c r="I35" s="92">
        <f t="shared" si="41"/>
        <v>5512592.4413613314</v>
      </c>
      <c r="J35" s="92">
        <f t="shared" si="41"/>
        <v>5482273.1829338437</v>
      </c>
      <c r="K35" s="92">
        <f t="shared" si="41"/>
        <v>5467057.9973603869</v>
      </c>
      <c r="L35" s="92">
        <f t="shared" si="41"/>
        <v>5422134.0166853555</v>
      </c>
      <c r="M35" s="92">
        <f t="shared" si="41"/>
        <v>5392312.2795935869</v>
      </c>
      <c r="N35" s="92">
        <f t="shared" si="41"/>
        <v>5362654.5620558225</v>
      </c>
      <c r="O35" s="92">
        <f t="shared" si="41"/>
        <v>5347771.3591205841</v>
      </c>
      <c r="P35" s="92">
        <f t="shared" si="41"/>
        <v>5303827.5821737116</v>
      </c>
      <c r="Q35" s="92">
        <f t="shared" si="41"/>
        <v>5274656.5304717571</v>
      </c>
      <c r="R35" s="92">
        <f t="shared" si="41"/>
        <v>5245645.9195541618</v>
      </c>
      <c r="S35" s="92">
        <f t="shared" si="41"/>
        <v>5231087.4556733174</v>
      </c>
      <c r="T35" s="92">
        <f t="shared" si="41"/>
        <v>5188102.4952281332</v>
      </c>
      <c r="U35" s="92">
        <f t="shared" si="41"/>
        <v>5159567.931504379</v>
      </c>
      <c r="V35" s="92">
        <f t="shared" si="41"/>
        <v>5131190.3078811048</v>
      </c>
      <c r="W35" s="92">
        <f t="shared" si="41"/>
        <v>5116949.4975197809</v>
      </c>
      <c r="X35" s="92">
        <f t="shared" si="41"/>
        <v>5074902.4330012258</v>
      </c>
      <c r="Y35" s="92">
        <f t="shared" si="41"/>
        <v>5046990.4696197193</v>
      </c>
      <c r="Z35" s="92">
        <f t="shared" si="41"/>
        <v>5019232.0220368104</v>
      </c>
      <c r="AA35" s="92">
        <f t="shared" si="41"/>
        <v>5005301.9342605826</v>
      </c>
      <c r="AB35" s="92">
        <f t="shared" si="41"/>
        <v>4964172.3015630739</v>
      </c>
      <c r="AC35" s="92">
        <f t="shared" si="41"/>
        <v>4936869.3539044764</v>
      </c>
      <c r="AD35" s="92">
        <f t="shared" si="41"/>
        <v>4909716.5724580018</v>
      </c>
      <c r="AE35" s="92">
        <f t="shared" si="41"/>
        <v>4896090.4275596468</v>
      </c>
    </row>
    <row r="36" spans="2:31" x14ac:dyDescent="0.25">
      <c r="B36" s="93" t="s">
        <v>321</v>
      </c>
      <c r="C36" s="94"/>
      <c r="D36" s="93"/>
      <c r="E36" s="93"/>
      <c r="F36" s="95">
        <f>F34-F35</f>
        <v>82795440</v>
      </c>
      <c r="G36" s="95">
        <f>G34-G35</f>
        <v>82565654.29939726</v>
      </c>
      <c r="H36" s="95">
        <f t="shared" ref="H36:AE36" si="42">H34-H35</f>
        <v>81887194.72206001</v>
      </c>
      <c r="I36" s="95">
        <f t="shared" si="42"/>
        <v>81436815.151088685</v>
      </c>
      <c r="J36" s="95">
        <f t="shared" si="42"/>
        <v>80988912.667757705</v>
      </c>
      <c r="K36" s="95">
        <f t="shared" si="42"/>
        <v>80764140.699175686</v>
      </c>
      <c r="L36" s="95">
        <f t="shared" si="42"/>
        <v>80100484.543020576</v>
      </c>
      <c r="M36" s="95">
        <f t="shared" si="42"/>
        <v>79659931.878033966</v>
      </c>
      <c r="N36" s="95">
        <f t="shared" si="42"/>
        <v>79221802.252704784</v>
      </c>
      <c r="O36" s="95">
        <f t="shared" si="42"/>
        <v>79001934.620699361</v>
      </c>
      <c r="P36" s="95">
        <f t="shared" si="42"/>
        <v>78352758.8874432</v>
      </c>
      <c r="Q36" s="95">
        <f t="shared" si="42"/>
        <v>77921818.713562265</v>
      </c>
      <c r="R36" s="95">
        <f t="shared" si="42"/>
        <v>77493248.710637674</v>
      </c>
      <c r="S36" s="95">
        <f t="shared" si="42"/>
        <v>77278178.406681851</v>
      </c>
      <c r="T36" s="95">
        <f t="shared" si="42"/>
        <v>76643167.145594165</v>
      </c>
      <c r="U36" s="95">
        <f t="shared" si="42"/>
        <v>76221629.7262934</v>
      </c>
      <c r="V36" s="95">
        <f t="shared" si="42"/>
        <v>75802410.762798786</v>
      </c>
      <c r="W36" s="95">
        <f t="shared" si="42"/>
        <v>75592033.113202319</v>
      </c>
      <c r="X36" s="95">
        <f t="shared" si="42"/>
        <v>74970877.267333567</v>
      </c>
      <c r="Y36" s="95">
        <f t="shared" si="42"/>
        <v>74558537.442363232</v>
      </c>
      <c r="Z36" s="95">
        <f t="shared" si="42"/>
        <v>74148465.486430243</v>
      </c>
      <c r="AA36" s="95">
        <f t="shared" si="42"/>
        <v>73942678.101395309</v>
      </c>
      <c r="AB36" s="95">
        <f t="shared" si="42"/>
        <v>73335075.357160494</v>
      </c>
      <c r="AC36" s="95">
        <f t="shared" si="42"/>
        <v>72931732.442696109</v>
      </c>
      <c r="AD36" s="95">
        <f t="shared" si="42"/>
        <v>72530607.914261281</v>
      </c>
      <c r="AE36" s="95">
        <f t="shared" si="42"/>
        <v>72329310.63804993</v>
      </c>
    </row>
    <row r="37" spans="2:31" x14ac:dyDescent="0.25">
      <c r="B37" s="31" t="s">
        <v>109</v>
      </c>
      <c r="C37" s="31"/>
      <c r="D37" s="31"/>
      <c r="E37" s="31"/>
      <c r="F37" s="110">
        <f>Assumptions!E34</f>
        <v>8.75</v>
      </c>
      <c r="G37" s="86">
        <f>F37*(1+G38)</f>
        <v>8.8375000000000004</v>
      </c>
      <c r="H37" s="86">
        <f t="shared" ref="H37:AE37" si="43">G37*(1+H38)</f>
        <v>8.9258749999999996</v>
      </c>
      <c r="I37" s="86">
        <f t="shared" si="43"/>
        <v>9.0151337500000004</v>
      </c>
      <c r="J37" s="86">
        <f t="shared" si="43"/>
        <v>9.1052850875000004</v>
      </c>
      <c r="K37" s="86">
        <f t="shared" si="43"/>
        <v>9.1963379383750006</v>
      </c>
      <c r="L37" s="86">
        <f t="shared" si="43"/>
        <v>9.2883013177587515</v>
      </c>
      <c r="M37" s="86">
        <f t="shared" si="43"/>
        <v>9.381184330936339</v>
      </c>
      <c r="N37" s="86">
        <f t="shared" si="43"/>
        <v>9.4749961742457032</v>
      </c>
      <c r="O37" s="86">
        <f t="shared" si="43"/>
        <v>9.5697461359881597</v>
      </c>
      <c r="P37" s="86">
        <f t="shared" si="43"/>
        <v>9.665443597348041</v>
      </c>
      <c r="Q37" s="86">
        <f t="shared" si="43"/>
        <v>9.7620980333215215</v>
      </c>
      <c r="R37" s="86">
        <f t="shared" si="43"/>
        <v>9.8597190136547361</v>
      </c>
      <c r="S37" s="86">
        <f t="shared" si="43"/>
        <v>9.9583162037912842</v>
      </c>
      <c r="T37" s="86">
        <f t="shared" si="43"/>
        <v>10.057899365829197</v>
      </c>
      <c r="U37" s="86">
        <f t="shared" si="43"/>
        <v>10.158478359487489</v>
      </c>
      <c r="V37" s="86">
        <f t="shared" si="43"/>
        <v>10.260063143082364</v>
      </c>
      <c r="W37" s="86">
        <f t="shared" si="43"/>
        <v>10.362663774513187</v>
      </c>
      <c r="X37" s="86">
        <f t="shared" si="43"/>
        <v>10.466290412258319</v>
      </c>
      <c r="Y37" s="86">
        <f t="shared" si="43"/>
        <v>10.570953316380903</v>
      </c>
      <c r="Z37" s="86">
        <f t="shared" si="43"/>
        <v>10.676662849544712</v>
      </c>
      <c r="AA37" s="86">
        <f t="shared" si="43"/>
        <v>10.78342947804016</v>
      </c>
      <c r="AB37" s="86">
        <f t="shared" si="43"/>
        <v>10.891263772820562</v>
      </c>
      <c r="AC37" s="86">
        <f t="shared" si="43"/>
        <v>11.000176410548768</v>
      </c>
      <c r="AD37" s="86">
        <f t="shared" si="43"/>
        <v>11.110178174654255</v>
      </c>
      <c r="AE37" s="86">
        <f t="shared" si="43"/>
        <v>11.221279956400798</v>
      </c>
    </row>
    <row r="38" spans="2:31" x14ac:dyDescent="0.25">
      <c r="B38" s="31" t="s">
        <v>104</v>
      </c>
      <c r="C38" s="31"/>
      <c r="D38" s="31"/>
      <c r="E38" s="31"/>
      <c r="F38" s="46"/>
      <c r="G38" s="46">
        <f>Assumptions!$E$35</f>
        <v>0.01</v>
      </c>
      <c r="H38" s="46">
        <f>Assumptions!$E$35</f>
        <v>0.01</v>
      </c>
      <c r="I38" s="46">
        <f>Assumptions!$E$35</f>
        <v>0.01</v>
      </c>
      <c r="J38" s="46">
        <f>Assumptions!$E$35</f>
        <v>0.01</v>
      </c>
      <c r="K38" s="46">
        <f>Assumptions!$E$35</f>
        <v>0.01</v>
      </c>
      <c r="L38" s="46">
        <f>Assumptions!$E$35</f>
        <v>0.01</v>
      </c>
      <c r="M38" s="46">
        <f>Assumptions!$E$35</f>
        <v>0.01</v>
      </c>
      <c r="N38" s="46">
        <f>Assumptions!$E$35</f>
        <v>0.01</v>
      </c>
      <c r="O38" s="46">
        <f>Assumptions!$E$35</f>
        <v>0.01</v>
      </c>
      <c r="P38" s="46">
        <f>Assumptions!$E$35</f>
        <v>0.01</v>
      </c>
      <c r="Q38" s="46">
        <f>Assumptions!$E$35</f>
        <v>0.01</v>
      </c>
      <c r="R38" s="46">
        <f>Assumptions!$E$35</f>
        <v>0.01</v>
      </c>
      <c r="S38" s="46">
        <f>Assumptions!$E$35</f>
        <v>0.01</v>
      </c>
      <c r="T38" s="46">
        <f>Assumptions!$E$35</f>
        <v>0.01</v>
      </c>
      <c r="U38" s="46">
        <f>Assumptions!$E$35</f>
        <v>0.01</v>
      </c>
      <c r="V38" s="46">
        <f>Assumptions!$E$35</f>
        <v>0.01</v>
      </c>
      <c r="W38" s="46">
        <f>Assumptions!$E$35</f>
        <v>0.01</v>
      </c>
      <c r="X38" s="46">
        <f>Assumptions!$E$35</f>
        <v>0.01</v>
      </c>
      <c r="Y38" s="46">
        <f>Assumptions!$E$35</f>
        <v>0.01</v>
      </c>
      <c r="Z38" s="46">
        <f>Assumptions!$E$35</f>
        <v>0.01</v>
      </c>
      <c r="AA38" s="46">
        <f>Assumptions!$E$35</f>
        <v>0.01</v>
      </c>
      <c r="AB38" s="46">
        <f>Assumptions!$E$35</f>
        <v>0.01</v>
      </c>
      <c r="AC38" s="46">
        <f>Assumptions!$E$35</f>
        <v>0.01</v>
      </c>
      <c r="AD38" s="46">
        <f>Assumptions!$E$35</f>
        <v>0.01</v>
      </c>
      <c r="AE38" s="46">
        <f>Assumptions!$E$35</f>
        <v>0.01</v>
      </c>
    </row>
    <row r="39" spans="2:31" x14ac:dyDescent="0.25">
      <c r="B39" s="121" t="s">
        <v>111</v>
      </c>
      <c r="C39" s="121"/>
      <c r="D39" s="121"/>
      <c r="E39" s="121"/>
      <c r="F39" s="122">
        <f>(F36*F37)/10^7</f>
        <v>72.446010000000001</v>
      </c>
      <c r="G39" s="122">
        <f>(G36*G37)/10^7</f>
        <v>72.967396987092329</v>
      </c>
      <c r="H39" s="122">
        <f t="shared" ref="H39:AE39" si="44">(H36*H37)/10^7</f>
        <v>73.091486418976743</v>
      </c>
      <c r="I39" s="122">
        <f t="shared" si="44"/>
        <v>73.416378076109098</v>
      </c>
      <c r="J39" s="122">
        <f t="shared" si="44"/>
        <v>73.742713876657419</v>
      </c>
      <c r="K39" s="122">
        <f t="shared" si="44"/>
        <v>74.273433117208583</v>
      </c>
      <c r="L39" s="122">
        <f t="shared" si="44"/>
        <v>74.399743613405249</v>
      </c>
      <c r="M39" s="122">
        <f t="shared" si="44"/>
        <v>74.730450473766837</v>
      </c>
      <c r="N39" s="122">
        <f t="shared" si="44"/>
        <v>75.062627326122751</v>
      </c>
      <c r="O39" s="122">
        <f t="shared" si="44"/>
        <v>75.602845857202695</v>
      </c>
      <c r="P39" s="122">
        <f t="shared" si="44"/>
        <v>75.731417172319269</v>
      </c>
      <c r="Q39" s="122">
        <f t="shared" si="44"/>
        <v>76.068043321650237</v>
      </c>
      <c r="R39" s="122">
        <f t="shared" si="44"/>
        <v>76.406165774214955</v>
      </c>
      <c r="S39" s="122">
        <f t="shared" si="44"/>
        <v>76.956053622673352</v>
      </c>
      <c r="T39" s="122">
        <f t="shared" si="44"/>
        <v>77.086926222881274</v>
      </c>
      <c r="U39" s="122">
        <f t="shared" si="44"/>
        <v>77.429577609941987</v>
      </c>
      <c r="V39" s="122">
        <f t="shared" si="44"/>
        <v>77.773752082418184</v>
      </c>
      <c r="W39" s="122">
        <f t="shared" si="44"/>
        <v>78.333482318398296</v>
      </c>
      <c r="X39" s="122">
        <f t="shared" si="44"/>
        <v>78.466697394168847</v>
      </c>
      <c r="Y39" s="122">
        <f t="shared" si="44"/>
        <v>78.815481864085939</v>
      </c>
      <c r="Z39" s="122">
        <f t="shared" si="44"/>
        <v>79.165816680971801</v>
      </c>
      <c r="AA39" s="122">
        <f t="shared" si="44"/>
        <v>79.735565472382078</v>
      </c>
      <c r="AB39" s="122">
        <f t="shared" si="44"/>
        <v>79.871164951450794</v>
      </c>
      <c r="AC39" s="122">
        <f t="shared" si="44"/>
        <v>80.226192279659998</v>
      </c>
      <c r="AD39" s="122">
        <f t="shared" si="44"/>
        <v>80.582797704343079</v>
      </c>
      <c r="AE39" s="122">
        <f t="shared" si="44"/>
        <v>81.162744372303663</v>
      </c>
    </row>
    <row r="40" spans="2:31" x14ac:dyDescent="0.25">
      <c r="B40" s="70"/>
      <c r="C40" s="70"/>
      <c r="D40" s="70"/>
      <c r="E40" s="70"/>
      <c r="F40" s="70"/>
      <c r="G40" s="70"/>
      <c r="H40" s="70"/>
      <c r="I40" s="70"/>
      <c r="J40" s="70"/>
      <c r="K40" s="70"/>
      <c r="L40" s="70"/>
      <c r="M40" s="70"/>
      <c r="N40" s="70"/>
      <c r="O40" s="70"/>
      <c r="P40" s="70"/>
      <c r="Q40" s="70"/>
      <c r="R40" s="70"/>
      <c r="S40" s="70"/>
      <c r="T40" s="70"/>
      <c r="U40" s="70"/>
      <c r="V40" s="70"/>
      <c r="W40" s="70"/>
      <c r="X40" s="70"/>
      <c r="Y40" s="70"/>
      <c r="Z40" s="70"/>
      <c r="AA40" s="70"/>
      <c r="AB40" s="70"/>
      <c r="AC40" s="70"/>
      <c r="AD40" s="70"/>
      <c r="AE40" s="70"/>
    </row>
    <row r="41" spans="2:31" s="130" customFormat="1" x14ac:dyDescent="0.25">
      <c r="B41" s="272" t="s">
        <v>324</v>
      </c>
      <c r="C41" s="272"/>
      <c r="D41" s="272"/>
      <c r="E41" s="272"/>
      <c r="F41" s="271">
        <f>(F23+F34)/10^5</f>
        <v>1469.0144000000014</v>
      </c>
      <c r="G41" s="271">
        <f t="shared" ref="G41:AE41" si="45">(G23+G34)/10^5</f>
        <v>1464.9373819528782</v>
      </c>
      <c r="H41" s="271">
        <f t="shared" si="45"/>
        <v>1452.8996792856017</v>
      </c>
      <c r="I41" s="271">
        <f t="shared" si="45"/>
        <v>1444.9087310495311</v>
      </c>
      <c r="J41" s="271">
        <f t="shared" si="45"/>
        <v>1436.9617330287588</v>
      </c>
      <c r="K41" s="271">
        <f t="shared" si="45"/>
        <v>1432.9736721094214</v>
      </c>
      <c r="L41" s="271">
        <f t="shared" si="45"/>
        <v>1421.1986220578665</v>
      </c>
      <c r="M41" s="271">
        <f t="shared" si="45"/>
        <v>1413.3820296365482</v>
      </c>
      <c r="N41" s="271">
        <f t="shared" si="45"/>
        <v>1405.6084284735473</v>
      </c>
      <c r="O41" s="271">
        <f t="shared" si="45"/>
        <v>1401.7073837117841</v>
      </c>
      <c r="P41" s="271">
        <f t="shared" si="45"/>
        <v>1390.1892554153001</v>
      </c>
      <c r="Q41" s="271">
        <f t="shared" si="45"/>
        <v>1382.543214510516</v>
      </c>
      <c r="R41" s="271">
        <f t="shared" si="45"/>
        <v>1374.9392268307081</v>
      </c>
      <c r="S41" s="271">
        <f t="shared" si="45"/>
        <v>1371.1232996066547</v>
      </c>
      <c r="T41" s="271">
        <f t="shared" si="45"/>
        <v>1359.856487247182</v>
      </c>
      <c r="U41" s="271">
        <f t="shared" si="45"/>
        <v>1352.3772765673227</v>
      </c>
      <c r="V41" s="271">
        <f t="shared" si="45"/>
        <v>1344.9392015462024</v>
      </c>
      <c r="W41" s="271">
        <f t="shared" si="45"/>
        <v>1341.2065346662948</v>
      </c>
      <c r="X41" s="271">
        <f t="shared" si="45"/>
        <v>1330.185554740041</v>
      </c>
      <c r="Y41" s="271">
        <f t="shared" si="45"/>
        <v>1322.8695341889709</v>
      </c>
      <c r="Z41" s="271">
        <f t="shared" si="45"/>
        <v>1315.5937517509317</v>
      </c>
      <c r="AA41" s="271">
        <f t="shared" si="45"/>
        <v>1311.9425285440175</v>
      </c>
      <c r="AB41" s="271">
        <f t="shared" si="45"/>
        <v>1301.162017192662</v>
      </c>
      <c r="AC41" s="271">
        <f t="shared" si="45"/>
        <v>1294.0056260981023</v>
      </c>
      <c r="AD41" s="271">
        <f t="shared" si="45"/>
        <v>1286.8885951545628</v>
      </c>
      <c r="AE41" s="271">
        <f t="shared" si="45"/>
        <v>1283.3170385877365</v>
      </c>
    </row>
    <row r="42" spans="2:31" s="130" customFormat="1" x14ac:dyDescent="0.25">
      <c r="B42" s="272" t="s">
        <v>325</v>
      </c>
      <c r="C42" s="272"/>
      <c r="D42" s="272"/>
      <c r="E42" s="272"/>
      <c r="F42" s="271">
        <f>(F24+F35)/10^5</f>
        <v>93.135512960000099</v>
      </c>
      <c r="G42" s="271">
        <f t="shared" ref="G42:AE42" si="46">(G24+G35)/10^5</f>
        <v>92.87703001581248</v>
      </c>
      <c r="H42" s="271">
        <f t="shared" si="46"/>
        <v>92.113839666707136</v>
      </c>
      <c r="I42" s="271">
        <f t="shared" si="46"/>
        <v>91.607213548540273</v>
      </c>
      <c r="J42" s="271">
        <f t="shared" si="46"/>
        <v>91.103373874023291</v>
      </c>
      <c r="K42" s="271">
        <f t="shared" si="46"/>
        <v>90.850530811737315</v>
      </c>
      <c r="L42" s="271">
        <f t="shared" si="46"/>
        <v>90.103992638468739</v>
      </c>
      <c r="M42" s="271">
        <f t="shared" si="46"/>
        <v>89.60842067895716</v>
      </c>
      <c r="N42" s="271">
        <f t="shared" si="46"/>
        <v>89.115574365222898</v>
      </c>
      <c r="O42" s="271">
        <f t="shared" si="46"/>
        <v>88.868248127327121</v>
      </c>
      <c r="P42" s="271">
        <f t="shared" si="46"/>
        <v>88.137998793330013</v>
      </c>
      <c r="Q42" s="271">
        <f t="shared" si="46"/>
        <v>87.653239799966698</v>
      </c>
      <c r="R42" s="271">
        <f t="shared" si="46"/>
        <v>87.171146981066869</v>
      </c>
      <c r="S42" s="271">
        <f t="shared" si="46"/>
        <v>86.929217195061909</v>
      </c>
      <c r="T42" s="271">
        <f t="shared" si="46"/>
        <v>86.21490129147135</v>
      </c>
      <c r="U42" s="271">
        <f t="shared" si="46"/>
        <v>85.740719334368265</v>
      </c>
      <c r="V42" s="271">
        <f t="shared" si="46"/>
        <v>85.269145378029236</v>
      </c>
      <c r="W42" s="271">
        <f t="shared" si="46"/>
        <v>85.032494297843087</v>
      </c>
      <c r="X42" s="271">
        <f t="shared" si="46"/>
        <v>84.333764170518592</v>
      </c>
      <c r="Y42" s="271">
        <f t="shared" si="46"/>
        <v>83.869928467580749</v>
      </c>
      <c r="Z42" s="271">
        <f t="shared" si="46"/>
        <v>83.408643861009054</v>
      </c>
      <c r="AA42" s="271">
        <f t="shared" si="46"/>
        <v>83.177156309690702</v>
      </c>
      <c r="AB42" s="271">
        <f t="shared" si="46"/>
        <v>82.493671890014767</v>
      </c>
      <c r="AC42" s="271">
        <f t="shared" si="46"/>
        <v>82.03995669461969</v>
      </c>
      <c r="AD42" s="271">
        <f t="shared" si="46"/>
        <v>81.588736932799279</v>
      </c>
      <c r="AE42" s="271">
        <f t="shared" si="46"/>
        <v>81.36230024646251</v>
      </c>
    </row>
    <row r="43" spans="2:31" s="130" customFormat="1" x14ac:dyDescent="0.25">
      <c r="B43" s="272" t="s">
        <v>323</v>
      </c>
      <c r="C43" s="272"/>
      <c r="D43" s="272"/>
      <c r="E43" s="272"/>
      <c r="F43" s="271">
        <f>(F25+F36)/10^5</f>
        <v>1375.8788870400015</v>
      </c>
      <c r="G43" s="271">
        <f t="shared" ref="G43:AE43" si="47">(G25+G36)/10^5</f>
        <v>1372.0603519370657</v>
      </c>
      <c r="H43" s="271">
        <f t="shared" si="47"/>
        <v>1360.7858396188944</v>
      </c>
      <c r="I43" s="271">
        <f t="shared" si="47"/>
        <v>1353.3015175009907</v>
      </c>
      <c r="J43" s="271">
        <f t="shared" si="47"/>
        <v>1345.8583591547351</v>
      </c>
      <c r="K43" s="271">
        <f t="shared" si="47"/>
        <v>1342.123141297684</v>
      </c>
      <c r="L43" s="271">
        <f t="shared" si="47"/>
        <v>1331.094629419398</v>
      </c>
      <c r="M43" s="271">
        <f t="shared" si="47"/>
        <v>1323.773608957591</v>
      </c>
      <c r="N43" s="271">
        <f t="shared" si="47"/>
        <v>1316.4928541083245</v>
      </c>
      <c r="O43" s="271">
        <f t="shared" si="47"/>
        <v>1312.8391355844572</v>
      </c>
      <c r="P43" s="271">
        <f t="shared" si="47"/>
        <v>1302.05125662197</v>
      </c>
      <c r="Q43" s="271">
        <f t="shared" si="47"/>
        <v>1294.889974710549</v>
      </c>
      <c r="R43" s="271">
        <f t="shared" si="47"/>
        <v>1287.7680798496413</v>
      </c>
      <c r="S43" s="271">
        <f t="shared" si="47"/>
        <v>1284.1940824115929</v>
      </c>
      <c r="T43" s="271">
        <f t="shared" si="47"/>
        <v>1273.6415859557108</v>
      </c>
      <c r="U43" s="271">
        <f t="shared" si="47"/>
        <v>1266.6365572329546</v>
      </c>
      <c r="V43" s="271">
        <f t="shared" si="47"/>
        <v>1259.6700561681732</v>
      </c>
      <c r="W43" s="271">
        <f t="shared" si="47"/>
        <v>1256.1740403684519</v>
      </c>
      <c r="X43" s="271">
        <f t="shared" si="47"/>
        <v>1245.8517905695223</v>
      </c>
      <c r="Y43" s="271">
        <f t="shared" si="47"/>
        <v>1238.99960572139</v>
      </c>
      <c r="Z43" s="271">
        <f t="shared" si="47"/>
        <v>1232.1851078899226</v>
      </c>
      <c r="AA43" s="271">
        <f t="shared" si="47"/>
        <v>1228.7653722343268</v>
      </c>
      <c r="AB43" s="271">
        <f t="shared" si="47"/>
        <v>1218.6683453026474</v>
      </c>
      <c r="AC43" s="271">
        <f t="shared" si="47"/>
        <v>1211.9656694034827</v>
      </c>
      <c r="AD43" s="271">
        <f t="shared" si="47"/>
        <v>1205.2998582217638</v>
      </c>
      <c r="AE43" s="271">
        <f t="shared" si="47"/>
        <v>1201.9547383412742</v>
      </c>
    </row>
    <row r="44" spans="2:31" x14ac:dyDescent="0.25">
      <c r="B44" s="70"/>
      <c r="C44" s="70"/>
      <c r="D44" s="70"/>
      <c r="E44" s="70"/>
      <c r="F44" s="70"/>
      <c r="G44" s="70"/>
      <c r="H44" s="70"/>
      <c r="I44" s="70"/>
      <c r="J44" s="70"/>
      <c r="K44" s="70"/>
      <c r="L44" s="70"/>
      <c r="M44" s="70"/>
      <c r="N44" s="70"/>
      <c r="O44" s="70"/>
      <c r="P44" s="70"/>
      <c r="Q44" s="70"/>
      <c r="R44" s="70"/>
      <c r="S44" s="70"/>
      <c r="T44" s="70"/>
      <c r="U44" s="70"/>
      <c r="V44" s="70"/>
      <c r="W44" s="70"/>
      <c r="X44" s="70"/>
      <c r="Y44" s="70"/>
      <c r="Z44" s="70"/>
      <c r="AA44" s="70"/>
      <c r="AB44" s="70"/>
      <c r="AC44" s="70"/>
      <c r="AD44" s="70"/>
      <c r="AE44" s="70"/>
    </row>
    <row r="45" spans="2:31" x14ac:dyDescent="0.25">
      <c r="B45" s="96" t="s">
        <v>113</v>
      </c>
      <c r="C45" s="96"/>
      <c r="D45" s="96"/>
      <c r="E45" s="96"/>
      <c r="F45" s="97">
        <f>F39+F28</f>
        <v>120.38940261600013</v>
      </c>
      <c r="G45" s="97">
        <f t="shared" ref="G45:AE45" si="48">G39+G28</f>
        <v>121.2558336024382</v>
      </c>
      <c r="H45" s="97">
        <f t="shared" si="48"/>
        <v>121.462043062083</v>
      </c>
      <c r="I45" s="97">
        <f t="shared" si="48"/>
        <v>122.00194184349398</v>
      </c>
      <c r="J45" s="97">
        <f t="shared" si="48"/>
        <v>122.54424047498833</v>
      </c>
      <c r="K45" s="97">
        <f t="shared" si="48"/>
        <v>123.42617962286924</v>
      </c>
      <c r="L45" s="97">
        <f t="shared" si="48"/>
        <v>123.6360800049779</v>
      </c>
      <c r="M45" s="97">
        <f t="shared" si="48"/>
        <v>124.18564238060003</v>
      </c>
      <c r="N45" s="97">
        <f t="shared" si="48"/>
        <v>124.73764756098183</v>
      </c>
      <c r="O45" s="97">
        <f t="shared" si="48"/>
        <v>125.63537244933394</v>
      </c>
      <c r="P45" s="97">
        <f t="shared" si="48"/>
        <v>125.84902981735792</v>
      </c>
      <c r="Q45" s="97">
        <f t="shared" si="48"/>
        <v>126.40842875489608</v>
      </c>
      <c r="R45" s="97">
        <f t="shared" si="48"/>
        <v>126.97031422071157</v>
      </c>
      <c r="S45" s="97">
        <f t="shared" si="48"/>
        <v>127.88410739692245</v>
      </c>
      <c r="T45" s="97">
        <f t="shared" si="48"/>
        <v>128.10158899677637</v>
      </c>
      <c r="U45" s="97">
        <f t="shared" si="48"/>
        <v>128.67100055986705</v>
      </c>
      <c r="V45" s="97">
        <f t="shared" si="48"/>
        <v>129.24294315735568</v>
      </c>
      <c r="W45" s="97">
        <f t="shared" si="48"/>
        <v>130.17309222610021</v>
      </c>
      <c r="X45" s="97">
        <f t="shared" si="48"/>
        <v>130.39446650732651</v>
      </c>
      <c r="Y45" s="97">
        <f t="shared" si="48"/>
        <v>130.97406991095161</v>
      </c>
      <c r="Z45" s="97">
        <f t="shared" si="48"/>
        <v>131.5562496517058</v>
      </c>
      <c r="AA45" s="97">
        <f t="shared" si="48"/>
        <v>132.50304736546627</v>
      </c>
      <c r="AB45" s="97">
        <f t="shared" si="48"/>
        <v>132.72838400277902</v>
      </c>
      <c r="AC45" s="97">
        <f t="shared" si="48"/>
        <v>133.31836166967136</v>
      </c>
      <c r="AD45" s="97">
        <f t="shared" si="48"/>
        <v>133.91096178729305</v>
      </c>
      <c r="AE45" s="97">
        <f t="shared" si="48"/>
        <v>134.87470613849905</v>
      </c>
    </row>
    <row r="46" spans="2:31" x14ac:dyDescent="0.25">
      <c r="B46" s="70"/>
      <c r="C46" s="70"/>
      <c r="D46" s="70"/>
      <c r="E46" s="70"/>
      <c r="F46" s="70"/>
      <c r="G46" s="70"/>
      <c r="H46" s="70"/>
      <c r="I46" s="70"/>
      <c r="J46" s="70"/>
      <c r="K46" s="70"/>
      <c r="L46" s="70"/>
      <c r="M46" s="70"/>
      <c r="N46" s="70"/>
      <c r="O46" s="70"/>
      <c r="P46" s="70"/>
      <c r="Q46" s="70"/>
      <c r="R46" s="70"/>
      <c r="S46" s="70"/>
      <c r="T46" s="70"/>
      <c r="U46" s="70"/>
      <c r="V46" s="70"/>
      <c r="W46" s="70"/>
      <c r="X46" s="70"/>
      <c r="Y46" s="70"/>
      <c r="Z46" s="70"/>
      <c r="AA46" s="70"/>
      <c r="AB46" s="70"/>
      <c r="AC46" s="70"/>
      <c r="AD46" s="70"/>
      <c r="AE46" s="70"/>
    </row>
    <row r="47" spans="2:31" x14ac:dyDescent="0.25">
      <c r="B47" s="83" t="s">
        <v>137</v>
      </c>
      <c r="C47" s="84"/>
      <c r="D47" s="84"/>
      <c r="E47" s="84"/>
      <c r="F47" s="85"/>
      <c r="G47" s="85"/>
      <c r="H47" s="85"/>
      <c r="I47" s="85"/>
      <c r="J47" s="85"/>
      <c r="K47" s="85"/>
      <c r="L47" s="85"/>
      <c r="M47" s="85"/>
      <c r="N47" s="85"/>
      <c r="O47" s="85"/>
      <c r="P47" s="85"/>
      <c r="Q47" s="85"/>
      <c r="R47" s="85"/>
      <c r="S47" s="85"/>
      <c r="T47" s="85"/>
      <c r="U47" s="85"/>
      <c r="V47" s="85"/>
      <c r="W47" s="85"/>
      <c r="X47" s="85"/>
      <c r="Y47" s="85"/>
      <c r="Z47" s="85"/>
      <c r="AA47" s="85"/>
      <c r="AB47" s="85"/>
      <c r="AC47" s="85"/>
      <c r="AD47" s="85"/>
      <c r="AE47" s="85"/>
    </row>
    <row r="48" spans="2:31" x14ac:dyDescent="0.25">
      <c r="B48" s="62"/>
      <c r="C48" s="31"/>
      <c r="D48" s="31"/>
      <c r="E48" s="31"/>
      <c r="F48" s="31"/>
      <c r="G48" s="31"/>
      <c r="H48" s="31"/>
      <c r="I48" s="31"/>
      <c r="J48" s="31"/>
      <c r="K48" s="31"/>
      <c r="L48" s="31"/>
      <c r="M48" s="31"/>
      <c r="N48" s="31"/>
      <c r="O48" s="70"/>
      <c r="P48" s="70"/>
      <c r="Q48" s="70"/>
      <c r="R48" s="70"/>
      <c r="S48" s="70"/>
      <c r="T48" s="70"/>
      <c r="U48" s="70"/>
      <c r="V48" s="70"/>
      <c r="W48" s="70"/>
      <c r="X48" s="70"/>
      <c r="Y48" s="70"/>
      <c r="Z48" s="70"/>
      <c r="AA48" s="70"/>
      <c r="AB48" s="70"/>
      <c r="AC48" s="70"/>
      <c r="AD48" s="70"/>
      <c r="AE48" s="70"/>
    </row>
    <row r="49" spans="1:32" x14ac:dyDescent="0.25">
      <c r="A49" s="131" t="s">
        <v>133</v>
      </c>
      <c r="B49" s="62" t="s">
        <v>116</v>
      </c>
      <c r="C49" s="31"/>
      <c r="D49" s="31"/>
      <c r="E49" s="31"/>
      <c r="F49" s="31"/>
      <c r="G49" s="31"/>
      <c r="H49" s="31"/>
      <c r="I49" s="31"/>
      <c r="J49" s="31"/>
      <c r="K49" s="31"/>
      <c r="L49" s="31"/>
      <c r="M49" s="31"/>
      <c r="N49" s="31"/>
      <c r="O49" s="70"/>
      <c r="P49" s="70"/>
      <c r="Q49" s="70"/>
      <c r="R49" s="70"/>
      <c r="S49" s="70"/>
      <c r="T49" s="70"/>
      <c r="U49" s="70"/>
      <c r="V49" s="70"/>
      <c r="W49" s="70"/>
      <c r="X49" s="70"/>
      <c r="Y49" s="70"/>
      <c r="Z49" s="70"/>
      <c r="AA49" s="70"/>
      <c r="AB49" s="70"/>
      <c r="AC49" s="70"/>
      <c r="AD49" s="70"/>
      <c r="AE49" s="70"/>
    </row>
    <row r="50" spans="1:32" x14ac:dyDescent="0.25">
      <c r="B50" s="42" t="s">
        <v>105</v>
      </c>
      <c r="C50" s="31"/>
      <c r="D50" s="31"/>
      <c r="E50" s="31"/>
      <c r="F50" s="338">
        <v>0</v>
      </c>
      <c r="G50" s="102">
        <v>0</v>
      </c>
      <c r="H50" s="98">
        <f>Assumptions!D38</f>
        <v>12600000</v>
      </c>
      <c r="I50" s="98">
        <f t="shared" ref="I50:AE50" si="49">H50*(1+I51)</f>
        <v>13230000</v>
      </c>
      <c r="J50" s="98">
        <f t="shared" si="49"/>
        <v>13891500</v>
      </c>
      <c r="K50" s="98">
        <f t="shared" si="49"/>
        <v>14586075</v>
      </c>
      <c r="L50" s="98">
        <f t="shared" si="49"/>
        <v>15315378.75</v>
      </c>
      <c r="M50" s="98">
        <f t="shared" si="49"/>
        <v>16081147.6875</v>
      </c>
      <c r="N50" s="98">
        <f t="shared" si="49"/>
        <v>16885205.071875002</v>
      </c>
      <c r="O50" s="98">
        <f t="shared" si="49"/>
        <v>17729465.325468753</v>
      </c>
      <c r="P50" s="98">
        <f t="shared" si="49"/>
        <v>18615938.591742191</v>
      </c>
      <c r="Q50" s="98">
        <f t="shared" si="49"/>
        <v>19546735.521329302</v>
      </c>
      <c r="R50" s="98">
        <f t="shared" si="49"/>
        <v>20524072.29739577</v>
      </c>
      <c r="S50" s="98">
        <f t="shared" si="49"/>
        <v>21550275.912265558</v>
      </c>
      <c r="T50" s="98">
        <f t="shared" si="49"/>
        <v>22627789.707878835</v>
      </c>
      <c r="U50" s="98">
        <f t="shared" si="49"/>
        <v>23759179.193272777</v>
      </c>
      <c r="V50" s="98">
        <f t="shared" si="49"/>
        <v>24947138.152936418</v>
      </c>
      <c r="W50" s="98">
        <f t="shared" si="49"/>
        <v>26194495.060583241</v>
      </c>
      <c r="X50" s="98">
        <f t="shared" si="49"/>
        <v>27504219.813612405</v>
      </c>
      <c r="Y50" s="98">
        <f t="shared" si="49"/>
        <v>28879430.804293025</v>
      </c>
      <c r="Z50" s="98">
        <f t="shared" si="49"/>
        <v>30323402.344507679</v>
      </c>
      <c r="AA50" s="98">
        <f t="shared" si="49"/>
        <v>31839572.461733066</v>
      </c>
      <c r="AB50" s="98">
        <f t="shared" si="49"/>
        <v>33431551.084819719</v>
      </c>
      <c r="AC50" s="98">
        <f t="shared" si="49"/>
        <v>35103128.639060706</v>
      </c>
      <c r="AD50" s="98">
        <f t="shared" si="49"/>
        <v>36858285.071013741</v>
      </c>
      <c r="AE50" s="98">
        <f t="shared" si="49"/>
        <v>38701199.324564427</v>
      </c>
    </row>
    <row r="51" spans="1:32" x14ac:dyDescent="0.25">
      <c r="B51" s="31" t="s">
        <v>104</v>
      </c>
      <c r="C51" s="31"/>
      <c r="D51" s="31"/>
      <c r="E51" s="31"/>
      <c r="F51" s="49"/>
      <c r="G51" s="339"/>
      <c r="H51" s="115">
        <f>Assumptions!D40</f>
        <v>0.05</v>
      </c>
      <c r="I51" s="115">
        <f t="shared" ref="I51:AE51" si="50">H51</f>
        <v>0.05</v>
      </c>
      <c r="J51" s="115">
        <f t="shared" si="50"/>
        <v>0.05</v>
      </c>
      <c r="K51" s="115">
        <f t="shared" si="50"/>
        <v>0.05</v>
      </c>
      <c r="L51" s="115">
        <f t="shared" si="50"/>
        <v>0.05</v>
      </c>
      <c r="M51" s="115">
        <f t="shared" si="50"/>
        <v>0.05</v>
      </c>
      <c r="N51" s="115">
        <f t="shared" si="50"/>
        <v>0.05</v>
      </c>
      <c r="O51" s="115">
        <f t="shared" si="50"/>
        <v>0.05</v>
      </c>
      <c r="P51" s="115">
        <f t="shared" si="50"/>
        <v>0.05</v>
      </c>
      <c r="Q51" s="115">
        <f t="shared" si="50"/>
        <v>0.05</v>
      </c>
      <c r="R51" s="115">
        <f t="shared" si="50"/>
        <v>0.05</v>
      </c>
      <c r="S51" s="115">
        <f t="shared" si="50"/>
        <v>0.05</v>
      </c>
      <c r="T51" s="115">
        <f t="shared" si="50"/>
        <v>0.05</v>
      </c>
      <c r="U51" s="115">
        <f t="shared" si="50"/>
        <v>0.05</v>
      </c>
      <c r="V51" s="115">
        <f t="shared" si="50"/>
        <v>0.05</v>
      </c>
      <c r="W51" s="115">
        <f t="shared" si="50"/>
        <v>0.05</v>
      </c>
      <c r="X51" s="115">
        <f t="shared" si="50"/>
        <v>0.05</v>
      </c>
      <c r="Y51" s="115">
        <f t="shared" si="50"/>
        <v>0.05</v>
      </c>
      <c r="Z51" s="115">
        <f t="shared" si="50"/>
        <v>0.05</v>
      </c>
      <c r="AA51" s="115">
        <f t="shared" si="50"/>
        <v>0.05</v>
      </c>
      <c r="AB51" s="115">
        <f t="shared" si="50"/>
        <v>0.05</v>
      </c>
      <c r="AC51" s="115">
        <f t="shared" si="50"/>
        <v>0.05</v>
      </c>
      <c r="AD51" s="115">
        <f t="shared" si="50"/>
        <v>0.05</v>
      </c>
      <c r="AE51" s="115">
        <f t="shared" si="50"/>
        <v>0.05</v>
      </c>
    </row>
    <row r="52" spans="1:32" x14ac:dyDescent="0.25">
      <c r="B52" s="31" t="s">
        <v>106</v>
      </c>
      <c r="C52" s="31"/>
      <c r="D52" s="31"/>
      <c r="E52" s="31"/>
      <c r="F52" s="56">
        <v>0</v>
      </c>
      <c r="G52" s="56">
        <v>0</v>
      </c>
      <c r="H52" s="99">
        <f>H50</f>
        <v>12600000</v>
      </c>
      <c r="I52" s="99">
        <f t="shared" ref="I52:AE52" si="51">I50</f>
        <v>13230000</v>
      </c>
      <c r="J52" s="99">
        <f t="shared" si="51"/>
        <v>13891500</v>
      </c>
      <c r="K52" s="99">
        <f t="shared" si="51"/>
        <v>14586075</v>
      </c>
      <c r="L52" s="99">
        <f t="shared" si="51"/>
        <v>15315378.75</v>
      </c>
      <c r="M52" s="99">
        <f t="shared" si="51"/>
        <v>16081147.6875</v>
      </c>
      <c r="N52" s="99">
        <f t="shared" si="51"/>
        <v>16885205.071875002</v>
      </c>
      <c r="O52" s="99">
        <f t="shared" si="51"/>
        <v>17729465.325468753</v>
      </c>
      <c r="P52" s="99">
        <f t="shared" si="51"/>
        <v>18615938.591742191</v>
      </c>
      <c r="Q52" s="99">
        <f t="shared" si="51"/>
        <v>19546735.521329302</v>
      </c>
      <c r="R52" s="99">
        <f t="shared" si="51"/>
        <v>20524072.29739577</v>
      </c>
      <c r="S52" s="99">
        <f t="shared" si="51"/>
        <v>21550275.912265558</v>
      </c>
      <c r="T52" s="99">
        <f t="shared" si="51"/>
        <v>22627789.707878835</v>
      </c>
      <c r="U52" s="99">
        <f t="shared" si="51"/>
        <v>23759179.193272777</v>
      </c>
      <c r="V52" s="99">
        <f t="shared" si="51"/>
        <v>24947138.152936418</v>
      </c>
      <c r="W52" s="99">
        <f t="shared" si="51"/>
        <v>26194495.060583241</v>
      </c>
      <c r="X52" s="99">
        <f t="shared" si="51"/>
        <v>27504219.813612405</v>
      </c>
      <c r="Y52" s="99">
        <f t="shared" si="51"/>
        <v>28879430.804293025</v>
      </c>
      <c r="Z52" s="99">
        <f t="shared" si="51"/>
        <v>30323402.344507679</v>
      </c>
      <c r="AA52" s="99">
        <f t="shared" si="51"/>
        <v>31839572.461733066</v>
      </c>
      <c r="AB52" s="99">
        <f t="shared" si="51"/>
        <v>33431551.084819719</v>
      </c>
      <c r="AC52" s="99">
        <f t="shared" si="51"/>
        <v>35103128.639060706</v>
      </c>
      <c r="AD52" s="99">
        <f t="shared" si="51"/>
        <v>36858285.071013741</v>
      </c>
      <c r="AE52" s="99">
        <f t="shared" si="51"/>
        <v>38701199.324564427</v>
      </c>
    </row>
    <row r="53" spans="1:32" x14ac:dyDescent="0.25">
      <c r="B53" s="123" t="s">
        <v>114</v>
      </c>
      <c r="C53" s="123"/>
      <c r="D53" s="123"/>
      <c r="E53" s="123"/>
      <c r="F53" s="124">
        <f>F52/10^7</f>
        <v>0</v>
      </c>
      <c r="G53" s="124">
        <f t="shared" ref="G53:AE53" si="52">G52/10^7</f>
        <v>0</v>
      </c>
      <c r="H53" s="124">
        <f t="shared" si="52"/>
        <v>1.26</v>
      </c>
      <c r="I53" s="124">
        <f t="shared" si="52"/>
        <v>1.323</v>
      </c>
      <c r="J53" s="124">
        <f t="shared" si="52"/>
        <v>1.3891500000000001</v>
      </c>
      <c r="K53" s="124">
        <f t="shared" si="52"/>
        <v>1.4586075000000001</v>
      </c>
      <c r="L53" s="124">
        <f t="shared" si="52"/>
        <v>1.5315378749999999</v>
      </c>
      <c r="M53" s="124">
        <f t="shared" si="52"/>
        <v>1.6081147687499999</v>
      </c>
      <c r="N53" s="124">
        <f t="shared" si="52"/>
        <v>1.6885205071875002</v>
      </c>
      <c r="O53" s="124">
        <f t="shared" si="52"/>
        <v>1.7729465325468752</v>
      </c>
      <c r="P53" s="124">
        <f t="shared" si="52"/>
        <v>1.8615938591742192</v>
      </c>
      <c r="Q53" s="124">
        <f t="shared" si="52"/>
        <v>1.9546735521329301</v>
      </c>
      <c r="R53" s="124">
        <f t="shared" si="52"/>
        <v>2.0524072297395768</v>
      </c>
      <c r="S53" s="124">
        <f t="shared" si="52"/>
        <v>2.1550275912265557</v>
      </c>
      <c r="T53" s="124">
        <f t="shared" si="52"/>
        <v>2.2627789707878834</v>
      </c>
      <c r="U53" s="124">
        <f t="shared" si="52"/>
        <v>2.3759179193272777</v>
      </c>
      <c r="V53" s="124">
        <f t="shared" si="52"/>
        <v>2.4947138152936419</v>
      </c>
      <c r="W53" s="124">
        <f t="shared" si="52"/>
        <v>2.6194495060583241</v>
      </c>
      <c r="X53" s="124">
        <f t="shared" si="52"/>
        <v>2.7504219813612405</v>
      </c>
      <c r="Y53" s="124">
        <f t="shared" si="52"/>
        <v>2.8879430804293027</v>
      </c>
      <c r="Z53" s="124">
        <f t="shared" si="52"/>
        <v>3.0323402344507677</v>
      </c>
      <c r="AA53" s="124">
        <f t="shared" si="52"/>
        <v>3.1839572461733066</v>
      </c>
      <c r="AB53" s="124">
        <f t="shared" si="52"/>
        <v>3.3431551084819717</v>
      </c>
      <c r="AC53" s="124">
        <f t="shared" si="52"/>
        <v>3.5103128639060706</v>
      </c>
      <c r="AD53" s="124">
        <f t="shared" si="52"/>
        <v>3.6858285071013741</v>
      </c>
      <c r="AE53" s="124">
        <f t="shared" si="52"/>
        <v>3.8701199324564426</v>
      </c>
    </row>
    <row r="54" spans="1:32" x14ac:dyDescent="0.25">
      <c r="B54" s="62" t="s">
        <v>115</v>
      </c>
      <c r="C54" s="70"/>
      <c r="D54" s="70"/>
      <c r="E54" s="70"/>
      <c r="F54" s="70"/>
      <c r="G54" s="70"/>
      <c r="H54" s="70"/>
      <c r="I54" s="70"/>
      <c r="J54" s="70"/>
      <c r="K54" s="70"/>
      <c r="L54" s="70"/>
      <c r="M54" s="70"/>
      <c r="N54" s="70"/>
      <c r="O54" s="70"/>
      <c r="P54" s="70"/>
      <c r="Q54" s="70"/>
      <c r="R54" s="70"/>
      <c r="S54" s="70"/>
      <c r="T54" s="70"/>
      <c r="U54" s="70"/>
      <c r="V54" s="70"/>
      <c r="W54" s="70"/>
      <c r="X54" s="70"/>
      <c r="Y54" s="70"/>
      <c r="Z54" s="70"/>
      <c r="AA54" s="70"/>
      <c r="AB54" s="70"/>
      <c r="AC54" s="70"/>
      <c r="AD54" s="70"/>
      <c r="AE54" s="70"/>
    </row>
    <row r="55" spans="1:32" x14ac:dyDescent="0.25">
      <c r="B55" s="42" t="s">
        <v>105</v>
      </c>
      <c r="C55" s="70"/>
      <c r="D55" s="70"/>
      <c r="E55" s="70"/>
      <c r="F55" s="109">
        <v>0</v>
      </c>
      <c r="G55" s="98">
        <v>0</v>
      </c>
      <c r="H55" s="98">
        <f>Assumptions!E38</f>
        <v>30084600</v>
      </c>
      <c r="I55" s="98">
        <f t="shared" ref="I55" si="53">H55*(1+I56)</f>
        <v>31588830</v>
      </c>
      <c r="J55" s="98">
        <f t="shared" ref="J55" si="54">I55*(1+J56)</f>
        <v>33168271.5</v>
      </c>
      <c r="K55" s="98">
        <f t="shared" ref="K55" si="55">J55*(1+K56)</f>
        <v>34826685.075000003</v>
      </c>
      <c r="L55" s="98">
        <f t="shared" ref="L55" si="56">K55*(1+L56)</f>
        <v>36568019.328750007</v>
      </c>
      <c r="M55" s="98">
        <f t="shared" ref="M55" si="57">L55*(1+M56)</f>
        <v>38396420.295187511</v>
      </c>
      <c r="N55" s="98">
        <f t="shared" ref="N55" si="58">M55*(1+N56)</f>
        <v>40316241.309946887</v>
      </c>
      <c r="O55" s="98">
        <f t="shared" ref="O55" si="59">N55*(1+O56)</f>
        <v>42332053.375444233</v>
      </c>
      <c r="P55" s="98">
        <f t="shared" ref="P55" si="60">O55*(1+P56)</f>
        <v>44448656.044216447</v>
      </c>
      <c r="Q55" s="98">
        <f t="shared" ref="Q55" si="61">P55*(1+Q56)</f>
        <v>46671088.846427269</v>
      </c>
      <c r="R55" s="98">
        <f t="shared" ref="R55" si="62">Q55*(1+R56)</f>
        <v>49004643.288748637</v>
      </c>
      <c r="S55" s="98">
        <f t="shared" ref="S55" si="63">R55*(1+S56)</f>
        <v>51454875.453186072</v>
      </c>
      <c r="T55" s="98">
        <f t="shared" ref="T55" si="64">S55*(1+T56)</f>
        <v>54027619.225845382</v>
      </c>
      <c r="U55" s="98">
        <f t="shared" ref="U55" si="65">T55*(1+U56)</f>
        <v>56729000.187137656</v>
      </c>
      <c r="V55" s="98">
        <f t="shared" ref="V55" si="66">U55*(1+V56)</f>
        <v>59565450.196494542</v>
      </c>
      <c r="W55" s="98">
        <f t="shared" ref="W55" si="67">V55*(1+W56)</f>
        <v>62543722.706319273</v>
      </c>
      <c r="X55" s="98">
        <f t="shared" ref="X55" si="68">W55*(1+X56)</f>
        <v>65670908.841635242</v>
      </c>
      <c r="Y55" s="98">
        <f t="shared" ref="Y55" si="69">X55*(1+Y56)</f>
        <v>68954454.283717006</v>
      </c>
      <c r="Z55" s="98">
        <f t="shared" ref="Z55" si="70">Y55*(1+Z56)</f>
        <v>72402176.997902855</v>
      </c>
      <c r="AA55" s="98">
        <f t="shared" ref="AA55" si="71">Z55*(1+AA56)</f>
        <v>76022285.847798005</v>
      </c>
      <c r="AB55" s="98">
        <f t="shared" ref="AB55" si="72">AA55*(1+AB56)</f>
        <v>79823400.140187904</v>
      </c>
      <c r="AC55" s="98">
        <f t="shared" ref="AC55" si="73">AB55*(1+AC56)</f>
        <v>83814570.147197306</v>
      </c>
      <c r="AD55" s="98">
        <f t="shared" ref="AD55" si="74">AC55*(1+AD56)</f>
        <v>88005298.654557168</v>
      </c>
      <c r="AE55" s="98">
        <f t="shared" ref="AE55" si="75">AD55*(1+AE56)</f>
        <v>92405563.587285027</v>
      </c>
    </row>
    <row r="56" spans="1:32" x14ac:dyDescent="0.25">
      <c r="B56" s="31" t="s">
        <v>104</v>
      </c>
      <c r="C56" s="70"/>
      <c r="D56" s="70"/>
      <c r="E56" s="70"/>
      <c r="F56" s="46"/>
      <c r="G56" s="116"/>
      <c r="H56" s="115">
        <f>Assumptions!E40</f>
        <v>0.05</v>
      </c>
      <c r="I56" s="115">
        <f t="shared" ref="I56:AE56" si="76">H56</f>
        <v>0.05</v>
      </c>
      <c r="J56" s="115">
        <f t="shared" si="76"/>
        <v>0.05</v>
      </c>
      <c r="K56" s="115">
        <f t="shared" si="76"/>
        <v>0.05</v>
      </c>
      <c r="L56" s="115">
        <f t="shared" si="76"/>
        <v>0.05</v>
      </c>
      <c r="M56" s="115">
        <f t="shared" si="76"/>
        <v>0.05</v>
      </c>
      <c r="N56" s="115">
        <f t="shared" si="76"/>
        <v>0.05</v>
      </c>
      <c r="O56" s="115">
        <f t="shared" si="76"/>
        <v>0.05</v>
      </c>
      <c r="P56" s="115">
        <f t="shared" si="76"/>
        <v>0.05</v>
      </c>
      <c r="Q56" s="115">
        <f t="shared" si="76"/>
        <v>0.05</v>
      </c>
      <c r="R56" s="115">
        <f t="shared" si="76"/>
        <v>0.05</v>
      </c>
      <c r="S56" s="115">
        <f t="shared" si="76"/>
        <v>0.05</v>
      </c>
      <c r="T56" s="115">
        <f t="shared" si="76"/>
        <v>0.05</v>
      </c>
      <c r="U56" s="115">
        <f t="shared" si="76"/>
        <v>0.05</v>
      </c>
      <c r="V56" s="115">
        <f t="shared" si="76"/>
        <v>0.05</v>
      </c>
      <c r="W56" s="115">
        <f t="shared" si="76"/>
        <v>0.05</v>
      </c>
      <c r="X56" s="115">
        <f t="shared" si="76"/>
        <v>0.05</v>
      </c>
      <c r="Y56" s="115">
        <f t="shared" si="76"/>
        <v>0.05</v>
      </c>
      <c r="Z56" s="115">
        <f t="shared" si="76"/>
        <v>0.05</v>
      </c>
      <c r="AA56" s="115">
        <f t="shared" si="76"/>
        <v>0.05</v>
      </c>
      <c r="AB56" s="115">
        <f t="shared" si="76"/>
        <v>0.05</v>
      </c>
      <c r="AC56" s="115">
        <f t="shared" si="76"/>
        <v>0.05</v>
      </c>
      <c r="AD56" s="115">
        <f t="shared" si="76"/>
        <v>0.05</v>
      </c>
      <c r="AE56" s="115">
        <f t="shared" si="76"/>
        <v>0.05</v>
      </c>
    </row>
    <row r="57" spans="1:32" x14ac:dyDescent="0.25">
      <c r="B57" s="31" t="s">
        <v>106</v>
      </c>
      <c r="C57" s="70"/>
      <c r="D57" s="70"/>
      <c r="E57" s="70"/>
      <c r="F57" s="99">
        <f t="shared" ref="F57:G57" si="77">F55</f>
        <v>0</v>
      </c>
      <c r="G57" s="99">
        <f t="shared" si="77"/>
        <v>0</v>
      </c>
      <c r="H57" s="99">
        <f>H55</f>
        <v>30084600</v>
      </c>
      <c r="I57" s="99">
        <f t="shared" ref="I57:AE57" si="78">I55</f>
        <v>31588830</v>
      </c>
      <c r="J57" s="99">
        <f t="shared" si="78"/>
        <v>33168271.5</v>
      </c>
      <c r="K57" s="99">
        <f t="shared" si="78"/>
        <v>34826685.075000003</v>
      </c>
      <c r="L57" s="99">
        <f t="shared" si="78"/>
        <v>36568019.328750007</v>
      </c>
      <c r="M57" s="99">
        <f t="shared" si="78"/>
        <v>38396420.295187511</v>
      </c>
      <c r="N57" s="99">
        <f t="shared" si="78"/>
        <v>40316241.309946887</v>
      </c>
      <c r="O57" s="99">
        <f t="shared" si="78"/>
        <v>42332053.375444233</v>
      </c>
      <c r="P57" s="99">
        <f t="shared" si="78"/>
        <v>44448656.044216447</v>
      </c>
      <c r="Q57" s="99">
        <f t="shared" si="78"/>
        <v>46671088.846427269</v>
      </c>
      <c r="R57" s="99">
        <f t="shared" si="78"/>
        <v>49004643.288748637</v>
      </c>
      <c r="S57" s="99">
        <f t="shared" si="78"/>
        <v>51454875.453186072</v>
      </c>
      <c r="T57" s="99">
        <f t="shared" si="78"/>
        <v>54027619.225845382</v>
      </c>
      <c r="U57" s="99">
        <f t="shared" si="78"/>
        <v>56729000.187137656</v>
      </c>
      <c r="V57" s="99">
        <f t="shared" si="78"/>
        <v>59565450.196494542</v>
      </c>
      <c r="W57" s="99">
        <f t="shared" si="78"/>
        <v>62543722.706319273</v>
      </c>
      <c r="X57" s="99">
        <f t="shared" si="78"/>
        <v>65670908.841635242</v>
      </c>
      <c r="Y57" s="99">
        <f t="shared" si="78"/>
        <v>68954454.283717006</v>
      </c>
      <c r="Z57" s="99">
        <f t="shared" si="78"/>
        <v>72402176.997902855</v>
      </c>
      <c r="AA57" s="99">
        <f t="shared" si="78"/>
        <v>76022285.847798005</v>
      </c>
      <c r="AB57" s="99">
        <f t="shared" si="78"/>
        <v>79823400.140187904</v>
      </c>
      <c r="AC57" s="99">
        <f t="shared" si="78"/>
        <v>83814570.147197306</v>
      </c>
      <c r="AD57" s="99">
        <f t="shared" si="78"/>
        <v>88005298.654557168</v>
      </c>
      <c r="AE57" s="99">
        <f t="shared" si="78"/>
        <v>92405563.587285027</v>
      </c>
    </row>
    <row r="58" spans="1:32" x14ac:dyDescent="0.25">
      <c r="B58" s="121" t="s">
        <v>118</v>
      </c>
      <c r="C58" s="121"/>
      <c r="D58" s="121"/>
      <c r="E58" s="121"/>
      <c r="F58" s="122">
        <f>F57/10^7</f>
        <v>0</v>
      </c>
      <c r="G58" s="122">
        <f t="shared" ref="G58" si="79">G57/10^7</f>
        <v>0</v>
      </c>
      <c r="H58" s="122">
        <f t="shared" ref="H58" si="80">H57/10^7</f>
        <v>3.0084599999999999</v>
      </c>
      <c r="I58" s="122">
        <f t="shared" ref="I58" si="81">I57/10^7</f>
        <v>3.1588829999999999</v>
      </c>
      <c r="J58" s="122">
        <f t="shared" ref="J58" si="82">J57/10^7</f>
        <v>3.3168271499999999</v>
      </c>
      <c r="K58" s="122">
        <f t="shared" ref="K58" si="83">K57/10^7</f>
        <v>3.4826685075000001</v>
      </c>
      <c r="L58" s="122">
        <f t="shared" ref="L58" si="84">L57/10^7</f>
        <v>3.6568019328750005</v>
      </c>
      <c r="M58" s="122">
        <f t="shared" ref="M58" si="85">M57/10^7</f>
        <v>3.839642029518751</v>
      </c>
      <c r="N58" s="122">
        <f t="shared" ref="N58" si="86">N57/10^7</f>
        <v>4.0316241309946887</v>
      </c>
      <c r="O58" s="122">
        <f t="shared" ref="O58" si="87">O57/10^7</f>
        <v>4.2332053375444234</v>
      </c>
      <c r="P58" s="122">
        <f t="shared" ref="P58" si="88">P57/10^7</f>
        <v>4.4448656044216444</v>
      </c>
      <c r="Q58" s="122">
        <f t="shared" ref="Q58" si="89">Q57/10^7</f>
        <v>4.6671088846427269</v>
      </c>
      <c r="R58" s="122">
        <f t="shared" ref="R58" si="90">R57/10^7</f>
        <v>4.9004643288748637</v>
      </c>
      <c r="S58" s="122">
        <f t="shared" ref="S58" si="91">S57/10^7</f>
        <v>5.1454875453186073</v>
      </c>
      <c r="T58" s="122">
        <f t="shared" ref="T58" si="92">T57/10^7</f>
        <v>5.4027619225845385</v>
      </c>
      <c r="U58" s="122">
        <f t="shared" ref="U58" si="93">U57/10^7</f>
        <v>5.6729000187137659</v>
      </c>
      <c r="V58" s="122">
        <f t="shared" ref="V58" si="94">V57/10^7</f>
        <v>5.9565450196494538</v>
      </c>
      <c r="W58" s="122">
        <f t="shared" ref="W58" si="95">W57/10^7</f>
        <v>6.2543722706319276</v>
      </c>
      <c r="X58" s="122">
        <f t="shared" ref="X58" si="96">X57/10^7</f>
        <v>6.567090884163524</v>
      </c>
      <c r="Y58" s="122">
        <f t="shared" ref="Y58" si="97">Y57/10^7</f>
        <v>6.8954454283717004</v>
      </c>
      <c r="Z58" s="122">
        <f t="shared" ref="Z58" si="98">Z57/10^7</f>
        <v>7.2402176997902856</v>
      </c>
      <c r="AA58" s="122">
        <f t="shared" ref="AA58" si="99">AA57/10^7</f>
        <v>7.6022285847798008</v>
      </c>
      <c r="AB58" s="122">
        <f t="shared" ref="AB58" si="100">AB57/10^7</f>
        <v>7.9823400140187903</v>
      </c>
      <c r="AC58" s="122">
        <f t="shared" ref="AC58" si="101">AC57/10^7</f>
        <v>8.3814570147197305</v>
      </c>
      <c r="AD58" s="122">
        <f t="shared" ref="AD58" si="102">AD57/10^7</f>
        <v>8.8005298654557169</v>
      </c>
      <c r="AE58" s="122">
        <f t="shared" ref="AE58" si="103">AE57/10^7</f>
        <v>9.2405563587285027</v>
      </c>
    </row>
    <row r="59" spans="1:32" x14ac:dyDescent="0.25">
      <c r="B59" s="70"/>
      <c r="C59" s="70"/>
      <c r="D59" s="70"/>
      <c r="E59" s="70"/>
      <c r="F59" s="70"/>
      <c r="G59" s="70"/>
      <c r="H59" s="70"/>
      <c r="I59" s="70"/>
      <c r="J59" s="70"/>
      <c r="K59" s="70"/>
      <c r="L59" s="70"/>
      <c r="M59" s="70"/>
      <c r="N59" s="70"/>
      <c r="O59" s="70"/>
      <c r="P59" s="70"/>
      <c r="Q59" s="70"/>
      <c r="R59" s="70"/>
      <c r="S59" s="70"/>
      <c r="T59" s="70"/>
      <c r="U59" s="70"/>
      <c r="V59" s="70"/>
      <c r="W59" s="70"/>
      <c r="X59" s="70"/>
      <c r="Y59" s="70"/>
      <c r="Z59" s="70"/>
      <c r="AA59" s="70"/>
      <c r="AB59" s="70"/>
      <c r="AC59" s="70"/>
      <c r="AD59" s="70"/>
      <c r="AE59" s="70"/>
    </row>
    <row r="60" spans="1:32" x14ac:dyDescent="0.25">
      <c r="B60" s="96" t="s">
        <v>119</v>
      </c>
      <c r="C60" s="96"/>
      <c r="D60" s="96"/>
      <c r="E60" s="96"/>
      <c r="F60" s="97">
        <f t="shared" ref="F60:AE60" si="104">F53+F58</f>
        <v>0</v>
      </c>
      <c r="G60" s="97">
        <f t="shared" si="104"/>
        <v>0</v>
      </c>
      <c r="H60" s="97">
        <f t="shared" si="104"/>
        <v>4.2684600000000001</v>
      </c>
      <c r="I60" s="97">
        <f t="shared" si="104"/>
        <v>4.4818829999999998</v>
      </c>
      <c r="J60" s="97">
        <f t="shared" si="104"/>
        <v>4.7059771499999998</v>
      </c>
      <c r="K60" s="97">
        <f t="shared" si="104"/>
        <v>4.9412760075</v>
      </c>
      <c r="L60" s="97">
        <f t="shared" si="104"/>
        <v>5.1883398078750007</v>
      </c>
      <c r="M60" s="97">
        <f t="shared" si="104"/>
        <v>5.4477567982687507</v>
      </c>
      <c r="N60" s="97">
        <f t="shared" si="104"/>
        <v>5.7201446381821892</v>
      </c>
      <c r="O60" s="97">
        <f t="shared" si="104"/>
        <v>6.0061518700912986</v>
      </c>
      <c r="P60" s="97">
        <f t="shared" si="104"/>
        <v>6.3064594635958633</v>
      </c>
      <c r="Q60" s="97">
        <f t="shared" si="104"/>
        <v>6.621782436775657</v>
      </c>
      <c r="R60" s="97">
        <f t="shared" si="104"/>
        <v>6.9528715586144401</v>
      </c>
      <c r="S60" s="97">
        <f t="shared" si="104"/>
        <v>7.3005151365451635</v>
      </c>
      <c r="T60" s="97">
        <f t="shared" si="104"/>
        <v>7.6655408933724214</v>
      </c>
      <c r="U60" s="97">
        <f t="shared" si="104"/>
        <v>8.0488179380410436</v>
      </c>
      <c r="V60" s="97">
        <f t="shared" si="104"/>
        <v>8.4512588349430953</v>
      </c>
      <c r="W60" s="97">
        <f t="shared" si="104"/>
        <v>8.8738217766902512</v>
      </c>
      <c r="X60" s="97">
        <f t="shared" si="104"/>
        <v>9.3175128655247654</v>
      </c>
      <c r="Y60" s="97">
        <f t="shared" si="104"/>
        <v>9.7833885088010035</v>
      </c>
      <c r="Z60" s="97">
        <f t="shared" si="104"/>
        <v>10.272557934241053</v>
      </c>
      <c r="AA60" s="97">
        <f t="shared" si="104"/>
        <v>10.786185830953107</v>
      </c>
      <c r="AB60" s="97">
        <f t="shared" si="104"/>
        <v>11.325495122500762</v>
      </c>
      <c r="AC60" s="97">
        <f t="shared" si="104"/>
        <v>11.891769878625801</v>
      </c>
      <c r="AD60" s="97">
        <f t="shared" si="104"/>
        <v>12.486358372557092</v>
      </c>
      <c r="AE60" s="97">
        <f t="shared" si="104"/>
        <v>13.110676291184944</v>
      </c>
    </row>
    <row r="61" spans="1:32" x14ac:dyDescent="0.25">
      <c r="B61" s="70"/>
      <c r="C61" s="70"/>
      <c r="D61" s="70"/>
      <c r="E61" s="70"/>
      <c r="F61" s="70"/>
      <c r="G61" s="70"/>
      <c r="H61" s="70"/>
      <c r="I61" s="70"/>
      <c r="J61" s="70"/>
      <c r="K61" s="70"/>
      <c r="L61" s="70"/>
      <c r="M61" s="70"/>
      <c r="N61" s="70"/>
      <c r="O61" s="70"/>
      <c r="P61" s="70"/>
      <c r="Q61" s="70"/>
      <c r="R61" s="70"/>
      <c r="S61" s="70"/>
      <c r="T61" s="70"/>
      <c r="U61" s="70"/>
      <c r="V61" s="70"/>
      <c r="W61" s="70"/>
      <c r="X61" s="70"/>
      <c r="Y61" s="70"/>
      <c r="Z61" s="70"/>
      <c r="AA61" s="70"/>
      <c r="AB61" s="70"/>
      <c r="AC61" s="70"/>
      <c r="AD61" s="70"/>
      <c r="AE61" s="70"/>
    </row>
    <row r="62" spans="1:32" x14ac:dyDescent="0.25">
      <c r="A62" s="131" t="s">
        <v>134</v>
      </c>
      <c r="B62" s="62" t="s">
        <v>120</v>
      </c>
      <c r="C62" s="31"/>
      <c r="D62" s="31"/>
      <c r="E62" s="31"/>
      <c r="F62" s="31"/>
      <c r="G62" s="31"/>
      <c r="H62" s="31"/>
      <c r="I62" s="31"/>
      <c r="J62" s="70"/>
      <c r="K62" s="70"/>
      <c r="L62" s="70"/>
      <c r="M62" s="70"/>
      <c r="N62" s="70"/>
      <c r="O62" s="70"/>
      <c r="P62" s="70"/>
      <c r="Q62" s="70"/>
      <c r="R62" s="70"/>
      <c r="S62" s="70"/>
      <c r="T62" s="70"/>
      <c r="U62" s="70"/>
      <c r="V62" s="70"/>
      <c r="W62" s="70"/>
      <c r="X62" s="70"/>
      <c r="Y62" s="70"/>
      <c r="Z62" s="70"/>
      <c r="AA62" s="70"/>
      <c r="AB62" s="70"/>
      <c r="AC62" s="70"/>
      <c r="AD62" s="70"/>
      <c r="AE62" s="70"/>
    </row>
    <row r="63" spans="1:32" x14ac:dyDescent="0.25">
      <c r="B63" s="42" t="s">
        <v>108</v>
      </c>
      <c r="C63" s="31"/>
      <c r="D63" s="31"/>
      <c r="E63" s="31"/>
      <c r="F63" s="338">
        <v>0</v>
      </c>
      <c r="G63" s="98">
        <f>Assumptions!D44</f>
        <v>4500000</v>
      </c>
      <c r="H63" s="98">
        <f>G63</f>
        <v>4500000</v>
      </c>
      <c r="I63" s="98">
        <f>H63+(H63*I64)</f>
        <v>4815000</v>
      </c>
      <c r="J63" s="98">
        <f>I63</f>
        <v>4815000</v>
      </c>
      <c r="K63" s="98">
        <f>J63+(J63*K64)</f>
        <v>5152050</v>
      </c>
      <c r="L63" s="98">
        <f>K63</f>
        <v>5152050</v>
      </c>
      <c r="M63" s="98">
        <f>L63+(L63*M64)</f>
        <v>5512693.5</v>
      </c>
      <c r="N63" s="98">
        <f>M63</f>
        <v>5512693.5</v>
      </c>
      <c r="O63" s="98">
        <f>N63+(N63*O64)</f>
        <v>5898582.0449999999</v>
      </c>
      <c r="P63" s="98">
        <f>O63</f>
        <v>5898582.0449999999</v>
      </c>
      <c r="Q63" s="98">
        <f>P63+(P63*Q64)</f>
        <v>6311482.7881500004</v>
      </c>
      <c r="R63" s="98">
        <f>Q63</f>
        <v>6311482.7881500004</v>
      </c>
      <c r="S63" s="98">
        <f>R63+(R63*S64)</f>
        <v>6753286.5833205003</v>
      </c>
      <c r="T63" s="98">
        <f>S63</f>
        <v>6753286.5833205003</v>
      </c>
      <c r="U63" s="98">
        <f>T63+(T63*U64)</f>
        <v>7226016.6441529356</v>
      </c>
      <c r="V63" s="98">
        <f>U63</f>
        <v>7226016.6441529356</v>
      </c>
      <c r="W63" s="98">
        <f>V63+(V63*W64)</f>
        <v>7731837.8092436409</v>
      </c>
      <c r="X63" s="98">
        <f>W63</f>
        <v>7731837.8092436409</v>
      </c>
      <c r="Y63" s="98">
        <f>X63+(X63*Y64)</f>
        <v>8273066.4558906956</v>
      </c>
      <c r="Z63" s="98">
        <f>Y63</f>
        <v>8273066.4558906956</v>
      </c>
      <c r="AA63" s="98">
        <f>Z63+(Z63*AA64)</f>
        <v>8852181.1078030448</v>
      </c>
      <c r="AB63" s="98">
        <f>AA63</f>
        <v>8852181.1078030448</v>
      </c>
      <c r="AC63" s="98">
        <f>AB63+(AB63*AC64)</f>
        <v>9471833.7853492573</v>
      </c>
      <c r="AD63" s="98">
        <f>AC63</f>
        <v>9471833.7853492573</v>
      </c>
      <c r="AE63" s="98">
        <f>AD63+(AD63*AE64)</f>
        <v>10134862.150323706</v>
      </c>
      <c r="AF63" s="98"/>
    </row>
    <row r="64" spans="1:32" x14ac:dyDescent="0.25">
      <c r="B64" s="31" t="s">
        <v>104</v>
      </c>
      <c r="C64" s="31"/>
      <c r="D64" s="31"/>
      <c r="E64" s="31"/>
      <c r="F64" s="46"/>
      <c r="G64" s="46"/>
      <c r="I64" s="116">
        <f>Assumptions!$D$45</f>
        <v>7.0000000000000007E-2</v>
      </c>
      <c r="J64" s="46"/>
      <c r="K64" s="46">
        <f>I64</f>
        <v>7.0000000000000007E-2</v>
      </c>
      <c r="L64" s="46"/>
      <c r="M64" s="46">
        <f>K64</f>
        <v>7.0000000000000007E-2</v>
      </c>
      <c r="N64" s="46"/>
      <c r="O64" s="46">
        <f>M64</f>
        <v>7.0000000000000007E-2</v>
      </c>
      <c r="P64" s="46"/>
      <c r="Q64" s="46">
        <f>O64</f>
        <v>7.0000000000000007E-2</v>
      </c>
      <c r="R64" s="46"/>
      <c r="S64" s="46">
        <f>Q64</f>
        <v>7.0000000000000007E-2</v>
      </c>
      <c r="T64" s="46"/>
      <c r="U64" s="46">
        <f>S64</f>
        <v>7.0000000000000007E-2</v>
      </c>
      <c r="V64" s="46"/>
      <c r="W64" s="46">
        <f>U64</f>
        <v>7.0000000000000007E-2</v>
      </c>
      <c r="X64" s="46"/>
      <c r="Y64" s="46">
        <f>W64</f>
        <v>7.0000000000000007E-2</v>
      </c>
      <c r="Z64" s="46"/>
      <c r="AA64" s="46">
        <f>Y64</f>
        <v>7.0000000000000007E-2</v>
      </c>
      <c r="AB64" s="46"/>
      <c r="AC64" s="46">
        <f>AA64</f>
        <v>7.0000000000000007E-2</v>
      </c>
      <c r="AD64" s="46"/>
      <c r="AE64" s="46">
        <f>AC64</f>
        <v>7.0000000000000007E-2</v>
      </c>
      <c r="AF64" s="46"/>
    </row>
    <row r="65" spans="1:31" x14ac:dyDescent="0.25">
      <c r="B65" s="123" t="s">
        <v>122</v>
      </c>
      <c r="C65" s="123"/>
      <c r="D65" s="123"/>
      <c r="E65" s="123"/>
      <c r="F65" s="124">
        <f t="shared" ref="F65:AE65" si="105">(F63/365*F12)/10^7</f>
        <v>0</v>
      </c>
      <c r="G65" s="124">
        <f t="shared" si="105"/>
        <v>0.45123287671232876</v>
      </c>
      <c r="H65" s="124">
        <f t="shared" si="105"/>
        <v>0.45</v>
      </c>
      <c r="I65" s="124">
        <f t="shared" si="105"/>
        <v>0.48149999999999998</v>
      </c>
      <c r="J65" s="124">
        <f t="shared" si="105"/>
        <v>0.48149999999999998</v>
      </c>
      <c r="K65" s="124">
        <f t="shared" si="105"/>
        <v>0.51661652054794527</v>
      </c>
      <c r="L65" s="124">
        <f t="shared" si="105"/>
        <v>0.51520500000000002</v>
      </c>
      <c r="M65" s="124">
        <f t="shared" si="105"/>
        <v>0.55126934999999999</v>
      </c>
      <c r="N65" s="124">
        <f t="shared" si="105"/>
        <v>0.55126934999999999</v>
      </c>
      <c r="O65" s="124">
        <f t="shared" si="105"/>
        <v>0.59147425437534251</v>
      </c>
      <c r="P65" s="124">
        <f t="shared" si="105"/>
        <v>0.58985820450000004</v>
      </c>
      <c r="Q65" s="124">
        <f t="shared" si="105"/>
        <v>0.63114827881500002</v>
      </c>
      <c r="R65" s="124">
        <f t="shared" si="105"/>
        <v>0.63114827881500002</v>
      </c>
      <c r="S65" s="124">
        <f t="shared" si="105"/>
        <v>0.67717887383432951</v>
      </c>
      <c r="T65" s="124">
        <f t="shared" si="105"/>
        <v>0.67532865833205002</v>
      </c>
      <c r="U65" s="124">
        <f t="shared" si="105"/>
        <v>0.72260166441529361</v>
      </c>
      <c r="V65" s="124">
        <f t="shared" si="105"/>
        <v>0.72260166441529361</v>
      </c>
      <c r="W65" s="124">
        <f t="shared" si="105"/>
        <v>0.77530209265292394</v>
      </c>
      <c r="X65" s="124">
        <f t="shared" si="105"/>
        <v>0.77318378092436413</v>
      </c>
      <c r="Y65" s="124">
        <f t="shared" si="105"/>
        <v>0.82730664558906952</v>
      </c>
      <c r="Z65" s="124">
        <f t="shared" si="105"/>
        <v>0.82730664558906952</v>
      </c>
      <c r="AA65" s="124">
        <f t="shared" si="105"/>
        <v>0.88764336587833281</v>
      </c>
      <c r="AB65" s="124">
        <f t="shared" si="105"/>
        <v>0.88521811078030443</v>
      </c>
      <c r="AC65" s="124">
        <f t="shared" si="105"/>
        <v>0.94718337853492574</v>
      </c>
      <c r="AD65" s="124">
        <f t="shared" si="105"/>
        <v>0.94718337853492574</v>
      </c>
      <c r="AE65" s="124">
        <f t="shared" si="105"/>
        <v>1.016262889594103</v>
      </c>
    </row>
    <row r="66" spans="1:31" x14ac:dyDescent="0.25">
      <c r="B66" s="62" t="s">
        <v>121</v>
      </c>
      <c r="C66" s="31"/>
      <c r="D66" s="31"/>
      <c r="E66" s="31"/>
      <c r="F66" s="31"/>
      <c r="G66" s="31"/>
      <c r="H66" s="31"/>
      <c r="I66" s="31"/>
      <c r="J66" s="70"/>
      <c r="K66" s="70"/>
      <c r="L66" s="70"/>
      <c r="M66" s="70"/>
      <c r="N66" s="70"/>
      <c r="O66" s="70"/>
      <c r="P66" s="70"/>
      <c r="Q66" s="70"/>
      <c r="R66" s="70"/>
      <c r="S66" s="70"/>
      <c r="T66" s="70"/>
      <c r="U66" s="70"/>
      <c r="V66" s="70"/>
      <c r="W66" s="70"/>
      <c r="X66" s="70"/>
      <c r="Y66" s="70"/>
      <c r="Z66" s="70"/>
      <c r="AA66" s="70"/>
      <c r="AB66" s="70"/>
      <c r="AC66" s="70"/>
      <c r="AD66" s="70"/>
      <c r="AE66" s="70"/>
    </row>
    <row r="67" spans="1:31" x14ac:dyDescent="0.25">
      <c r="B67" s="42" t="s">
        <v>108</v>
      </c>
      <c r="C67" s="31"/>
      <c r="D67" s="31"/>
      <c r="E67" s="31"/>
      <c r="F67" s="337">
        <v>0</v>
      </c>
      <c r="G67" s="98">
        <f>Assumptions!E44</f>
        <v>3900000</v>
      </c>
      <c r="H67" s="98">
        <f>G67</f>
        <v>3900000</v>
      </c>
      <c r="I67" s="98">
        <f>H67+(H67*I68)</f>
        <v>4173000</v>
      </c>
      <c r="J67" s="98">
        <f>I67</f>
        <v>4173000</v>
      </c>
      <c r="K67" s="98">
        <f>J67+(J67*K68)</f>
        <v>4465110</v>
      </c>
      <c r="L67" s="98">
        <f>K67</f>
        <v>4465110</v>
      </c>
      <c r="M67" s="98">
        <f>L67+(L67*M68)</f>
        <v>4777667.7</v>
      </c>
      <c r="N67" s="98">
        <f>M67</f>
        <v>4777667.7</v>
      </c>
      <c r="O67" s="98">
        <f>N67+(N67*O68)</f>
        <v>5112104.4390000002</v>
      </c>
      <c r="P67" s="98">
        <f>O67</f>
        <v>5112104.4390000002</v>
      </c>
      <c r="Q67" s="98">
        <f>P67+(P67*Q68)</f>
        <v>5469951.7497300003</v>
      </c>
      <c r="R67" s="98">
        <f>Q67</f>
        <v>5469951.7497300003</v>
      </c>
      <c r="S67" s="98">
        <f>R67+(R67*S68)</f>
        <v>5852848.3722111005</v>
      </c>
      <c r="T67" s="98">
        <f>S67</f>
        <v>5852848.3722111005</v>
      </c>
      <c r="U67" s="98">
        <f>T67+(T67*U68)</f>
        <v>6262547.7582658771</v>
      </c>
      <c r="V67" s="98">
        <f>U67</f>
        <v>6262547.7582658771</v>
      </c>
      <c r="W67" s="98">
        <f>V67+(V67*W68)</f>
        <v>6700926.1013444886</v>
      </c>
      <c r="X67" s="98">
        <f>W67</f>
        <v>6700926.1013444886</v>
      </c>
      <c r="Y67" s="98">
        <f>X67+(X67*Y68)</f>
        <v>7169990.9284386029</v>
      </c>
      <c r="Z67" s="98">
        <f>Y67</f>
        <v>7169990.9284386029</v>
      </c>
      <c r="AA67" s="98">
        <f>Z67+(Z67*AA68)</f>
        <v>7671890.2934293048</v>
      </c>
      <c r="AB67" s="98">
        <f>AA67</f>
        <v>7671890.2934293048</v>
      </c>
      <c r="AC67" s="98">
        <f>AB67+(AB67*AC68)</f>
        <v>8208922.6139693558</v>
      </c>
      <c r="AD67" s="98">
        <f>AC67</f>
        <v>8208922.6139693558</v>
      </c>
      <c r="AE67" s="98">
        <f>AD67+(AD67*AE68)</f>
        <v>8783547.1969472114</v>
      </c>
    </row>
    <row r="68" spans="1:31" x14ac:dyDescent="0.25">
      <c r="B68" s="31" t="s">
        <v>104</v>
      </c>
      <c r="C68" s="31"/>
      <c r="D68" s="31"/>
      <c r="E68" s="31"/>
      <c r="F68" s="46"/>
      <c r="G68" s="46"/>
      <c r="I68" s="116">
        <f>Assumptions!$D$45</f>
        <v>7.0000000000000007E-2</v>
      </c>
      <c r="J68" s="46"/>
      <c r="K68" s="46">
        <f>I68</f>
        <v>7.0000000000000007E-2</v>
      </c>
      <c r="L68" s="46"/>
      <c r="M68" s="46">
        <f>K68</f>
        <v>7.0000000000000007E-2</v>
      </c>
      <c r="N68" s="46"/>
      <c r="O68" s="46">
        <f>M68</f>
        <v>7.0000000000000007E-2</v>
      </c>
      <c r="P68" s="46"/>
      <c r="Q68" s="46">
        <f>O68</f>
        <v>7.0000000000000007E-2</v>
      </c>
      <c r="R68" s="46"/>
      <c r="S68" s="46">
        <f>Q68</f>
        <v>7.0000000000000007E-2</v>
      </c>
      <c r="T68" s="46"/>
      <c r="U68" s="46">
        <f>S68</f>
        <v>7.0000000000000007E-2</v>
      </c>
      <c r="V68" s="46"/>
      <c r="W68" s="46">
        <f>U68</f>
        <v>7.0000000000000007E-2</v>
      </c>
      <c r="X68" s="46"/>
      <c r="Y68" s="46">
        <f>W68</f>
        <v>7.0000000000000007E-2</v>
      </c>
      <c r="Z68" s="46"/>
      <c r="AA68" s="46">
        <f>Y68</f>
        <v>7.0000000000000007E-2</v>
      </c>
      <c r="AB68" s="46"/>
      <c r="AC68" s="46">
        <f>AA68</f>
        <v>7.0000000000000007E-2</v>
      </c>
      <c r="AD68" s="46"/>
      <c r="AE68" s="46">
        <f>AC68</f>
        <v>7.0000000000000007E-2</v>
      </c>
    </row>
    <row r="69" spans="1:31" x14ac:dyDescent="0.25">
      <c r="B69" s="121" t="s">
        <v>123</v>
      </c>
      <c r="C69" s="121"/>
      <c r="D69" s="121"/>
      <c r="E69" s="121"/>
      <c r="F69" s="122">
        <f t="shared" ref="F69:AE69" si="106">(F67/365*F12)/10^7</f>
        <v>0</v>
      </c>
      <c r="G69" s="122">
        <f t="shared" si="106"/>
        <v>0.39106849315068487</v>
      </c>
      <c r="H69" s="122">
        <f t="shared" si="106"/>
        <v>0.38999999999999996</v>
      </c>
      <c r="I69" s="122">
        <f t="shared" si="106"/>
        <v>0.4173</v>
      </c>
      <c r="J69" s="122">
        <f t="shared" si="106"/>
        <v>0.4173</v>
      </c>
      <c r="K69" s="122">
        <f t="shared" si="106"/>
        <v>0.44773431780821915</v>
      </c>
      <c r="L69" s="122">
        <f t="shared" si="106"/>
        <v>0.44651099999999999</v>
      </c>
      <c r="M69" s="122">
        <f t="shared" si="106"/>
        <v>0.47776677000000001</v>
      </c>
      <c r="N69" s="122">
        <f t="shared" si="106"/>
        <v>0.47776677000000001</v>
      </c>
      <c r="O69" s="122">
        <f t="shared" si="106"/>
        <v>0.51261102045863005</v>
      </c>
      <c r="P69" s="122">
        <f t="shared" si="106"/>
        <v>0.51121044390000003</v>
      </c>
      <c r="Q69" s="122">
        <f t="shared" si="106"/>
        <v>0.54699517497299999</v>
      </c>
      <c r="R69" s="122">
        <f t="shared" si="106"/>
        <v>0.54699517497299999</v>
      </c>
      <c r="S69" s="122">
        <f t="shared" si="106"/>
        <v>0.58688835732308575</v>
      </c>
      <c r="T69" s="122">
        <f t="shared" si="106"/>
        <v>0.58528483722111002</v>
      </c>
      <c r="U69" s="122">
        <f t="shared" si="106"/>
        <v>0.62625477582658762</v>
      </c>
      <c r="V69" s="122">
        <f t="shared" si="106"/>
        <v>0.62625477582658762</v>
      </c>
      <c r="W69" s="122">
        <f t="shared" si="106"/>
        <v>0.67192848029920083</v>
      </c>
      <c r="X69" s="122">
        <f t="shared" si="106"/>
        <v>0.67009261013444898</v>
      </c>
      <c r="Y69" s="122">
        <f t="shared" si="106"/>
        <v>0.71699909284386043</v>
      </c>
      <c r="Z69" s="122">
        <f t="shared" si="106"/>
        <v>0.71699909284386043</v>
      </c>
      <c r="AA69" s="122">
        <f t="shared" si="106"/>
        <v>0.76929091709455488</v>
      </c>
      <c r="AB69" s="122">
        <f t="shared" si="106"/>
        <v>0.76718902934293043</v>
      </c>
      <c r="AC69" s="122">
        <f t="shared" si="106"/>
        <v>0.82089226139693561</v>
      </c>
      <c r="AD69" s="122">
        <f t="shared" si="106"/>
        <v>0.82089226139693561</v>
      </c>
      <c r="AE69" s="122">
        <f t="shared" si="106"/>
        <v>0.88076117098155604</v>
      </c>
    </row>
    <row r="70" spans="1:31" x14ac:dyDescent="0.25">
      <c r="B70" s="70"/>
      <c r="C70" s="70"/>
      <c r="D70" s="70"/>
      <c r="E70" s="70"/>
      <c r="F70" s="70"/>
      <c r="G70" s="70"/>
      <c r="H70" s="70"/>
      <c r="I70" s="70"/>
      <c r="J70" s="70"/>
      <c r="K70" s="70"/>
      <c r="L70" s="70"/>
      <c r="M70" s="70"/>
      <c r="N70" s="70"/>
      <c r="O70" s="70"/>
      <c r="P70" s="70"/>
      <c r="Q70" s="70"/>
      <c r="R70" s="70"/>
      <c r="S70" s="70"/>
      <c r="T70" s="70"/>
      <c r="U70" s="70"/>
      <c r="V70" s="70"/>
      <c r="W70" s="70"/>
      <c r="X70" s="70"/>
      <c r="Y70" s="70"/>
      <c r="Z70" s="70"/>
      <c r="AA70" s="70"/>
      <c r="AB70" s="70"/>
      <c r="AC70" s="70"/>
      <c r="AD70" s="70"/>
      <c r="AE70" s="70"/>
    </row>
    <row r="71" spans="1:31" x14ac:dyDescent="0.25">
      <c r="B71" s="96" t="s">
        <v>124</v>
      </c>
      <c r="C71" s="96"/>
      <c r="D71" s="96"/>
      <c r="E71" s="96"/>
      <c r="F71" s="97">
        <f>F65+F69</f>
        <v>0</v>
      </c>
      <c r="G71" s="97">
        <f t="shared" ref="G71:AE71" si="107">G65+G69</f>
        <v>0.84230136986301363</v>
      </c>
      <c r="H71" s="97">
        <f t="shared" si="107"/>
        <v>0.84</v>
      </c>
      <c r="I71" s="97">
        <f t="shared" si="107"/>
        <v>0.89880000000000004</v>
      </c>
      <c r="J71" s="97">
        <f t="shared" si="107"/>
        <v>0.89880000000000004</v>
      </c>
      <c r="K71" s="97">
        <f t="shared" si="107"/>
        <v>0.96435083835616442</v>
      </c>
      <c r="L71" s="97">
        <f t="shared" si="107"/>
        <v>0.96171600000000002</v>
      </c>
      <c r="M71" s="97">
        <f t="shared" si="107"/>
        <v>1.02903612</v>
      </c>
      <c r="N71" s="97">
        <f t="shared" si="107"/>
        <v>1.02903612</v>
      </c>
      <c r="O71" s="97">
        <f t="shared" si="107"/>
        <v>1.1040852748339725</v>
      </c>
      <c r="P71" s="97">
        <f t="shared" si="107"/>
        <v>1.1010686484000001</v>
      </c>
      <c r="Q71" s="97">
        <f t="shared" si="107"/>
        <v>1.178143453788</v>
      </c>
      <c r="R71" s="97">
        <f t="shared" si="107"/>
        <v>1.178143453788</v>
      </c>
      <c r="S71" s="97">
        <f t="shared" si="107"/>
        <v>1.2640672311574153</v>
      </c>
      <c r="T71" s="97">
        <f t="shared" si="107"/>
        <v>1.26061349555316</v>
      </c>
      <c r="U71" s="97">
        <f t="shared" si="107"/>
        <v>1.3488564402418812</v>
      </c>
      <c r="V71" s="97">
        <f t="shared" si="107"/>
        <v>1.3488564402418812</v>
      </c>
      <c r="W71" s="97">
        <f t="shared" si="107"/>
        <v>1.4472305729521246</v>
      </c>
      <c r="X71" s="97">
        <f t="shared" si="107"/>
        <v>1.4432763910588131</v>
      </c>
      <c r="Y71" s="97">
        <f t="shared" si="107"/>
        <v>1.54430573843293</v>
      </c>
      <c r="Z71" s="97">
        <f t="shared" si="107"/>
        <v>1.54430573843293</v>
      </c>
      <c r="AA71" s="97">
        <f t="shared" si="107"/>
        <v>1.6569342829728877</v>
      </c>
      <c r="AB71" s="97">
        <f t="shared" si="107"/>
        <v>1.652407140123235</v>
      </c>
      <c r="AC71" s="97">
        <f t="shared" si="107"/>
        <v>1.7680756399318613</v>
      </c>
      <c r="AD71" s="97">
        <f t="shared" si="107"/>
        <v>1.7680756399318613</v>
      </c>
      <c r="AE71" s="97">
        <f t="shared" si="107"/>
        <v>1.8970240605756592</v>
      </c>
    </row>
    <row r="72" spans="1:31" x14ac:dyDescent="0.25">
      <c r="B72" s="70"/>
      <c r="C72" s="70"/>
      <c r="D72" s="70"/>
      <c r="E72" s="70"/>
      <c r="F72" s="70"/>
      <c r="G72" s="70"/>
      <c r="H72" s="70"/>
      <c r="I72" s="70"/>
      <c r="J72" s="70"/>
      <c r="K72" s="70"/>
      <c r="L72" s="70"/>
      <c r="M72" s="70"/>
      <c r="N72" s="70"/>
      <c r="O72" s="70"/>
      <c r="P72" s="70"/>
      <c r="Q72" s="70"/>
      <c r="R72" s="70"/>
      <c r="S72" s="70"/>
      <c r="T72" s="70"/>
      <c r="U72" s="70"/>
      <c r="V72" s="70"/>
      <c r="W72" s="70"/>
      <c r="X72" s="70"/>
      <c r="Y72" s="70"/>
      <c r="Z72" s="70"/>
      <c r="AA72" s="70"/>
      <c r="AB72" s="70"/>
      <c r="AC72" s="70"/>
      <c r="AD72" s="70"/>
      <c r="AE72" s="70"/>
    </row>
    <row r="73" spans="1:31" x14ac:dyDescent="0.25">
      <c r="A73" s="131" t="s">
        <v>135</v>
      </c>
      <c r="B73" s="62" t="s">
        <v>56</v>
      </c>
      <c r="C73" s="31"/>
      <c r="D73" s="31"/>
      <c r="E73" s="31"/>
      <c r="F73" s="31"/>
      <c r="G73" s="31"/>
      <c r="H73" s="31"/>
      <c r="I73" s="70"/>
      <c r="J73" s="70"/>
      <c r="K73" s="70"/>
      <c r="L73" s="70"/>
      <c r="M73" s="70"/>
      <c r="N73" s="70"/>
      <c r="O73" s="70"/>
      <c r="P73" s="70"/>
      <c r="Q73" s="70"/>
      <c r="R73" s="70"/>
      <c r="S73" s="70"/>
      <c r="T73" s="70"/>
      <c r="U73" s="70"/>
      <c r="V73" s="70"/>
      <c r="W73" s="70"/>
      <c r="X73" s="70"/>
      <c r="Y73" s="70"/>
      <c r="Z73" s="70"/>
      <c r="AA73" s="70"/>
      <c r="AB73" s="70"/>
      <c r="AC73" s="70"/>
      <c r="AD73" s="70"/>
      <c r="AE73" s="70"/>
    </row>
    <row r="74" spans="1:31" x14ac:dyDescent="0.25">
      <c r="B74" s="42" t="s">
        <v>320</v>
      </c>
      <c r="C74" s="31"/>
      <c r="D74" s="31"/>
      <c r="E74" s="31"/>
      <c r="F74" s="110">
        <f ca="1">BS!F29</f>
        <v>450.28078692209237</v>
      </c>
      <c r="G74" s="110">
        <f ca="1">BS!G29</f>
        <v>432.59994498132812</v>
      </c>
      <c r="H74" s="110">
        <f ca="1">BS!H29</f>
        <v>414.9674113518775</v>
      </c>
      <c r="I74" s="110">
        <f ca="1">BS!I29</f>
        <v>397.33487772242682</v>
      </c>
      <c r="J74" s="110">
        <f ca="1">BS!J29</f>
        <v>379.7023440929762</v>
      </c>
      <c r="K74" s="110">
        <f ca="1">BS!K29</f>
        <v>362.02150215221195</v>
      </c>
      <c r="L74" s="110">
        <f ca="1">BS!L29</f>
        <v>344.38896852276133</v>
      </c>
      <c r="M74" s="110">
        <f ca="1">BS!M29</f>
        <v>326.75643489331071</v>
      </c>
      <c r="N74" s="110">
        <f ca="1">BS!N29</f>
        <v>309.12390126386003</v>
      </c>
      <c r="O74" s="110">
        <f ca="1">BS!O29</f>
        <v>291.44305932309584</v>
      </c>
      <c r="P74" s="110">
        <f ca="1">BS!P29</f>
        <v>273.81052569364522</v>
      </c>
      <c r="Q74" s="110">
        <f ca="1">BS!Q29</f>
        <v>256.17799206419454</v>
      </c>
      <c r="R74" s="110">
        <f ca="1">BS!R29</f>
        <v>238.54545843474389</v>
      </c>
      <c r="S74" s="110">
        <f ca="1">BS!S29</f>
        <v>220.86461649397967</v>
      </c>
      <c r="T74" s="110">
        <f ca="1">BS!T29</f>
        <v>203.23208286452899</v>
      </c>
      <c r="U74" s="110">
        <f ca="1">BS!U29</f>
        <v>185.59954923507831</v>
      </c>
      <c r="V74" s="110">
        <f ca="1">BS!V29</f>
        <v>167.96701560562764</v>
      </c>
      <c r="W74" s="110">
        <f ca="1">BS!W29</f>
        <v>150.28617366486344</v>
      </c>
      <c r="X74" s="110">
        <f ca="1">BS!X29</f>
        <v>132.65364003541282</v>
      </c>
      <c r="Y74" s="110">
        <f ca="1">BS!Y29</f>
        <v>115.02110640596214</v>
      </c>
      <c r="Z74" s="110">
        <f ca="1">BS!Z29</f>
        <v>97.388572776511467</v>
      </c>
      <c r="AA74" s="110">
        <f ca="1">BS!AA29</f>
        <v>79.70773083574727</v>
      </c>
      <c r="AB74" s="110">
        <f ca="1">BS!AB29</f>
        <v>62.07519720629665</v>
      </c>
      <c r="AC74" s="110">
        <f ca="1">BS!AC29</f>
        <v>44.442663576845973</v>
      </c>
      <c r="AD74" s="110">
        <f ca="1">BS!AD29</f>
        <v>26.810129947395296</v>
      </c>
      <c r="AE74" s="110">
        <f ca="1">BS!AE29</f>
        <v>9.1292880066311</v>
      </c>
    </row>
    <row r="75" spans="1:31" x14ac:dyDescent="0.25">
      <c r="B75" s="31" t="s">
        <v>318</v>
      </c>
      <c r="C75" s="61">
        <f>Assumptions!D42</f>
        <v>1E-3</v>
      </c>
      <c r="D75" s="31"/>
      <c r="E75" s="31"/>
      <c r="F75" s="56">
        <f ca="1">F74*$C$75</f>
        <v>0.45028078692209239</v>
      </c>
      <c r="G75" s="56">
        <f t="shared" ref="G75:AE75" ca="1" si="108">G74*$C$75</f>
        <v>0.43259994498132814</v>
      </c>
      <c r="H75" s="56">
        <f t="shared" ca="1" si="108"/>
        <v>0.41496741135187754</v>
      </c>
      <c r="I75" s="56">
        <f t="shared" ca="1" si="108"/>
        <v>0.39733487772242682</v>
      </c>
      <c r="J75" s="56">
        <f t="shared" ca="1" si="108"/>
        <v>0.37970234409297621</v>
      </c>
      <c r="K75" s="56">
        <f t="shared" ca="1" si="108"/>
        <v>0.36202150215221196</v>
      </c>
      <c r="L75" s="56">
        <f t="shared" ca="1" si="108"/>
        <v>0.34438896852276135</v>
      </c>
      <c r="M75" s="56">
        <f t="shared" ca="1" si="108"/>
        <v>0.32675643489331074</v>
      </c>
      <c r="N75" s="56">
        <f t="shared" ca="1" si="108"/>
        <v>0.30912390126386002</v>
      </c>
      <c r="O75" s="56">
        <f t="shared" ca="1" si="108"/>
        <v>0.29144305932309583</v>
      </c>
      <c r="P75" s="56">
        <f t="shared" ca="1" si="108"/>
        <v>0.27381052569364522</v>
      </c>
      <c r="Q75" s="56">
        <f t="shared" ca="1" si="108"/>
        <v>0.25617799206419456</v>
      </c>
      <c r="R75" s="56">
        <f t="shared" ca="1" si="108"/>
        <v>0.2385454584347439</v>
      </c>
      <c r="S75" s="56">
        <f t="shared" ca="1" si="108"/>
        <v>0.22086461649397968</v>
      </c>
      <c r="T75" s="56">
        <f t="shared" ca="1" si="108"/>
        <v>0.20323208286452898</v>
      </c>
      <c r="U75" s="56">
        <f t="shared" ca="1" si="108"/>
        <v>0.18559954923507832</v>
      </c>
      <c r="V75" s="56">
        <f t="shared" ca="1" si="108"/>
        <v>0.16796701560562763</v>
      </c>
      <c r="W75" s="56">
        <f t="shared" ca="1" si="108"/>
        <v>0.15028617366486344</v>
      </c>
      <c r="X75" s="56">
        <f t="shared" ca="1" si="108"/>
        <v>0.13265364003541283</v>
      </c>
      <c r="Y75" s="56">
        <f t="shared" ca="1" si="108"/>
        <v>0.11502110640596215</v>
      </c>
      <c r="Z75" s="56">
        <f t="shared" ca="1" si="108"/>
        <v>9.7388572776511473E-2</v>
      </c>
      <c r="AA75" s="56">
        <f t="shared" ca="1" si="108"/>
        <v>7.9707730835747267E-2</v>
      </c>
      <c r="AB75" s="56">
        <f t="shared" ca="1" si="108"/>
        <v>6.2075197206296652E-2</v>
      </c>
      <c r="AC75" s="56">
        <f t="shared" ca="1" si="108"/>
        <v>4.4442663576845974E-2</v>
      </c>
      <c r="AD75" s="56">
        <f t="shared" ca="1" si="108"/>
        <v>2.6810129947395296E-2</v>
      </c>
      <c r="AE75" s="56">
        <f t="shared" ca="1" si="108"/>
        <v>9.1292880066310995E-3</v>
      </c>
    </row>
    <row r="76" spans="1:31" x14ac:dyDescent="0.25">
      <c r="B76" s="96" t="s">
        <v>125</v>
      </c>
      <c r="C76" s="96"/>
      <c r="D76" s="96"/>
      <c r="E76" s="96"/>
      <c r="F76" s="97">
        <f ca="1">F75</f>
        <v>0.45028078692209239</v>
      </c>
      <c r="G76" s="97">
        <f t="shared" ref="G76:AE76" ca="1" si="109">G75</f>
        <v>0.43259994498132814</v>
      </c>
      <c r="H76" s="97">
        <f t="shared" ca="1" si="109"/>
        <v>0.41496741135187754</v>
      </c>
      <c r="I76" s="97">
        <f t="shared" ca="1" si="109"/>
        <v>0.39733487772242682</v>
      </c>
      <c r="J76" s="97">
        <f t="shared" ca="1" si="109"/>
        <v>0.37970234409297621</v>
      </c>
      <c r="K76" s="97">
        <f t="shared" ca="1" si="109"/>
        <v>0.36202150215221196</v>
      </c>
      <c r="L76" s="97">
        <f t="shared" ca="1" si="109"/>
        <v>0.34438896852276135</v>
      </c>
      <c r="M76" s="97">
        <f t="shared" ca="1" si="109"/>
        <v>0.32675643489331074</v>
      </c>
      <c r="N76" s="97">
        <f t="shared" ca="1" si="109"/>
        <v>0.30912390126386002</v>
      </c>
      <c r="O76" s="97">
        <f t="shared" ca="1" si="109"/>
        <v>0.29144305932309583</v>
      </c>
      <c r="P76" s="97">
        <f t="shared" ca="1" si="109"/>
        <v>0.27381052569364522</v>
      </c>
      <c r="Q76" s="97">
        <f t="shared" ca="1" si="109"/>
        <v>0.25617799206419456</v>
      </c>
      <c r="R76" s="97">
        <f t="shared" ca="1" si="109"/>
        <v>0.2385454584347439</v>
      </c>
      <c r="S76" s="97">
        <f t="shared" ca="1" si="109"/>
        <v>0.22086461649397968</v>
      </c>
      <c r="T76" s="97">
        <f t="shared" ca="1" si="109"/>
        <v>0.20323208286452898</v>
      </c>
      <c r="U76" s="97">
        <f t="shared" ca="1" si="109"/>
        <v>0.18559954923507832</v>
      </c>
      <c r="V76" s="97">
        <f t="shared" ca="1" si="109"/>
        <v>0.16796701560562763</v>
      </c>
      <c r="W76" s="97">
        <f t="shared" ca="1" si="109"/>
        <v>0.15028617366486344</v>
      </c>
      <c r="X76" s="97">
        <f t="shared" ca="1" si="109"/>
        <v>0.13265364003541283</v>
      </c>
      <c r="Y76" s="97">
        <f t="shared" ca="1" si="109"/>
        <v>0.11502110640596215</v>
      </c>
      <c r="Z76" s="97">
        <f t="shared" ca="1" si="109"/>
        <v>9.7388572776511473E-2</v>
      </c>
      <c r="AA76" s="97">
        <f t="shared" ca="1" si="109"/>
        <v>7.9707730835747267E-2</v>
      </c>
      <c r="AB76" s="97">
        <f t="shared" ca="1" si="109"/>
        <v>6.2075197206296652E-2</v>
      </c>
      <c r="AC76" s="97">
        <f t="shared" ca="1" si="109"/>
        <v>4.4442663576845974E-2</v>
      </c>
      <c r="AD76" s="97">
        <f t="shared" ca="1" si="109"/>
        <v>2.6810129947395296E-2</v>
      </c>
      <c r="AE76" s="97">
        <f t="shared" ca="1" si="109"/>
        <v>9.1292880066310995E-3</v>
      </c>
    </row>
    <row r="77" spans="1:31" x14ac:dyDescent="0.25">
      <c r="B77" s="70"/>
      <c r="C77" s="70"/>
      <c r="D77" s="70"/>
      <c r="E77" s="70"/>
      <c r="F77" s="70"/>
      <c r="G77" s="70"/>
      <c r="H77" s="70"/>
      <c r="I77" s="70"/>
      <c r="J77" s="70"/>
      <c r="K77" s="70"/>
      <c r="L77" s="70"/>
      <c r="M77" s="70"/>
      <c r="N77" s="70"/>
      <c r="O77" s="70"/>
      <c r="P77" s="70"/>
      <c r="Q77" s="70"/>
      <c r="R77" s="70"/>
      <c r="S77" s="70"/>
      <c r="T77" s="70"/>
      <c r="U77" s="70"/>
      <c r="V77" s="70"/>
      <c r="W77" s="70"/>
      <c r="X77" s="70"/>
      <c r="Y77" s="70"/>
      <c r="Z77" s="70"/>
      <c r="AA77" s="70"/>
      <c r="AB77" s="70"/>
      <c r="AC77" s="70"/>
      <c r="AD77" s="70"/>
      <c r="AE77" s="70"/>
    </row>
    <row r="78" spans="1:31" x14ac:dyDescent="0.25">
      <c r="A78" s="131" t="s">
        <v>136</v>
      </c>
      <c r="B78" s="62" t="s">
        <v>62</v>
      </c>
      <c r="C78" s="68"/>
      <c r="D78" s="68"/>
      <c r="E78" s="68"/>
      <c r="F78" s="68"/>
      <c r="G78" s="86"/>
      <c r="H78" s="68"/>
      <c r="I78" s="68"/>
      <c r="J78" s="68"/>
      <c r="K78" s="68"/>
      <c r="L78" s="68"/>
      <c r="M78" s="68"/>
      <c r="N78" s="68"/>
      <c r="O78" s="70"/>
      <c r="P78" s="70"/>
      <c r="Q78" s="70"/>
      <c r="R78" s="70"/>
      <c r="S78" s="70"/>
      <c r="T78" s="70"/>
      <c r="U78" s="70"/>
      <c r="V78" s="70"/>
      <c r="W78" s="70"/>
      <c r="X78" s="70"/>
      <c r="Y78" s="70"/>
      <c r="Z78" s="70"/>
      <c r="AA78" s="70"/>
      <c r="AB78" s="70"/>
      <c r="AC78" s="70"/>
      <c r="AD78" s="70"/>
      <c r="AE78" s="70"/>
    </row>
    <row r="79" spans="1:31" s="130" customFormat="1" x14ac:dyDescent="0.25">
      <c r="B79" s="126" t="s">
        <v>126</v>
      </c>
      <c r="C79" s="127"/>
      <c r="D79" s="128"/>
      <c r="E79" s="128"/>
      <c r="F79" s="129">
        <f t="shared" ref="F79:AE79" si="110">F25*F80+F36*F81</f>
        <v>27517577.740800031</v>
      </c>
      <c r="G79" s="129">
        <f t="shared" si="110"/>
        <v>27441207.03874132</v>
      </c>
      <c r="H79" s="129">
        <f t="shared" si="110"/>
        <v>27215716.792377889</v>
      </c>
      <c r="I79" s="129">
        <f t="shared" si="110"/>
        <v>27066030.350019816</v>
      </c>
      <c r="J79" s="129">
        <f t="shared" si="110"/>
        <v>26917167.18309471</v>
      </c>
      <c r="K79" s="129">
        <f t="shared" si="110"/>
        <v>26842462.825953685</v>
      </c>
      <c r="L79" s="129">
        <f t="shared" si="110"/>
        <v>26621892.588387959</v>
      </c>
      <c r="M79" s="129">
        <f t="shared" si="110"/>
        <v>26475472.179151826</v>
      </c>
      <c r="N79" s="129">
        <f t="shared" si="110"/>
        <v>26329857.082166493</v>
      </c>
      <c r="O79" s="129">
        <f t="shared" si="110"/>
        <v>26256782.711689144</v>
      </c>
      <c r="P79" s="129">
        <f t="shared" si="110"/>
        <v>26041025.132439405</v>
      </c>
      <c r="Q79" s="129">
        <f t="shared" si="110"/>
        <v>25897799.494210981</v>
      </c>
      <c r="R79" s="129">
        <f t="shared" si="110"/>
        <v>25755361.596992828</v>
      </c>
      <c r="S79" s="129">
        <f t="shared" si="110"/>
        <v>25683881.648231857</v>
      </c>
      <c r="T79" s="129">
        <f t="shared" si="110"/>
        <v>25472831.719114218</v>
      </c>
      <c r="U79" s="129">
        <f t="shared" si="110"/>
        <v>25332731.144659091</v>
      </c>
      <c r="V79" s="129">
        <f t="shared" si="110"/>
        <v>25193401.123363465</v>
      </c>
      <c r="W79" s="129">
        <f t="shared" si="110"/>
        <v>25123480.807369038</v>
      </c>
      <c r="X79" s="129">
        <f t="shared" si="110"/>
        <v>24917035.811390448</v>
      </c>
      <c r="Y79" s="129">
        <f t="shared" si="110"/>
        <v>24779992.114427805</v>
      </c>
      <c r="Z79" s="129">
        <f t="shared" si="110"/>
        <v>24643702.157798454</v>
      </c>
      <c r="AA79" s="129">
        <f t="shared" si="110"/>
        <v>24575307.444686536</v>
      </c>
      <c r="AB79" s="129">
        <f t="shared" si="110"/>
        <v>24373366.906052947</v>
      </c>
      <c r="AC79" s="129">
        <f t="shared" si="110"/>
        <v>24239313.388069652</v>
      </c>
      <c r="AD79" s="129">
        <f t="shared" si="110"/>
        <v>24105997.164435275</v>
      </c>
      <c r="AE79" s="129">
        <f t="shared" si="110"/>
        <v>24039094.766825482</v>
      </c>
    </row>
    <row r="80" spans="1:31" x14ac:dyDescent="0.25">
      <c r="B80" s="125" t="s">
        <v>9</v>
      </c>
      <c r="C80" s="102">
        <f>Assumptions!D48</f>
        <v>0.2</v>
      </c>
      <c r="D80" s="68" t="s">
        <v>131</v>
      </c>
      <c r="E80" s="68"/>
      <c r="F80" s="110">
        <f>C80</f>
        <v>0.2</v>
      </c>
      <c r="G80" s="102">
        <f t="shared" ref="G80:AE80" si="111">F80*(1+G$86)</f>
        <v>0.2</v>
      </c>
      <c r="H80" s="102">
        <f t="shared" si="111"/>
        <v>0.2</v>
      </c>
      <c r="I80" s="102">
        <f t="shared" si="111"/>
        <v>0.2</v>
      </c>
      <c r="J80" s="102">
        <f t="shared" si="111"/>
        <v>0.2</v>
      </c>
      <c r="K80" s="102">
        <f t="shared" si="111"/>
        <v>0.2</v>
      </c>
      <c r="L80" s="102">
        <f t="shared" si="111"/>
        <v>0.2</v>
      </c>
      <c r="M80" s="102">
        <f t="shared" si="111"/>
        <v>0.2</v>
      </c>
      <c r="N80" s="102">
        <f t="shared" si="111"/>
        <v>0.2</v>
      </c>
      <c r="O80" s="102">
        <f t="shared" si="111"/>
        <v>0.2</v>
      </c>
      <c r="P80" s="102">
        <f t="shared" si="111"/>
        <v>0.2</v>
      </c>
      <c r="Q80" s="102">
        <f t="shared" si="111"/>
        <v>0.2</v>
      </c>
      <c r="R80" s="102">
        <f t="shared" si="111"/>
        <v>0.2</v>
      </c>
      <c r="S80" s="102">
        <f t="shared" si="111"/>
        <v>0.2</v>
      </c>
      <c r="T80" s="102">
        <f t="shared" si="111"/>
        <v>0.2</v>
      </c>
      <c r="U80" s="102">
        <f t="shared" si="111"/>
        <v>0.2</v>
      </c>
      <c r="V80" s="102">
        <f t="shared" si="111"/>
        <v>0.2</v>
      </c>
      <c r="W80" s="102">
        <f t="shared" si="111"/>
        <v>0.2</v>
      </c>
      <c r="X80" s="102">
        <f t="shared" si="111"/>
        <v>0.2</v>
      </c>
      <c r="Y80" s="102">
        <f t="shared" si="111"/>
        <v>0.2</v>
      </c>
      <c r="Z80" s="102">
        <f t="shared" si="111"/>
        <v>0.2</v>
      </c>
      <c r="AA80" s="102">
        <f t="shared" si="111"/>
        <v>0.2</v>
      </c>
      <c r="AB80" s="102">
        <f t="shared" si="111"/>
        <v>0.2</v>
      </c>
      <c r="AC80" s="102">
        <f t="shared" si="111"/>
        <v>0.2</v>
      </c>
      <c r="AD80" s="102">
        <f t="shared" si="111"/>
        <v>0.2</v>
      </c>
      <c r="AE80" s="102">
        <f t="shared" si="111"/>
        <v>0.2</v>
      </c>
    </row>
    <row r="81" spans="2:31" x14ac:dyDescent="0.25">
      <c r="B81" s="125" t="s">
        <v>10</v>
      </c>
      <c r="C81" s="102">
        <f>Assumptions!E48</f>
        <v>0.2</v>
      </c>
      <c r="D81" s="68" t="s">
        <v>131</v>
      </c>
      <c r="E81" s="68"/>
      <c r="F81" s="110">
        <f>C81</f>
        <v>0.2</v>
      </c>
      <c r="G81" s="102">
        <f t="shared" ref="G81:AE81" si="112">F81*(1+G$86)</f>
        <v>0.2</v>
      </c>
      <c r="H81" s="102">
        <f t="shared" si="112"/>
        <v>0.2</v>
      </c>
      <c r="I81" s="102">
        <f t="shared" si="112"/>
        <v>0.2</v>
      </c>
      <c r="J81" s="102">
        <f t="shared" si="112"/>
        <v>0.2</v>
      </c>
      <c r="K81" s="102">
        <f t="shared" si="112"/>
        <v>0.2</v>
      </c>
      <c r="L81" s="102">
        <f t="shared" si="112"/>
        <v>0.2</v>
      </c>
      <c r="M81" s="102">
        <f t="shared" si="112"/>
        <v>0.2</v>
      </c>
      <c r="N81" s="102">
        <f t="shared" si="112"/>
        <v>0.2</v>
      </c>
      <c r="O81" s="102">
        <f t="shared" si="112"/>
        <v>0.2</v>
      </c>
      <c r="P81" s="102">
        <f t="shared" si="112"/>
        <v>0.2</v>
      </c>
      <c r="Q81" s="102">
        <f t="shared" si="112"/>
        <v>0.2</v>
      </c>
      <c r="R81" s="102">
        <f t="shared" si="112"/>
        <v>0.2</v>
      </c>
      <c r="S81" s="102">
        <f t="shared" si="112"/>
        <v>0.2</v>
      </c>
      <c r="T81" s="102">
        <f t="shared" si="112"/>
        <v>0.2</v>
      </c>
      <c r="U81" s="102">
        <f t="shared" si="112"/>
        <v>0.2</v>
      </c>
      <c r="V81" s="102">
        <f t="shared" si="112"/>
        <v>0.2</v>
      </c>
      <c r="W81" s="102">
        <f t="shared" si="112"/>
        <v>0.2</v>
      </c>
      <c r="X81" s="102">
        <f t="shared" si="112"/>
        <v>0.2</v>
      </c>
      <c r="Y81" s="102">
        <f t="shared" si="112"/>
        <v>0.2</v>
      </c>
      <c r="Z81" s="102">
        <f t="shared" si="112"/>
        <v>0.2</v>
      </c>
      <c r="AA81" s="102">
        <f t="shared" si="112"/>
        <v>0.2</v>
      </c>
      <c r="AB81" s="102">
        <f t="shared" si="112"/>
        <v>0.2</v>
      </c>
      <c r="AC81" s="102">
        <f t="shared" si="112"/>
        <v>0.2</v>
      </c>
      <c r="AD81" s="102">
        <f t="shared" si="112"/>
        <v>0.2</v>
      </c>
      <c r="AE81" s="102">
        <f t="shared" si="112"/>
        <v>0.2</v>
      </c>
    </row>
    <row r="82" spans="2:31" s="130" customFormat="1" x14ac:dyDescent="0.25">
      <c r="B82" s="126" t="s">
        <v>127</v>
      </c>
      <c r="C82" s="127"/>
      <c r="D82" s="128"/>
      <c r="E82" s="128"/>
      <c r="F82" s="129">
        <f t="shared" ref="F82:AE82" si="113">(F83*F12)</f>
        <v>224274.25000000003</v>
      </c>
      <c r="G82" s="129">
        <f t="shared" si="113"/>
        <v>224888.7</v>
      </c>
      <c r="H82" s="129">
        <f t="shared" si="113"/>
        <v>224274.25000000003</v>
      </c>
      <c r="I82" s="129">
        <f t="shared" si="113"/>
        <v>224274.25000000003</v>
      </c>
      <c r="J82" s="129">
        <f t="shared" si="113"/>
        <v>224274.25000000003</v>
      </c>
      <c r="K82" s="129">
        <f t="shared" si="113"/>
        <v>224888.7</v>
      </c>
      <c r="L82" s="129">
        <f t="shared" si="113"/>
        <v>224274.25000000003</v>
      </c>
      <c r="M82" s="129">
        <f t="shared" si="113"/>
        <v>224274.25000000003</v>
      </c>
      <c r="N82" s="129">
        <f t="shared" si="113"/>
        <v>224274.25000000003</v>
      </c>
      <c r="O82" s="129">
        <f t="shared" si="113"/>
        <v>224888.7</v>
      </c>
      <c r="P82" s="129">
        <f t="shared" si="113"/>
        <v>224274.25000000003</v>
      </c>
      <c r="Q82" s="129">
        <f t="shared" si="113"/>
        <v>224274.25000000003</v>
      </c>
      <c r="R82" s="129">
        <f t="shared" si="113"/>
        <v>224274.25000000003</v>
      </c>
      <c r="S82" s="129">
        <f t="shared" si="113"/>
        <v>224888.7</v>
      </c>
      <c r="T82" s="129">
        <f t="shared" si="113"/>
        <v>224274.25000000003</v>
      </c>
      <c r="U82" s="129">
        <f t="shared" si="113"/>
        <v>224274.25000000003</v>
      </c>
      <c r="V82" s="129">
        <f t="shared" si="113"/>
        <v>224274.25000000003</v>
      </c>
      <c r="W82" s="129">
        <f t="shared" si="113"/>
        <v>224888.7</v>
      </c>
      <c r="X82" s="129">
        <f t="shared" si="113"/>
        <v>224274.25000000003</v>
      </c>
      <c r="Y82" s="129">
        <f t="shared" si="113"/>
        <v>224274.25000000003</v>
      </c>
      <c r="Z82" s="129">
        <f t="shared" si="113"/>
        <v>224274.25000000003</v>
      </c>
      <c r="AA82" s="129">
        <f t="shared" si="113"/>
        <v>224888.7</v>
      </c>
      <c r="AB82" s="129">
        <f t="shared" si="113"/>
        <v>224274.25000000003</v>
      </c>
      <c r="AC82" s="129">
        <f t="shared" si="113"/>
        <v>224274.25000000003</v>
      </c>
      <c r="AD82" s="129">
        <f t="shared" si="113"/>
        <v>224274.25000000003</v>
      </c>
      <c r="AE82" s="129">
        <f t="shared" si="113"/>
        <v>224888.7</v>
      </c>
    </row>
    <row r="83" spans="2:31" x14ac:dyDescent="0.25">
      <c r="B83" s="125" t="s">
        <v>337</v>
      </c>
      <c r="C83" s="102"/>
      <c r="D83" s="68" t="s">
        <v>338</v>
      </c>
      <c r="E83" s="68"/>
      <c r="F83" s="110">
        <f>Assumptions!D49</f>
        <v>614.45000000000005</v>
      </c>
      <c r="G83" s="102">
        <f t="shared" ref="G83:AE83" si="114">F83*(1+G$86)</f>
        <v>614.45000000000005</v>
      </c>
      <c r="H83" s="102">
        <f t="shared" si="114"/>
        <v>614.45000000000005</v>
      </c>
      <c r="I83" s="102">
        <f t="shared" si="114"/>
        <v>614.45000000000005</v>
      </c>
      <c r="J83" s="102">
        <f t="shared" si="114"/>
        <v>614.45000000000005</v>
      </c>
      <c r="K83" s="102">
        <f t="shared" si="114"/>
        <v>614.45000000000005</v>
      </c>
      <c r="L83" s="102">
        <f t="shared" si="114"/>
        <v>614.45000000000005</v>
      </c>
      <c r="M83" s="102">
        <f t="shared" si="114"/>
        <v>614.45000000000005</v>
      </c>
      <c r="N83" s="102">
        <f t="shared" si="114"/>
        <v>614.45000000000005</v>
      </c>
      <c r="O83" s="102">
        <f t="shared" si="114"/>
        <v>614.45000000000005</v>
      </c>
      <c r="P83" s="102">
        <f t="shared" si="114"/>
        <v>614.45000000000005</v>
      </c>
      <c r="Q83" s="102">
        <f t="shared" si="114"/>
        <v>614.45000000000005</v>
      </c>
      <c r="R83" s="102">
        <f t="shared" si="114"/>
        <v>614.45000000000005</v>
      </c>
      <c r="S83" s="102">
        <f t="shared" si="114"/>
        <v>614.45000000000005</v>
      </c>
      <c r="T83" s="102">
        <f t="shared" si="114"/>
        <v>614.45000000000005</v>
      </c>
      <c r="U83" s="102">
        <f t="shared" si="114"/>
        <v>614.45000000000005</v>
      </c>
      <c r="V83" s="102">
        <f t="shared" si="114"/>
        <v>614.45000000000005</v>
      </c>
      <c r="W83" s="102">
        <f t="shared" si="114"/>
        <v>614.45000000000005</v>
      </c>
      <c r="X83" s="102">
        <f t="shared" si="114"/>
        <v>614.45000000000005</v>
      </c>
      <c r="Y83" s="102">
        <f t="shared" si="114"/>
        <v>614.45000000000005</v>
      </c>
      <c r="Z83" s="102">
        <f t="shared" si="114"/>
        <v>614.45000000000005</v>
      </c>
      <c r="AA83" s="102">
        <f t="shared" si="114"/>
        <v>614.45000000000005</v>
      </c>
      <c r="AB83" s="102">
        <f t="shared" si="114"/>
        <v>614.45000000000005</v>
      </c>
      <c r="AC83" s="102">
        <f t="shared" si="114"/>
        <v>614.45000000000005</v>
      </c>
      <c r="AD83" s="102">
        <f t="shared" si="114"/>
        <v>614.45000000000005</v>
      </c>
      <c r="AE83" s="102">
        <f t="shared" si="114"/>
        <v>614.45000000000005</v>
      </c>
    </row>
    <row r="84" spans="2:31" s="130" customFormat="1" x14ac:dyDescent="0.25">
      <c r="B84" s="126" t="s">
        <v>128</v>
      </c>
      <c r="C84" s="127"/>
      <c r="D84" s="128"/>
      <c r="E84" s="128"/>
      <c r="F84" s="308">
        <f>(F85*$C$85)*F12</f>
        <v>43843800</v>
      </c>
      <c r="G84" s="308">
        <f>(G85*$C$85)*G12</f>
        <v>43963920</v>
      </c>
      <c r="H84" s="308">
        <f t="shared" ref="H84:AE84" si="115">(H85*$C$85)*H12</f>
        <v>43843800</v>
      </c>
      <c r="I84" s="308">
        <f t="shared" si="115"/>
        <v>43843800</v>
      </c>
      <c r="J84" s="308">
        <f t="shared" si="115"/>
        <v>43843800</v>
      </c>
      <c r="K84" s="308">
        <f t="shared" si="115"/>
        <v>43963920</v>
      </c>
      <c r="L84" s="308">
        <f t="shared" si="115"/>
        <v>43843800</v>
      </c>
      <c r="M84" s="308">
        <f t="shared" si="115"/>
        <v>43843800</v>
      </c>
      <c r="N84" s="308">
        <f t="shared" si="115"/>
        <v>43843800</v>
      </c>
      <c r="O84" s="308">
        <f t="shared" si="115"/>
        <v>43963920</v>
      </c>
      <c r="P84" s="308">
        <f t="shared" si="115"/>
        <v>43843800</v>
      </c>
      <c r="Q84" s="308">
        <f t="shared" si="115"/>
        <v>43843800</v>
      </c>
      <c r="R84" s="308">
        <f t="shared" si="115"/>
        <v>43843800</v>
      </c>
      <c r="S84" s="308">
        <f t="shared" si="115"/>
        <v>43963920</v>
      </c>
      <c r="T84" s="308">
        <f t="shared" si="115"/>
        <v>43843800</v>
      </c>
      <c r="U84" s="308">
        <f t="shared" si="115"/>
        <v>43843800</v>
      </c>
      <c r="V84" s="308">
        <f t="shared" si="115"/>
        <v>43843800</v>
      </c>
      <c r="W84" s="308">
        <f t="shared" si="115"/>
        <v>43963920</v>
      </c>
      <c r="X84" s="308">
        <f t="shared" si="115"/>
        <v>43843800</v>
      </c>
      <c r="Y84" s="308">
        <f t="shared" si="115"/>
        <v>43843800</v>
      </c>
      <c r="Z84" s="308">
        <f t="shared" si="115"/>
        <v>43843800</v>
      </c>
      <c r="AA84" s="308">
        <f t="shared" si="115"/>
        <v>43963920</v>
      </c>
      <c r="AB84" s="308">
        <f t="shared" si="115"/>
        <v>43843800</v>
      </c>
      <c r="AC84" s="308">
        <f t="shared" si="115"/>
        <v>43843800</v>
      </c>
      <c r="AD84" s="308">
        <f t="shared" si="115"/>
        <v>43843800</v>
      </c>
      <c r="AE84" s="308">
        <f t="shared" si="115"/>
        <v>43963920</v>
      </c>
    </row>
    <row r="85" spans="2:31" x14ac:dyDescent="0.25">
      <c r="B85" s="125" t="s">
        <v>337</v>
      </c>
      <c r="C85" s="102">
        <f>Assumptions!E24</f>
        <v>27.3</v>
      </c>
      <c r="D85" s="68" t="s">
        <v>132</v>
      </c>
      <c r="E85" s="68"/>
      <c r="F85" s="110">
        <f>Assumptions!D50</f>
        <v>4400</v>
      </c>
      <c r="G85" s="102">
        <f t="shared" ref="G85:AE85" si="116">F85*(1+G$86)</f>
        <v>4400</v>
      </c>
      <c r="H85" s="102">
        <f t="shared" si="116"/>
        <v>4400</v>
      </c>
      <c r="I85" s="102">
        <f t="shared" si="116"/>
        <v>4400</v>
      </c>
      <c r="J85" s="102">
        <f t="shared" si="116"/>
        <v>4400</v>
      </c>
      <c r="K85" s="102">
        <f t="shared" si="116"/>
        <v>4400</v>
      </c>
      <c r="L85" s="102">
        <f t="shared" si="116"/>
        <v>4400</v>
      </c>
      <c r="M85" s="102">
        <f t="shared" si="116"/>
        <v>4400</v>
      </c>
      <c r="N85" s="102">
        <f t="shared" si="116"/>
        <v>4400</v>
      </c>
      <c r="O85" s="102">
        <f t="shared" si="116"/>
        <v>4400</v>
      </c>
      <c r="P85" s="102">
        <f t="shared" si="116"/>
        <v>4400</v>
      </c>
      <c r="Q85" s="102">
        <f t="shared" si="116"/>
        <v>4400</v>
      </c>
      <c r="R85" s="102">
        <f t="shared" si="116"/>
        <v>4400</v>
      </c>
      <c r="S85" s="102">
        <f t="shared" si="116"/>
        <v>4400</v>
      </c>
      <c r="T85" s="102">
        <f t="shared" si="116"/>
        <v>4400</v>
      </c>
      <c r="U85" s="102">
        <f t="shared" si="116"/>
        <v>4400</v>
      </c>
      <c r="V85" s="102">
        <f t="shared" si="116"/>
        <v>4400</v>
      </c>
      <c r="W85" s="102">
        <f t="shared" si="116"/>
        <v>4400</v>
      </c>
      <c r="X85" s="102">
        <f t="shared" si="116"/>
        <v>4400</v>
      </c>
      <c r="Y85" s="102">
        <f t="shared" si="116"/>
        <v>4400</v>
      </c>
      <c r="Z85" s="102">
        <f t="shared" si="116"/>
        <v>4400</v>
      </c>
      <c r="AA85" s="102">
        <f t="shared" si="116"/>
        <v>4400</v>
      </c>
      <c r="AB85" s="102">
        <f t="shared" si="116"/>
        <v>4400</v>
      </c>
      <c r="AC85" s="102">
        <f t="shared" si="116"/>
        <v>4400</v>
      </c>
      <c r="AD85" s="102">
        <f t="shared" si="116"/>
        <v>4400</v>
      </c>
      <c r="AE85" s="102">
        <f t="shared" si="116"/>
        <v>4400</v>
      </c>
    </row>
    <row r="86" spans="2:31" x14ac:dyDescent="0.25">
      <c r="B86" s="31" t="s">
        <v>104</v>
      </c>
      <c r="C86" s="31"/>
      <c r="D86" s="31"/>
      <c r="E86" s="31"/>
      <c r="F86" s="46"/>
      <c r="G86" s="46"/>
      <c r="H86" s="46"/>
      <c r="I86" s="116"/>
      <c r="J86" s="46">
        <f>Assumptions!D51</f>
        <v>0</v>
      </c>
      <c r="K86" s="46"/>
      <c r="L86" s="46"/>
      <c r="M86" s="46"/>
      <c r="N86" s="46"/>
      <c r="O86" s="46">
        <f>J86</f>
        <v>0</v>
      </c>
      <c r="P86" s="46"/>
      <c r="Q86" s="46"/>
      <c r="R86" s="46"/>
      <c r="S86" s="46"/>
      <c r="T86" s="46">
        <f>O86</f>
        <v>0</v>
      </c>
      <c r="U86" s="46"/>
      <c r="V86" s="46"/>
      <c r="W86" s="46"/>
      <c r="X86" s="46"/>
      <c r="Y86" s="46">
        <f>T86</f>
        <v>0</v>
      </c>
      <c r="Z86" s="46"/>
      <c r="AA86" s="46"/>
      <c r="AB86" s="46"/>
      <c r="AC86" s="46"/>
      <c r="AD86" s="46">
        <f>Y86</f>
        <v>0</v>
      </c>
      <c r="AE86" s="46"/>
    </row>
    <row r="87" spans="2:31" x14ac:dyDescent="0.25">
      <c r="B87" s="31"/>
      <c r="C87" s="31"/>
      <c r="D87" s="31"/>
      <c r="E87" s="31"/>
      <c r="F87" s="99"/>
      <c r="G87" s="56"/>
      <c r="H87" s="99"/>
      <c r="I87" s="116"/>
      <c r="J87" s="46"/>
      <c r="K87" s="46"/>
      <c r="L87" s="46"/>
      <c r="M87" s="46"/>
      <c r="N87" s="46"/>
      <c r="O87" s="46"/>
      <c r="P87" s="46"/>
      <c r="Q87" s="46"/>
      <c r="R87" s="46"/>
      <c r="S87" s="46"/>
      <c r="T87" s="46"/>
      <c r="U87" s="46"/>
      <c r="V87" s="46"/>
      <c r="W87" s="46"/>
      <c r="X87" s="46"/>
      <c r="Y87" s="46"/>
      <c r="Z87" s="46"/>
      <c r="AA87" s="46"/>
      <c r="AB87" s="46"/>
      <c r="AC87" s="46"/>
      <c r="AD87" s="46"/>
      <c r="AE87" s="46"/>
    </row>
    <row r="88" spans="2:31" x14ac:dyDescent="0.25">
      <c r="B88" s="126" t="s">
        <v>419</v>
      </c>
      <c r="C88" s="340">
        <f>Assumptions!D53</f>
        <v>1500</v>
      </c>
      <c r="D88" s="340" t="str">
        <f>Assumptions!C53</f>
        <v>INR/MW/Month</v>
      </c>
      <c r="E88" s="31"/>
      <c r="F88" s="56">
        <f>$C$88*$C$85*12</f>
        <v>491400</v>
      </c>
      <c r="G88" s="56">
        <f>F88</f>
        <v>491400</v>
      </c>
      <c r="H88" s="56">
        <f t="shared" ref="H88:AE88" si="117">G88</f>
        <v>491400</v>
      </c>
      <c r="I88" s="56">
        <f t="shared" si="117"/>
        <v>491400</v>
      </c>
      <c r="J88" s="56">
        <f t="shared" si="117"/>
        <v>491400</v>
      </c>
      <c r="K88" s="56">
        <f t="shared" si="117"/>
        <v>491400</v>
      </c>
      <c r="L88" s="56">
        <f t="shared" si="117"/>
        <v>491400</v>
      </c>
      <c r="M88" s="56">
        <f t="shared" si="117"/>
        <v>491400</v>
      </c>
      <c r="N88" s="56">
        <f t="shared" si="117"/>
        <v>491400</v>
      </c>
      <c r="O88" s="56">
        <f t="shared" si="117"/>
        <v>491400</v>
      </c>
      <c r="P88" s="56">
        <f t="shared" si="117"/>
        <v>491400</v>
      </c>
      <c r="Q88" s="56">
        <f t="shared" si="117"/>
        <v>491400</v>
      </c>
      <c r="R88" s="56">
        <f t="shared" si="117"/>
        <v>491400</v>
      </c>
      <c r="S88" s="56">
        <f t="shared" si="117"/>
        <v>491400</v>
      </c>
      <c r="T88" s="56">
        <f t="shared" si="117"/>
        <v>491400</v>
      </c>
      <c r="U88" s="56">
        <f t="shared" si="117"/>
        <v>491400</v>
      </c>
      <c r="V88" s="56">
        <f t="shared" si="117"/>
        <v>491400</v>
      </c>
      <c r="W88" s="56">
        <f t="shared" si="117"/>
        <v>491400</v>
      </c>
      <c r="X88" s="56">
        <f t="shared" si="117"/>
        <v>491400</v>
      </c>
      <c r="Y88" s="56">
        <f t="shared" si="117"/>
        <v>491400</v>
      </c>
      <c r="Z88" s="56">
        <f t="shared" si="117"/>
        <v>491400</v>
      </c>
      <c r="AA88" s="56">
        <f t="shared" si="117"/>
        <v>491400</v>
      </c>
      <c r="AB88" s="56">
        <f t="shared" si="117"/>
        <v>491400</v>
      </c>
      <c r="AC88" s="56">
        <f t="shared" si="117"/>
        <v>491400</v>
      </c>
      <c r="AD88" s="56">
        <f t="shared" si="117"/>
        <v>491400</v>
      </c>
      <c r="AE88" s="56">
        <f t="shared" si="117"/>
        <v>491400</v>
      </c>
    </row>
    <row r="89" spans="2:31" x14ac:dyDescent="0.25">
      <c r="B89" s="126" t="s">
        <v>414</v>
      </c>
      <c r="C89" s="340">
        <f>Assumptions!D56</f>
        <v>12000</v>
      </c>
      <c r="D89" s="31" t="s">
        <v>420</v>
      </c>
      <c r="E89" s="31"/>
      <c r="F89" s="99">
        <f>$C$89*$C$85</f>
        <v>327600</v>
      </c>
      <c r="G89" s="99">
        <f t="shared" ref="G89:AE89" si="118">$C$89*$C$85</f>
        <v>327600</v>
      </c>
      <c r="H89" s="99">
        <f t="shared" si="118"/>
        <v>327600</v>
      </c>
      <c r="I89" s="99">
        <f t="shared" si="118"/>
        <v>327600</v>
      </c>
      <c r="J89" s="99">
        <f t="shared" si="118"/>
        <v>327600</v>
      </c>
      <c r="K89" s="99">
        <f t="shared" si="118"/>
        <v>327600</v>
      </c>
      <c r="L89" s="99">
        <f t="shared" si="118"/>
        <v>327600</v>
      </c>
      <c r="M89" s="99">
        <f t="shared" si="118"/>
        <v>327600</v>
      </c>
      <c r="N89" s="99">
        <f t="shared" si="118"/>
        <v>327600</v>
      </c>
      <c r="O89" s="99">
        <f t="shared" si="118"/>
        <v>327600</v>
      </c>
      <c r="P89" s="99">
        <f t="shared" si="118"/>
        <v>327600</v>
      </c>
      <c r="Q89" s="99">
        <f t="shared" si="118"/>
        <v>327600</v>
      </c>
      <c r="R89" s="99">
        <f t="shared" si="118"/>
        <v>327600</v>
      </c>
      <c r="S89" s="99">
        <f t="shared" si="118"/>
        <v>327600</v>
      </c>
      <c r="T89" s="99">
        <f t="shared" si="118"/>
        <v>327600</v>
      </c>
      <c r="U89" s="99">
        <f t="shared" si="118"/>
        <v>327600</v>
      </c>
      <c r="V89" s="99">
        <f t="shared" si="118"/>
        <v>327600</v>
      </c>
      <c r="W89" s="99">
        <f t="shared" si="118"/>
        <v>327600</v>
      </c>
      <c r="X89" s="99">
        <f t="shared" si="118"/>
        <v>327600</v>
      </c>
      <c r="Y89" s="99">
        <f t="shared" si="118"/>
        <v>327600</v>
      </c>
      <c r="Z89" s="99">
        <f t="shared" si="118"/>
        <v>327600</v>
      </c>
      <c r="AA89" s="99">
        <f t="shared" si="118"/>
        <v>327600</v>
      </c>
      <c r="AB89" s="99">
        <f t="shared" si="118"/>
        <v>327600</v>
      </c>
      <c r="AC89" s="99">
        <f t="shared" si="118"/>
        <v>327600</v>
      </c>
      <c r="AD89" s="99">
        <f t="shared" si="118"/>
        <v>327600</v>
      </c>
      <c r="AE89" s="99">
        <f t="shared" si="118"/>
        <v>327600</v>
      </c>
    </row>
    <row r="90" spans="2:31" x14ac:dyDescent="0.25">
      <c r="B90" s="126" t="s">
        <v>417</v>
      </c>
      <c r="C90" s="340">
        <f>Assumptions!D57</f>
        <v>60000</v>
      </c>
      <c r="D90" s="31" t="s">
        <v>420</v>
      </c>
      <c r="E90" s="31"/>
      <c r="F90" s="99">
        <f>$C$90*$C$85</f>
        <v>1638000</v>
      </c>
      <c r="G90" s="99">
        <f t="shared" ref="G90:AE90" si="119">$C$90*$C$85</f>
        <v>1638000</v>
      </c>
      <c r="H90" s="99">
        <f t="shared" si="119"/>
        <v>1638000</v>
      </c>
      <c r="I90" s="99">
        <f t="shared" si="119"/>
        <v>1638000</v>
      </c>
      <c r="J90" s="99">
        <f t="shared" si="119"/>
        <v>1638000</v>
      </c>
      <c r="K90" s="99">
        <f t="shared" si="119"/>
        <v>1638000</v>
      </c>
      <c r="L90" s="99">
        <f t="shared" si="119"/>
        <v>1638000</v>
      </c>
      <c r="M90" s="99">
        <f t="shared" si="119"/>
        <v>1638000</v>
      </c>
      <c r="N90" s="99">
        <f t="shared" si="119"/>
        <v>1638000</v>
      </c>
      <c r="O90" s="99">
        <f t="shared" si="119"/>
        <v>1638000</v>
      </c>
      <c r="P90" s="99">
        <f t="shared" si="119"/>
        <v>1638000</v>
      </c>
      <c r="Q90" s="99">
        <f t="shared" si="119"/>
        <v>1638000</v>
      </c>
      <c r="R90" s="99">
        <f t="shared" si="119"/>
        <v>1638000</v>
      </c>
      <c r="S90" s="99">
        <f t="shared" si="119"/>
        <v>1638000</v>
      </c>
      <c r="T90" s="99">
        <f t="shared" si="119"/>
        <v>1638000</v>
      </c>
      <c r="U90" s="99">
        <f t="shared" si="119"/>
        <v>1638000</v>
      </c>
      <c r="V90" s="99">
        <f t="shared" si="119"/>
        <v>1638000</v>
      </c>
      <c r="W90" s="99">
        <f t="shared" si="119"/>
        <v>1638000</v>
      </c>
      <c r="X90" s="99">
        <f t="shared" si="119"/>
        <v>1638000</v>
      </c>
      <c r="Y90" s="99">
        <f t="shared" si="119"/>
        <v>1638000</v>
      </c>
      <c r="Z90" s="99">
        <f t="shared" si="119"/>
        <v>1638000</v>
      </c>
      <c r="AA90" s="99">
        <f t="shared" si="119"/>
        <v>1638000</v>
      </c>
      <c r="AB90" s="99">
        <f t="shared" si="119"/>
        <v>1638000</v>
      </c>
      <c r="AC90" s="99">
        <f t="shared" si="119"/>
        <v>1638000</v>
      </c>
      <c r="AD90" s="99">
        <f t="shared" si="119"/>
        <v>1638000</v>
      </c>
      <c r="AE90" s="99">
        <f t="shared" si="119"/>
        <v>1638000</v>
      </c>
    </row>
    <row r="91" spans="2:31" x14ac:dyDescent="0.25">
      <c r="B91" s="96" t="s">
        <v>421</v>
      </c>
      <c r="C91" s="96"/>
      <c r="D91" s="96"/>
      <c r="E91" s="96"/>
      <c r="F91" s="97">
        <f>(F79+F82+F84+F88+F89+F90)/10^7</f>
        <v>7.4042651990800019</v>
      </c>
      <c r="G91" s="97">
        <f t="shared" ref="G91:AE91" si="120">(G79+G82+G84+G88+G89+G90)/10^7</f>
        <v>7.408701573874132</v>
      </c>
      <c r="H91" s="97">
        <f t="shared" si="120"/>
        <v>7.3740791042377891</v>
      </c>
      <c r="I91" s="97">
        <f t="shared" si="120"/>
        <v>7.3591104600019817</v>
      </c>
      <c r="J91" s="97">
        <f t="shared" si="120"/>
        <v>7.3442241433094706</v>
      </c>
      <c r="K91" s="97">
        <f t="shared" si="120"/>
        <v>7.3488271525953683</v>
      </c>
      <c r="L91" s="97">
        <f t="shared" si="120"/>
        <v>7.3146966838387968</v>
      </c>
      <c r="M91" s="97">
        <f t="shared" si="120"/>
        <v>7.3000546429151836</v>
      </c>
      <c r="N91" s="97">
        <f t="shared" si="120"/>
        <v>7.285493133216649</v>
      </c>
      <c r="O91" s="97">
        <f t="shared" si="120"/>
        <v>7.2902591411689146</v>
      </c>
      <c r="P91" s="97">
        <f t="shared" si="120"/>
        <v>7.2566099382439404</v>
      </c>
      <c r="Q91" s="97">
        <f t="shared" si="120"/>
        <v>7.2422873744210987</v>
      </c>
      <c r="R91" s="97">
        <f t="shared" si="120"/>
        <v>7.2280435846992823</v>
      </c>
      <c r="S91" s="97">
        <f t="shared" si="120"/>
        <v>7.232969034823185</v>
      </c>
      <c r="T91" s="97">
        <f t="shared" si="120"/>
        <v>7.1997905969114218</v>
      </c>
      <c r="U91" s="97">
        <f t="shared" si="120"/>
        <v>7.1857805394659087</v>
      </c>
      <c r="V91" s="97">
        <f t="shared" si="120"/>
        <v>7.1718475373363466</v>
      </c>
      <c r="W91" s="97">
        <f t="shared" si="120"/>
        <v>7.1769289507369045</v>
      </c>
      <c r="X91" s="97">
        <f t="shared" si="120"/>
        <v>7.1442110061390443</v>
      </c>
      <c r="Y91" s="97">
        <f t="shared" si="120"/>
        <v>7.1305066364427807</v>
      </c>
      <c r="Z91" s="97">
        <f t="shared" si="120"/>
        <v>7.1168776407798457</v>
      </c>
      <c r="AA91" s="97">
        <f t="shared" si="120"/>
        <v>7.1221116144686532</v>
      </c>
      <c r="AB91" s="97">
        <f t="shared" si="120"/>
        <v>7.0898441156052945</v>
      </c>
      <c r="AC91" s="97">
        <f t="shared" si="120"/>
        <v>7.0764387638069657</v>
      </c>
      <c r="AD91" s="97">
        <f t="shared" si="120"/>
        <v>7.0631071414435267</v>
      </c>
      <c r="AE91" s="97">
        <f t="shared" si="120"/>
        <v>7.0684903466825482</v>
      </c>
    </row>
    <row r="94" spans="2:31" x14ac:dyDescent="0.25">
      <c r="H94" s="327"/>
      <c r="I94" s="327"/>
      <c r="J94" s="327"/>
    </row>
    <row r="95" spans="2:31" x14ac:dyDescent="0.25">
      <c r="H95" s="327"/>
    </row>
    <row r="97" spans="8:12" x14ac:dyDescent="0.25">
      <c r="H97" s="327"/>
    </row>
    <row r="98" spans="8:12" x14ac:dyDescent="0.25">
      <c r="H98" s="328"/>
      <c r="I98" s="327"/>
      <c r="J98" s="327"/>
    </row>
    <row r="99" spans="8:12" x14ac:dyDescent="0.25">
      <c r="H99" s="328"/>
    </row>
    <row r="101" spans="8:12" x14ac:dyDescent="0.25">
      <c r="H101" s="328"/>
      <c r="I101" s="327"/>
    </row>
    <row r="103" spans="8:12" x14ac:dyDescent="0.25">
      <c r="H103" s="330"/>
      <c r="I103" s="331"/>
    </row>
    <row r="104" spans="8:12" x14ac:dyDescent="0.25">
      <c r="K104" s="327"/>
      <c r="L104" s="327"/>
    </row>
    <row r="105" spans="8:12" x14ac:dyDescent="0.25">
      <c r="H105" s="330"/>
      <c r="I105" s="331"/>
      <c r="K105" s="327"/>
    </row>
    <row r="107" spans="8:12" x14ac:dyDescent="0.25">
      <c r="I107" s="330"/>
    </row>
    <row r="108" spans="8:12" x14ac:dyDescent="0.25">
      <c r="I108" s="330"/>
      <c r="J108" s="329"/>
    </row>
    <row r="109" spans="8:12" x14ac:dyDescent="0.25">
      <c r="I109" s="330"/>
    </row>
    <row r="110" spans="8:12" x14ac:dyDescent="0.25">
      <c r="I110" s="330"/>
    </row>
  </sheetData>
  <mergeCells count="2">
    <mergeCell ref="D7:E7"/>
    <mergeCell ref="F7:AE7"/>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49"/>
  <sheetViews>
    <sheetView showGridLines="0" workbookViewId="0"/>
  </sheetViews>
  <sheetFormatPr defaultColWidth="13.7109375" defaultRowHeight="15" x14ac:dyDescent="0.25"/>
  <cols>
    <col min="1" max="1" width="5.5703125" style="70" customWidth="1"/>
    <col min="2" max="2" width="64.7109375" style="70" customWidth="1"/>
    <col min="3" max="3" width="7.140625" style="70" customWidth="1"/>
    <col min="4" max="15" width="12.7109375" style="70" customWidth="1"/>
    <col min="16" max="32" width="13.7109375" style="70" customWidth="1"/>
    <col min="33" max="16384" width="13.7109375" style="70"/>
  </cols>
  <sheetData>
    <row r="1" spans="1:31" s="1" customFormat="1" ht="19.899999999999999" customHeight="1" x14ac:dyDescent="0.25">
      <c r="B1" s="105" t="str">
        <f>Company</f>
        <v>M/s. Sai Infinium Limited</v>
      </c>
      <c r="C1" s="105"/>
      <c r="D1" s="105"/>
      <c r="E1" s="105"/>
      <c r="F1" s="105"/>
      <c r="G1" s="105"/>
      <c r="H1" s="105"/>
      <c r="I1" s="105"/>
      <c r="J1" s="105"/>
      <c r="K1" s="105"/>
      <c r="L1" s="105"/>
      <c r="M1" s="105"/>
      <c r="N1" s="105"/>
      <c r="O1" s="105"/>
      <c r="P1" s="105"/>
      <c r="Q1" s="105"/>
      <c r="R1" s="105"/>
      <c r="S1" s="105"/>
      <c r="T1" s="105"/>
      <c r="U1" s="105"/>
      <c r="V1" s="105"/>
      <c r="W1" s="105"/>
      <c r="X1" s="105"/>
      <c r="Y1" s="105"/>
      <c r="Z1" s="105"/>
      <c r="AA1" s="105"/>
      <c r="AB1" s="105"/>
      <c r="AC1" s="105"/>
      <c r="AD1" s="105"/>
      <c r="AE1" s="105"/>
    </row>
    <row r="2" spans="1:31" s="1" customFormat="1" ht="9" customHeight="1" x14ac:dyDescent="0.25">
      <c r="B2" s="2"/>
      <c r="C2" s="2"/>
      <c r="D2" s="2"/>
      <c r="E2" s="2"/>
      <c r="F2" s="2"/>
      <c r="G2" s="2"/>
      <c r="H2" s="2"/>
      <c r="I2" s="2"/>
      <c r="J2" s="2"/>
      <c r="K2" s="2"/>
      <c r="L2" s="2"/>
      <c r="M2" s="2"/>
      <c r="N2" s="2"/>
      <c r="O2" s="2"/>
      <c r="P2" s="2"/>
      <c r="Q2" s="2"/>
      <c r="R2" s="2"/>
      <c r="S2" s="2"/>
      <c r="T2" s="2"/>
      <c r="U2" s="2"/>
      <c r="V2" s="2"/>
      <c r="W2" s="2"/>
      <c r="X2" s="2"/>
      <c r="Y2" s="2"/>
      <c r="Z2" s="2"/>
      <c r="AA2" s="2"/>
      <c r="AB2" s="2"/>
      <c r="AC2" s="2"/>
      <c r="AD2" s="2"/>
      <c r="AE2" s="2"/>
    </row>
    <row r="3" spans="1:31" s="1" customFormat="1" ht="19.899999999999999" customHeight="1" x14ac:dyDescent="0.25">
      <c r="B3" s="106" t="str">
        <f>Project</f>
        <v>Financial Model for Proposed Hybrid Solar Plant (36 MW DC) &amp; Wind Plant (27.30 MW) @ GUJARAT</v>
      </c>
      <c r="C3" s="106"/>
      <c r="D3" s="106"/>
      <c r="E3" s="106"/>
      <c r="F3" s="106"/>
      <c r="G3" s="106"/>
      <c r="H3" s="106"/>
      <c r="I3" s="106"/>
      <c r="J3" s="106"/>
      <c r="K3" s="106"/>
      <c r="L3" s="106"/>
      <c r="M3" s="106"/>
      <c r="N3" s="106"/>
      <c r="O3" s="106"/>
      <c r="P3" s="106"/>
      <c r="Q3" s="106"/>
      <c r="R3" s="106"/>
      <c r="S3" s="106"/>
      <c r="T3" s="106"/>
      <c r="U3" s="106"/>
      <c r="V3" s="106"/>
      <c r="W3" s="106"/>
      <c r="X3" s="106"/>
      <c r="Y3" s="106"/>
      <c r="Z3" s="106"/>
      <c r="AA3" s="106"/>
      <c r="AB3" s="106"/>
      <c r="AC3" s="106"/>
      <c r="AD3" s="106"/>
      <c r="AE3" s="106"/>
    </row>
    <row r="4" spans="1:31" s="1" customFormat="1" ht="9" customHeight="1" x14ac:dyDescent="0.25">
      <c r="B4" s="2"/>
      <c r="C4" s="2"/>
      <c r="D4" s="2"/>
      <c r="E4" s="2"/>
      <c r="F4" s="2"/>
      <c r="G4" s="297"/>
    </row>
    <row r="5" spans="1:31" customFormat="1" ht="15.75" x14ac:dyDescent="0.25">
      <c r="B5" s="71" t="s">
        <v>329</v>
      </c>
      <c r="C5" s="71"/>
      <c r="D5" s="72"/>
      <c r="E5" s="72"/>
      <c r="F5" s="72"/>
      <c r="G5" s="72"/>
      <c r="H5" s="72"/>
      <c r="I5" s="72"/>
      <c r="J5" s="72"/>
      <c r="K5" s="72"/>
      <c r="L5" s="72"/>
      <c r="M5" s="72"/>
      <c r="N5" s="72"/>
      <c r="O5" s="72"/>
      <c r="P5" s="72"/>
      <c r="Q5" s="72"/>
      <c r="R5" s="72"/>
      <c r="S5" s="72"/>
      <c r="T5" s="72"/>
      <c r="U5" s="72"/>
      <c r="V5" s="72"/>
      <c r="W5" s="72"/>
      <c r="X5" s="72"/>
      <c r="Y5" s="72"/>
      <c r="Z5" s="72"/>
      <c r="AA5" s="72"/>
      <c r="AB5" s="72"/>
      <c r="AC5" s="72"/>
      <c r="AD5" s="72"/>
      <c r="AE5" s="72"/>
    </row>
    <row r="6" spans="1:31" customFormat="1" x14ac:dyDescent="0.25">
      <c r="B6" s="298" t="s">
        <v>327</v>
      </c>
      <c r="C6" s="68"/>
      <c r="D6" s="68"/>
      <c r="E6" s="31"/>
      <c r="F6" s="24"/>
      <c r="G6" s="24"/>
      <c r="H6" s="24"/>
      <c r="I6" s="24"/>
      <c r="J6" s="24"/>
      <c r="K6" s="24"/>
      <c r="L6" s="24"/>
      <c r="M6" s="24"/>
      <c r="N6" s="24"/>
      <c r="O6" s="24"/>
      <c r="P6" s="24"/>
      <c r="Q6" s="24"/>
      <c r="R6" s="24"/>
      <c r="S6" s="24"/>
      <c r="T6" s="24"/>
      <c r="U6" s="24"/>
      <c r="V6" s="24"/>
      <c r="W6" s="24"/>
      <c r="X6" s="24"/>
      <c r="Y6" s="24"/>
      <c r="Z6" s="24"/>
      <c r="AA6" s="24"/>
      <c r="AB6" s="24"/>
      <c r="AC6" s="24"/>
      <c r="AD6" s="24"/>
      <c r="AE6" s="24"/>
    </row>
    <row r="7" spans="1:31" s="31" customFormat="1" ht="15.75" x14ac:dyDescent="0.25">
      <c r="A7" s="1"/>
      <c r="C7" s="68"/>
      <c r="D7" s="357" t="s">
        <v>25</v>
      </c>
      <c r="E7" s="357"/>
      <c r="F7" s="358" t="s">
        <v>91</v>
      </c>
      <c r="G7" s="358"/>
      <c r="H7" s="358"/>
      <c r="I7" s="358"/>
      <c r="J7" s="358"/>
      <c r="K7" s="358"/>
      <c r="L7" s="358"/>
      <c r="M7" s="358"/>
      <c r="N7" s="358"/>
      <c r="O7" s="358"/>
      <c r="P7" s="358"/>
      <c r="Q7" s="358"/>
      <c r="R7" s="358"/>
      <c r="S7" s="358"/>
      <c r="T7" s="358"/>
      <c r="U7" s="358"/>
      <c r="V7" s="358"/>
      <c r="W7" s="358"/>
      <c r="X7" s="358"/>
      <c r="Y7" s="358"/>
      <c r="Z7" s="358"/>
      <c r="AA7" s="358"/>
      <c r="AB7" s="358"/>
      <c r="AC7" s="358"/>
      <c r="AD7" s="358"/>
      <c r="AE7" s="358"/>
    </row>
    <row r="8" spans="1:31" s="31" customFormat="1" x14ac:dyDescent="0.25">
      <c r="A8" s="1"/>
      <c r="B8" s="73" t="s">
        <v>92</v>
      </c>
      <c r="C8" s="74" t="s">
        <v>93</v>
      </c>
      <c r="D8" s="75">
        <f>'Revenue &amp; Expenses Modeling'!D8</f>
        <v>45747</v>
      </c>
      <c r="E8" s="75">
        <f>'Revenue &amp; Expenses Modeling'!E8</f>
        <v>46112</v>
      </c>
      <c r="F8" s="75">
        <f>'Revenue &amp; Expenses Modeling'!F8</f>
        <v>46477</v>
      </c>
      <c r="G8" s="75">
        <f>'Revenue &amp; Expenses Modeling'!G8</f>
        <v>46843</v>
      </c>
      <c r="H8" s="75">
        <f>'Revenue &amp; Expenses Modeling'!H8</f>
        <v>47208</v>
      </c>
      <c r="I8" s="75">
        <f>'Revenue &amp; Expenses Modeling'!I8</f>
        <v>47573</v>
      </c>
      <c r="J8" s="75">
        <f>'Revenue &amp; Expenses Modeling'!J8</f>
        <v>47938</v>
      </c>
      <c r="K8" s="75">
        <f>'Revenue &amp; Expenses Modeling'!K8</f>
        <v>48304</v>
      </c>
      <c r="L8" s="75">
        <f>'Revenue &amp; Expenses Modeling'!L8</f>
        <v>48669</v>
      </c>
      <c r="M8" s="75">
        <f>'Revenue &amp; Expenses Modeling'!M8</f>
        <v>49034</v>
      </c>
      <c r="N8" s="75">
        <f>'Revenue &amp; Expenses Modeling'!N8</f>
        <v>49399</v>
      </c>
      <c r="O8" s="75">
        <f>'Revenue &amp; Expenses Modeling'!O8</f>
        <v>49765</v>
      </c>
      <c r="P8" s="75">
        <f>'Revenue &amp; Expenses Modeling'!P8</f>
        <v>50130</v>
      </c>
      <c r="Q8" s="75">
        <f>'Revenue &amp; Expenses Modeling'!Q8</f>
        <v>50495</v>
      </c>
      <c r="R8" s="75">
        <f>'Revenue &amp; Expenses Modeling'!R8</f>
        <v>50860</v>
      </c>
      <c r="S8" s="75">
        <f>'Revenue &amp; Expenses Modeling'!S8</f>
        <v>51226</v>
      </c>
      <c r="T8" s="75">
        <f>'Revenue &amp; Expenses Modeling'!T8</f>
        <v>51591</v>
      </c>
      <c r="U8" s="75">
        <f>'Revenue &amp; Expenses Modeling'!U8</f>
        <v>51956</v>
      </c>
      <c r="V8" s="75">
        <f>'Revenue &amp; Expenses Modeling'!V8</f>
        <v>52321</v>
      </c>
      <c r="W8" s="75">
        <f>'Revenue &amp; Expenses Modeling'!W8</f>
        <v>52687</v>
      </c>
      <c r="X8" s="75">
        <f>'Revenue &amp; Expenses Modeling'!X8</f>
        <v>53052</v>
      </c>
      <c r="Y8" s="75">
        <f>'Revenue &amp; Expenses Modeling'!Y8</f>
        <v>53417</v>
      </c>
      <c r="Z8" s="75">
        <f>'Revenue &amp; Expenses Modeling'!Z8</f>
        <v>53782</v>
      </c>
      <c r="AA8" s="75">
        <f>'Revenue &amp; Expenses Modeling'!AA8</f>
        <v>54148</v>
      </c>
      <c r="AB8" s="75">
        <f>'Revenue &amp; Expenses Modeling'!AB8</f>
        <v>54513</v>
      </c>
      <c r="AC8" s="75">
        <f>'Revenue &amp; Expenses Modeling'!AC8</f>
        <v>54878</v>
      </c>
      <c r="AD8" s="75">
        <f>'Revenue &amp; Expenses Modeling'!AD8</f>
        <v>55243</v>
      </c>
      <c r="AE8" s="75">
        <f>'Revenue &amp; Expenses Modeling'!AE8</f>
        <v>55609</v>
      </c>
    </row>
    <row r="9" spans="1:31" s="80" customFormat="1" x14ac:dyDescent="0.25">
      <c r="A9" s="1"/>
      <c r="B9" s="76" t="s">
        <v>94</v>
      </c>
      <c r="C9" s="77"/>
      <c r="D9" s="78">
        <v>0</v>
      </c>
      <c r="E9" s="78">
        <v>0</v>
      </c>
      <c r="F9" s="79">
        <v>1</v>
      </c>
      <c r="G9" s="79">
        <v>2</v>
      </c>
      <c r="H9" s="79">
        <v>3</v>
      </c>
      <c r="I9" s="79">
        <v>4</v>
      </c>
      <c r="J9" s="79">
        <v>5</v>
      </c>
      <c r="K9" s="79">
        <v>6</v>
      </c>
      <c r="L9" s="79">
        <v>7</v>
      </c>
      <c r="M9" s="79">
        <v>8</v>
      </c>
      <c r="N9" s="79">
        <v>9</v>
      </c>
      <c r="O9" s="79">
        <v>10</v>
      </c>
      <c r="P9" s="79">
        <v>11</v>
      </c>
      <c r="Q9" s="79">
        <v>12</v>
      </c>
      <c r="R9" s="79">
        <v>13</v>
      </c>
      <c r="S9" s="79">
        <v>14</v>
      </c>
      <c r="T9" s="79">
        <v>15</v>
      </c>
      <c r="U9" s="79">
        <v>16</v>
      </c>
      <c r="V9" s="79">
        <v>17</v>
      </c>
      <c r="W9" s="79">
        <v>18</v>
      </c>
      <c r="X9" s="79">
        <v>19</v>
      </c>
      <c r="Y9" s="79">
        <v>20</v>
      </c>
      <c r="Z9" s="79">
        <v>21</v>
      </c>
      <c r="AA9" s="79">
        <v>22</v>
      </c>
      <c r="AB9" s="79">
        <v>23</v>
      </c>
      <c r="AC9" s="79">
        <v>24</v>
      </c>
      <c r="AD9" s="79">
        <v>25</v>
      </c>
      <c r="AE9" s="79">
        <v>26</v>
      </c>
    </row>
    <row r="10" spans="1:31" s="80" customFormat="1" x14ac:dyDescent="0.25">
      <c r="A10" s="1"/>
      <c r="B10" s="76" t="s">
        <v>95</v>
      </c>
      <c r="C10" s="77">
        <v>13</v>
      </c>
      <c r="D10" s="78">
        <f>C10-E10</f>
        <v>1</v>
      </c>
      <c r="E10" s="78">
        <f>MONTH(E8-D8)</f>
        <v>12</v>
      </c>
      <c r="F10" s="77">
        <f t="shared" ref="F10:AE10" si="0">MONTH(F8-E8)</f>
        <v>12</v>
      </c>
      <c r="G10" s="77">
        <f t="shared" si="0"/>
        <v>12</v>
      </c>
      <c r="H10" s="77">
        <f t="shared" si="0"/>
        <v>12</v>
      </c>
      <c r="I10" s="77">
        <f t="shared" si="0"/>
        <v>12</v>
      </c>
      <c r="J10" s="77">
        <f t="shared" si="0"/>
        <v>12</v>
      </c>
      <c r="K10" s="77">
        <f t="shared" si="0"/>
        <v>12</v>
      </c>
      <c r="L10" s="77">
        <f t="shared" si="0"/>
        <v>12</v>
      </c>
      <c r="M10" s="77">
        <f t="shared" si="0"/>
        <v>12</v>
      </c>
      <c r="N10" s="77">
        <f t="shared" si="0"/>
        <v>12</v>
      </c>
      <c r="O10" s="77">
        <f t="shared" si="0"/>
        <v>12</v>
      </c>
      <c r="P10" s="77">
        <f t="shared" si="0"/>
        <v>12</v>
      </c>
      <c r="Q10" s="77">
        <f t="shared" si="0"/>
        <v>12</v>
      </c>
      <c r="R10" s="77">
        <f t="shared" si="0"/>
        <v>12</v>
      </c>
      <c r="S10" s="77">
        <f t="shared" si="0"/>
        <v>12</v>
      </c>
      <c r="T10" s="77">
        <f t="shared" si="0"/>
        <v>12</v>
      </c>
      <c r="U10" s="77">
        <f t="shared" si="0"/>
        <v>12</v>
      </c>
      <c r="V10" s="77">
        <f t="shared" si="0"/>
        <v>12</v>
      </c>
      <c r="W10" s="77">
        <f t="shared" si="0"/>
        <v>12</v>
      </c>
      <c r="X10" s="77">
        <f t="shared" si="0"/>
        <v>12</v>
      </c>
      <c r="Y10" s="77">
        <f t="shared" si="0"/>
        <v>12</v>
      </c>
      <c r="Z10" s="77">
        <f t="shared" si="0"/>
        <v>12</v>
      </c>
      <c r="AA10" s="77">
        <f t="shared" si="0"/>
        <v>12</v>
      </c>
      <c r="AB10" s="77">
        <f t="shared" si="0"/>
        <v>12</v>
      </c>
      <c r="AC10" s="77">
        <f t="shared" si="0"/>
        <v>12</v>
      </c>
      <c r="AD10" s="77">
        <f t="shared" si="0"/>
        <v>12</v>
      </c>
      <c r="AE10" s="77">
        <f t="shared" si="0"/>
        <v>12</v>
      </c>
    </row>
    <row r="11" spans="1:31" x14ac:dyDescent="0.25">
      <c r="A11" s="1"/>
      <c r="B11" s="62" t="s">
        <v>139</v>
      </c>
      <c r="C11" s="31"/>
      <c r="D11" s="31"/>
      <c r="E11" s="31"/>
      <c r="F11" s="31"/>
      <c r="G11" s="31"/>
      <c r="H11" s="31"/>
      <c r="I11" s="31"/>
      <c r="J11" s="31"/>
      <c r="K11" s="31"/>
      <c r="L11" s="31"/>
      <c r="M11" s="31"/>
      <c r="N11" s="31"/>
    </row>
    <row r="12" spans="1:31" x14ac:dyDescent="0.25">
      <c r="A12" s="318">
        <v>0</v>
      </c>
      <c r="B12" s="63" t="s">
        <v>139</v>
      </c>
      <c r="C12" s="63"/>
      <c r="D12" s="63"/>
      <c r="E12" s="63"/>
      <c r="F12" s="138">
        <f>'Revenue &amp; Expenses Modeling'!F45*(1-$A$12)</f>
        <v>120.38940261600013</v>
      </c>
      <c r="G12" s="138">
        <f>'Revenue &amp; Expenses Modeling'!G45*(1-$A$12)</f>
        <v>121.2558336024382</v>
      </c>
      <c r="H12" s="138">
        <f>'Revenue &amp; Expenses Modeling'!H45*(1-$A$12)</f>
        <v>121.462043062083</v>
      </c>
      <c r="I12" s="138">
        <f>'Revenue &amp; Expenses Modeling'!I45*(1-$A$12)</f>
        <v>122.00194184349398</v>
      </c>
      <c r="J12" s="138">
        <f>'Revenue &amp; Expenses Modeling'!J45*(1-$A$12)</f>
        <v>122.54424047498833</v>
      </c>
      <c r="K12" s="138">
        <f>'Revenue &amp; Expenses Modeling'!K45*(1-$A$12)</f>
        <v>123.42617962286924</v>
      </c>
      <c r="L12" s="138">
        <f>'Revenue &amp; Expenses Modeling'!L45*(1-$A$12)</f>
        <v>123.6360800049779</v>
      </c>
      <c r="M12" s="138">
        <f>'Revenue &amp; Expenses Modeling'!M45*(1-$A$12)</f>
        <v>124.18564238060003</v>
      </c>
      <c r="N12" s="138">
        <f>'Revenue &amp; Expenses Modeling'!N45*(1-$A$12)</f>
        <v>124.73764756098183</v>
      </c>
      <c r="O12" s="138">
        <f>'Revenue &amp; Expenses Modeling'!O45*(1-$A$12)</f>
        <v>125.63537244933394</v>
      </c>
      <c r="P12" s="138">
        <f>'Revenue &amp; Expenses Modeling'!P45*(1-$A$12)</f>
        <v>125.84902981735792</v>
      </c>
      <c r="Q12" s="138">
        <f>'Revenue &amp; Expenses Modeling'!Q45*(1-$A$12)</f>
        <v>126.40842875489608</v>
      </c>
      <c r="R12" s="138">
        <f>'Revenue &amp; Expenses Modeling'!R45*(1-$A$12)</f>
        <v>126.97031422071157</v>
      </c>
      <c r="S12" s="138">
        <f>'Revenue &amp; Expenses Modeling'!S45*(1-$A$12)</f>
        <v>127.88410739692245</v>
      </c>
      <c r="T12" s="138">
        <f>'Revenue &amp; Expenses Modeling'!T45*(1-$A$12)</f>
        <v>128.10158899677637</v>
      </c>
      <c r="U12" s="138">
        <f>'Revenue &amp; Expenses Modeling'!U45*(1-$A$12)</f>
        <v>128.67100055986705</v>
      </c>
      <c r="V12" s="138">
        <f>'Revenue &amp; Expenses Modeling'!V45*(1-$A$12)</f>
        <v>129.24294315735568</v>
      </c>
      <c r="W12" s="138">
        <f>'Revenue &amp; Expenses Modeling'!W45*(1-$A$12)</f>
        <v>130.17309222610021</v>
      </c>
      <c r="X12" s="138">
        <f>'Revenue &amp; Expenses Modeling'!X45*(1-$A$12)</f>
        <v>130.39446650732651</v>
      </c>
      <c r="Y12" s="138">
        <f>'Revenue &amp; Expenses Modeling'!Y45*(1-$A$12)</f>
        <v>130.97406991095161</v>
      </c>
      <c r="Z12" s="138">
        <f>'Revenue &amp; Expenses Modeling'!Z45*(1-$A$12)</f>
        <v>131.5562496517058</v>
      </c>
      <c r="AA12" s="138">
        <f>'Revenue &amp; Expenses Modeling'!AA45*(1-$A$12)</f>
        <v>132.50304736546627</v>
      </c>
      <c r="AB12" s="138">
        <f>'Revenue &amp; Expenses Modeling'!AB45*(1-$A$12)</f>
        <v>132.72838400277902</v>
      </c>
      <c r="AC12" s="138">
        <f>'Revenue &amp; Expenses Modeling'!AC45*(1-$A$12)</f>
        <v>133.31836166967136</v>
      </c>
      <c r="AD12" s="138">
        <f>'Revenue &amp; Expenses Modeling'!AD45*(1-$A$12)</f>
        <v>133.91096178729305</v>
      </c>
      <c r="AE12" s="138">
        <f>'Revenue &amp; Expenses Modeling'!AE45*(1-$A$12)</f>
        <v>134.87470613849905</v>
      </c>
    </row>
    <row r="13" spans="1:31" x14ac:dyDescent="0.25">
      <c r="A13" s="1"/>
      <c r="B13" s="62" t="s">
        <v>117</v>
      </c>
      <c r="C13" s="31"/>
      <c r="D13" s="31"/>
      <c r="E13" s="31"/>
      <c r="F13" s="139"/>
      <c r="G13" s="139"/>
      <c r="H13" s="139"/>
      <c r="I13" s="139"/>
      <c r="J13" s="139"/>
      <c r="K13" s="139"/>
      <c r="L13" s="139"/>
      <c r="M13" s="139"/>
      <c r="N13" s="139"/>
      <c r="O13" s="140"/>
      <c r="P13" s="140"/>
      <c r="Q13" s="140"/>
      <c r="R13" s="140"/>
      <c r="S13" s="140"/>
      <c r="T13" s="140"/>
      <c r="U13" s="140"/>
      <c r="V13" s="140"/>
      <c r="W13" s="140"/>
      <c r="X13" s="140"/>
      <c r="Y13" s="140"/>
      <c r="Z13" s="140"/>
      <c r="AA13" s="140"/>
      <c r="AB13" s="140"/>
      <c r="AC13" s="140"/>
      <c r="AD13" s="140"/>
      <c r="AE13" s="140"/>
    </row>
    <row r="14" spans="1:31" x14ac:dyDescent="0.25">
      <c r="A14" s="1"/>
      <c r="B14" s="31" t="s">
        <v>55</v>
      </c>
      <c r="C14" s="31"/>
      <c r="D14" s="31"/>
      <c r="E14" s="31"/>
      <c r="F14" s="139">
        <f>'Revenue &amp; Expenses Modeling'!F60</f>
        <v>0</v>
      </c>
      <c r="G14" s="139">
        <f>'Revenue &amp; Expenses Modeling'!G60</f>
        <v>0</v>
      </c>
      <c r="H14" s="139">
        <f>'Revenue &amp; Expenses Modeling'!H60</f>
        <v>4.2684600000000001</v>
      </c>
      <c r="I14" s="139">
        <f>'Revenue &amp; Expenses Modeling'!I60</f>
        <v>4.4818829999999998</v>
      </c>
      <c r="J14" s="139">
        <f>'Revenue &amp; Expenses Modeling'!J60</f>
        <v>4.7059771499999998</v>
      </c>
      <c r="K14" s="139">
        <f>'Revenue &amp; Expenses Modeling'!K60</f>
        <v>4.9412760075</v>
      </c>
      <c r="L14" s="139">
        <f>'Revenue &amp; Expenses Modeling'!L60</f>
        <v>5.1883398078750007</v>
      </c>
      <c r="M14" s="139">
        <f>'Revenue &amp; Expenses Modeling'!M60</f>
        <v>5.4477567982687507</v>
      </c>
      <c r="N14" s="139">
        <f>'Revenue &amp; Expenses Modeling'!N60</f>
        <v>5.7201446381821892</v>
      </c>
      <c r="O14" s="139">
        <f>'Revenue &amp; Expenses Modeling'!O60</f>
        <v>6.0061518700912986</v>
      </c>
      <c r="P14" s="139">
        <f>'Revenue &amp; Expenses Modeling'!P60</f>
        <v>6.3064594635958633</v>
      </c>
      <c r="Q14" s="139">
        <f>'Revenue &amp; Expenses Modeling'!Q60</f>
        <v>6.621782436775657</v>
      </c>
      <c r="R14" s="139">
        <f>'Revenue &amp; Expenses Modeling'!R60</f>
        <v>6.9528715586144401</v>
      </c>
      <c r="S14" s="139">
        <f>'Revenue &amp; Expenses Modeling'!S60</f>
        <v>7.3005151365451635</v>
      </c>
      <c r="T14" s="139">
        <f>'Revenue &amp; Expenses Modeling'!T60</f>
        <v>7.6655408933724214</v>
      </c>
      <c r="U14" s="139">
        <f>'Revenue &amp; Expenses Modeling'!U60</f>
        <v>8.0488179380410436</v>
      </c>
      <c r="V14" s="139">
        <f>'Revenue &amp; Expenses Modeling'!V60</f>
        <v>8.4512588349430953</v>
      </c>
      <c r="W14" s="139">
        <f>'Revenue &amp; Expenses Modeling'!W60</f>
        <v>8.8738217766902512</v>
      </c>
      <c r="X14" s="139">
        <f>'Revenue &amp; Expenses Modeling'!X60</f>
        <v>9.3175128655247654</v>
      </c>
      <c r="Y14" s="139">
        <f>'Revenue &amp; Expenses Modeling'!Y60</f>
        <v>9.7833885088010035</v>
      </c>
      <c r="Z14" s="139">
        <f>'Revenue &amp; Expenses Modeling'!Z60</f>
        <v>10.272557934241053</v>
      </c>
      <c r="AA14" s="139">
        <f>'Revenue &amp; Expenses Modeling'!AA60</f>
        <v>10.786185830953107</v>
      </c>
      <c r="AB14" s="139">
        <f>'Revenue &amp; Expenses Modeling'!AB60</f>
        <v>11.325495122500762</v>
      </c>
      <c r="AC14" s="139">
        <f>'Revenue &amp; Expenses Modeling'!AC60</f>
        <v>11.891769878625801</v>
      </c>
      <c r="AD14" s="139">
        <f>'Revenue &amp; Expenses Modeling'!AD60</f>
        <v>12.486358372557092</v>
      </c>
      <c r="AE14" s="139">
        <f>'Revenue &amp; Expenses Modeling'!AE60</f>
        <v>13.110676291184944</v>
      </c>
    </row>
    <row r="15" spans="1:31" x14ac:dyDescent="0.25">
      <c r="A15" s="1"/>
      <c r="B15" s="31" t="s">
        <v>107</v>
      </c>
      <c r="C15" s="31"/>
      <c r="D15" s="31"/>
      <c r="E15" s="31"/>
      <c r="F15" s="139">
        <f>'Revenue &amp; Expenses Modeling'!F71</f>
        <v>0</v>
      </c>
      <c r="G15" s="139">
        <f>'Revenue &amp; Expenses Modeling'!G71</f>
        <v>0.84230136986301363</v>
      </c>
      <c r="H15" s="139">
        <f>'Revenue &amp; Expenses Modeling'!H71</f>
        <v>0.84</v>
      </c>
      <c r="I15" s="139">
        <f>'Revenue &amp; Expenses Modeling'!I71</f>
        <v>0.89880000000000004</v>
      </c>
      <c r="J15" s="139">
        <f>'Revenue &amp; Expenses Modeling'!J71</f>
        <v>0.89880000000000004</v>
      </c>
      <c r="K15" s="139">
        <f>'Revenue &amp; Expenses Modeling'!K71</f>
        <v>0.96435083835616442</v>
      </c>
      <c r="L15" s="139">
        <f>'Revenue &amp; Expenses Modeling'!L71</f>
        <v>0.96171600000000002</v>
      </c>
      <c r="M15" s="139">
        <f>'Revenue &amp; Expenses Modeling'!M71</f>
        <v>1.02903612</v>
      </c>
      <c r="N15" s="139">
        <f>'Revenue &amp; Expenses Modeling'!N71</f>
        <v>1.02903612</v>
      </c>
      <c r="O15" s="139">
        <f>'Revenue &amp; Expenses Modeling'!O71</f>
        <v>1.1040852748339725</v>
      </c>
      <c r="P15" s="139">
        <f>'Revenue &amp; Expenses Modeling'!P71</f>
        <v>1.1010686484000001</v>
      </c>
      <c r="Q15" s="139">
        <f>'Revenue &amp; Expenses Modeling'!Q71</f>
        <v>1.178143453788</v>
      </c>
      <c r="R15" s="139">
        <f>'Revenue &amp; Expenses Modeling'!R71</f>
        <v>1.178143453788</v>
      </c>
      <c r="S15" s="139">
        <f>'Revenue &amp; Expenses Modeling'!S71</f>
        <v>1.2640672311574153</v>
      </c>
      <c r="T15" s="139">
        <f>'Revenue &amp; Expenses Modeling'!T71</f>
        <v>1.26061349555316</v>
      </c>
      <c r="U15" s="139">
        <f>'Revenue &amp; Expenses Modeling'!U71</f>
        <v>1.3488564402418812</v>
      </c>
      <c r="V15" s="139">
        <f>'Revenue &amp; Expenses Modeling'!V71</f>
        <v>1.3488564402418812</v>
      </c>
      <c r="W15" s="139">
        <f>'Revenue &amp; Expenses Modeling'!W71</f>
        <v>1.4472305729521246</v>
      </c>
      <c r="X15" s="139">
        <f>'Revenue &amp; Expenses Modeling'!X71</f>
        <v>1.4432763910588131</v>
      </c>
      <c r="Y15" s="139">
        <f>'Revenue &amp; Expenses Modeling'!Y71</f>
        <v>1.54430573843293</v>
      </c>
      <c r="Z15" s="139">
        <f>'Revenue &amp; Expenses Modeling'!Z71</f>
        <v>1.54430573843293</v>
      </c>
      <c r="AA15" s="139">
        <f>'Revenue &amp; Expenses Modeling'!AA71</f>
        <v>1.6569342829728877</v>
      </c>
      <c r="AB15" s="139">
        <f>'Revenue &amp; Expenses Modeling'!AB71</f>
        <v>1.652407140123235</v>
      </c>
      <c r="AC15" s="139">
        <f>'Revenue &amp; Expenses Modeling'!AC71</f>
        <v>1.7680756399318613</v>
      </c>
      <c r="AD15" s="139">
        <f>'Revenue &amp; Expenses Modeling'!AD71</f>
        <v>1.7680756399318613</v>
      </c>
      <c r="AE15" s="139">
        <f>'Revenue &amp; Expenses Modeling'!AE71</f>
        <v>1.8970240605756592</v>
      </c>
    </row>
    <row r="16" spans="1:31" x14ac:dyDescent="0.25">
      <c r="A16" s="1"/>
      <c r="B16" s="31" t="s">
        <v>56</v>
      </c>
      <c r="C16" s="31"/>
      <c r="D16" s="31"/>
      <c r="E16" s="31"/>
      <c r="F16" s="139">
        <f ca="1">'Revenue &amp; Expenses Modeling'!F76</f>
        <v>0.45028078692209239</v>
      </c>
      <c r="G16" s="139">
        <f ca="1">'Revenue &amp; Expenses Modeling'!G76</f>
        <v>0.43259994498132814</v>
      </c>
      <c r="H16" s="139">
        <f ca="1">'Revenue &amp; Expenses Modeling'!H76</f>
        <v>0.41496741135187754</v>
      </c>
      <c r="I16" s="139">
        <f ca="1">'Revenue &amp; Expenses Modeling'!I76</f>
        <v>0.39733487772242682</v>
      </c>
      <c r="J16" s="139">
        <f ca="1">'Revenue &amp; Expenses Modeling'!J76</f>
        <v>0.37970234409297621</v>
      </c>
      <c r="K16" s="139">
        <f ca="1">'Revenue &amp; Expenses Modeling'!K76</f>
        <v>0.36202150215221196</v>
      </c>
      <c r="L16" s="139">
        <f ca="1">'Revenue &amp; Expenses Modeling'!L76</f>
        <v>0.34438896852276135</v>
      </c>
      <c r="M16" s="139">
        <f ca="1">'Revenue &amp; Expenses Modeling'!M76</f>
        <v>0.32675643489331074</v>
      </c>
      <c r="N16" s="139">
        <f ca="1">'Revenue &amp; Expenses Modeling'!N76</f>
        <v>0.30912390126386002</v>
      </c>
      <c r="O16" s="139">
        <f ca="1">'Revenue &amp; Expenses Modeling'!O76</f>
        <v>0.29144305932309583</v>
      </c>
      <c r="P16" s="139">
        <f ca="1">'Revenue &amp; Expenses Modeling'!P76</f>
        <v>0.27381052569364522</v>
      </c>
      <c r="Q16" s="139">
        <f ca="1">'Revenue &amp; Expenses Modeling'!Q76</f>
        <v>0.25617799206419456</v>
      </c>
      <c r="R16" s="139">
        <f ca="1">'Revenue &amp; Expenses Modeling'!R76</f>
        <v>0.2385454584347439</v>
      </c>
      <c r="S16" s="139">
        <f ca="1">'Revenue &amp; Expenses Modeling'!S76</f>
        <v>0.22086461649397968</v>
      </c>
      <c r="T16" s="139">
        <f ca="1">'Revenue &amp; Expenses Modeling'!T76</f>
        <v>0.20323208286452898</v>
      </c>
      <c r="U16" s="139">
        <f ca="1">'Revenue &amp; Expenses Modeling'!U76</f>
        <v>0.18559954923507832</v>
      </c>
      <c r="V16" s="139">
        <f ca="1">'Revenue &amp; Expenses Modeling'!V76</f>
        <v>0.16796701560562763</v>
      </c>
      <c r="W16" s="139">
        <f ca="1">'Revenue &amp; Expenses Modeling'!W76</f>
        <v>0.15028617366486344</v>
      </c>
      <c r="X16" s="139">
        <f ca="1">'Revenue &amp; Expenses Modeling'!X76</f>
        <v>0.13265364003541283</v>
      </c>
      <c r="Y16" s="139">
        <f ca="1">'Revenue &amp; Expenses Modeling'!Y76</f>
        <v>0.11502110640596215</v>
      </c>
      <c r="Z16" s="139">
        <f ca="1">'Revenue &amp; Expenses Modeling'!Z76</f>
        <v>9.7388572776511473E-2</v>
      </c>
      <c r="AA16" s="139">
        <f ca="1">'Revenue &amp; Expenses Modeling'!AA76</f>
        <v>7.9707730835747267E-2</v>
      </c>
      <c r="AB16" s="139">
        <f ca="1">'Revenue &amp; Expenses Modeling'!AB76</f>
        <v>6.2075197206296652E-2</v>
      </c>
      <c r="AC16" s="139">
        <f ca="1">'Revenue &amp; Expenses Modeling'!AC76</f>
        <v>4.4442663576845974E-2</v>
      </c>
      <c r="AD16" s="139">
        <f ca="1">'Revenue &amp; Expenses Modeling'!AD76</f>
        <v>2.6810129947395296E-2</v>
      </c>
      <c r="AE16" s="139">
        <f ca="1">'Revenue &amp; Expenses Modeling'!AE76</f>
        <v>9.1292880066310995E-3</v>
      </c>
    </row>
    <row r="17" spans="1:31" x14ac:dyDescent="0.25">
      <c r="A17" s="1"/>
      <c r="B17" s="31" t="str">
        <f>'Revenue &amp; Expenses Modeling'!B91</f>
        <v>Total Statuatory Fee &amp; Charges</v>
      </c>
      <c r="C17" s="31"/>
      <c r="D17" s="31"/>
      <c r="E17" s="31"/>
      <c r="F17" s="139">
        <f>'Revenue &amp; Expenses Modeling'!F91</f>
        <v>7.4042651990800019</v>
      </c>
      <c r="G17" s="139">
        <f>'Revenue &amp; Expenses Modeling'!G91</f>
        <v>7.408701573874132</v>
      </c>
      <c r="H17" s="139">
        <f>'Revenue &amp; Expenses Modeling'!H91</f>
        <v>7.3740791042377891</v>
      </c>
      <c r="I17" s="139">
        <f>'Revenue &amp; Expenses Modeling'!I91</f>
        <v>7.3591104600019817</v>
      </c>
      <c r="J17" s="139">
        <f>'Revenue &amp; Expenses Modeling'!J91</f>
        <v>7.3442241433094706</v>
      </c>
      <c r="K17" s="139">
        <f>'Revenue &amp; Expenses Modeling'!K91</f>
        <v>7.3488271525953683</v>
      </c>
      <c r="L17" s="139">
        <f>'Revenue &amp; Expenses Modeling'!L91</f>
        <v>7.3146966838387968</v>
      </c>
      <c r="M17" s="139">
        <f>'Revenue &amp; Expenses Modeling'!M91</f>
        <v>7.3000546429151836</v>
      </c>
      <c r="N17" s="139">
        <f>'Revenue &amp; Expenses Modeling'!N91</f>
        <v>7.285493133216649</v>
      </c>
      <c r="O17" s="139">
        <f>'Revenue &amp; Expenses Modeling'!O91</f>
        <v>7.2902591411689146</v>
      </c>
      <c r="P17" s="139">
        <f>'Revenue &amp; Expenses Modeling'!P91</f>
        <v>7.2566099382439404</v>
      </c>
      <c r="Q17" s="139">
        <f>'Revenue &amp; Expenses Modeling'!Q91</f>
        <v>7.2422873744210987</v>
      </c>
      <c r="R17" s="139">
        <f>'Revenue &amp; Expenses Modeling'!R91</f>
        <v>7.2280435846992823</v>
      </c>
      <c r="S17" s="139">
        <f>'Revenue &amp; Expenses Modeling'!S91</f>
        <v>7.232969034823185</v>
      </c>
      <c r="T17" s="139">
        <f>'Revenue &amp; Expenses Modeling'!T91</f>
        <v>7.1997905969114218</v>
      </c>
      <c r="U17" s="139">
        <f>'Revenue &amp; Expenses Modeling'!U91</f>
        <v>7.1857805394659087</v>
      </c>
      <c r="V17" s="139">
        <f>'Revenue &amp; Expenses Modeling'!V91</f>
        <v>7.1718475373363466</v>
      </c>
      <c r="W17" s="139">
        <f>'Revenue &amp; Expenses Modeling'!W91</f>
        <v>7.1769289507369045</v>
      </c>
      <c r="X17" s="139">
        <f>'Revenue &amp; Expenses Modeling'!X91</f>
        <v>7.1442110061390443</v>
      </c>
      <c r="Y17" s="139">
        <f>'Revenue &amp; Expenses Modeling'!Y91</f>
        <v>7.1305066364427807</v>
      </c>
      <c r="Z17" s="139">
        <f>'Revenue &amp; Expenses Modeling'!Z91</f>
        <v>7.1168776407798457</v>
      </c>
      <c r="AA17" s="139">
        <f>'Revenue &amp; Expenses Modeling'!AA91</f>
        <v>7.1221116144686532</v>
      </c>
      <c r="AB17" s="139">
        <f>'Revenue &amp; Expenses Modeling'!AB91</f>
        <v>7.0898441156052945</v>
      </c>
      <c r="AC17" s="139">
        <f>'Revenue &amp; Expenses Modeling'!AC91</f>
        <v>7.0764387638069657</v>
      </c>
      <c r="AD17" s="139">
        <f>'Revenue &amp; Expenses Modeling'!AD91</f>
        <v>7.0631071414435267</v>
      </c>
      <c r="AE17" s="139">
        <f>'Revenue &amp; Expenses Modeling'!AE91</f>
        <v>7.0684903466825482</v>
      </c>
    </row>
    <row r="18" spans="1:31" s="140" customFormat="1" x14ac:dyDescent="0.25">
      <c r="A18" s="280"/>
      <c r="B18" s="156" t="s">
        <v>140</v>
      </c>
      <c r="C18" s="156"/>
      <c r="D18" s="156"/>
      <c r="E18" s="156"/>
      <c r="F18" s="139">
        <f ca="1">'Dep Schedule'!F30</f>
        <v>17.632533629450649</v>
      </c>
      <c r="G18" s="139">
        <f ca="1">'Dep Schedule'!G30</f>
        <v>17.680841940764211</v>
      </c>
      <c r="H18" s="139">
        <f ca="1">'Dep Schedule'!H30</f>
        <v>17.632533629450649</v>
      </c>
      <c r="I18" s="139">
        <f ca="1">'Dep Schedule'!I30</f>
        <v>17.632533629450649</v>
      </c>
      <c r="J18" s="139">
        <f ca="1">'Dep Schedule'!J30</f>
        <v>17.632533629450649</v>
      </c>
      <c r="K18" s="139">
        <f ca="1">'Dep Schedule'!K30</f>
        <v>17.680841940764211</v>
      </c>
      <c r="L18" s="139">
        <f ca="1">'Dep Schedule'!L30</f>
        <v>17.632533629450649</v>
      </c>
      <c r="M18" s="139">
        <f ca="1">'Dep Schedule'!M30</f>
        <v>17.632533629450649</v>
      </c>
      <c r="N18" s="139">
        <f ca="1">'Dep Schedule'!N30</f>
        <v>17.632533629450649</v>
      </c>
      <c r="O18" s="139">
        <f ca="1">'Dep Schedule'!O30</f>
        <v>17.680841940764211</v>
      </c>
      <c r="P18" s="139">
        <f ca="1">'Dep Schedule'!P30</f>
        <v>17.632533629450649</v>
      </c>
      <c r="Q18" s="139">
        <f ca="1">'Dep Schedule'!Q30</f>
        <v>17.632533629450649</v>
      </c>
      <c r="R18" s="139">
        <f ca="1">'Dep Schedule'!R30</f>
        <v>17.632533629450649</v>
      </c>
      <c r="S18" s="139">
        <f ca="1">'Dep Schedule'!S30</f>
        <v>17.680841940764211</v>
      </c>
      <c r="T18" s="139">
        <f ca="1">'Dep Schedule'!T30</f>
        <v>17.632533629450649</v>
      </c>
      <c r="U18" s="139">
        <f ca="1">'Dep Schedule'!U30</f>
        <v>17.632533629450649</v>
      </c>
      <c r="V18" s="139">
        <f ca="1">'Dep Schedule'!V30</f>
        <v>17.632533629450649</v>
      </c>
      <c r="W18" s="139">
        <f ca="1">'Dep Schedule'!W30</f>
        <v>17.680841940764211</v>
      </c>
      <c r="X18" s="139">
        <f ca="1">'Dep Schedule'!X30</f>
        <v>17.632533629450649</v>
      </c>
      <c r="Y18" s="139">
        <f ca="1">'Dep Schedule'!Y30</f>
        <v>17.632533629450649</v>
      </c>
      <c r="Z18" s="139">
        <f ca="1">'Dep Schedule'!Z30</f>
        <v>17.632533629450649</v>
      </c>
      <c r="AA18" s="139">
        <f ca="1">'Dep Schedule'!AA30</f>
        <v>17.680841940764211</v>
      </c>
      <c r="AB18" s="139">
        <f ca="1">'Dep Schedule'!AB30</f>
        <v>17.632533629450649</v>
      </c>
      <c r="AC18" s="139">
        <f ca="1">'Dep Schedule'!AC30</f>
        <v>17.632533629450649</v>
      </c>
      <c r="AD18" s="139">
        <f ca="1">'Dep Schedule'!AD30</f>
        <v>17.632533629450649</v>
      </c>
      <c r="AE18" s="139">
        <f ca="1">'Dep Schedule'!AE30</f>
        <v>17.680841940764211</v>
      </c>
    </row>
    <row r="19" spans="1:31" x14ac:dyDescent="0.25">
      <c r="A19" s="318">
        <v>0</v>
      </c>
      <c r="B19" s="63" t="s">
        <v>141</v>
      </c>
      <c r="C19" s="63"/>
      <c r="D19" s="63"/>
      <c r="E19" s="63"/>
      <c r="F19" s="138">
        <f ca="1">SUM(F14:F18)*(1+$A$19)</f>
        <v>25.487079615452743</v>
      </c>
      <c r="G19" s="138">
        <f t="shared" ref="G19:AE19" ca="1" si="1">SUM(G14:G18)*(1+$A$19)</f>
        <v>26.364444829482686</v>
      </c>
      <c r="H19" s="138">
        <f t="shared" ca="1" si="1"/>
        <v>30.530040145040317</v>
      </c>
      <c r="I19" s="138">
        <f t="shared" ca="1" si="1"/>
        <v>30.769661967175058</v>
      </c>
      <c r="J19" s="138">
        <f t="shared" ca="1" si="1"/>
        <v>30.961237266853097</v>
      </c>
      <c r="K19" s="138">
        <f t="shared" ca="1" si="1"/>
        <v>31.297317441367955</v>
      </c>
      <c r="L19" s="138">
        <f t="shared" ca="1" si="1"/>
        <v>31.441675089687209</v>
      </c>
      <c r="M19" s="138">
        <f t="shared" ca="1" si="1"/>
        <v>31.736137625527896</v>
      </c>
      <c r="N19" s="138">
        <f t="shared" ca="1" si="1"/>
        <v>31.976331422113347</v>
      </c>
      <c r="O19" s="138">
        <f t="shared" ca="1" si="1"/>
        <v>32.372781286181493</v>
      </c>
      <c r="P19" s="138">
        <f t="shared" ca="1" si="1"/>
        <v>32.570482205384096</v>
      </c>
      <c r="Q19" s="138">
        <f t="shared" ca="1" si="1"/>
        <v>32.930924886499596</v>
      </c>
      <c r="R19" s="138">
        <f t="shared" ca="1" si="1"/>
        <v>33.230137684987113</v>
      </c>
      <c r="S19" s="138">
        <f t="shared" ca="1" si="1"/>
        <v>33.699257959783957</v>
      </c>
      <c r="T19" s="138">
        <f t="shared" ca="1" si="1"/>
        <v>33.961710698152181</v>
      </c>
      <c r="U19" s="138">
        <f t="shared" ca="1" si="1"/>
        <v>34.401588096434566</v>
      </c>
      <c r="V19" s="138">
        <f t="shared" ca="1" si="1"/>
        <v>34.772463457577601</v>
      </c>
      <c r="W19" s="138">
        <f t="shared" ca="1" si="1"/>
        <v>35.329109414808357</v>
      </c>
      <c r="X19" s="138">
        <f t="shared" ca="1" si="1"/>
        <v>35.670187532208686</v>
      </c>
      <c r="Y19" s="138">
        <f t="shared" ca="1" si="1"/>
        <v>36.205755619533321</v>
      </c>
      <c r="Z19" s="138">
        <f t="shared" ca="1" si="1"/>
        <v>36.663663515680987</v>
      </c>
      <c r="AA19" s="138">
        <f t="shared" ca="1" si="1"/>
        <v>37.325781399994604</v>
      </c>
      <c r="AB19" s="138">
        <f t="shared" ca="1" si="1"/>
        <v>37.762355204886234</v>
      </c>
      <c r="AC19" s="138">
        <f t="shared" ca="1" si="1"/>
        <v>38.413260575392123</v>
      </c>
      <c r="AD19" s="138">
        <f t="shared" ca="1" si="1"/>
        <v>38.976884913330522</v>
      </c>
      <c r="AE19" s="138">
        <f t="shared" ca="1" si="1"/>
        <v>39.766161927213993</v>
      </c>
    </row>
    <row r="20" spans="1:31" x14ac:dyDescent="0.25">
      <c r="A20" s="1"/>
      <c r="B20" s="31" t="s">
        <v>142</v>
      </c>
      <c r="C20" s="31"/>
      <c r="D20" s="31"/>
      <c r="E20" s="31"/>
      <c r="F20" s="139">
        <f t="shared" ref="F20:AE20" ca="1" si="2">F12-F19</f>
        <v>94.902323000547383</v>
      </c>
      <c r="G20" s="139">
        <f t="shared" ca="1" si="2"/>
        <v>94.891388772955509</v>
      </c>
      <c r="H20" s="139">
        <f t="shared" ca="1" si="2"/>
        <v>90.932002917042681</v>
      </c>
      <c r="I20" s="139">
        <f t="shared" ca="1" si="2"/>
        <v>91.232279876318927</v>
      </c>
      <c r="J20" s="139">
        <f t="shared" ca="1" si="2"/>
        <v>91.583003208135239</v>
      </c>
      <c r="K20" s="139">
        <f t="shared" ca="1" si="2"/>
        <v>92.12886218150129</v>
      </c>
      <c r="L20" s="139">
        <f t="shared" ca="1" si="2"/>
        <v>92.19440491529069</v>
      </c>
      <c r="M20" s="139">
        <f t="shared" ca="1" si="2"/>
        <v>92.449504755072127</v>
      </c>
      <c r="N20" s="139">
        <f t="shared" ca="1" si="2"/>
        <v>92.76131613886848</v>
      </c>
      <c r="O20" s="139">
        <f t="shared" ca="1" si="2"/>
        <v>93.26259116315245</v>
      </c>
      <c r="P20" s="139">
        <f t="shared" ca="1" si="2"/>
        <v>93.278547611973821</v>
      </c>
      <c r="Q20" s="139">
        <f t="shared" ca="1" si="2"/>
        <v>93.477503868396482</v>
      </c>
      <c r="R20" s="139">
        <f t="shared" ca="1" si="2"/>
        <v>93.740176535724459</v>
      </c>
      <c r="S20" s="139">
        <f t="shared" ca="1" si="2"/>
        <v>94.184849437138496</v>
      </c>
      <c r="T20" s="139">
        <f t="shared" ca="1" si="2"/>
        <v>94.139878298624183</v>
      </c>
      <c r="U20" s="139">
        <f t="shared" ca="1" si="2"/>
        <v>94.269412463432488</v>
      </c>
      <c r="V20" s="139">
        <f t="shared" ca="1" si="2"/>
        <v>94.470479699778082</v>
      </c>
      <c r="W20" s="139">
        <f t="shared" ca="1" si="2"/>
        <v>94.843982811291852</v>
      </c>
      <c r="X20" s="139">
        <f t="shared" ca="1" si="2"/>
        <v>94.724278975117826</v>
      </c>
      <c r="Y20" s="139">
        <f t="shared" ca="1" si="2"/>
        <v>94.768314291418292</v>
      </c>
      <c r="Z20" s="139">
        <f t="shared" ca="1" si="2"/>
        <v>94.892586136024818</v>
      </c>
      <c r="AA20" s="139">
        <f t="shared" ca="1" si="2"/>
        <v>95.177265965471662</v>
      </c>
      <c r="AB20" s="139">
        <f t="shared" ca="1" si="2"/>
        <v>94.96602879789279</v>
      </c>
      <c r="AC20" s="139">
        <f t="shared" ca="1" si="2"/>
        <v>94.905101094279246</v>
      </c>
      <c r="AD20" s="139">
        <f t="shared" ca="1" si="2"/>
        <v>94.934076873962525</v>
      </c>
      <c r="AE20" s="139">
        <f t="shared" ca="1" si="2"/>
        <v>95.10854421128505</v>
      </c>
    </row>
    <row r="21" spans="1:31" x14ac:dyDescent="0.25">
      <c r="A21" s="1"/>
      <c r="B21" s="62" t="s">
        <v>143</v>
      </c>
      <c r="C21" s="31"/>
      <c r="D21" s="31"/>
      <c r="E21" s="31"/>
      <c r="F21" s="133"/>
      <c r="G21" s="31"/>
      <c r="H21" s="31"/>
      <c r="I21" s="31"/>
      <c r="J21" s="31"/>
      <c r="K21" s="31"/>
      <c r="L21" s="31"/>
      <c r="M21" s="31"/>
      <c r="N21" s="31"/>
      <c r="O21" s="31"/>
    </row>
    <row r="22" spans="1:31" s="140" customFormat="1" x14ac:dyDescent="0.25">
      <c r="A22" s="280"/>
      <c r="B22" s="156" t="s">
        <v>144</v>
      </c>
      <c r="C22" s="156"/>
      <c r="D22" s="156"/>
      <c r="E22" s="156"/>
      <c r="F22" s="139">
        <f ca="1">'Loan Schedule'!F17</f>
        <v>38.602848945502302</v>
      </c>
      <c r="G22" s="139">
        <f ca="1">'Loan Schedule'!G17</f>
        <v>37.637777721864737</v>
      </c>
      <c r="H22" s="139">
        <f ca="1">'Loan Schedule'!H17</f>
        <v>35.707635274589627</v>
      </c>
      <c r="I22" s="139">
        <f ca="1">'Loan Schedule'!I17</f>
        <v>33.777492827314518</v>
      </c>
      <c r="J22" s="139">
        <f ca="1">'Loan Schedule'!J17</f>
        <v>31.847350380039401</v>
      </c>
      <c r="K22" s="139">
        <f ca="1">'Loan Schedule'!K17</f>
        <v>29.917207932764285</v>
      </c>
      <c r="L22" s="139">
        <f ca="1">'Loan Schedule'!L17</f>
        <v>27.987065485489179</v>
      </c>
      <c r="M22" s="139">
        <f ca="1">'Loan Schedule'!M17</f>
        <v>26.056923038214055</v>
      </c>
      <c r="N22" s="139">
        <f ca="1">'Loan Schedule'!N17</f>
        <v>24.126780590938946</v>
      </c>
      <c r="O22" s="139">
        <f ca="1">'Loan Schedule'!O17</f>
        <v>22.196638143663833</v>
      </c>
      <c r="P22" s="139">
        <f ca="1">'Loan Schedule'!P17</f>
        <v>20.266495696388716</v>
      </c>
      <c r="Q22" s="139">
        <f ca="1">'Loan Schedule'!Q17</f>
        <v>18.336353249113607</v>
      </c>
      <c r="R22" s="139">
        <f ca="1">'Loan Schedule'!R17</f>
        <v>16.40621080183849</v>
      </c>
      <c r="S22" s="139">
        <f ca="1">'Loan Schedule'!S17</f>
        <v>14.476068354563379</v>
      </c>
      <c r="T22" s="139">
        <f ca="1">'Loan Schedule'!T17</f>
        <v>12.545925907288265</v>
      </c>
      <c r="U22" s="139">
        <f ca="1">'Loan Schedule'!U17</f>
        <v>10.615783460013152</v>
      </c>
      <c r="V22" s="139">
        <f ca="1">'Loan Schedule'!V17</f>
        <v>8.685641012738035</v>
      </c>
      <c r="W22" s="139">
        <f ca="1">'Loan Schedule'!W17</f>
        <v>6.755498565462922</v>
      </c>
      <c r="X22" s="139">
        <f ca="1">'Loan Schedule'!X17</f>
        <v>4.8253561181878082</v>
      </c>
      <c r="Y22" s="139">
        <f ca="1">'Loan Schedule'!Y17</f>
        <v>2.8952136709126952</v>
      </c>
      <c r="Z22" s="139">
        <f ca="1">'Loan Schedule'!Z17</f>
        <v>0.96507122363758158</v>
      </c>
      <c r="AA22" s="139">
        <f>'Loan Schedule'!AA17</f>
        <v>0</v>
      </c>
      <c r="AB22" s="139">
        <f>'Loan Schedule'!AB17</f>
        <v>0</v>
      </c>
      <c r="AC22" s="139">
        <f>'Loan Schedule'!AC17</f>
        <v>0</v>
      </c>
      <c r="AD22" s="139">
        <f>'Loan Schedule'!AD17</f>
        <v>0</v>
      </c>
      <c r="AE22" s="139">
        <f>'Loan Schedule'!AE17</f>
        <v>0</v>
      </c>
    </row>
    <row r="23" spans="1:31" x14ac:dyDescent="0.25">
      <c r="A23" s="1"/>
      <c r="B23" s="63" t="s">
        <v>145</v>
      </c>
      <c r="C23" s="63"/>
      <c r="D23" s="63"/>
      <c r="E23" s="63"/>
      <c r="F23" s="132">
        <f ca="1">F20-F22</f>
        <v>56.299474055045081</v>
      </c>
      <c r="G23" s="132">
        <f t="shared" ref="G23:AE23" ca="1" si="3">G20-G22</f>
        <v>57.253611051090772</v>
      </c>
      <c r="H23" s="132">
        <f t="shared" ca="1" si="3"/>
        <v>55.224367642453053</v>
      </c>
      <c r="I23" s="132">
        <f t="shared" ca="1" si="3"/>
        <v>57.454787049004409</v>
      </c>
      <c r="J23" s="132">
        <f t="shared" ca="1" si="3"/>
        <v>59.735652828095837</v>
      </c>
      <c r="K23" s="132">
        <f t="shared" ca="1" si="3"/>
        <v>62.211654248737005</v>
      </c>
      <c r="L23" s="132">
        <f t="shared" ca="1" si="3"/>
        <v>64.207339429801507</v>
      </c>
      <c r="M23" s="132">
        <f t="shared" ca="1" si="3"/>
        <v>66.392581716858075</v>
      </c>
      <c r="N23" s="132">
        <f t="shared" ca="1" si="3"/>
        <v>68.634535547929531</v>
      </c>
      <c r="O23" s="132">
        <f t="shared" ca="1" si="3"/>
        <v>71.065953019488617</v>
      </c>
      <c r="P23" s="132">
        <f t="shared" ca="1" si="3"/>
        <v>73.012051915585104</v>
      </c>
      <c r="Q23" s="132">
        <f t="shared" ca="1" si="3"/>
        <v>75.141150619282882</v>
      </c>
      <c r="R23" s="132">
        <f t="shared" ca="1" si="3"/>
        <v>77.333965733885975</v>
      </c>
      <c r="S23" s="132">
        <f t="shared" ca="1" si="3"/>
        <v>79.708781082575115</v>
      </c>
      <c r="T23" s="132">
        <f t="shared" ca="1" si="3"/>
        <v>81.593952391335918</v>
      </c>
      <c r="U23" s="132">
        <f t="shared" ca="1" si="3"/>
        <v>83.65362900341934</v>
      </c>
      <c r="V23" s="132">
        <f t="shared" ca="1" si="3"/>
        <v>85.78483868704005</v>
      </c>
      <c r="W23" s="132">
        <f t="shared" ca="1" si="3"/>
        <v>88.088484245828937</v>
      </c>
      <c r="X23" s="132">
        <f t="shared" ca="1" si="3"/>
        <v>89.898922856930014</v>
      </c>
      <c r="Y23" s="132">
        <f t="shared" ca="1" si="3"/>
        <v>91.873100620505596</v>
      </c>
      <c r="Z23" s="132">
        <f t="shared" ca="1" si="3"/>
        <v>93.927514912387238</v>
      </c>
      <c r="AA23" s="132">
        <f t="shared" ca="1" si="3"/>
        <v>95.177265965471662</v>
      </c>
      <c r="AB23" s="132">
        <f t="shared" ca="1" si="3"/>
        <v>94.96602879789279</v>
      </c>
      <c r="AC23" s="132">
        <f t="shared" ca="1" si="3"/>
        <v>94.905101094279246</v>
      </c>
      <c r="AD23" s="132">
        <f t="shared" ca="1" si="3"/>
        <v>94.934076873962525</v>
      </c>
      <c r="AE23" s="132">
        <f t="shared" ca="1" si="3"/>
        <v>95.10854421128505</v>
      </c>
    </row>
    <row r="24" spans="1:31" s="140" customFormat="1" x14ac:dyDescent="0.25">
      <c r="A24" s="280"/>
      <c r="B24" s="156" t="s">
        <v>146</v>
      </c>
      <c r="C24" s="281"/>
      <c r="D24" s="156"/>
      <c r="E24" s="156"/>
      <c r="F24" s="139">
        <f ca="1">'Tax Schedule'!F40</f>
        <v>9.8366441068974773</v>
      </c>
      <c r="G24" s="139">
        <f ca="1">'Tax Schedule'!G40</f>
        <v>10.003350922846581</v>
      </c>
      <c r="H24" s="139">
        <f ca="1">'Tax Schedule'!H40</f>
        <v>9.6488015144893975</v>
      </c>
      <c r="I24" s="139">
        <f ca="1">'Tax Schedule'!I40</f>
        <v>10.038500393202051</v>
      </c>
      <c r="J24" s="139">
        <f ca="1">'Tax Schedule'!J40</f>
        <v>10.437013262124905</v>
      </c>
      <c r="K24" s="139">
        <f ca="1">'Tax Schedule'!K40</f>
        <v>10.869620230339331</v>
      </c>
      <c r="L24" s="139">
        <f ca="1">'Tax Schedule'!L40</f>
        <v>11.21830634517492</v>
      </c>
      <c r="M24" s="139">
        <f ca="1">'Tax Schedule'!M40</f>
        <v>11.600111877569443</v>
      </c>
      <c r="N24" s="139">
        <f ca="1">'Tax Schedule'!N40</f>
        <v>11.991826050934248</v>
      </c>
      <c r="O24" s="139">
        <f ca="1">'Tax Schedule'!O40</f>
        <v>12.416643311565052</v>
      </c>
      <c r="P24" s="139">
        <f ca="1">'Tax Schedule'!P40</f>
        <v>15.153001379493485</v>
      </c>
      <c r="Q24" s="139">
        <f ca="1">'Tax Schedule'!Q40</f>
        <v>23.557583827602574</v>
      </c>
      <c r="R24" s="139">
        <f ca="1">'Tax Schedule'!R40</f>
        <v>24.704168629800272</v>
      </c>
      <c r="S24" s="139">
        <f ca="1">'Tax Schedule'!S40</f>
        <v>25.835785341599731</v>
      </c>
      <c r="T24" s="139">
        <f ca="1">'Tax Schedule'!T40</f>
        <v>26.747512722698286</v>
      </c>
      <c r="U24" s="139">
        <f ca="1">'Tax Schedule'!U40</f>
        <v>27.661593266592217</v>
      </c>
      <c r="V24" s="139">
        <f ca="1">'Tax Schedule'!V40</f>
        <v>28.550137162402319</v>
      </c>
      <c r="W24" s="139">
        <f ca="1">'Tax Schedule'!W40</f>
        <v>29.459810118808832</v>
      </c>
      <c r="X24" s="139">
        <f ca="1">'Tax Schedule'!X40</f>
        <v>30.17194734789177</v>
      </c>
      <c r="Y24" s="139">
        <f ca="1">'Tax Schedule'!Y40</f>
        <v>30.912904770020216</v>
      </c>
      <c r="Z24" s="139">
        <f ca="1">'Tax Schedule'!Z40</f>
        <v>31.65282604656171</v>
      </c>
      <c r="AA24" s="139">
        <f ca="1">'Tax Schedule'!AA40</f>
        <v>32.149752584896916</v>
      </c>
      <c r="AB24" s="139">
        <f ca="1">'Tax Schedule'!AB40</f>
        <v>32.179572685840888</v>
      </c>
      <c r="AC24" s="139">
        <f ca="1">'Tax Schedule'!AC40</f>
        <v>32.249851432399616</v>
      </c>
      <c r="AD24" s="139">
        <f ca="1">'Tax Schedule'!AD40</f>
        <v>32.333441780226657</v>
      </c>
      <c r="AE24" s="139">
        <f ca="1">'Tax Schedule'!AE40</f>
        <v>32.461449160161472</v>
      </c>
    </row>
    <row r="25" spans="1:31" x14ac:dyDescent="0.25">
      <c r="A25" s="1"/>
      <c r="B25" s="73" t="s">
        <v>147</v>
      </c>
      <c r="C25" s="73"/>
      <c r="D25" s="73"/>
      <c r="E25" s="73"/>
      <c r="F25" s="134">
        <f ca="1">F23-F24</f>
        <v>46.462829948147601</v>
      </c>
      <c r="G25" s="134">
        <f t="shared" ref="G25:AE25" ca="1" si="4">G23-G24</f>
        <v>47.250260128244193</v>
      </c>
      <c r="H25" s="134">
        <f t="shared" ca="1" si="4"/>
        <v>45.575566127963654</v>
      </c>
      <c r="I25" s="134">
        <f t="shared" ca="1" si="4"/>
        <v>47.416286655802359</v>
      </c>
      <c r="J25" s="134">
        <f t="shared" ca="1" si="4"/>
        <v>49.29863956597093</v>
      </c>
      <c r="K25" s="134">
        <f t="shared" ca="1" si="4"/>
        <v>51.342034018397676</v>
      </c>
      <c r="L25" s="134">
        <f t="shared" ca="1" si="4"/>
        <v>52.989033084626584</v>
      </c>
      <c r="M25" s="134">
        <f t="shared" ca="1" si="4"/>
        <v>54.792469839288628</v>
      </c>
      <c r="N25" s="134">
        <f t="shared" ca="1" si="4"/>
        <v>56.64270949699528</v>
      </c>
      <c r="O25" s="134">
        <f t="shared" ca="1" si="4"/>
        <v>58.649309707923564</v>
      </c>
      <c r="P25" s="134">
        <f t="shared" ca="1" si="4"/>
        <v>57.859050536091615</v>
      </c>
      <c r="Q25" s="134">
        <f t="shared" ca="1" si="4"/>
        <v>51.583566791680312</v>
      </c>
      <c r="R25" s="134">
        <f t="shared" ca="1" si="4"/>
        <v>52.629797104085704</v>
      </c>
      <c r="S25" s="134">
        <f t="shared" ca="1" si="4"/>
        <v>53.872995740975384</v>
      </c>
      <c r="T25" s="134">
        <f t="shared" ca="1" si="4"/>
        <v>54.846439668637629</v>
      </c>
      <c r="U25" s="134">
        <f t="shared" ca="1" si="4"/>
        <v>55.99203573682712</v>
      </c>
      <c r="V25" s="134">
        <f t="shared" ca="1" si="4"/>
        <v>57.234701524637728</v>
      </c>
      <c r="W25" s="134">
        <f t="shared" ca="1" si="4"/>
        <v>58.628674127020105</v>
      </c>
      <c r="X25" s="134">
        <f t="shared" ca="1" si="4"/>
        <v>59.72697550903824</v>
      </c>
      <c r="Y25" s="134">
        <f t="shared" ca="1" si="4"/>
        <v>60.960195850485377</v>
      </c>
      <c r="Z25" s="134">
        <f t="shared" ca="1" si="4"/>
        <v>62.274688865825524</v>
      </c>
      <c r="AA25" s="134">
        <f t="shared" ca="1" si="4"/>
        <v>63.027513380574746</v>
      </c>
      <c r="AB25" s="134">
        <f t="shared" ca="1" si="4"/>
        <v>62.786456112051901</v>
      </c>
      <c r="AC25" s="134">
        <f t="shared" ca="1" si="4"/>
        <v>62.65524966187963</v>
      </c>
      <c r="AD25" s="134">
        <f t="shared" ca="1" si="4"/>
        <v>62.600635093735868</v>
      </c>
      <c r="AE25" s="134">
        <f t="shared" ca="1" si="4"/>
        <v>62.647095051123578</v>
      </c>
    </row>
    <row r="26" spans="1:31" x14ac:dyDescent="0.25">
      <c r="A26" s="1"/>
      <c r="F26" s="118"/>
    </row>
    <row r="27" spans="1:31" x14ac:dyDescent="0.25">
      <c r="A27" s="1"/>
      <c r="B27" s="62" t="s">
        <v>148</v>
      </c>
      <c r="C27" s="31"/>
      <c r="D27" s="31"/>
      <c r="E27" s="31"/>
      <c r="F27" s="31"/>
      <c r="G27" s="31"/>
      <c r="H27" s="31"/>
    </row>
    <row r="28" spans="1:31" x14ac:dyDescent="0.25">
      <c r="A28" s="1"/>
      <c r="B28" s="31" t="s">
        <v>149</v>
      </c>
      <c r="C28" s="31"/>
      <c r="D28" s="31"/>
      <c r="E28" s="31"/>
      <c r="F28" s="86">
        <f ca="1">F25</f>
        <v>46.462829948147601</v>
      </c>
      <c r="G28" s="86">
        <f t="shared" ref="G28:AE28" ca="1" si="5">G25</f>
        <v>47.250260128244193</v>
      </c>
      <c r="H28" s="86">
        <f t="shared" ca="1" si="5"/>
        <v>45.575566127963654</v>
      </c>
      <c r="I28" s="86">
        <f t="shared" ca="1" si="5"/>
        <v>47.416286655802359</v>
      </c>
      <c r="J28" s="86">
        <f t="shared" ca="1" si="5"/>
        <v>49.29863956597093</v>
      </c>
      <c r="K28" s="86">
        <f t="shared" ca="1" si="5"/>
        <v>51.342034018397676</v>
      </c>
      <c r="L28" s="86">
        <f t="shared" ca="1" si="5"/>
        <v>52.989033084626584</v>
      </c>
      <c r="M28" s="86">
        <f t="shared" ca="1" si="5"/>
        <v>54.792469839288628</v>
      </c>
      <c r="N28" s="86">
        <f t="shared" ca="1" si="5"/>
        <v>56.64270949699528</v>
      </c>
      <c r="O28" s="86">
        <f t="shared" ca="1" si="5"/>
        <v>58.649309707923564</v>
      </c>
      <c r="P28" s="86">
        <f t="shared" ca="1" si="5"/>
        <v>57.859050536091615</v>
      </c>
      <c r="Q28" s="86">
        <f t="shared" ca="1" si="5"/>
        <v>51.583566791680312</v>
      </c>
      <c r="R28" s="86">
        <f t="shared" ca="1" si="5"/>
        <v>52.629797104085704</v>
      </c>
      <c r="S28" s="86">
        <f t="shared" ca="1" si="5"/>
        <v>53.872995740975384</v>
      </c>
      <c r="T28" s="86">
        <f t="shared" ca="1" si="5"/>
        <v>54.846439668637629</v>
      </c>
      <c r="U28" s="86">
        <f t="shared" ca="1" si="5"/>
        <v>55.99203573682712</v>
      </c>
      <c r="V28" s="86">
        <f t="shared" ca="1" si="5"/>
        <v>57.234701524637728</v>
      </c>
      <c r="W28" s="86">
        <f t="shared" ca="1" si="5"/>
        <v>58.628674127020105</v>
      </c>
      <c r="X28" s="86">
        <f t="shared" ca="1" si="5"/>
        <v>59.72697550903824</v>
      </c>
      <c r="Y28" s="86">
        <f t="shared" ca="1" si="5"/>
        <v>60.960195850485377</v>
      </c>
      <c r="Z28" s="86">
        <f t="shared" ca="1" si="5"/>
        <v>62.274688865825524</v>
      </c>
      <c r="AA28" s="86">
        <f t="shared" ca="1" si="5"/>
        <v>63.027513380574746</v>
      </c>
      <c r="AB28" s="86">
        <f t="shared" ca="1" si="5"/>
        <v>62.786456112051901</v>
      </c>
      <c r="AC28" s="86">
        <f t="shared" ca="1" si="5"/>
        <v>62.65524966187963</v>
      </c>
      <c r="AD28" s="86">
        <f t="shared" ca="1" si="5"/>
        <v>62.600635093735868</v>
      </c>
      <c r="AE28" s="86">
        <f t="shared" ca="1" si="5"/>
        <v>62.647095051123578</v>
      </c>
    </row>
    <row r="29" spans="1:31" x14ac:dyDescent="0.25">
      <c r="A29" s="1"/>
      <c r="B29" s="31" t="s">
        <v>150</v>
      </c>
      <c r="C29" s="31"/>
      <c r="D29" s="31"/>
      <c r="E29" s="31"/>
      <c r="F29" s="86">
        <f ca="1">F18</f>
        <v>17.632533629450649</v>
      </c>
      <c r="G29" s="86">
        <f t="shared" ref="G29:AE29" ca="1" si="6">G18</f>
        <v>17.680841940764211</v>
      </c>
      <c r="H29" s="86">
        <f t="shared" ca="1" si="6"/>
        <v>17.632533629450649</v>
      </c>
      <c r="I29" s="86">
        <f t="shared" ca="1" si="6"/>
        <v>17.632533629450649</v>
      </c>
      <c r="J29" s="86">
        <f t="shared" ca="1" si="6"/>
        <v>17.632533629450649</v>
      </c>
      <c r="K29" s="86">
        <f t="shared" ca="1" si="6"/>
        <v>17.680841940764211</v>
      </c>
      <c r="L29" s="86">
        <f t="shared" ca="1" si="6"/>
        <v>17.632533629450649</v>
      </c>
      <c r="M29" s="86">
        <f t="shared" ca="1" si="6"/>
        <v>17.632533629450649</v>
      </c>
      <c r="N29" s="86">
        <f t="shared" ca="1" si="6"/>
        <v>17.632533629450649</v>
      </c>
      <c r="O29" s="86">
        <f t="shared" ca="1" si="6"/>
        <v>17.680841940764211</v>
      </c>
      <c r="P29" s="86">
        <f t="shared" ca="1" si="6"/>
        <v>17.632533629450649</v>
      </c>
      <c r="Q29" s="86">
        <f t="shared" ca="1" si="6"/>
        <v>17.632533629450649</v>
      </c>
      <c r="R29" s="86">
        <f t="shared" ca="1" si="6"/>
        <v>17.632533629450649</v>
      </c>
      <c r="S29" s="86">
        <f t="shared" ca="1" si="6"/>
        <v>17.680841940764211</v>
      </c>
      <c r="T29" s="86">
        <f t="shared" ca="1" si="6"/>
        <v>17.632533629450649</v>
      </c>
      <c r="U29" s="86">
        <f t="shared" ca="1" si="6"/>
        <v>17.632533629450649</v>
      </c>
      <c r="V29" s="86">
        <f t="shared" ca="1" si="6"/>
        <v>17.632533629450649</v>
      </c>
      <c r="W29" s="86">
        <f t="shared" ca="1" si="6"/>
        <v>17.680841940764211</v>
      </c>
      <c r="X29" s="86">
        <f t="shared" ca="1" si="6"/>
        <v>17.632533629450649</v>
      </c>
      <c r="Y29" s="86">
        <f t="shared" ca="1" si="6"/>
        <v>17.632533629450649</v>
      </c>
      <c r="Z29" s="86">
        <f t="shared" ca="1" si="6"/>
        <v>17.632533629450649</v>
      </c>
      <c r="AA29" s="86">
        <f t="shared" ca="1" si="6"/>
        <v>17.680841940764211</v>
      </c>
      <c r="AB29" s="86">
        <f t="shared" ca="1" si="6"/>
        <v>17.632533629450649</v>
      </c>
      <c r="AC29" s="86">
        <f t="shared" ca="1" si="6"/>
        <v>17.632533629450649</v>
      </c>
      <c r="AD29" s="86">
        <f t="shared" ca="1" si="6"/>
        <v>17.632533629450649</v>
      </c>
      <c r="AE29" s="86">
        <f t="shared" ca="1" si="6"/>
        <v>17.680841940764211</v>
      </c>
    </row>
    <row r="30" spans="1:31" x14ac:dyDescent="0.25">
      <c r="A30" s="1"/>
      <c r="B30" s="63" t="s">
        <v>148</v>
      </c>
      <c r="C30" s="63"/>
      <c r="D30" s="63"/>
      <c r="E30" s="63"/>
      <c r="F30" s="132">
        <f ca="1">SUM(F28:F29)</f>
        <v>64.095363577598249</v>
      </c>
      <c r="G30" s="132">
        <f t="shared" ref="G30:AE30" ca="1" si="7">SUM(G28:G29)</f>
        <v>64.931102069008404</v>
      </c>
      <c r="H30" s="132">
        <f t="shared" ca="1" si="7"/>
        <v>63.208099757414303</v>
      </c>
      <c r="I30" s="132">
        <f t="shared" ca="1" si="7"/>
        <v>65.048820285253015</v>
      </c>
      <c r="J30" s="132">
        <f t="shared" ca="1" si="7"/>
        <v>66.931173195421579</v>
      </c>
      <c r="K30" s="132">
        <f t="shared" ca="1" si="7"/>
        <v>69.022875959161894</v>
      </c>
      <c r="L30" s="132">
        <f t="shared" ca="1" si="7"/>
        <v>70.621566714077233</v>
      </c>
      <c r="M30" s="132">
        <f t="shared" ca="1" si="7"/>
        <v>72.425003468739277</v>
      </c>
      <c r="N30" s="132">
        <f t="shared" ca="1" si="7"/>
        <v>74.275243126445929</v>
      </c>
      <c r="O30" s="132">
        <f t="shared" ca="1" si="7"/>
        <v>76.330151648687774</v>
      </c>
      <c r="P30" s="132">
        <f t="shared" ca="1" si="7"/>
        <v>75.491584165542264</v>
      </c>
      <c r="Q30" s="132">
        <f t="shared" ca="1" si="7"/>
        <v>69.21610042113096</v>
      </c>
      <c r="R30" s="132">
        <f t="shared" ca="1" si="7"/>
        <v>70.262330733536345</v>
      </c>
      <c r="S30" s="132">
        <f t="shared" ca="1" si="7"/>
        <v>71.553837681739594</v>
      </c>
      <c r="T30" s="132">
        <f t="shared" ca="1" si="7"/>
        <v>72.478973298088277</v>
      </c>
      <c r="U30" s="132">
        <f t="shared" ca="1" si="7"/>
        <v>73.624569366277768</v>
      </c>
      <c r="V30" s="132">
        <f t="shared" ca="1" si="7"/>
        <v>74.867235154088377</v>
      </c>
      <c r="W30" s="132">
        <f t="shared" ca="1" si="7"/>
        <v>76.309516067784315</v>
      </c>
      <c r="X30" s="132">
        <f t="shared" ca="1" si="7"/>
        <v>77.359509138488889</v>
      </c>
      <c r="Y30" s="132">
        <f t="shared" ca="1" si="7"/>
        <v>78.592729479936025</v>
      </c>
      <c r="Z30" s="132">
        <f t="shared" ca="1" si="7"/>
        <v>79.907222495276173</v>
      </c>
      <c r="AA30" s="132">
        <f t="shared" ca="1" si="7"/>
        <v>80.708355321338956</v>
      </c>
      <c r="AB30" s="132">
        <f t="shared" ca="1" si="7"/>
        <v>80.418989741502543</v>
      </c>
      <c r="AC30" s="132">
        <f t="shared" ca="1" si="7"/>
        <v>80.287783291330271</v>
      </c>
      <c r="AD30" s="132">
        <f t="shared" ca="1" si="7"/>
        <v>80.233168723186509</v>
      </c>
      <c r="AE30" s="132">
        <f t="shared" ca="1" si="7"/>
        <v>80.327936991887782</v>
      </c>
    </row>
    <row r="31" spans="1:31" x14ac:dyDescent="0.25">
      <c r="A31" s="1"/>
      <c r="B31" s="31" t="s">
        <v>153</v>
      </c>
      <c r="C31" s="31"/>
      <c r="D31" s="31"/>
      <c r="E31" s="31"/>
      <c r="F31" s="86">
        <f ca="1">'Loan Schedule'!F13</f>
        <v>0</v>
      </c>
      <c r="G31" s="86">
        <f ca="1">'Loan Schedule'!G13</f>
        <v>17.546749520682859</v>
      </c>
      <c r="H31" s="86">
        <f ca="1">'Loan Schedule'!H13</f>
        <v>17.546749520682859</v>
      </c>
      <c r="I31" s="86">
        <f ca="1">'Loan Schedule'!I13</f>
        <v>17.546749520682859</v>
      </c>
      <c r="J31" s="86">
        <f ca="1">'Loan Schedule'!J13</f>
        <v>17.546749520682859</v>
      </c>
      <c r="K31" s="86">
        <f ca="1">'Loan Schedule'!K13</f>
        <v>17.546749520682859</v>
      </c>
      <c r="L31" s="86">
        <f ca="1">'Loan Schedule'!L13</f>
        <v>17.546749520682859</v>
      </c>
      <c r="M31" s="86">
        <f ca="1">'Loan Schedule'!M13</f>
        <v>17.546749520682859</v>
      </c>
      <c r="N31" s="86">
        <f ca="1">'Loan Schedule'!N13</f>
        <v>17.546749520682859</v>
      </c>
      <c r="O31" s="86">
        <f ca="1">'Loan Schedule'!O13</f>
        <v>17.546749520682859</v>
      </c>
      <c r="P31" s="86">
        <f ca="1">'Loan Schedule'!P13</f>
        <v>17.546749520682859</v>
      </c>
      <c r="Q31" s="86">
        <f ca="1">'Loan Schedule'!Q13</f>
        <v>17.546749520682859</v>
      </c>
      <c r="R31" s="86">
        <f ca="1">'Loan Schedule'!R13</f>
        <v>17.546749520682859</v>
      </c>
      <c r="S31" s="86">
        <f ca="1">'Loan Schedule'!S13</f>
        <v>17.546749520682859</v>
      </c>
      <c r="T31" s="86">
        <f ca="1">'Loan Schedule'!T13</f>
        <v>17.546749520682859</v>
      </c>
      <c r="U31" s="86">
        <f ca="1">'Loan Schedule'!U13</f>
        <v>17.546749520682859</v>
      </c>
      <c r="V31" s="86">
        <f ca="1">'Loan Schedule'!V13</f>
        <v>17.546749520682859</v>
      </c>
      <c r="W31" s="86">
        <f ca="1">'Loan Schedule'!W13</f>
        <v>17.546749520682859</v>
      </c>
      <c r="X31" s="86">
        <f ca="1">'Loan Schedule'!X13</f>
        <v>17.546749520682859</v>
      </c>
      <c r="Y31" s="86">
        <f ca="1">'Loan Schedule'!Y13</f>
        <v>17.546749520682859</v>
      </c>
      <c r="Z31" s="86">
        <f ca="1">'Loan Schedule'!Z13</f>
        <v>17.546749520682859</v>
      </c>
      <c r="AA31" s="86">
        <f>'Loan Schedule'!AA13</f>
        <v>0</v>
      </c>
      <c r="AB31" s="86">
        <f>'Loan Schedule'!AB13</f>
        <v>0</v>
      </c>
      <c r="AC31" s="86">
        <f>'Loan Schedule'!AC13</f>
        <v>0</v>
      </c>
      <c r="AD31" s="86">
        <f>'Loan Schedule'!AD13</f>
        <v>0</v>
      </c>
      <c r="AE31" s="86">
        <f>'Loan Schedule'!AE13</f>
        <v>0</v>
      </c>
    </row>
    <row r="32" spans="1:31" x14ac:dyDescent="0.25">
      <c r="A32" s="1"/>
      <c r="B32" s="63" t="s">
        <v>151</v>
      </c>
      <c r="C32" s="63"/>
      <c r="D32" s="63"/>
      <c r="E32" s="63"/>
      <c r="F32" s="132">
        <f ca="1">F30-F31</f>
        <v>64.095363577598249</v>
      </c>
      <c r="G32" s="132">
        <f t="shared" ref="G32:AE32" ca="1" si="8">G30-G31</f>
        <v>47.384352548325545</v>
      </c>
      <c r="H32" s="132">
        <f t="shared" ca="1" si="8"/>
        <v>45.661350236731444</v>
      </c>
      <c r="I32" s="132">
        <f t="shared" ca="1" si="8"/>
        <v>47.502070764570156</v>
      </c>
      <c r="J32" s="132">
        <f t="shared" ca="1" si="8"/>
        <v>49.38442367473872</v>
      </c>
      <c r="K32" s="132">
        <f t="shared" ca="1" si="8"/>
        <v>51.476126438479035</v>
      </c>
      <c r="L32" s="132">
        <f t="shared" ca="1" si="8"/>
        <v>53.074817193394374</v>
      </c>
      <c r="M32" s="132">
        <f t="shared" ca="1" si="8"/>
        <v>54.878253948056418</v>
      </c>
      <c r="N32" s="132">
        <f t="shared" ca="1" si="8"/>
        <v>56.72849360576307</v>
      </c>
      <c r="O32" s="132">
        <f t="shared" ca="1" si="8"/>
        <v>58.783402128004916</v>
      </c>
      <c r="P32" s="132">
        <f t="shared" ca="1" si="8"/>
        <v>57.944834644859405</v>
      </c>
      <c r="Q32" s="132">
        <f t="shared" ca="1" si="8"/>
        <v>51.669350900448102</v>
      </c>
      <c r="R32" s="132">
        <f t="shared" ca="1" si="8"/>
        <v>52.715581212853486</v>
      </c>
      <c r="S32" s="132">
        <f t="shared" ca="1" si="8"/>
        <v>54.007088161056735</v>
      </c>
      <c r="T32" s="132">
        <f t="shared" ca="1" si="8"/>
        <v>54.932223777405419</v>
      </c>
      <c r="U32" s="132">
        <f t="shared" ca="1" si="8"/>
        <v>56.07781984559491</v>
      </c>
      <c r="V32" s="132">
        <f t="shared" ca="1" si="8"/>
        <v>57.320485633405518</v>
      </c>
      <c r="W32" s="132">
        <f t="shared" ca="1" si="8"/>
        <v>58.762766547101457</v>
      </c>
      <c r="X32" s="132">
        <f t="shared" ca="1" si="8"/>
        <v>59.81275961780603</v>
      </c>
      <c r="Y32" s="132">
        <f t="shared" ca="1" si="8"/>
        <v>61.045979959253167</v>
      </c>
      <c r="Z32" s="132">
        <f t="shared" ca="1" si="8"/>
        <v>62.360472974593314</v>
      </c>
      <c r="AA32" s="132">
        <f t="shared" ca="1" si="8"/>
        <v>80.708355321338956</v>
      </c>
      <c r="AB32" s="132">
        <f t="shared" ca="1" si="8"/>
        <v>80.418989741502543</v>
      </c>
      <c r="AC32" s="132">
        <f t="shared" ca="1" si="8"/>
        <v>80.287783291330271</v>
      </c>
      <c r="AD32" s="132">
        <f t="shared" ca="1" si="8"/>
        <v>80.233168723186509</v>
      </c>
      <c r="AE32" s="132">
        <f t="shared" ca="1" si="8"/>
        <v>80.327936991887782</v>
      </c>
    </row>
    <row r="33" spans="1:31" x14ac:dyDescent="0.25">
      <c r="A33" s="1"/>
      <c r="B33" s="135" t="s">
        <v>152</v>
      </c>
      <c r="C33" s="135"/>
      <c r="D33" s="135"/>
      <c r="E33" s="135"/>
      <c r="F33" s="136">
        <f ca="1">E33+F32</f>
        <v>64.095363577598249</v>
      </c>
      <c r="G33" s="136">
        <f t="shared" ref="G33:AE33" ca="1" si="9">F33+G32</f>
        <v>111.4797161259238</v>
      </c>
      <c r="H33" s="136">
        <f t="shared" ca="1" si="9"/>
        <v>157.14106636265524</v>
      </c>
      <c r="I33" s="136">
        <f t="shared" ca="1" si="9"/>
        <v>204.6431371272254</v>
      </c>
      <c r="J33" s="136">
        <f t="shared" ca="1" si="9"/>
        <v>254.02756080196411</v>
      </c>
      <c r="K33" s="136">
        <f t="shared" ca="1" si="9"/>
        <v>305.50368724044313</v>
      </c>
      <c r="L33" s="136">
        <f t="shared" ca="1" si="9"/>
        <v>358.57850443383751</v>
      </c>
      <c r="M33" s="136">
        <f t="shared" ca="1" si="9"/>
        <v>413.45675838189391</v>
      </c>
      <c r="N33" s="136">
        <f t="shared" ca="1" si="9"/>
        <v>470.18525198765695</v>
      </c>
      <c r="O33" s="136">
        <f t="shared" ca="1" si="9"/>
        <v>528.96865411566182</v>
      </c>
      <c r="P33" s="136">
        <f t="shared" ca="1" si="9"/>
        <v>586.9134887605212</v>
      </c>
      <c r="Q33" s="136">
        <f t="shared" ca="1" si="9"/>
        <v>638.58283966096928</v>
      </c>
      <c r="R33" s="136">
        <f t="shared" ca="1" si="9"/>
        <v>691.29842087382281</v>
      </c>
      <c r="S33" s="136">
        <f t="shared" ca="1" si="9"/>
        <v>745.30550903487949</v>
      </c>
      <c r="T33" s="136">
        <f t="shared" ca="1" si="9"/>
        <v>800.23773281228489</v>
      </c>
      <c r="U33" s="136">
        <f t="shared" ca="1" si="9"/>
        <v>856.31555265787983</v>
      </c>
      <c r="V33" s="136">
        <f t="shared" ca="1" si="9"/>
        <v>913.63603829128533</v>
      </c>
      <c r="W33" s="136">
        <f t="shared" ca="1" si="9"/>
        <v>972.39880483838681</v>
      </c>
      <c r="X33" s="136">
        <f t="shared" ca="1" si="9"/>
        <v>1032.2115644561929</v>
      </c>
      <c r="Y33" s="136">
        <f t="shared" ca="1" si="9"/>
        <v>1093.2575444154461</v>
      </c>
      <c r="Z33" s="136">
        <f t="shared" ca="1" si="9"/>
        <v>1155.6180173900393</v>
      </c>
      <c r="AA33" s="136">
        <f t="shared" ca="1" si="9"/>
        <v>1236.3263727113783</v>
      </c>
      <c r="AB33" s="136">
        <f t="shared" ca="1" si="9"/>
        <v>1316.745362452881</v>
      </c>
      <c r="AC33" s="136">
        <f t="shared" ca="1" si="9"/>
        <v>1397.0331457442112</v>
      </c>
      <c r="AD33" s="136">
        <f t="shared" ca="1" si="9"/>
        <v>1477.2663144673977</v>
      </c>
      <c r="AE33" s="136">
        <f t="shared" ca="1" si="9"/>
        <v>1557.5942514592855</v>
      </c>
    </row>
    <row r="34" spans="1:31" x14ac:dyDescent="0.25">
      <c r="A34" s="1"/>
      <c r="B34" s="31"/>
      <c r="C34" s="31"/>
      <c r="D34" s="31"/>
      <c r="E34" s="31"/>
      <c r="F34" s="31"/>
      <c r="G34" s="31"/>
      <c r="H34" s="31"/>
    </row>
    <row r="37" spans="1:31" x14ac:dyDescent="0.25">
      <c r="B37" s="70" t="s">
        <v>139</v>
      </c>
      <c r="D37" s="119"/>
      <c r="E37" s="119"/>
      <c r="F37" s="119">
        <f t="shared" ref="F37:AE37" si="10">F12</f>
        <v>120.38940261600013</v>
      </c>
      <c r="G37" s="119">
        <f t="shared" si="10"/>
        <v>121.2558336024382</v>
      </c>
      <c r="H37" s="119">
        <f t="shared" si="10"/>
        <v>121.462043062083</v>
      </c>
      <c r="I37" s="119">
        <f t="shared" si="10"/>
        <v>122.00194184349398</v>
      </c>
      <c r="J37" s="119">
        <f t="shared" si="10"/>
        <v>122.54424047498833</v>
      </c>
      <c r="K37" s="119">
        <f t="shared" si="10"/>
        <v>123.42617962286924</v>
      </c>
      <c r="L37" s="119">
        <f t="shared" si="10"/>
        <v>123.6360800049779</v>
      </c>
      <c r="M37" s="119">
        <f t="shared" si="10"/>
        <v>124.18564238060003</v>
      </c>
      <c r="N37" s="119">
        <f t="shared" si="10"/>
        <v>124.73764756098183</v>
      </c>
      <c r="O37" s="119">
        <f t="shared" si="10"/>
        <v>125.63537244933394</v>
      </c>
      <c r="P37" s="119">
        <f t="shared" si="10"/>
        <v>125.84902981735792</v>
      </c>
      <c r="Q37" s="119">
        <f t="shared" si="10"/>
        <v>126.40842875489608</v>
      </c>
      <c r="R37" s="119">
        <f t="shared" si="10"/>
        <v>126.97031422071157</v>
      </c>
      <c r="S37" s="119">
        <f t="shared" si="10"/>
        <v>127.88410739692245</v>
      </c>
      <c r="T37" s="119">
        <f t="shared" si="10"/>
        <v>128.10158899677637</v>
      </c>
      <c r="U37" s="119">
        <f t="shared" si="10"/>
        <v>128.67100055986705</v>
      </c>
      <c r="V37" s="119">
        <f t="shared" si="10"/>
        <v>129.24294315735568</v>
      </c>
      <c r="W37" s="119">
        <f t="shared" si="10"/>
        <v>130.17309222610021</v>
      </c>
      <c r="X37" s="119">
        <f t="shared" si="10"/>
        <v>130.39446650732651</v>
      </c>
      <c r="Y37" s="119">
        <f t="shared" si="10"/>
        <v>130.97406991095161</v>
      </c>
      <c r="Z37" s="119">
        <f t="shared" si="10"/>
        <v>131.5562496517058</v>
      </c>
      <c r="AA37" s="119">
        <f t="shared" si="10"/>
        <v>132.50304736546627</v>
      </c>
      <c r="AB37" s="119">
        <f t="shared" si="10"/>
        <v>132.72838400277902</v>
      </c>
      <c r="AC37" s="119">
        <f t="shared" si="10"/>
        <v>133.31836166967136</v>
      </c>
      <c r="AD37" s="119">
        <f t="shared" si="10"/>
        <v>133.91096178729305</v>
      </c>
      <c r="AE37" s="119">
        <f t="shared" si="10"/>
        <v>134.87470613849905</v>
      </c>
    </row>
    <row r="38" spans="1:31" x14ac:dyDescent="0.25">
      <c r="B38" s="70" t="s">
        <v>347</v>
      </c>
      <c r="D38" s="119"/>
      <c r="E38" s="119"/>
      <c r="F38" s="119">
        <f t="shared" ref="F38:AE38" ca="1" si="11">F20+F18</f>
        <v>112.53485662999803</v>
      </c>
      <c r="G38" s="119">
        <f t="shared" ca="1" si="11"/>
        <v>112.57223071371972</v>
      </c>
      <c r="H38" s="119">
        <f t="shared" ca="1" si="11"/>
        <v>108.56453654649333</v>
      </c>
      <c r="I38" s="119">
        <f t="shared" ca="1" si="11"/>
        <v>108.86481350576958</v>
      </c>
      <c r="J38" s="119">
        <f t="shared" ca="1" si="11"/>
        <v>109.21553683758589</v>
      </c>
      <c r="K38" s="119">
        <f t="shared" ca="1" si="11"/>
        <v>109.8097041222655</v>
      </c>
      <c r="L38" s="119">
        <f t="shared" ca="1" si="11"/>
        <v>109.82693854474134</v>
      </c>
      <c r="M38" s="119">
        <f t="shared" ca="1" si="11"/>
        <v>110.08203838452278</v>
      </c>
      <c r="N38" s="119">
        <f t="shared" ca="1" si="11"/>
        <v>110.39384976831913</v>
      </c>
      <c r="O38" s="119">
        <f t="shared" ca="1" si="11"/>
        <v>110.94343310391666</v>
      </c>
      <c r="P38" s="119">
        <f t="shared" ca="1" si="11"/>
        <v>110.91108124142447</v>
      </c>
      <c r="Q38" s="119">
        <f t="shared" ca="1" si="11"/>
        <v>111.11003749784713</v>
      </c>
      <c r="R38" s="119">
        <f t="shared" ca="1" si="11"/>
        <v>111.37271016517511</v>
      </c>
      <c r="S38" s="119">
        <f t="shared" ca="1" si="11"/>
        <v>111.86569137790271</v>
      </c>
      <c r="T38" s="119">
        <f t="shared" ca="1" si="11"/>
        <v>111.77241192807483</v>
      </c>
      <c r="U38" s="119">
        <f t="shared" ca="1" si="11"/>
        <v>111.90194609288314</v>
      </c>
      <c r="V38" s="119">
        <f t="shared" ca="1" si="11"/>
        <v>112.10301332922873</v>
      </c>
      <c r="W38" s="119">
        <f t="shared" ca="1" si="11"/>
        <v>112.52482475205606</v>
      </c>
      <c r="X38" s="119">
        <f t="shared" ca="1" si="11"/>
        <v>112.35681260456847</v>
      </c>
      <c r="Y38" s="119">
        <f t="shared" ca="1" si="11"/>
        <v>112.40084792086894</v>
      </c>
      <c r="Z38" s="119">
        <f t="shared" ca="1" si="11"/>
        <v>112.52511976547547</v>
      </c>
      <c r="AA38" s="119">
        <f t="shared" ca="1" si="11"/>
        <v>112.85810790623587</v>
      </c>
      <c r="AB38" s="119">
        <f t="shared" ca="1" si="11"/>
        <v>112.59856242734344</v>
      </c>
      <c r="AC38" s="119">
        <f t="shared" ca="1" si="11"/>
        <v>112.53763472372989</v>
      </c>
      <c r="AD38" s="119">
        <f t="shared" ca="1" si="11"/>
        <v>112.56661050341317</v>
      </c>
      <c r="AE38" s="119">
        <f t="shared" ca="1" si="11"/>
        <v>112.78938615204926</v>
      </c>
    </row>
    <row r="39" spans="1:31" x14ac:dyDescent="0.25">
      <c r="B39" s="70" t="s">
        <v>142</v>
      </c>
      <c r="D39" s="119"/>
      <c r="E39" s="119"/>
      <c r="F39" s="119">
        <f t="shared" ref="F39:AE39" ca="1" si="12">F20</f>
        <v>94.902323000547383</v>
      </c>
      <c r="G39" s="119">
        <f t="shared" ca="1" si="12"/>
        <v>94.891388772955509</v>
      </c>
      <c r="H39" s="119">
        <f t="shared" ca="1" si="12"/>
        <v>90.932002917042681</v>
      </c>
      <c r="I39" s="119">
        <f t="shared" ca="1" si="12"/>
        <v>91.232279876318927</v>
      </c>
      <c r="J39" s="119">
        <f t="shared" ca="1" si="12"/>
        <v>91.583003208135239</v>
      </c>
      <c r="K39" s="119">
        <f t="shared" ca="1" si="12"/>
        <v>92.12886218150129</v>
      </c>
      <c r="L39" s="119">
        <f t="shared" ca="1" si="12"/>
        <v>92.19440491529069</v>
      </c>
      <c r="M39" s="119">
        <f t="shared" ca="1" si="12"/>
        <v>92.449504755072127</v>
      </c>
      <c r="N39" s="119">
        <f t="shared" ca="1" si="12"/>
        <v>92.76131613886848</v>
      </c>
      <c r="O39" s="119">
        <f t="shared" ca="1" si="12"/>
        <v>93.26259116315245</v>
      </c>
      <c r="P39" s="119">
        <f t="shared" ca="1" si="12"/>
        <v>93.278547611973821</v>
      </c>
      <c r="Q39" s="119">
        <f t="shared" ca="1" si="12"/>
        <v>93.477503868396482</v>
      </c>
      <c r="R39" s="119">
        <f t="shared" ca="1" si="12"/>
        <v>93.740176535724459</v>
      </c>
      <c r="S39" s="119">
        <f t="shared" ca="1" si="12"/>
        <v>94.184849437138496</v>
      </c>
      <c r="T39" s="119">
        <f t="shared" ca="1" si="12"/>
        <v>94.139878298624183</v>
      </c>
      <c r="U39" s="119">
        <f t="shared" ca="1" si="12"/>
        <v>94.269412463432488</v>
      </c>
      <c r="V39" s="119">
        <f t="shared" ca="1" si="12"/>
        <v>94.470479699778082</v>
      </c>
      <c r="W39" s="119">
        <f t="shared" ca="1" si="12"/>
        <v>94.843982811291852</v>
      </c>
      <c r="X39" s="119">
        <f t="shared" ca="1" si="12"/>
        <v>94.724278975117826</v>
      </c>
      <c r="Y39" s="119">
        <f t="shared" ca="1" si="12"/>
        <v>94.768314291418292</v>
      </c>
      <c r="Z39" s="119">
        <f t="shared" ca="1" si="12"/>
        <v>94.892586136024818</v>
      </c>
      <c r="AA39" s="119">
        <f t="shared" ca="1" si="12"/>
        <v>95.177265965471662</v>
      </c>
      <c r="AB39" s="119">
        <f t="shared" ca="1" si="12"/>
        <v>94.96602879789279</v>
      </c>
      <c r="AC39" s="119">
        <f t="shared" ca="1" si="12"/>
        <v>94.905101094279246</v>
      </c>
      <c r="AD39" s="119">
        <f t="shared" ca="1" si="12"/>
        <v>94.934076873962525</v>
      </c>
      <c r="AE39" s="119">
        <f t="shared" ca="1" si="12"/>
        <v>95.10854421128505</v>
      </c>
    </row>
    <row r="40" spans="1:31" x14ac:dyDescent="0.25">
      <c r="B40" s="70" t="s">
        <v>149</v>
      </c>
      <c r="D40" s="119"/>
      <c r="E40" s="119"/>
      <c r="F40" s="119">
        <f t="shared" ref="F40:AE40" ca="1" si="13">F25</f>
        <v>46.462829948147601</v>
      </c>
      <c r="G40" s="119">
        <f t="shared" ca="1" si="13"/>
        <v>47.250260128244193</v>
      </c>
      <c r="H40" s="119">
        <f t="shared" ca="1" si="13"/>
        <v>45.575566127963654</v>
      </c>
      <c r="I40" s="119">
        <f t="shared" ca="1" si="13"/>
        <v>47.416286655802359</v>
      </c>
      <c r="J40" s="119">
        <f t="shared" ca="1" si="13"/>
        <v>49.29863956597093</v>
      </c>
      <c r="K40" s="119">
        <f t="shared" ca="1" si="13"/>
        <v>51.342034018397676</v>
      </c>
      <c r="L40" s="119">
        <f t="shared" ca="1" si="13"/>
        <v>52.989033084626584</v>
      </c>
      <c r="M40" s="119">
        <f t="shared" ca="1" si="13"/>
        <v>54.792469839288628</v>
      </c>
      <c r="N40" s="119">
        <f t="shared" ca="1" si="13"/>
        <v>56.64270949699528</v>
      </c>
      <c r="O40" s="119">
        <f t="shared" ca="1" si="13"/>
        <v>58.649309707923564</v>
      </c>
      <c r="P40" s="119">
        <f t="shared" ca="1" si="13"/>
        <v>57.859050536091615</v>
      </c>
      <c r="Q40" s="119">
        <f t="shared" ca="1" si="13"/>
        <v>51.583566791680312</v>
      </c>
      <c r="R40" s="119">
        <f t="shared" ca="1" si="13"/>
        <v>52.629797104085704</v>
      </c>
      <c r="S40" s="119">
        <f t="shared" ca="1" si="13"/>
        <v>53.872995740975384</v>
      </c>
      <c r="T40" s="119">
        <f t="shared" ca="1" si="13"/>
        <v>54.846439668637629</v>
      </c>
      <c r="U40" s="119">
        <f t="shared" ca="1" si="13"/>
        <v>55.99203573682712</v>
      </c>
      <c r="V40" s="119">
        <f t="shared" ca="1" si="13"/>
        <v>57.234701524637728</v>
      </c>
      <c r="W40" s="119">
        <f t="shared" ca="1" si="13"/>
        <v>58.628674127020105</v>
      </c>
      <c r="X40" s="119">
        <f t="shared" ca="1" si="13"/>
        <v>59.72697550903824</v>
      </c>
      <c r="Y40" s="119">
        <f t="shared" ca="1" si="13"/>
        <v>60.960195850485377</v>
      </c>
      <c r="Z40" s="119">
        <f t="shared" ca="1" si="13"/>
        <v>62.274688865825524</v>
      </c>
      <c r="AA40" s="119">
        <f t="shared" ca="1" si="13"/>
        <v>63.027513380574746</v>
      </c>
      <c r="AB40" s="119">
        <f t="shared" ca="1" si="13"/>
        <v>62.786456112051901</v>
      </c>
      <c r="AC40" s="119">
        <f t="shared" ca="1" si="13"/>
        <v>62.65524966187963</v>
      </c>
      <c r="AD40" s="119">
        <f t="shared" ca="1" si="13"/>
        <v>62.600635093735868</v>
      </c>
      <c r="AE40" s="119">
        <f t="shared" ca="1" si="13"/>
        <v>62.647095051123578</v>
      </c>
    </row>
    <row r="42" spans="1:31" x14ac:dyDescent="0.25">
      <c r="B42" s="70" t="s">
        <v>348</v>
      </c>
      <c r="F42" s="315">
        <f t="shared" ref="F42:AE42" ca="1" si="14">F38/F37</f>
        <v>0.93475716454001079</v>
      </c>
      <c r="G42" s="315">
        <f t="shared" ca="1" si="14"/>
        <v>0.92838610208899774</v>
      </c>
      <c r="H42" s="315">
        <f t="shared" ca="1" si="14"/>
        <v>0.89381451035697335</v>
      </c>
      <c r="I42" s="315">
        <f t="shared" ca="1" si="14"/>
        <v>0.8923203340929039</v>
      </c>
      <c r="J42" s="315">
        <f t="shared" ca="1" si="14"/>
        <v>0.89123353667426852</v>
      </c>
      <c r="K42" s="315">
        <f t="shared" ca="1" si="14"/>
        <v>0.88967919494705983</v>
      </c>
      <c r="L42" s="315">
        <f t="shared" ca="1" si="14"/>
        <v>0.88830815843012356</v>
      </c>
      <c r="M42" s="315">
        <f t="shared" ca="1" si="14"/>
        <v>0.88643128363540613</v>
      </c>
      <c r="N42" s="315">
        <f t="shared" ca="1" si="14"/>
        <v>0.88500827077366284</v>
      </c>
      <c r="O42" s="315">
        <f t="shared" ca="1" si="14"/>
        <v>0.88305889448974872</v>
      </c>
      <c r="P42" s="315">
        <f t="shared" ca="1" si="14"/>
        <v>0.88130263222837246</v>
      </c>
      <c r="Q42" s="315">
        <f t="shared" ca="1" si="14"/>
        <v>0.87897649383244625</v>
      </c>
      <c r="R42" s="315">
        <f t="shared" ca="1" si="14"/>
        <v>0.8771555055898872</v>
      </c>
      <c r="S42" s="315">
        <f t="shared" ca="1" si="14"/>
        <v>0.87474271553303873</v>
      </c>
      <c r="T42" s="315">
        <f t="shared" ca="1" si="14"/>
        <v>0.87252947292392713</v>
      </c>
      <c r="U42" s="315">
        <f t="shared" ca="1" si="14"/>
        <v>0.8696749508901056</v>
      </c>
      <c r="V42" s="315">
        <f t="shared" ca="1" si="14"/>
        <v>0.86738208362170488</v>
      </c>
      <c r="W42" s="315">
        <f t="shared" ca="1" si="14"/>
        <v>0.8644246120896435</v>
      </c>
      <c r="X42" s="315">
        <f t="shared" ca="1" si="14"/>
        <v>0.86166856319976926</v>
      </c>
      <c r="Y42" s="315">
        <f t="shared" ca="1" si="14"/>
        <v>0.85819160996745014</v>
      </c>
      <c r="Z42" s="315">
        <f t="shared" ca="1" si="14"/>
        <v>0.85533845836579325</v>
      </c>
      <c r="AA42" s="315">
        <f t="shared" ca="1" si="14"/>
        <v>0.85173971580407304</v>
      </c>
      <c r="AB42" s="315">
        <f t="shared" ca="1" si="14"/>
        <v>0.84833823053994151</v>
      </c>
      <c r="AC42" s="315">
        <f t="shared" ca="1" si="14"/>
        <v>0.84412704532455352</v>
      </c>
      <c r="AD42" s="315">
        <f t="shared" ca="1" si="14"/>
        <v>0.84060788602367231</v>
      </c>
      <c r="AE42" s="315">
        <f t="shared" ca="1" si="14"/>
        <v>0.8362530631668551</v>
      </c>
    </row>
    <row r="43" spans="1:31" x14ac:dyDescent="0.25">
      <c r="B43" s="70" t="s">
        <v>352</v>
      </c>
      <c r="F43" s="315">
        <f ca="1">AVERAGE(F42:AE42)</f>
        <v>0.87520963419732256</v>
      </c>
      <c r="G43" s="315"/>
      <c r="H43" s="315"/>
      <c r="I43" s="315"/>
      <c r="J43" s="315"/>
      <c r="K43" s="315"/>
      <c r="L43" s="315"/>
      <c r="M43" s="315"/>
      <c r="N43" s="315"/>
      <c r="O43" s="315"/>
      <c r="P43" s="315"/>
      <c r="Q43" s="315"/>
      <c r="R43" s="315"/>
      <c r="S43" s="315"/>
      <c r="T43" s="315"/>
      <c r="U43" s="315"/>
      <c r="V43" s="315"/>
      <c r="W43" s="315"/>
      <c r="X43" s="315"/>
      <c r="Y43" s="315"/>
      <c r="Z43" s="315"/>
      <c r="AA43" s="315"/>
      <c r="AB43" s="315"/>
      <c r="AC43" s="315"/>
      <c r="AD43" s="315"/>
      <c r="AE43" s="315"/>
    </row>
    <row r="44" spans="1:31" x14ac:dyDescent="0.25">
      <c r="B44" s="70" t="s">
        <v>349</v>
      </c>
      <c r="F44" s="315">
        <f t="shared" ref="F44:AE44" ca="1" si="15">F39/F37</f>
        <v>0.78829465832015488</v>
      </c>
      <c r="G44" s="315">
        <f t="shared" ca="1" si="15"/>
        <v>0.78257174070549163</v>
      </c>
      <c r="H44" s="315">
        <f t="shared" ca="1" si="15"/>
        <v>0.74864542555541014</v>
      </c>
      <c r="I44" s="315">
        <f t="shared" ca="1" si="15"/>
        <v>0.74779367031184751</v>
      </c>
      <c r="J44" s="315">
        <f t="shared" ca="1" si="15"/>
        <v>0.74734645098908281</v>
      </c>
      <c r="K44" s="315">
        <f t="shared" ca="1" si="15"/>
        <v>0.74642885701398654</v>
      </c>
      <c r="L44" s="315">
        <f t="shared" ca="1" si="15"/>
        <v>0.7456917504306082</v>
      </c>
      <c r="M44" s="315">
        <f t="shared" ca="1" si="15"/>
        <v>0.74444600022066931</v>
      </c>
      <c r="N44" s="315">
        <f t="shared" ca="1" si="15"/>
        <v>0.74365131900951764</v>
      </c>
      <c r="O44" s="315">
        <f t="shared" ca="1" si="15"/>
        <v>0.74232749380166207</v>
      </c>
      <c r="P44" s="315">
        <f t="shared" ca="1" si="15"/>
        <v>0.74119401434676957</v>
      </c>
      <c r="Q44" s="315">
        <f t="shared" ca="1" si="15"/>
        <v>0.73948790273825704</v>
      </c>
      <c r="R44" s="315">
        <f t="shared" ca="1" si="15"/>
        <v>0.73828419746033391</v>
      </c>
      <c r="S44" s="315">
        <f t="shared" ca="1" si="15"/>
        <v>0.73648595868766309</v>
      </c>
      <c r="T44" s="315">
        <f t="shared" ca="1" si="15"/>
        <v>0.73488454777085688</v>
      </c>
      <c r="U44" s="315">
        <f t="shared" ca="1" si="15"/>
        <v>0.7326391498725584</v>
      </c>
      <c r="V44" s="315">
        <f t="shared" ca="1" si="15"/>
        <v>0.73095271116472893</v>
      </c>
      <c r="W44" s="315">
        <f t="shared" ca="1" si="15"/>
        <v>0.72859898454709415</v>
      </c>
      <c r="X44" s="315">
        <f t="shared" ca="1" si="15"/>
        <v>0.72644400880152016</v>
      </c>
      <c r="Y44" s="315">
        <f t="shared" ca="1" si="15"/>
        <v>0.7235654687668378</v>
      </c>
      <c r="Z44" s="315">
        <f t="shared" ca="1" si="15"/>
        <v>0.72130808218729436</v>
      </c>
      <c r="AA44" s="315">
        <f t="shared" ca="1" si="15"/>
        <v>0.71830246819121324</v>
      </c>
      <c r="AB44" s="315">
        <f t="shared" ca="1" si="15"/>
        <v>0.7154914867034351</v>
      </c>
      <c r="AC44" s="315">
        <f t="shared" ca="1" si="15"/>
        <v>0.71186819209067165</v>
      </c>
      <c r="AD44" s="315">
        <f t="shared" ca="1" si="15"/>
        <v>0.70893432178284088</v>
      </c>
      <c r="AE44" s="315">
        <f t="shared" ca="1" si="15"/>
        <v>0.70516219782247946</v>
      </c>
    </row>
    <row r="45" spans="1:31" x14ac:dyDescent="0.25">
      <c r="B45" s="70" t="s">
        <v>352</v>
      </c>
      <c r="F45" s="315">
        <f ca="1">AVERAGE(F44:AE44)</f>
        <v>0.73656927151126861</v>
      </c>
      <c r="G45" s="315"/>
      <c r="H45" s="315"/>
      <c r="I45" s="315"/>
      <c r="J45" s="315"/>
      <c r="K45" s="315"/>
      <c r="L45" s="315"/>
      <c r="M45" s="315"/>
      <c r="N45" s="315"/>
      <c r="O45" s="315"/>
      <c r="P45" s="315"/>
      <c r="Q45" s="315"/>
      <c r="R45" s="315"/>
      <c r="S45" s="315"/>
      <c r="T45" s="315"/>
      <c r="U45" s="315"/>
      <c r="V45" s="315"/>
      <c r="W45" s="315"/>
      <c r="X45" s="315"/>
      <c r="Y45" s="315"/>
      <c r="Z45" s="315"/>
      <c r="AA45" s="315"/>
      <c r="AB45" s="315"/>
      <c r="AC45" s="315"/>
      <c r="AD45" s="315"/>
      <c r="AE45" s="315"/>
    </row>
    <row r="46" spans="1:31" x14ac:dyDescent="0.25">
      <c r="B46" s="70" t="s">
        <v>350</v>
      </c>
      <c r="F46" s="315">
        <f t="shared" ref="F46:AE46" ca="1" si="16">F40/F37</f>
        <v>0.38593787275735303</v>
      </c>
      <c r="G46" s="315">
        <f t="shared" ca="1" si="16"/>
        <v>0.38967411896374188</v>
      </c>
      <c r="H46" s="315">
        <f t="shared" ca="1" si="16"/>
        <v>0.37522476140689132</v>
      </c>
      <c r="I46" s="315">
        <f t="shared" ca="1" si="16"/>
        <v>0.38865190126751198</v>
      </c>
      <c r="J46" s="315">
        <f t="shared" ca="1" si="16"/>
        <v>0.40229258735364998</v>
      </c>
      <c r="K46" s="315">
        <f t="shared" ca="1" si="16"/>
        <v>0.41597361414955986</v>
      </c>
      <c r="L46" s="315">
        <f t="shared" ca="1" si="16"/>
        <v>0.42858875081200498</v>
      </c>
      <c r="M46" s="315">
        <f t="shared" ca="1" si="16"/>
        <v>0.44121420793043442</v>
      </c>
      <c r="N46" s="315">
        <f t="shared" ca="1" si="16"/>
        <v>0.45409473887427415</v>
      </c>
      <c r="O46" s="315">
        <f t="shared" ca="1" si="16"/>
        <v>0.46682163282936562</v>
      </c>
      <c r="P46" s="315">
        <f t="shared" ca="1" si="16"/>
        <v>0.45974967482912865</v>
      </c>
      <c r="Q46" s="315">
        <f t="shared" ca="1" si="16"/>
        <v>0.40807062709164771</v>
      </c>
      <c r="R46" s="315">
        <f t="shared" ca="1" si="16"/>
        <v>0.4145047401599693</v>
      </c>
      <c r="S46" s="315">
        <f t="shared" ca="1" si="16"/>
        <v>0.42126419644753954</v>
      </c>
      <c r="T46" s="315">
        <f t="shared" ca="1" si="16"/>
        <v>0.42814800423761973</v>
      </c>
      <c r="U46" s="315">
        <f t="shared" ca="1" si="16"/>
        <v>0.43515660477650187</v>
      </c>
      <c r="V46" s="315">
        <f t="shared" ca="1" si="16"/>
        <v>0.44284585391214293</v>
      </c>
      <c r="W46" s="315">
        <f t="shared" ca="1" si="16"/>
        <v>0.45039011614771202</v>
      </c>
      <c r="X46" s="315">
        <f t="shared" ca="1" si="16"/>
        <v>0.45804839046358109</v>
      </c>
      <c r="Y46" s="315">
        <f t="shared" ca="1" si="16"/>
        <v>0.46543713493771555</v>
      </c>
      <c r="Z46" s="315">
        <f t="shared" ca="1" si="16"/>
        <v>0.47336929283631379</v>
      </c>
      <c r="AA46" s="315">
        <f t="shared" ca="1" si="16"/>
        <v>0.47566840637811136</v>
      </c>
      <c r="AB46" s="315">
        <f t="shared" ca="1" si="16"/>
        <v>0.47304468131501776</v>
      </c>
      <c r="AC46" s="315">
        <f t="shared" ca="1" si="16"/>
        <v>0.46996714388917588</v>
      </c>
      <c r="AD46" s="315">
        <f t="shared" ca="1" si="16"/>
        <v>0.46747954206446529</v>
      </c>
      <c r="AE46" s="315">
        <f t="shared" ca="1" si="16"/>
        <v>0.46448364444844858</v>
      </c>
    </row>
    <row r="47" spans="1:31" x14ac:dyDescent="0.25">
      <c r="B47" s="70" t="s">
        <v>352</v>
      </c>
      <c r="F47" s="315">
        <f ca="1">AVERAGE(F46:AE46)</f>
        <v>0.4367731630876876</v>
      </c>
      <c r="G47" s="315"/>
      <c r="H47" s="315"/>
      <c r="I47" s="315"/>
      <c r="J47" s="315"/>
      <c r="K47" s="315"/>
      <c r="L47" s="315"/>
      <c r="M47" s="315"/>
      <c r="N47" s="315"/>
      <c r="O47" s="315"/>
      <c r="P47" s="315"/>
      <c r="Q47" s="315"/>
      <c r="R47" s="315"/>
      <c r="S47" s="315"/>
      <c r="T47" s="315"/>
      <c r="U47" s="315"/>
      <c r="V47" s="315"/>
      <c r="W47" s="315"/>
      <c r="X47" s="315"/>
      <c r="Y47" s="315"/>
      <c r="Z47" s="315"/>
      <c r="AA47" s="315"/>
      <c r="AB47" s="315"/>
      <c r="AC47" s="315"/>
      <c r="AD47" s="315"/>
      <c r="AE47" s="315"/>
    </row>
    <row r="48" spans="1:31" x14ac:dyDescent="0.25">
      <c r="B48" s="70" t="s">
        <v>351</v>
      </c>
      <c r="F48" s="315"/>
      <c r="G48" s="315">
        <f>G37/F37-1</f>
        <v>7.196904109589175E-3</v>
      </c>
      <c r="H48" s="315">
        <f t="shared" ref="H48:AE48" si="17">H37/G37-1</f>
        <v>1.7006147540983285E-3</v>
      </c>
      <c r="I48" s="315">
        <f t="shared" si="17"/>
        <v>4.4450000000002543E-3</v>
      </c>
      <c r="J48" s="315">
        <f t="shared" si="17"/>
        <v>4.4450000000000323E-3</v>
      </c>
      <c r="K48" s="315">
        <f t="shared" si="17"/>
        <v>7.196904109588953E-3</v>
      </c>
      <c r="L48" s="315">
        <f t="shared" si="17"/>
        <v>1.7006147540985506E-3</v>
      </c>
      <c r="M48" s="315">
        <f t="shared" si="17"/>
        <v>4.4450000000000323E-3</v>
      </c>
      <c r="N48" s="315">
        <f t="shared" si="17"/>
        <v>4.4450000000002543E-3</v>
      </c>
      <c r="O48" s="315">
        <f t="shared" si="17"/>
        <v>7.196904109589175E-3</v>
      </c>
      <c r="P48" s="315">
        <f t="shared" si="17"/>
        <v>1.7006147540983285E-3</v>
      </c>
      <c r="Q48" s="315">
        <f t="shared" si="17"/>
        <v>4.4450000000000323E-3</v>
      </c>
      <c r="R48" s="315">
        <f t="shared" si="17"/>
        <v>4.4449999999998102E-3</v>
      </c>
      <c r="S48" s="315">
        <f t="shared" si="17"/>
        <v>7.196904109589175E-3</v>
      </c>
      <c r="T48" s="315">
        <f t="shared" si="17"/>
        <v>1.7006147540985506E-3</v>
      </c>
      <c r="U48" s="315">
        <f t="shared" si="17"/>
        <v>4.4450000000000323E-3</v>
      </c>
      <c r="V48" s="315">
        <f t="shared" si="17"/>
        <v>4.4450000000002543E-3</v>
      </c>
      <c r="W48" s="315">
        <f t="shared" si="17"/>
        <v>7.1969041095887309E-3</v>
      </c>
      <c r="X48" s="315">
        <f t="shared" si="17"/>
        <v>1.7006147540983285E-3</v>
      </c>
      <c r="Y48" s="315">
        <f t="shared" si="17"/>
        <v>4.4450000000002543E-3</v>
      </c>
      <c r="Z48" s="315">
        <f t="shared" si="17"/>
        <v>4.4450000000000323E-3</v>
      </c>
      <c r="AA48" s="315">
        <f t="shared" si="17"/>
        <v>7.196904109588953E-3</v>
      </c>
      <c r="AB48" s="315">
        <f t="shared" si="17"/>
        <v>1.7006147540987726E-3</v>
      </c>
      <c r="AC48" s="315">
        <f t="shared" si="17"/>
        <v>4.4449999999998102E-3</v>
      </c>
      <c r="AD48" s="315">
        <f t="shared" si="17"/>
        <v>4.4450000000000323E-3</v>
      </c>
      <c r="AE48" s="315">
        <f t="shared" si="17"/>
        <v>7.196904109589175E-3</v>
      </c>
    </row>
    <row r="49" spans="2:6" x14ac:dyDescent="0.25">
      <c r="B49" s="70" t="s">
        <v>352</v>
      </c>
      <c r="F49" s="315">
        <f>AVERAGE(F48:AE48)</f>
        <v>4.556880691668601E-3</v>
      </c>
    </row>
  </sheetData>
  <mergeCells count="2">
    <mergeCell ref="D7:E7"/>
    <mergeCell ref="F7:AE7"/>
  </mergeCells>
  <dataValidations count="1">
    <dataValidation type="list" allowBlank="1" showInputMessage="1" showErrorMessage="1" sqref="A12 A19">
      <formula1>"0%,5%,10%"</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H43"/>
  <sheetViews>
    <sheetView showGridLines="0" workbookViewId="0">
      <pane xSplit="2" ySplit="8" topLeftCell="J9" activePane="bottomRight" state="frozen"/>
      <selection activeCell="A9" sqref="A9"/>
      <selection pane="topRight" activeCell="A9" sqref="A9"/>
      <selection pane="bottomLeft" activeCell="A9" sqref="A9"/>
      <selection pane="bottomRight"/>
    </sheetView>
  </sheetViews>
  <sheetFormatPr defaultColWidth="13.7109375" defaultRowHeight="15" x14ac:dyDescent="0.25"/>
  <cols>
    <col min="1" max="1" width="3.5703125" style="70" customWidth="1"/>
    <col min="2" max="2" width="64.7109375" style="70" customWidth="1"/>
    <col min="3" max="3" width="7.140625" style="70" customWidth="1"/>
    <col min="4" max="15" width="12.7109375" style="70" customWidth="1"/>
    <col min="16" max="31" width="13.7109375" style="70" customWidth="1"/>
    <col min="32" max="16384" width="13.7109375" style="70"/>
  </cols>
  <sheetData>
    <row r="1" spans="2:34" s="1" customFormat="1" ht="19.899999999999999" customHeight="1" x14ac:dyDescent="0.25">
      <c r="B1" s="105" t="str">
        <f>Company</f>
        <v>M/s. Sai Infinium Limited</v>
      </c>
      <c r="C1" s="105"/>
      <c r="D1" s="105"/>
      <c r="E1" s="105"/>
      <c r="F1" s="105"/>
      <c r="G1" s="105"/>
      <c r="H1" s="105"/>
      <c r="I1" s="105"/>
      <c r="J1" s="105"/>
      <c r="K1" s="105"/>
      <c r="L1" s="105"/>
      <c r="M1" s="105"/>
      <c r="N1" s="105"/>
      <c r="O1" s="105"/>
      <c r="P1" s="105"/>
      <c r="Q1" s="105"/>
      <c r="R1" s="105"/>
      <c r="S1" s="105"/>
      <c r="T1" s="105"/>
      <c r="U1" s="105"/>
      <c r="V1" s="105"/>
      <c r="W1" s="105"/>
      <c r="X1" s="105"/>
      <c r="Y1" s="105"/>
      <c r="Z1" s="105"/>
      <c r="AA1" s="105"/>
      <c r="AB1" s="105"/>
      <c r="AC1" s="105"/>
      <c r="AD1" s="105"/>
      <c r="AE1" s="105"/>
    </row>
    <row r="2" spans="2:34" s="1" customFormat="1" ht="9" customHeight="1" x14ac:dyDescent="0.25">
      <c r="B2" s="2"/>
      <c r="C2" s="2"/>
      <c r="D2" s="2"/>
      <c r="E2" s="2"/>
      <c r="F2" s="2"/>
      <c r="G2" s="2"/>
      <c r="H2" s="2"/>
      <c r="I2" s="2"/>
      <c r="J2" s="2"/>
      <c r="K2" s="2"/>
      <c r="L2" s="2"/>
      <c r="M2" s="2"/>
      <c r="N2" s="2"/>
      <c r="O2" s="2"/>
      <c r="P2" s="2"/>
      <c r="Q2" s="2"/>
      <c r="R2" s="2"/>
      <c r="S2" s="2"/>
      <c r="T2" s="2"/>
      <c r="U2" s="2"/>
      <c r="V2" s="2"/>
      <c r="W2" s="2"/>
      <c r="X2" s="2"/>
      <c r="Y2" s="2"/>
      <c r="Z2" s="2"/>
      <c r="AA2" s="2"/>
      <c r="AB2" s="2"/>
      <c r="AC2" s="2"/>
      <c r="AD2" s="2"/>
      <c r="AE2" s="2"/>
    </row>
    <row r="3" spans="2:34" s="1" customFormat="1" ht="19.899999999999999" customHeight="1" x14ac:dyDescent="0.25">
      <c r="B3" s="106" t="str">
        <f>Project</f>
        <v>Financial Model for Proposed Hybrid Solar Plant (36 MW DC) &amp; Wind Plant (27.30 MW) @ GUJARAT</v>
      </c>
      <c r="C3" s="106"/>
      <c r="D3" s="106"/>
      <c r="E3" s="106"/>
      <c r="F3" s="106"/>
      <c r="G3" s="106"/>
      <c r="H3" s="106"/>
      <c r="I3" s="106"/>
      <c r="J3" s="106"/>
      <c r="K3" s="106"/>
      <c r="L3" s="106"/>
      <c r="M3" s="106"/>
      <c r="N3" s="106"/>
      <c r="O3" s="106"/>
      <c r="P3" s="106"/>
      <c r="Q3" s="106"/>
      <c r="R3" s="106"/>
      <c r="S3" s="106"/>
      <c r="T3" s="106"/>
      <c r="U3" s="106"/>
      <c r="V3" s="106"/>
      <c r="W3" s="106"/>
      <c r="X3" s="106"/>
      <c r="Y3" s="106"/>
      <c r="Z3" s="106"/>
      <c r="AA3" s="106"/>
      <c r="AB3" s="106"/>
      <c r="AC3" s="106"/>
      <c r="AD3" s="106"/>
      <c r="AE3" s="106"/>
    </row>
    <row r="4" spans="2:34" s="1" customFormat="1" ht="9" customHeight="1" x14ac:dyDescent="0.25">
      <c r="B4" s="2"/>
      <c r="C4" s="2"/>
      <c r="D4" s="2"/>
      <c r="E4" s="2"/>
      <c r="F4" s="2"/>
      <c r="G4" s="297"/>
    </row>
    <row r="5" spans="2:34" customFormat="1" ht="15.75" x14ac:dyDescent="0.25">
      <c r="B5" s="71" t="s">
        <v>330</v>
      </c>
      <c r="C5" s="71"/>
      <c r="D5" s="72"/>
      <c r="E5" s="72"/>
      <c r="F5" s="72"/>
      <c r="G5" s="72"/>
      <c r="H5" s="72"/>
      <c r="I5" s="72"/>
      <c r="J5" s="72"/>
      <c r="K5" s="72"/>
      <c r="L5" s="72"/>
      <c r="M5" s="72"/>
      <c r="N5" s="72"/>
      <c r="O5" s="72"/>
      <c r="P5" s="72"/>
      <c r="Q5" s="72"/>
      <c r="R5" s="72"/>
      <c r="S5" s="72"/>
      <c r="T5" s="72"/>
      <c r="U5" s="72"/>
      <c r="V5" s="72"/>
      <c r="W5" s="72"/>
      <c r="X5" s="72"/>
      <c r="Y5" s="72"/>
      <c r="Z5" s="72"/>
      <c r="AA5" s="72"/>
      <c r="AB5" s="72"/>
      <c r="AC5" s="72"/>
      <c r="AD5" s="72"/>
      <c r="AE5" s="72"/>
    </row>
    <row r="6" spans="2:34" customFormat="1" x14ac:dyDescent="0.25">
      <c r="B6" s="298" t="s">
        <v>327</v>
      </c>
      <c r="C6" s="68"/>
      <c r="D6" s="68"/>
      <c r="E6" s="31"/>
      <c r="F6" s="24"/>
      <c r="G6" s="24"/>
      <c r="H6" s="24"/>
      <c r="I6" s="24"/>
      <c r="J6" s="24"/>
      <c r="K6" s="24"/>
      <c r="L6" s="24"/>
      <c r="M6" s="24"/>
      <c r="N6" s="24"/>
      <c r="O6" s="24"/>
      <c r="P6" s="24"/>
      <c r="Q6" s="24"/>
      <c r="R6" s="24"/>
      <c r="S6" s="24"/>
      <c r="T6" s="24"/>
      <c r="U6" s="24"/>
      <c r="V6" s="24"/>
      <c r="W6" s="24"/>
      <c r="X6" s="24"/>
      <c r="Y6" s="24"/>
      <c r="Z6" s="24"/>
      <c r="AA6" s="24"/>
      <c r="AB6" s="24"/>
      <c r="AC6" s="24"/>
      <c r="AD6" s="24"/>
      <c r="AE6" s="24"/>
    </row>
    <row r="7" spans="2:34" s="31" customFormat="1" ht="15.75" x14ac:dyDescent="0.25">
      <c r="C7" s="68"/>
      <c r="D7" s="357" t="s">
        <v>25</v>
      </c>
      <c r="E7" s="357"/>
      <c r="F7" s="358" t="s">
        <v>91</v>
      </c>
      <c r="G7" s="358"/>
      <c r="H7" s="358"/>
      <c r="I7" s="358"/>
      <c r="J7" s="358"/>
      <c r="K7" s="358"/>
      <c r="L7" s="358"/>
      <c r="M7" s="358"/>
      <c r="N7" s="358"/>
      <c r="O7" s="358"/>
      <c r="P7" s="358"/>
      <c r="Q7" s="358"/>
      <c r="R7" s="358"/>
      <c r="S7" s="358"/>
      <c r="T7" s="358"/>
      <c r="U7" s="358"/>
      <c r="V7" s="358"/>
      <c r="W7" s="358"/>
      <c r="X7" s="358"/>
      <c r="Y7" s="358"/>
      <c r="Z7" s="358"/>
      <c r="AA7" s="358"/>
      <c r="AB7" s="358"/>
      <c r="AC7" s="358"/>
      <c r="AD7" s="358"/>
      <c r="AE7" s="358"/>
    </row>
    <row r="8" spans="2:34" s="31" customFormat="1" x14ac:dyDescent="0.25">
      <c r="B8" s="73" t="s">
        <v>92</v>
      </c>
      <c r="C8" s="74" t="s">
        <v>93</v>
      </c>
      <c r="D8" s="75">
        <f>'Revenue &amp; Expenses Modeling'!D8</f>
        <v>45747</v>
      </c>
      <c r="E8" s="75">
        <f>'Revenue &amp; Expenses Modeling'!E8</f>
        <v>46112</v>
      </c>
      <c r="F8" s="75">
        <f>'Revenue &amp; Expenses Modeling'!F8</f>
        <v>46477</v>
      </c>
      <c r="G8" s="75">
        <f>'Revenue &amp; Expenses Modeling'!G8</f>
        <v>46843</v>
      </c>
      <c r="H8" s="75">
        <f>'Revenue &amp; Expenses Modeling'!H8</f>
        <v>47208</v>
      </c>
      <c r="I8" s="75">
        <f>'Revenue &amp; Expenses Modeling'!I8</f>
        <v>47573</v>
      </c>
      <c r="J8" s="75">
        <f>'Revenue &amp; Expenses Modeling'!J8</f>
        <v>47938</v>
      </c>
      <c r="K8" s="75">
        <f>'Revenue &amp; Expenses Modeling'!K8</f>
        <v>48304</v>
      </c>
      <c r="L8" s="75">
        <f>'Revenue &amp; Expenses Modeling'!L8</f>
        <v>48669</v>
      </c>
      <c r="M8" s="75">
        <f>'Revenue &amp; Expenses Modeling'!M8</f>
        <v>49034</v>
      </c>
      <c r="N8" s="75">
        <f>'Revenue &amp; Expenses Modeling'!N8</f>
        <v>49399</v>
      </c>
      <c r="O8" s="75">
        <f>'Revenue &amp; Expenses Modeling'!O8</f>
        <v>49765</v>
      </c>
      <c r="P8" s="75">
        <f>'Revenue &amp; Expenses Modeling'!P8</f>
        <v>50130</v>
      </c>
      <c r="Q8" s="75">
        <f>'Revenue &amp; Expenses Modeling'!Q8</f>
        <v>50495</v>
      </c>
      <c r="R8" s="75">
        <f>'Revenue &amp; Expenses Modeling'!R8</f>
        <v>50860</v>
      </c>
      <c r="S8" s="75">
        <f>'Revenue &amp; Expenses Modeling'!S8</f>
        <v>51226</v>
      </c>
      <c r="T8" s="75">
        <f>'Revenue &amp; Expenses Modeling'!T8</f>
        <v>51591</v>
      </c>
      <c r="U8" s="75">
        <f>'Revenue &amp; Expenses Modeling'!U8</f>
        <v>51956</v>
      </c>
      <c r="V8" s="75">
        <f>'Revenue &amp; Expenses Modeling'!V8</f>
        <v>52321</v>
      </c>
      <c r="W8" s="75">
        <f>'Revenue &amp; Expenses Modeling'!W8</f>
        <v>52687</v>
      </c>
      <c r="X8" s="75">
        <f>'Revenue &amp; Expenses Modeling'!X8</f>
        <v>53052</v>
      </c>
      <c r="Y8" s="75">
        <f>'Revenue &amp; Expenses Modeling'!Y8</f>
        <v>53417</v>
      </c>
      <c r="Z8" s="75">
        <f>'Revenue &amp; Expenses Modeling'!Z8</f>
        <v>53782</v>
      </c>
      <c r="AA8" s="75">
        <f>'Revenue &amp; Expenses Modeling'!AA8</f>
        <v>54148</v>
      </c>
      <c r="AB8" s="75">
        <f>'Revenue &amp; Expenses Modeling'!AB8</f>
        <v>54513</v>
      </c>
      <c r="AC8" s="75">
        <f>'Revenue &amp; Expenses Modeling'!AC8</f>
        <v>54878</v>
      </c>
      <c r="AD8" s="75">
        <f>'Revenue &amp; Expenses Modeling'!AD8</f>
        <v>55243</v>
      </c>
      <c r="AE8" s="75">
        <f>'Revenue &amp; Expenses Modeling'!AE8</f>
        <v>55609</v>
      </c>
    </row>
    <row r="9" spans="2:34" s="80" customFormat="1" ht="12.75" x14ac:dyDescent="0.25">
      <c r="B9" s="76" t="s">
        <v>94</v>
      </c>
      <c r="C9" s="77"/>
      <c r="D9" s="78">
        <v>0</v>
      </c>
      <c r="E9" s="78">
        <v>0</v>
      </c>
      <c r="F9" s="79">
        <v>1</v>
      </c>
      <c r="G9" s="79">
        <v>2</v>
      </c>
      <c r="H9" s="79">
        <v>3</v>
      </c>
      <c r="I9" s="79">
        <v>4</v>
      </c>
      <c r="J9" s="79">
        <v>5</v>
      </c>
      <c r="K9" s="79">
        <v>6</v>
      </c>
      <c r="L9" s="79">
        <v>7</v>
      </c>
      <c r="M9" s="79">
        <v>8</v>
      </c>
      <c r="N9" s="79">
        <v>9</v>
      </c>
      <c r="O9" s="79">
        <v>10</v>
      </c>
      <c r="P9" s="79">
        <v>11</v>
      </c>
      <c r="Q9" s="79">
        <v>12</v>
      </c>
      <c r="R9" s="79">
        <v>13</v>
      </c>
      <c r="S9" s="79">
        <v>14</v>
      </c>
      <c r="T9" s="79">
        <v>15</v>
      </c>
      <c r="U9" s="79">
        <v>16</v>
      </c>
      <c r="V9" s="79">
        <v>17</v>
      </c>
      <c r="W9" s="79">
        <v>18</v>
      </c>
      <c r="X9" s="79">
        <v>19</v>
      </c>
      <c r="Y9" s="79">
        <v>20</v>
      </c>
      <c r="Z9" s="79">
        <v>21</v>
      </c>
      <c r="AA9" s="79">
        <v>22</v>
      </c>
      <c r="AB9" s="79">
        <v>23</v>
      </c>
      <c r="AC9" s="79">
        <v>24</v>
      </c>
      <c r="AD9" s="79">
        <v>25</v>
      </c>
      <c r="AE9" s="79">
        <v>26</v>
      </c>
    </row>
    <row r="10" spans="2:34" s="80" customFormat="1" ht="12.75" x14ac:dyDescent="0.25">
      <c r="B10" s="76" t="s">
        <v>95</v>
      </c>
      <c r="C10" s="77">
        <v>13</v>
      </c>
      <c r="D10" s="78">
        <f>C10-E10</f>
        <v>1</v>
      </c>
      <c r="E10" s="78">
        <f>MONTH(E8-D8)</f>
        <v>12</v>
      </c>
      <c r="F10" s="77">
        <f t="shared" ref="F10:AE10" si="0">MONTH(F8-E8)</f>
        <v>12</v>
      </c>
      <c r="G10" s="77">
        <f t="shared" si="0"/>
        <v>12</v>
      </c>
      <c r="H10" s="77">
        <f t="shared" si="0"/>
        <v>12</v>
      </c>
      <c r="I10" s="77">
        <f t="shared" si="0"/>
        <v>12</v>
      </c>
      <c r="J10" s="77">
        <f t="shared" si="0"/>
        <v>12</v>
      </c>
      <c r="K10" s="77">
        <f t="shared" si="0"/>
        <v>12</v>
      </c>
      <c r="L10" s="77">
        <f t="shared" si="0"/>
        <v>12</v>
      </c>
      <c r="M10" s="77">
        <f t="shared" si="0"/>
        <v>12</v>
      </c>
      <c r="N10" s="77">
        <f t="shared" si="0"/>
        <v>12</v>
      </c>
      <c r="O10" s="77">
        <f t="shared" si="0"/>
        <v>12</v>
      </c>
      <c r="P10" s="77">
        <f t="shared" si="0"/>
        <v>12</v>
      </c>
      <c r="Q10" s="77">
        <f t="shared" si="0"/>
        <v>12</v>
      </c>
      <c r="R10" s="77">
        <f t="shared" si="0"/>
        <v>12</v>
      </c>
      <c r="S10" s="77">
        <f t="shared" si="0"/>
        <v>12</v>
      </c>
      <c r="T10" s="77">
        <f t="shared" si="0"/>
        <v>12</v>
      </c>
      <c r="U10" s="77">
        <f t="shared" si="0"/>
        <v>12</v>
      </c>
      <c r="V10" s="77">
        <f t="shared" si="0"/>
        <v>12</v>
      </c>
      <c r="W10" s="77">
        <f t="shared" si="0"/>
        <v>12</v>
      </c>
      <c r="X10" s="77">
        <f t="shared" si="0"/>
        <v>12</v>
      </c>
      <c r="Y10" s="77">
        <f t="shared" si="0"/>
        <v>12</v>
      </c>
      <c r="Z10" s="77">
        <f t="shared" si="0"/>
        <v>12</v>
      </c>
      <c r="AA10" s="77">
        <f t="shared" si="0"/>
        <v>12</v>
      </c>
      <c r="AB10" s="77">
        <f t="shared" si="0"/>
        <v>12</v>
      </c>
      <c r="AC10" s="77">
        <f t="shared" si="0"/>
        <v>12</v>
      </c>
      <c r="AD10" s="77">
        <f t="shared" si="0"/>
        <v>12</v>
      </c>
      <c r="AE10" s="77">
        <f t="shared" si="0"/>
        <v>12</v>
      </c>
    </row>
    <row r="11" spans="2:34" x14ac:dyDescent="0.25">
      <c r="B11" s="141" t="s">
        <v>154</v>
      </c>
    </row>
    <row r="12" spans="2:34" x14ac:dyDescent="0.25">
      <c r="B12" s="70" t="s">
        <v>155</v>
      </c>
      <c r="D12" s="153">
        <f ca="1">CFS!D13</f>
        <v>23.39566602757715</v>
      </c>
      <c r="E12" s="153">
        <f ca="1">D12+CFS!E13</f>
        <v>116.97833013788579</v>
      </c>
      <c r="F12" s="153">
        <f t="shared" ref="F12:AE12" ca="1" si="1">E12</f>
        <v>116.97833013788579</v>
      </c>
      <c r="G12" s="153">
        <f t="shared" ca="1" si="1"/>
        <v>116.97833013788579</v>
      </c>
      <c r="H12" s="153">
        <f t="shared" ca="1" si="1"/>
        <v>116.97833013788579</v>
      </c>
      <c r="I12" s="153">
        <f t="shared" ca="1" si="1"/>
        <v>116.97833013788579</v>
      </c>
      <c r="J12" s="153">
        <f t="shared" ca="1" si="1"/>
        <v>116.97833013788579</v>
      </c>
      <c r="K12" s="153">
        <f t="shared" ca="1" si="1"/>
        <v>116.97833013788579</v>
      </c>
      <c r="L12" s="153">
        <f t="shared" ca="1" si="1"/>
        <v>116.97833013788579</v>
      </c>
      <c r="M12" s="153">
        <f t="shared" ca="1" si="1"/>
        <v>116.97833013788579</v>
      </c>
      <c r="N12" s="153">
        <f t="shared" ca="1" si="1"/>
        <v>116.97833013788579</v>
      </c>
      <c r="O12" s="153">
        <f t="shared" ca="1" si="1"/>
        <v>116.97833013788579</v>
      </c>
      <c r="P12" s="153">
        <f t="shared" ca="1" si="1"/>
        <v>116.97833013788579</v>
      </c>
      <c r="Q12" s="153">
        <f t="shared" ca="1" si="1"/>
        <v>116.97833013788579</v>
      </c>
      <c r="R12" s="153">
        <f t="shared" ca="1" si="1"/>
        <v>116.97833013788579</v>
      </c>
      <c r="S12" s="153">
        <f t="shared" ca="1" si="1"/>
        <v>116.97833013788579</v>
      </c>
      <c r="T12" s="153">
        <f t="shared" ca="1" si="1"/>
        <v>116.97833013788579</v>
      </c>
      <c r="U12" s="153">
        <f t="shared" ca="1" si="1"/>
        <v>116.97833013788579</v>
      </c>
      <c r="V12" s="153">
        <f t="shared" ca="1" si="1"/>
        <v>116.97833013788579</v>
      </c>
      <c r="W12" s="153">
        <f t="shared" ca="1" si="1"/>
        <v>116.97833013788579</v>
      </c>
      <c r="X12" s="153">
        <f t="shared" ca="1" si="1"/>
        <v>116.97833013788579</v>
      </c>
      <c r="Y12" s="153">
        <f t="shared" ca="1" si="1"/>
        <v>116.97833013788579</v>
      </c>
      <c r="Z12" s="153">
        <f t="shared" ca="1" si="1"/>
        <v>116.97833013788579</v>
      </c>
      <c r="AA12" s="153">
        <f t="shared" ca="1" si="1"/>
        <v>116.97833013788579</v>
      </c>
      <c r="AB12" s="153">
        <f t="shared" ca="1" si="1"/>
        <v>116.97833013788579</v>
      </c>
      <c r="AC12" s="153">
        <f t="shared" ca="1" si="1"/>
        <v>116.97833013788579</v>
      </c>
      <c r="AD12" s="153">
        <f t="shared" ca="1" si="1"/>
        <v>116.97833013788579</v>
      </c>
      <c r="AE12" s="153">
        <f t="shared" ca="1" si="1"/>
        <v>116.97833013788579</v>
      </c>
      <c r="AF12" s="140"/>
      <c r="AG12" s="140"/>
      <c r="AH12" s="140"/>
    </row>
    <row r="13" spans="2:34" x14ac:dyDescent="0.25">
      <c r="B13" s="70" t="s">
        <v>156</v>
      </c>
      <c r="D13" s="153">
        <f>C13+IS!D25</f>
        <v>0</v>
      </c>
      <c r="E13" s="153">
        <f>D13+IS!E25</f>
        <v>0</v>
      </c>
      <c r="F13" s="153">
        <f ca="1">E13+IS!F25</f>
        <v>46.462829948147601</v>
      </c>
      <c r="G13" s="153">
        <f ca="1">F13+IS!G25</f>
        <v>93.713090076391794</v>
      </c>
      <c r="H13" s="153">
        <f ca="1">G13+IS!H25</f>
        <v>139.28865620435545</v>
      </c>
      <c r="I13" s="153">
        <f ca="1">H13+IS!I25</f>
        <v>186.70494286015781</v>
      </c>
      <c r="J13" s="153">
        <f ca="1">I13+IS!J25</f>
        <v>236.00358242612873</v>
      </c>
      <c r="K13" s="153">
        <f ca="1">J13+IS!K25</f>
        <v>287.3456164445264</v>
      </c>
      <c r="L13" s="153">
        <f ca="1">K13+IS!L25</f>
        <v>340.33464952915301</v>
      </c>
      <c r="M13" s="153">
        <f ca="1">L13+IS!M25</f>
        <v>395.12711936844164</v>
      </c>
      <c r="N13" s="153">
        <f ca="1">M13+IS!N25</f>
        <v>451.76982886543692</v>
      </c>
      <c r="O13" s="153">
        <f ca="1">N13+IS!O25</f>
        <v>510.4191385733605</v>
      </c>
      <c r="P13" s="153">
        <f ca="1">O13+IS!P25</f>
        <v>568.27818910945211</v>
      </c>
      <c r="Q13" s="153">
        <f ca="1">P13+IS!Q25</f>
        <v>619.86175590113248</v>
      </c>
      <c r="R13" s="153">
        <f ca="1">Q13+IS!R25</f>
        <v>672.49155300521818</v>
      </c>
      <c r="S13" s="153">
        <f ca="1">R13+IS!S25</f>
        <v>726.36454874619358</v>
      </c>
      <c r="T13" s="153">
        <f ca="1">S13+IS!T25</f>
        <v>781.21098841483126</v>
      </c>
      <c r="U13" s="153">
        <f ca="1">T13+IS!U25</f>
        <v>837.20302415165838</v>
      </c>
      <c r="V13" s="153">
        <f ca="1">U13+IS!V25</f>
        <v>894.43772567629617</v>
      </c>
      <c r="W13" s="153">
        <f ca="1">V13+IS!W25</f>
        <v>953.06639980331624</v>
      </c>
      <c r="X13" s="153">
        <f ca="1">W13+IS!X25</f>
        <v>1012.7933753123544</v>
      </c>
      <c r="Y13" s="153">
        <f ca="1">X13+IS!Y25</f>
        <v>1073.7535711628398</v>
      </c>
      <c r="Z13" s="153">
        <f ca="1">Y13+IS!Z25</f>
        <v>1136.0282600286653</v>
      </c>
      <c r="AA13" s="153">
        <f ca="1">Z13+IS!AA25</f>
        <v>1199.0557734092399</v>
      </c>
      <c r="AB13" s="153">
        <f ca="1">AA13+IS!AB25</f>
        <v>1261.8422295212918</v>
      </c>
      <c r="AC13" s="153">
        <f ca="1">AB13+IS!AC25</f>
        <v>1324.4974791831714</v>
      </c>
      <c r="AD13" s="153">
        <f ca="1">AC13+IS!AD25</f>
        <v>1387.0981142769074</v>
      </c>
      <c r="AE13" s="153">
        <f ca="1">AD13+IS!AE25</f>
        <v>1449.745209328031</v>
      </c>
      <c r="AF13" s="140"/>
      <c r="AG13" s="140"/>
      <c r="AH13" s="140"/>
    </row>
    <row r="14" spans="2:34" x14ac:dyDescent="0.25">
      <c r="B14" s="70" t="s">
        <v>157</v>
      </c>
      <c r="D14" s="153">
        <f ca="1">C14+CFS!D14-BS!D17</f>
        <v>70.186998082731449</v>
      </c>
      <c r="E14" s="153">
        <f ca="1">D14+CFS!E14-BS!E17</f>
        <v>350.93499041365726</v>
      </c>
      <c r="F14" s="153">
        <f ca="1">E14+CFS!F14-BS!F17</f>
        <v>333.38824089297441</v>
      </c>
      <c r="G14" s="153">
        <f ca="1">F14+CFS!G14-BS!G17</f>
        <v>315.84149137229156</v>
      </c>
      <c r="H14" s="153">
        <f ca="1">G14+CFS!H14-BS!H17</f>
        <v>298.29474185160871</v>
      </c>
      <c r="I14" s="153">
        <f ca="1">H14+CFS!I14-BS!I17</f>
        <v>280.74799233092585</v>
      </c>
      <c r="J14" s="153">
        <f ca="1">I14+CFS!J14-BS!J17</f>
        <v>263.201242810243</v>
      </c>
      <c r="K14" s="153">
        <f ca="1">J14+CFS!K14-BS!K17</f>
        <v>245.65449328956015</v>
      </c>
      <c r="L14" s="153">
        <f ca="1">K14+CFS!L14-BS!L17</f>
        <v>228.1077437688773</v>
      </c>
      <c r="M14" s="153">
        <f ca="1">L14+CFS!M14-BS!M17</f>
        <v>210.56099424819445</v>
      </c>
      <c r="N14" s="153">
        <f ca="1">M14+CFS!N14-BS!N17</f>
        <v>193.0142447275116</v>
      </c>
      <c r="O14" s="153">
        <f ca="1">N14+CFS!O14-BS!O17</f>
        <v>175.46749520682874</v>
      </c>
      <c r="P14" s="153">
        <f ca="1">O14+CFS!P14-BS!P17</f>
        <v>157.92074568614589</v>
      </c>
      <c r="Q14" s="153">
        <f ca="1">P14+CFS!Q14-BS!Q17</f>
        <v>140.37399616546304</v>
      </c>
      <c r="R14" s="153">
        <f ca="1">Q14+CFS!R14-BS!R17</f>
        <v>122.82724664478019</v>
      </c>
      <c r="S14" s="153">
        <f ca="1">R14+CFS!S14-BS!S17</f>
        <v>105.28049712409734</v>
      </c>
      <c r="T14" s="153">
        <f ca="1">S14+CFS!T14-BS!T17</f>
        <v>87.733747603414486</v>
      </c>
      <c r="U14" s="153">
        <f ca="1">T14+CFS!U14-BS!U17</f>
        <v>70.186998082731634</v>
      </c>
      <c r="V14" s="153">
        <f ca="1">U14+CFS!V14-BS!V17</f>
        <v>52.640248562048775</v>
      </c>
      <c r="W14" s="153">
        <f ca="1">V14+CFS!W14-BS!W17</f>
        <v>35.093499041365916</v>
      </c>
      <c r="X14" s="153">
        <f ca="1">W14+CFS!X14-BS!X17</f>
        <v>17.546749520683058</v>
      </c>
      <c r="Y14" s="153">
        <f ca="1">X14+CFS!Y14-BS!Y17</f>
        <v>1.9895196601282805E-13</v>
      </c>
      <c r="Z14" s="153">
        <f ca="1">Y14+CFS!Z14-BS!Z17</f>
        <v>1.9895196601282805E-13</v>
      </c>
      <c r="AA14" s="153">
        <f ca="1">Z14+CFS!AA14-BS!AA17</f>
        <v>1.9895196601282805E-13</v>
      </c>
      <c r="AB14" s="153">
        <f ca="1">AA14+CFS!AB14-BS!AB17</f>
        <v>1.9895196601282805E-13</v>
      </c>
      <c r="AC14" s="153">
        <f ca="1">AB14+CFS!AC14-BS!AC17</f>
        <v>1.9895196601282805E-13</v>
      </c>
      <c r="AD14" s="153">
        <f ca="1">AC14+CFS!AD14-BS!AD17</f>
        <v>1.9895196601282805E-13</v>
      </c>
      <c r="AE14" s="153">
        <f ca="1">AD14+CFS!AE14-BS!AE17</f>
        <v>1.9895196601282805E-13</v>
      </c>
      <c r="AF14" s="140"/>
      <c r="AG14" s="140"/>
      <c r="AH14" s="140"/>
    </row>
    <row r="15" spans="2:34" x14ac:dyDescent="0.25">
      <c r="B15" s="141" t="s">
        <v>158</v>
      </c>
      <c r="D15" s="140"/>
      <c r="E15" s="140"/>
      <c r="F15" s="140"/>
      <c r="G15" s="140"/>
      <c r="H15" s="140"/>
      <c r="I15" s="140"/>
      <c r="J15" s="140"/>
      <c r="K15" s="140"/>
      <c r="L15" s="140"/>
      <c r="M15" s="140"/>
      <c r="N15" s="140"/>
      <c r="O15" s="140"/>
      <c r="P15" s="140"/>
      <c r="Q15" s="140"/>
      <c r="R15" s="140"/>
      <c r="S15" s="140"/>
      <c r="T15" s="140"/>
      <c r="U15" s="140"/>
      <c r="V15" s="140"/>
      <c r="W15" s="140"/>
      <c r="X15" s="140"/>
      <c r="Y15" s="140"/>
      <c r="Z15" s="140"/>
      <c r="AA15" s="140"/>
      <c r="AB15" s="140"/>
      <c r="AC15" s="140"/>
      <c r="AD15" s="140"/>
      <c r="AE15" s="140"/>
      <c r="AF15" s="140"/>
      <c r="AG15" s="140"/>
      <c r="AH15" s="140"/>
    </row>
    <row r="16" spans="2:34" x14ac:dyDescent="0.25">
      <c r="B16" s="70" t="s">
        <v>159</v>
      </c>
      <c r="D16" s="153"/>
      <c r="E16" s="153"/>
      <c r="F16" s="153"/>
      <c r="G16" s="153"/>
      <c r="H16" s="153"/>
      <c r="I16" s="153"/>
      <c r="J16" s="153"/>
      <c r="K16" s="153"/>
      <c r="L16" s="153"/>
      <c r="M16" s="153"/>
      <c r="N16" s="153"/>
      <c r="O16" s="153"/>
      <c r="P16" s="153"/>
      <c r="Q16" s="153"/>
      <c r="R16" s="153"/>
      <c r="S16" s="153"/>
      <c r="T16" s="153"/>
      <c r="U16" s="153"/>
      <c r="V16" s="153"/>
      <c r="W16" s="153"/>
      <c r="X16" s="153"/>
      <c r="Y16" s="153"/>
      <c r="Z16" s="153"/>
      <c r="AA16" s="153"/>
      <c r="AB16" s="153"/>
      <c r="AC16" s="153"/>
      <c r="AD16" s="153"/>
      <c r="AE16" s="153"/>
      <c r="AF16" s="140"/>
      <c r="AG16" s="140"/>
      <c r="AH16" s="140"/>
    </row>
    <row r="17" spans="2:34" x14ac:dyDescent="0.25">
      <c r="B17" s="70" t="s">
        <v>160</v>
      </c>
      <c r="D17" s="153">
        <f>'Loan Schedule'!E13</f>
        <v>0</v>
      </c>
      <c r="E17" s="153">
        <f ca="1">'Loan Schedule'!F13</f>
        <v>0</v>
      </c>
      <c r="F17" s="153">
        <f ca="1">'Loan Schedule'!G13</f>
        <v>17.546749520682859</v>
      </c>
      <c r="G17" s="153">
        <f ca="1">'Loan Schedule'!H13</f>
        <v>17.546749520682859</v>
      </c>
      <c r="H17" s="153">
        <f ca="1">'Loan Schedule'!I13</f>
        <v>17.546749520682859</v>
      </c>
      <c r="I17" s="153">
        <f ca="1">'Loan Schedule'!J13</f>
        <v>17.546749520682859</v>
      </c>
      <c r="J17" s="153">
        <f ca="1">'Loan Schedule'!K13</f>
        <v>17.546749520682859</v>
      </c>
      <c r="K17" s="153">
        <f ca="1">'Loan Schedule'!L13</f>
        <v>17.546749520682859</v>
      </c>
      <c r="L17" s="153">
        <f ca="1">'Loan Schedule'!M13</f>
        <v>17.546749520682859</v>
      </c>
      <c r="M17" s="153">
        <f ca="1">'Loan Schedule'!N13</f>
        <v>17.546749520682859</v>
      </c>
      <c r="N17" s="153">
        <f ca="1">'Loan Schedule'!O13</f>
        <v>17.546749520682859</v>
      </c>
      <c r="O17" s="153">
        <f ca="1">'Loan Schedule'!P13</f>
        <v>17.546749520682859</v>
      </c>
      <c r="P17" s="153">
        <f ca="1">'Loan Schedule'!Q13</f>
        <v>17.546749520682859</v>
      </c>
      <c r="Q17" s="153">
        <f ca="1">'Loan Schedule'!R13</f>
        <v>17.546749520682859</v>
      </c>
      <c r="R17" s="153">
        <f ca="1">'Loan Schedule'!S13</f>
        <v>17.546749520682859</v>
      </c>
      <c r="S17" s="153">
        <f ca="1">'Loan Schedule'!T13</f>
        <v>17.546749520682859</v>
      </c>
      <c r="T17" s="153">
        <f ca="1">'Loan Schedule'!U13</f>
        <v>17.546749520682859</v>
      </c>
      <c r="U17" s="153">
        <f ca="1">'Loan Schedule'!V13</f>
        <v>17.546749520682859</v>
      </c>
      <c r="V17" s="153">
        <f ca="1">'Loan Schedule'!W13</f>
        <v>17.546749520682859</v>
      </c>
      <c r="W17" s="153">
        <f ca="1">'Loan Schedule'!X13</f>
        <v>17.546749520682859</v>
      </c>
      <c r="X17" s="153">
        <f ca="1">'Loan Schedule'!Y13</f>
        <v>17.546749520682859</v>
      </c>
      <c r="Y17" s="153">
        <f ca="1">'Loan Schedule'!Z13</f>
        <v>17.546749520682859</v>
      </c>
      <c r="Z17" s="153">
        <f>'Loan Schedule'!AA13</f>
        <v>0</v>
      </c>
      <c r="AA17" s="153">
        <f>'Loan Schedule'!AB13</f>
        <v>0</v>
      </c>
      <c r="AB17" s="153">
        <f>'Loan Schedule'!AC13</f>
        <v>0</v>
      </c>
      <c r="AC17" s="153">
        <f>'Loan Schedule'!AD13</f>
        <v>0</v>
      </c>
      <c r="AD17" s="153">
        <f>'Loan Schedule'!AE13</f>
        <v>0</v>
      </c>
      <c r="AE17" s="153">
        <f>'Loan Schedule'!AF13</f>
        <v>0</v>
      </c>
      <c r="AF17" s="140"/>
      <c r="AG17" s="140"/>
      <c r="AH17" s="140"/>
    </row>
    <row r="18" spans="2:34" x14ac:dyDescent="0.25">
      <c r="B18" s="70" t="s">
        <v>161</v>
      </c>
      <c r="D18" s="153"/>
      <c r="E18" s="153"/>
      <c r="F18" s="153"/>
      <c r="G18" s="153"/>
      <c r="H18" s="153"/>
      <c r="I18" s="153"/>
      <c r="J18" s="153"/>
      <c r="K18" s="153"/>
      <c r="L18" s="153"/>
      <c r="M18" s="153"/>
      <c r="N18" s="153"/>
      <c r="O18" s="153"/>
      <c r="P18" s="153"/>
      <c r="Q18" s="153"/>
      <c r="R18" s="153"/>
      <c r="S18" s="153"/>
      <c r="T18" s="153"/>
      <c r="U18" s="153"/>
      <c r="V18" s="153"/>
      <c r="W18" s="153"/>
      <c r="X18" s="153"/>
      <c r="Y18" s="153"/>
      <c r="Z18" s="153"/>
      <c r="AA18" s="153"/>
      <c r="AB18" s="153"/>
      <c r="AC18" s="153"/>
      <c r="AD18" s="153"/>
      <c r="AE18" s="153"/>
      <c r="AF18" s="140"/>
      <c r="AG18" s="140"/>
      <c r="AH18" s="140"/>
    </row>
    <row r="19" spans="2:34" x14ac:dyDescent="0.25">
      <c r="B19" s="143" t="s">
        <v>162</v>
      </c>
      <c r="C19" s="143"/>
      <c r="D19" s="144">
        <f ca="1">SUM(D11:D18)</f>
        <v>93.582664110308599</v>
      </c>
      <c r="E19" s="144">
        <f t="shared" ref="E19:AE19" ca="1" si="2">SUM(E11:E18)</f>
        <v>467.91332055154305</v>
      </c>
      <c r="F19" s="144">
        <f t="shared" ca="1" si="2"/>
        <v>514.37615049969065</v>
      </c>
      <c r="G19" s="144">
        <f t="shared" ca="1" si="2"/>
        <v>544.07966110725192</v>
      </c>
      <c r="H19" s="144">
        <f t="shared" ca="1" si="2"/>
        <v>572.1084777145328</v>
      </c>
      <c r="I19" s="144">
        <f t="shared" ca="1" si="2"/>
        <v>601.97801484965225</v>
      </c>
      <c r="J19" s="144">
        <f t="shared" ca="1" si="2"/>
        <v>633.72990489494032</v>
      </c>
      <c r="K19" s="144">
        <f t="shared" ca="1" si="2"/>
        <v>667.52518939265519</v>
      </c>
      <c r="L19" s="144">
        <f t="shared" ca="1" si="2"/>
        <v>702.96747295659895</v>
      </c>
      <c r="M19" s="144">
        <f t="shared" ca="1" si="2"/>
        <v>740.21319327520473</v>
      </c>
      <c r="N19" s="144">
        <f t="shared" ca="1" si="2"/>
        <v>779.30915325151716</v>
      </c>
      <c r="O19" s="144">
        <f t="shared" ca="1" si="2"/>
        <v>820.41171343875794</v>
      </c>
      <c r="P19" s="144">
        <f t="shared" ca="1" si="2"/>
        <v>860.72401445416665</v>
      </c>
      <c r="Q19" s="144">
        <f t="shared" ca="1" si="2"/>
        <v>894.76083172516417</v>
      </c>
      <c r="R19" s="144">
        <f t="shared" ca="1" si="2"/>
        <v>929.84387930856701</v>
      </c>
      <c r="S19" s="144">
        <f t="shared" ca="1" si="2"/>
        <v>966.17012552885956</v>
      </c>
      <c r="T19" s="144">
        <f t="shared" ca="1" si="2"/>
        <v>1003.4698156768144</v>
      </c>
      <c r="U19" s="144">
        <f t="shared" ca="1" si="2"/>
        <v>1041.9151018929585</v>
      </c>
      <c r="V19" s="144">
        <f t="shared" ca="1" si="2"/>
        <v>1081.6030538969135</v>
      </c>
      <c r="W19" s="144">
        <f t="shared" ca="1" si="2"/>
        <v>1122.6849785032509</v>
      </c>
      <c r="X19" s="144">
        <f t="shared" ca="1" si="2"/>
        <v>1164.8652044916062</v>
      </c>
      <c r="Y19" s="144">
        <f t="shared" ca="1" si="2"/>
        <v>1208.2786508214085</v>
      </c>
      <c r="Z19" s="144">
        <f t="shared" ca="1" si="2"/>
        <v>1253.0065901665514</v>
      </c>
      <c r="AA19" s="144">
        <f t="shared" ca="1" si="2"/>
        <v>1316.0341035471258</v>
      </c>
      <c r="AB19" s="144">
        <f t="shared" ca="1" si="2"/>
        <v>1378.8205596591777</v>
      </c>
      <c r="AC19" s="144">
        <f t="shared" ca="1" si="2"/>
        <v>1441.4758093210573</v>
      </c>
      <c r="AD19" s="144">
        <f t="shared" ca="1" si="2"/>
        <v>1504.0764444147933</v>
      </c>
      <c r="AE19" s="144">
        <f t="shared" ca="1" si="2"/>
        <v>1566.7235394659172</v>
      </c>
    </row>
    <row r="20" spans="2:34" x14ac:dyDescent="0.25">
      <c r="B20" s="141" t="s">
        <v>163</v>
      </c>
    </row>
    <row r="21" spans="2:34" x14ac:dyDescent="0.25">
      <c r="B21" s="70" t="s">
        <v>164</v>
      </c>
      <c r="D21" s="119"/>
      <c r="E21" s="119"/>
      <c r="F21" s="119"/>
      <c r="G21" s="119"/>
      <c r="H21" s="119"/>
      <c r="I21" s="119"/>
      <c r="J21" s="119"/>
      <c r="K21" s="119"/>
      <c r="L21" s="119"/>
      <c r="M21" s="119"/>
      <c r="N21" s="119"/>
      <c r="O21" s="119"/>
      <c r="P21" s="119"/>
      <c r="Q21" s="119"/>
      <c r="R21" s="119"/>
      <c r="S21" s="119"/>
      <c r="T21" s="119"/>
      <c r="U21" s="119"/>
      <c r="V21" s="119"/>
      <c r="W21" s="119"/>
      <c r="X21" s="119"/>
      <c r="Y21" s="119"/>
      <c r="Z21" s="119"/>
      <c r="AA21" s="119"/>
      <c r="AB21" s="119"/>
      <c r="AC21" s="119"/>
      <c r="AD21" s="119"/>
      <c r="AE21" s="119"/>
    </row>
    <row r="22" spans="2:34" x14ac:dyDescent="0.25">
      <c r="B22" s="70" t="s">
        <v>165</v>
      </c>
      <c r="D22" s="119"/>
      <c r="E22" s="119"/>
      <c r="F22" s="119"/>
      <c r="G22" s="119"/>
      <c r="H22" s="119"/>
      <c r="I22" s="119"/>
      <c r="J22" s="119"/>
      <c r="K22" s="119"/>
      <c r="L22" s="119"/>
      <c r="M22" s="119"/>
      <c r="N22" s="119"/>
      <c r="O22" s="119"/>
      <c r="P22" s="119"/>
      <c r="Q22" s="119"/>
      <c r="R22" s="119"/>
      <c r="S22" s="119"/>
      <c r="T22" s="119"/>
      <c r="U22" s="119"/>
      <c r="V22" s="119"/>
      <c r="W22" s="119"/>
      <c r="X22" s="119"/>
      <c r="Y22" s="119"/>
      <c r="Z22" s="119"/>
      <c r="AA22" s="119"/>
      <c r="AB22" s="119"/>
      <c r="AC22" s="119"/>
      <c r="AD22" s="119"/>
      <c r="AE22" s="119"/>
    </row>
    <row r="23" spans="2:34" x14ac:dyDescent="0.25">
      <c r="B23" s="70" t="s">
        <v>166</v>
      </c>
      <c r="D23" s="119">
        <f ca="1">'TPC &amp; MoF'!D28</f>
        <v>93.582664110308599</v>
      </c>
      <c r="E23" s="119">
        <f ca="1">D23+'TPC &amp; MoF'!E28</f>
        <v>467.91332055154299</v>
      </c>
      <c r="F23" s="119">
        <f t="shared" ref="F23:AE23" ca="1" si="3">E23</f>
        <v>467.91332055154299</v>
      </c>
      <c r="G23" s="119">
        <f t="shared" ca="1" si="3"/>
        <v>467.91332055154299</v>
      </c>
      <c r="H23" s="119">
        <f t="shared" ca="1" si="3"/>
        <v>467.91332055154299</v>
      </c>
      <c r="I23" s="119">
        <f t="shared" ca="1" si="3"/>
        <v>467.91332055154299</v>
      </c>
      <c r="J23" s="119">
        <f t="shared" ca="1" si="3"/>
        <v>467.91332055154299</v>
      </c>
      <c r="K23" s="119">
        <f t="shared" ca="1" si="3"/>
        <v>467.91332055154299</v>
      </c>
      <c r="L23" s="119">
        <f t="shared" ca="1" si="3"/>
        <v>467.91332055154299</v>
      </c>
      <c r="M23" s="119">
        <f t="shared" ca="1" si="3"/>
        <v>467.91332055154299</v>
      </c>
      <c r="N23" s="119">
        <f t="shared" ca="1" si="3"/>
        <v>467.91332055154299</v>
      </c>
      <c r="O23" s="119">
        <f t="shared" ca="1" si="3"/>
        <v>467.91332055154299</v>
      </c>
      <c r="P23" s="119">
        <f t="shared" ca="1" si="3"/>
        <v>467.91332055154299</v>
      </c>
      <c r="Q23" s="119">
        <f t="shared" ca="1" si="3"/>
        <v>467.91332055154299</v>
      </c>
      <c r="R23" s="119">
        <f t="shared" ca="1" si="3"/>
        <v>467.91332055154299</v>
      </c>
      <c r="S23" s="119">
        <f t="shared" ca="1" si="3"/>
        <v>467.91332055154299</v>
      </c>
      <c r="T23" s="119">
        <f t="shared" ca="1" si="3"/>
        <v>467.91332055154299</v>
      </c>
      <c r="U23" s="119">
        <f t="shared" ca="1" si="3"/>
        <v>467.91332055154299</v>
      </c>
      <c r="V23" s="119">
        <f t="shared" ca="1" si="3"/>
        <v>467.91332055154299</v>
      </c>
      <c r="W23" s="119">
        <f t="shared" ca="1" si="3"/>
        <v>467.91332055154299</v>
      </c>
      <c r="X23" s="119">
        <f t="shared" ca="1" si="3"/>
        <v>467.91332055154299</v>
      </c>
      <c r="Y23" s="119">
        <f t="shared" ca="1" si="3"/>
        <v>467.91332055154299</v>
      </c>
      <c r="Z23" s="119">
        <f t="shared" ca="1" si="3"/>
        <v>467.91332055154299</v>
      </c>
      <c r="AA23" s="119">
        <f t="shared" ca="1" si="3"/>
        <v>467.91332055154299</v>
      </c>
      <c r="AB23" s="119">
        <f t="shared" ca="1" si="3"/>
        <v>467.91332055154299</v>
      </c>
      <c r="AC23" s="119">
        <f t="shared" ca="1" si="3"/>
        <v>467.91332055154299</v>
      </c>
      <c r="AD23" s="119">
        <f t="shared" ca="1" si="3"/>
        <v>467.91332055154299</v>
      </c>
      <c r="AE23" s="119">
        <f t="shared" ca="1" si="3"/>
        <v>467.91332055154299</v>
      </c>
    </row>
    <row r="24" spans="2:34" x14ac:dyDescent="0.25">
      <c r="B24" s="70" t="s">
        <v>167</v>
      </c>
      <c r="D24" s="119"/>
      <c r="E24" s="119"/>
      <c r="F24" s="119"/>
      <c r="G24" s="119"/>
      <c r="H24" s="119"/>
      <c r="I24" s="119"/>
      <c r="J24" s="119"/>
      <c r="K24" s="119"/>
      <c r="L24" s="119"/>
      <c r="M24" s="119"/>
      <c r="N24" s="119"/>
      <c r="O24" s="119"/>
      <c r="P24" s="119"/>
      <c r="Q24" s="119"/>
      <c r="R24" s="119"/>
      <c r="S24" s="119"/>
      <c r="T24" s="119"/>
      <c r="U24" s="119"/>
      <c r="V24" s="119"/>
      <c r="W24" s="119"/>
      <c r="X24" s="119"/>
      <c r="Y24" s="119"/>
      <c r="Z24" s="119"/>
      <c r="AA24" s="119"/>
      <c r="AB24" s="119"/>
      <c r="AC24" s="119"/>
      <c r="AD24" s="119"/>
      <c r="AE24" s="119"/>
    </row>
    <row r="25" spans="2:34" x14ac:dyDescent="0.25">
      <c r="B25" s="70" t="s">
        <v>5</v>
      </c>
      <c r="D25" s="119"/>
      <c r="E25" s="119"/>
      <c r="F25" s="119"/>
      <c r="G25" s="119"/>
      <c r="H25" s="119"/>
      <c r="I25" s="119"/>
      <c r="J25" s="119"/>
      <c r="K25" s="119"/>
      <c r="L25" s="119"/>
      <c r="M25" s="119"/>
      <c r="N25" s="119"/>
      <c r="O25" s="119"/>
      <c r="P25" s="119"/>
      <c r="Q25" s="119"/>
      <c r="R25" s="119"/>
      <c r="S25" s="119"/>
      <c r="T25" s="119"/>
      <c r="U25" s="119"/>
      <c r="V25" s="119"/>
      <c r="W25" s="119"/>
      <c r="X25" s="119"/>
      <c r="Y25" s="119"/>
      <c r="Z25" s="119"/>
      <c r="AA25" s="119"/>
      <c r="AB25" s="119"/>
      <c r="AC25" s="119"/>
      <c r="AD25" s="119"/>
      <c r="AE25" s="119"/>
    </row>
    <row r="26" spans="2:34" x14ac:dyDescent="0.25">
      <c r="B26" s="70" t="s">
        <v>168</v>
      </c>
      <c r="D26" s="119"/>
      <c r="E26" s="119"/>
      <c r="F26" s="119"/>
      <c r="G26" s="119"/>
      <c r="H26" s="119"/>
      <c r="I26" s="119"/>
      <c r="J26" s="119"/>
      <c r="K26" s="119"/>
      <c r="L26" s="119"/>
      <c r="M26" s="119"/>
      <c r="N26" s="119"/>
      <c r="O26" s="119"/>
      <c r="P26" s="119"/>
      <c r="Q26" s="119"/>
      <c r="R26" s="119"/>
      <c r="S26" s="119"/>
      <c r="T26" s="119"/>
      <c r="U26" s="119"/>
      <c r="V26" s="119"/>
      <c r="W26" s="119"/>
      <c r="X26" s="119"/>
      <c r="Y26" s="119"/>
      <c r="Z26" s="119"/>
      <c r="AA26" s="119"/>
      <c r="AB26" s="119"/>
      <c r="AC26" s="119"/>
      <c r="AD26" s="119"/>
      <c r="AE26" s="119"/>
    </row>
    <row r="27" spans="2:34" x14ac:dyDescent="0.25">
      <c r="B27" s="145" t="s">
        <v>169</v>
      </c>
      <c r="C27" s="145"/>
      <c r="D27" s="146">
        <f ca="1">SUM(D21:D26)</f>
        <v>93.582664110308599</v>
      </c>
      <c r="E27" s="146">
        <f t="shared" ref="E27:AE27" ca="1" si="4">SUM(E21:E26)</f>
        <v>467.91332055154299</v>
      </c>
      <c r="F27" s="146">
        <f t="shared" ca="1" si="4"/>
        <v>467.91332055154299</v>
      </c>
      <c r="G27" s="146">
        <f t="shared" ca="1" si="4"/>
        <v>467.91332055154299</v>
      </c>
      <c r="H27" s="146">
        <f t="shared" ca="1" si="4"/>
        <v>467.91332055154299</v>
      </c>
      <c r="I27" s="146">
        <f t="shared" ca="1" si="4"/>
        <v>467.91332055154299</v>
      </c>
      <c r="J27" s="146">
        <f t="shared" ca="1" si="4"/>
        <v>467.91332055154299</v>
      </c>
      <c r="K27" s="146">
        <f t="shared" ca="1" si="4"/>
        <v>467.91332055154299</v>
      </c>
      <c r="L27" s="146">
        <f t="shared" ca="1" si="4"/>
        <v>467.91332055154299</v>
      </c>
      <c r="M27" s="146">
        <f t="shared" ca="1" si="4"/>
        <v>467.91332055154299</v>
      </c>
      <c r="N27" s="146">
        <f t="shared" ca="1" si="4"/>
        <v>467.91332055154299</v>
      </c>
      <c r="O27" s="146">
        <f t="shared" ca="1" si="4"/>
        <v>467.91332055154299</v>
      </c>
      <c r="P27" s="146">
        <f t="shared" ca="1" si="4"/>
        <v>467.91332055154299</v>
      </c>
      <c r="Q27" s="146">
        <f t="shared" ca="1" si="4"/>
        <v>467.91332055154299</v>
      </c>
      <c r="R27" s="146">
        <f t="shared" ca="1" si="4"/>
        <v>467.91332055154299</v>
      </c>
      <c r="S27" s="146">
        <f t="shared" ca="1" si="4"/>
        <v>467.91332055154299</v>
      </c>
      <c r="T27" s="146">
        <f t="shared" ca="1" si="4"/>
        <v>467.91332055154299</v>
      </c>
      <c r="U27" s="146">
        <f t="shared" ca="1" si="4"/>
        <v>467.91332055154299</v>
      </c>
      <c r="V27" s="146">
        <f t="shared" ca="1" si="4"/>
        <v>467.91332055154299</v>
      </c>
      <c r="W27" s="146">
        <f t="shared" ca="1" si="4"/>
        <v>467.91332055154299</v>
      </c>
      <c r="X27" s="146">
        <f t="shared" ca="1" si="4"/>
        <v>467.91332055154299</v>
      </c>
      <c r="Y27" s="146">
        <f t="shared" ca="1" si="4"/>
        <v>467.91332055154299</v>
      </c>
      <c r="Z27" s="146">
        <f t="shared" ca="1" si="4"/>
        <v>467.91332055154299</v>
      </c>
      <c r="AA27" s="146">
        <f t="shared" ca="1" si="4"/>
        <v>467.91332055154299</v>
      </c>
      <c r="AB27" s="146">
        <f t="shared" ca="1" si="4"/>
        <v>467.91332055154299</v>
      </c>
      <c r="AC27" s="146">
        <f t="shared" ca="1" si="4"/>
        <v>467.91332055154299</v>
      </c>
      <c r="AD27" s="146">
        <f t="shared" ca="1" si="4"/>
        <v>467.91332055154299</v>
      </c>
      <c r="AE27" s="146">
        <f t="shared" ca="1" si="4"/>
        <v>467.91332055154299</v>
      </c>
    </row>
    <row r="28" spans="2:34" x14ac:dyDescent="0.25">
      <c r="B28" s="70" t="s">
        <v>181</v>
      </c>
      <c r="D28" s="119"/>
      <c r="E28" s="119"/>
      <c r="F28" s="119">
        <f ca="1">IS!F18+E28</f>
        <v>17.632533629450649</v>
      </c>
      <c r="G28" s="119">
        <f ca="1">IS!G18+F28</f>
        <v>35.313375570214859</v>
      </c>
      <c r="H28" s="119">
        <f ca="1">IS!H18+G28</f>
        <v>52.945909199665508</v>
      </c>
      <c r="I28" s="119">
        <f ca="1">IS!I18+H28</f>
        <v>70.578442829116156</v>
      </c>
      <c r="J28" s="119">
        <f ca="1">IS!J18+I28</f>
        <v>88.210976458566805</v>
      </c>
      <c r="K28" s="119">
        <f ca="1">IS!K18+J28</f>
        <v>105.89181839933102</v>
      </c>
      <c r="L28" s="119">
        <f ca="1">IS!L18+K28</f>
        <v>123.52435202878166</v>
      </c>
      <c r="M28" s="119">
        <f ca="1">IS!M18+L28</f>
        <v>141.15688565823231</v>
      </c>
      <c r="N28" s="119">
        <f ca="1">IS!N18+M28</f>
        <v>158.78941928768296</v>
      </c>
      <c r="O28" s="119">
        <f ca="1">IS!O18+N28</f>
        <v>176.47026122844716</v>
      </c>
      <c r="P28" s="119">
        <f ca="1">IS!P18+O28</f>
        <v>194.10279485789781</v>
      </c>
      <c r="Q28" s="119">
        <f ca="1">IS!Q18+P28</f>
        <v>211.73532848734845</v>
      </c>
      <c r="R28" s="119">
        <f ca="1">IS!R18+Q28</f>
        <v>229.3678621167991</v>
      </c>
      <c r="S28" s="119">
        <f ca="1">IS!S18+R28</f>
        <v>247.04870405756333</v>
      </c>
      <c r="T28" s="119">
        <f ca="1">IS!T18+S28</f>
        <v>264.681237687014</v>
      </c>
      <c r="U28" s="119">
        <f ca="1">IS!U18+T28</f>
        <v>282.31377131646468</v>
      </c>
      <c r="V28" s="119">
        <f ca="1">IS!V18+U28</f>
        <v>299.94630494591536</v>
      </c>
      <c r="W28" s="119">
        <f ca="1">IS!W18+V28</f>
        <v>317.62714688667955</v>
      </c>
      <c r="X28" s="119">
        <f ca="1">IS!X18+W28</f>
        <v>335.25968051613017</v>
      </c>
      <c r="Y28" s="119">
        <f ca="1">IS!Y18+X28</f>
        <v>352.89221414558085</v>
      </c>
      <c r="Z28" s="119">
        <f ca="1">IS!Z18+Y28</f>
        <v>370.52474777503153</v>
      </c>
      <c r="AA28" s="119">
        <f ca="1">IS!AA18+Z28</f>
        <v>388.20558971579572</v>
      </c>
      <c r="AB28" s="119">
        <f ca="1">IS!AB18+AA28</f>
        <v>405.83812334524634</v>
      </c>
      <c r="AC28" s="119">
        <f ca="1">IS!AC18+AB28</f>
        <v>423.47065697469702</v>
      </c>
      <c r="AD28" s="119">
        <f ca="1">IS!AD18+AC28</f>
        <v>441.1031906041477</v>
      </c>
      <c r="AE28" s="119">
        <f ca="1">IS!AE18+AD28</f>
        <v>458.7840325449119</v>
      </c>
    </row>
    <row r="29" spans="2:34" x14ac:dyDescent="0.25">
      <c r="B29" s="147" t="s">
        <v>170</v>
      </c>
      <c r="C29" s="147"/>
      <c r="D29" s="148">
        <f ca="1">D27-D28</f>
        <v>93.582664110308599</v>
      </c>
      <c r="E29" s="148">
        <f t="shared" ref="E29:AE29" ca="1" si="5">E27-E28</f>
        <v>467.91332055154299</v>
      </c>
      <c r="F29" s="148">
        <f t="shared" ca="1" si="5"/>
        <v>450.28078692209237</v>
      </c>
      <c r="G29" s="148">
        <f t="shared" ca="1" si="5"/>
        <v>432.59994498132812</v>
      </c>
      <c r="H29" s="148">
        <f t="shared" ca="1" si="5"/>
        <v>414.9674113518775</v>
      </c>
      <c r="I29" s="148">
        <f t="shared" ca="1" si="5"/>
        <v>397.33487772242682</v>
      </c>
      <c r="J29" s="148">
        <f t="shared" ca="1" si="5"/>
        <v>379.7023440929762</v>
      </c>
      <c r="K29" s="148">
        <f t="shared" ca="1" si="5"/>
        <v>362.02150215221195</v>
      </c>
      <c r="L29" s="148">
        <f t="shared" ca="1" si="5"/>
        <v>344.38896852276133</v>
      </c>
      <c r="M29" s="148">
        <f t="shared" ca="1" si="5"/>
        <v>326.75643489331071</v>
      </c>
      <c r="N29" s="148">
        <f t="shared" ca="1" si="5"/>
        <v>309.12390126386003</v>
      </c>
      <c r="O29" s="148">
        <f t="shared" ca="1" si="5"/>
        <v>291.44305932309584</v>
      </c>
      <c r="P29" s="148">
        <f t="shared" ca="1" si="5"/>
        <v>273.81052569364522</v>
      </c>
      <c r="Q29" s="148">
        <f t="shared" ca="1" si="5"/>
        <v>256.17799206419454</v>
      </c>
      <c r="R29" s="148">
        <f t="shared" ca="1" si="5"/>
        <v>238.54545843474389</v>
      </c>
      <c r="S29" s="148">
        <f t="shared" ca="1" si="5"/>
        <v>220.86461649397967</v>
      </c>
      <c r="T29" s="148">
        <f t="shared" ca="1" si="5"/>
        <v>203.23208286452899</v>
      </c>
      <c r="U29" s="148">
        <f t="shared" ca="1" si="5"/>
        <v>185.59954923507831</v>
      </c>
      <c r="V29" s="148">
        <f t="shared" ca="1" si="5"/>
        <v>167.96701560562764</v>
      </c>
      <c r="W29" s="148">
        <f t="shared" ca="1" si="5"/>
        <v>150.28617366486344</v>
      </c>
      <c r="X29" s="148">
        <f t="shared" ca="1" si="5"/>
        <v>132.65364003541282</v>
      </c>
      <c r="Y29" s="148">
        <f t="shared" ca="1" si="5"/>
        <v>115.02110640596214</v>
      </c>
      <c r="Z29" s="148">
        <f t="shared" ca="1" si="5"/>
        <v>97.388572776511467</v>
      </c>
      <c r="AA29" s="148">
        <f t="shared" ca="1" si="5"/>
        <v>79.70773083574727</v>
      </c>
      <c r="AB29" s="148">
        <f t="shared" ca="1" si="5"/>
        <v>62.07519720629665</v>
      </c>
      <c r="AC29" s="148">
        <f t="shared" ca="1" si="5"/>
        <v>44.442663576845973</v>
      </c>
      <c r="AD29" s="148">
        <f t="shared" ca="1" si="5"/>
        <v>26.810129947395296</v>
      </c>
      <c r="AE29" s="148">
        <f t="shared" ca="1" si="5"/>
        <v>9.1292880066311</v>
      </c>
    </row>
    <row r="30" spans="2:34" x14ac:dyDescent="0.25">
      <c r="B30" s="70" t="s">
        <v>408</v>
      </c>
      <c r="D30" s="119">
        <f>'Tax Schedule'!D45</f>
        <v>0</v>
      </c>
      <c r="E30" s="119">
        <f>'Tax Schedule'!E45</f>
        <v>0</v>
      </c>
      <c r="F30" s="119">
        <f ca="1">'Tax Schedule'!F45</f>
        <v>9.8366441068974773</v>
      </c>
      <c r="G30" s="119">
        <f ca="1">'Tax Schedule'!G45</f>
        <v>19.83999502974406</v>
      </c>
      <c r="H30" s="119">
        <f ca="1">'Tax Schedule'!H45</f>
        <v>29.488796544233459</v>
      </c>
      <c r="I30" s="119">
        <f ca="1">'Tax Schedule'!I45</f>
        <v>39.527296937435509</v>
      </c>
      <c r="J30" s="119">
        <f ca="1">'Tax Schedule'!J45</f>
        <v>38.01219748555738</v>
      </c>
      <c r="K30" s="119">
        <f ca="1">'Tax Schedule'!K45</f>
        <v>34.655036930759771</v>
      </c>
      <c r="L30" s="119">
        <f ca="1">'Tax Schedule'!L45</f>
        <v>29.719268948820375</v>
      </c>
      <c r="M30" s="119">
        <f ca="1">'Tax Schedule'!M45</f>
        <v>23.395401473068468</v>
      </c>
      <c r="N30" s="119">
        <f ca="1">'Tax Schedule'!N45</f>
        <v>15.845053910295134</v>
      </c>
      <c r="O30" s="119">
        <f ca="1">'Tax Schedule'!O45</f>
        <v>7.1882943363885765</v>
      </c>
      <c r="P30" s="119">
        <f ca="1">'Tax Schedule'!P45</f>
        <v>0</v>
      </c>
      <c r="Q30" s="119">
        <f ca="1">'Tax Schedule'!Q45</f>
        <v>0</v>
      </c>
      <c r="R30" s="119">
        <f ca="1">'Tax Schedule'!R45</f>
        <v>0</v>
      </c>
      <c r="S30" s="119">
        <f ca="1">'Tax Schedule'!S45</f>
        <v>0</v>
      </c>
      <c r="T30" s="119">
        <f ca="1">'Tax Schedule'!T45</f>
        <v>0</v>
      </c>
      <c r="U30" s="119">
        <f ca="1">'Tax Schedule'!U45</f>
        <v>0</v>
      </c>
      <c r="V30" s="119">
        <f ca="1">'Tax Schedule'!V45</f>
        <v>0</v>
      </c>
      <c r="W30" s="119">
        <f ca="1">'Tax Schedule'!W45</f>
        <v>0</v>
      </c>
      <c r="X30" s="119">
        <f ca="1">'Tax Schedule'!X45</f>
        <v>0</v>
      </c>
      <c r="Y30" s="119">
        <f ca="1">'Tax Schedule'!Y45</f>
        <v>0</v>
      </c>
      <c r="Z30" s="119">
        <f ca="1">'Tax Schedule'!Z45</f>
        <v>0</v>
      </c>
      <c r="AA30" s="119">
        <f ca="1">'Tax Schedule'!AA45</f>
        <v>0</v>
      </c>
      <c r="AB30" s="119">
        <f ca="1">'Tax Schedule'!AB45</f>
        <v>0</v>
      </c>
      <c r="AC30" s="119">
        <f ca="1">'Tax Schedule'!AC45</f>
        <v>0</v>
      </c>
      <c r="AD30" s="119">
        <f ca="1">'Tax Schedule'!AD45</f>
        <v>0</v>
      </c>
      <c r="AE30" s="119">
        <f ca="1">'Tax Schedule'!AE45</f>
        <v>0</v>
      </c>
    </row>
    <row r="31" spans="2:34" x14ac:dyDescent="0.25">
      <c r="B31" s="147" t="s">
        <v>172</v>
      </c>
      <c r="C31" s="147"/>
      <c r="D31" s="148">
        <f ca="1">D29+D30</f>
        <v>93.582664110308599</v>
      </c>
      <c r="E31" s="148">
        <f t="shared" ref="E31:AE31" ca="1" si="6">E29+E30</f>
        <v>467.91332055154299</v>
      </c>
      <c r="F31" s="148">
        <f t="shared" ca="1" si="6"/>
        <v>460.11743102898987</v>
      </c>
      <c r="G31" s="148">
        <f t="shared" ca="1" si="6"/>
        <v>452.43994001107217</v>
      </c>
      <c r="H31" s="148">
        <f t="shared" ca="1" si="6"/>
        <v>444.45620789611098</v>
      </c>
      <c r="I31" s="148">
        <f t="shared" ca="1" si="6"/>
        <v>436.86217465986232</v>
      </c>
      <c r="J31" s="148">
        <f t="shared" ca="1" si="6"/>
        <v>417.71454157853361</v>
      </c>
      <c r="K31" s="148">
        <f t="shared" ca="1" si="6"/>
        <v>396.67653908297171</v>
      </c>
      <c r="L31" s="148">
        <f t="shared" ca="1" si="6"/>
        <v>374.10823747158173</v>
      </c>
      <c r="M31" s="148">
        <f t="shared" ca="1" si="6"/>
        <v>350.1518363663792</v>
      </c>
      <c r="N31" s="148">
        <f t="shared" ca="1" si="6"/>
        <v>324.96895517415516</v>
      </c>
      <c r="O31" s="148">
        <f t="shared" ca="1" si="6"/>
        <v>298.63135365948443</v>
      </c>
      <c r="P31" s="148">
        <f t="shared" ca="1" si="6"/>
        <v>273.81052569364522</v>
      </c>
      <c r="Q31" s="148">
        <f t="shared" ca="1" si="6"/>
        <v>256.17799206419454</v>
      </c>
      <c r="R31" s="148">
        <f t="shared" ca="1" si="6"/>
        <v>238.54545843474389</v>
      </c>
      <c r="S31" s="148">
        <f t="shared" ca="1" si="6"/>
        <v>220.86461649397967</v>
      </c>
      <c r="T31" s="148">
        <f t="shared" ca="1" si="6"/>
        <v>203.23208286452899</v>
      </c>
      <c r="U31" s="148">
        <f t="shared" ca="1" si="6"/>
        <v>185.59954923507831</v>
      </c>
      <c r="V31" s="148">
        <f t="shared" ca="1" si="6"/>
        <v>167.96701560562764</v>
      </c>
      <c r="W31" s="148">
        <f t="shared" ca="1" si="6"/>
        <v>150.28617366486344</v>
      </c>
      <c r="X31" s="148">
        <f t="shared" ca="1" si="6"/>
        <v>132.65364003541282</v>
      </c>
      <c r="Y31" s="148">
        <f t="shared" ca="1" si="6"/>
        <v>115.02110640596214</v>
      </c>
      <c r="Z31" s="148">
        <f t="shared" ca="1" si="6"/>
        <v>97.388572776511467</v>
      </c>
      <c r="AA31" s="148">
        <f t="shared" ca="1" si="6"/>
        <v>79.70773083574727</v>
      </c>
      <c r="AB31" s="148">
        <f t="shared" ca="1" si="6"/>
        <v>62.07519720629665</v>
      </c>
      <c r="AC31" s="148">
        <f t="shared" ca="1" si="6"/>
        <v>44.442663576845973</v>
      </c>
      <c r="AD31" s="148">
        <f t="shared" ca="1" si="6"/>
        <v>26.810129947395296</v>
      </c>
      <c r="AE31" s="148">
        <f t="shared" ca="1" si="6"/>
        <v>9.1292880066311</v>
      </c>
    </row>
    <row r="32" spans="2:34" x14ac:dyDescent="0.25">
      <c r="B32" s="141" t="s">
        <v>173</v>
      </c>
    </row>
    <row r="33" spans="2:31" x14ac:dyDescent="0.25">
      <c r="B33" s="70" t="s">
        <v>174</v>
      </c>
      <c r="D33" s="119"/>
      <c r="E33" s="119"/>
      <c r="F33" s="119"/>
      <c r="G33" s="119"/>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row>
    <row r="34" spans="2:31" x14ac:dyDescent="0.25">
      <c r="B34" s="70" t="s">
        <v>175</v>
      </c>
      <c r="D34" s="119"/>
      <c r="E34" s="119"/>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row>
    <row r="35" spans="2:31" x14ac:dyDescent="0.25">
      <c r="B35" s="70" t="s">
        <v>176</v>
      </c>
      <c r="D35" s="119">
        <f ca="1">CFS!D30</f>
        <v>0</v>
      </c>
      <c r="E35" s="119">
        <f ca="1">CFS!E30</f>
        <v>0</v>
      </c>
      <c r="F35" s="119">
        <f ca="1">CFS!F30</f>
        <v>54.258719470700768</v>
      </c>
      <c r="G35" s="119">
        <f ca="1">CFS!G30</f>
        <v>91.639721096179727</v>
      </c>
      <c r="H35" s="119">
        <f ca="1">CFS!H30</f>
        <v>127.65226981842177</v>
      </c>
      <c r="I35" s="119">
        <f ca="1">CFS!I30</f>
        <v>165.11584018978988</v>
      </c>
      <c r="J35" s="119">
        <f ca="1">CFS!J30</f>
        <v>216.01536331640673</v>
      </c>
      <c r="K35" s="119">
        <f ca="1">CFS!K30</f>
        <v>270.84865030968336</v>
      </c>
      <c r="L35" s="119">
        <f ca="1">CFS!L30</f>
        <v>328.85923548501717</v>
      </c>
      <c r="M35" s="119">
        <f ca="1">CFS!M30</f>
        <v>390.06135690882547</v>
      </c>
      <c r="N35" s="119">
        <f ca="1">CFS!N30</f>
        <v>454.34019807736189</v>
      </c>
      <c r="O35" s="119">
        <f ca="1">CFS!O30</f>
        <v>521.78035977927334</v>
      </c>
      <c r="P35" s="119">
        <f ca="1">CFS!P30</f>
        <v>586.91348876052132</v>
      </c>
      <c r="Q35" s="119">
        <f ca="1">CFS!Q30</f>
        <v>638.5828396609694</v>
      </c>
      <c r="R35" s="119">
        <f ca="1">CFS!R30</f>
        <v>691.29842087382292</v>
      </c>
      <c r="S35" s="119">
        <f ca="1">CFS!S30</f>
        <v>745.30550903487961</v>
      </c>
      <c r="T35" s="119">
        <f ca="1">CFS!T30</f>
        <v>800.237732812285</v>
      </c>
      <c r="U35" s="119">
        <f ca="1">CFS!U30</f>
        <v>856.31555265787995</v>
      </c>
      <c r="V35" s="119">
        <f ca="1">CFS!V30</f>
        <v>913.63603829128544</v>
      </c>
      <c r="W35" s="119">
        <f ca="1">CFS!W30</f>
        <v>972.39880483838692</v>
      </c>
      <c r="X35" s="119">
        <f ca="1">CFS!X30</f>
        <v>1032.2115644561929</v>
      </c>
      <c r="Y35" s="119">
        <f ca="1">CFS!Y30</f>
        <v>1093.2575444154461</v>
      </c>
      <c r="Z35" s="119">
        <f ca="1">CFS!Z30</f>
        <v>1155.6180173900393</v>
      </c>
      <c r="AA35" s="119">
        <f ca="1">CFS!AA30</f>
        <v>1236.3263727113783</v>
      </c>
      <c r="AB35" s="119">
        <f ca="1">CFS!AB30</f>
        <v>1316.745362452881</v>
      </c>
      <c r="AC35" s="119">
        <f ca="1">CFS!AC30</f>
        <v>1397.0331457442112</v>
      </c>
      <c r="AD35" s="119">
        <f ca="1">CFS!AD30</f>
        <v>1477.2663144673977</v>
      </c>
      <c r="AE35" s="119">
        <f ca="1">CFS!AE30</f>
        <v>1557.5942514592855</v>
      </c>
    </row>
    <row r="36" spans="2:31" x14ac:dyDescent="0.25">
      <c r="B36" s="70" t="s">
        <v>177</v>
      </c>
      <c r="D36" s="149"/>
      <c r="E36" s="149"/>
      <c r="F36" s="149"/>
      <c r="G36" s="149"/>
      <c r="H36" s="149"/>
      <c r="I36" s="149"/>
      <c r="J36" s="149"/>
      <c r="K36" s="149"/>
      <c r="L36" s="149"/>
      <c r="M36" s="149"/>
      <c r="N36" s="149"/>
      <c r="O36" s="149"/>
      <c r="P36" s="149"/>
      <c r="Q36" s="149"/>
      <c r="R36" s="149"/>
      <c r="S36" s="149"/>
      <c r="T36" s="149"/>
      <c r="U36" s="149"/>
      <c r="V36" s="149"/>
      <c r="W36" s="149"/>
      <c r="X36" s="149"/>
      <c r="Y36" s="149"/>
      <c r="Z36" s="149"/>
      <c r="AA36" s="149"/>
      <c r="AB36" s="149"/>
      <c r="AC36" s="149"/>
      <c r="AD36" s="149"/>
      <c r="AE36" s="149"/>
    </row>
    <row r="37" spans="2:31" x14ac:dyDescent="0.25">
      <c r="B37" s="147" t="s">
        <v>178</v>
      </c>
      <c r="C37" s="147"/>
      <c r="D37" s="148">
        <f ca="1">SUM(D33:D36)</f>
        <v>0</v>
      </c>
      <c r="E37" s="148">
        <f t="shared" ref="E37:AE37" ca="1" si="7">SUM(E33:E36)</f>
        <v>0</v>
      </c>
      <c r="F37" s="148">
        <f t="shared" ca="1" si="7"/>
        <v>54.258719470700768</v>
      </c>
      <c r="G37" s="148">
        <f t="shared" ca="1" si="7"/>
        <v>91.639721096179727</v>
      </c>
      <c r="H37" s="148">
        <f t="shared" ca="1" si="7"/>
        <v>127.65226981842177</v>
      </c>
      <c r="I37" s="148">
        <f t="shared" ca="1" si="7"/>
        <v>165.11584018978988</v>
      </c>
      <c r="J37" s="148">
        <f t="shared" ca="1" si="7"/>
        <v>216.01536331640673</v>
      </c>
      <c r="K37" s="148">
        <f t="shared" ca="1" si="7"/>
        <v>270.84865030968336</v>
      </c>
      <c r="L37" s="148">
        <f t="shared" ca="1" si="7"/>
        <v>328.85923548501717</v>
      </c>
      <c r="M37" s="148">
        <f t="shared" ca="1" si="7"/>
        <v>390.06135690882547</v>
      </c>
      <c r="N37" s="148">
        <f t="shared" ca="1" si="7"/>
        <v>454.34019807736189</v>
      </c>
      <c r="O37" s="148">
        <f t="shared" ca="1" si="7"/>
        <v>521.78035977927334</v>
      </c>
      <c r="P37" s="148">
        <f t="shared" ca="1" si="7"/>
        <v>586.91348876052132</v>
      </c>
      <c r="Q37" s="148">
        <f t="shared" ca="1" si="7"/>
        <v>638.5828396609694</v>
      </c>
      <c r="R37" s="148">
        <f t="shared" ca="1" si="7"/>
        <v>691.29842087382292</v>
      </c>
      <c r="S37" s="148">
        <f t="shared" ca="1" si="7"/>
        <v>745.30550903487961</v>
      </c>
      <c r="T37" s="148">
        <f t="shared" ca="1" si="7"/>
        <v>800.237732812285</v>
      </c>
      <c r="U37" s="148">
        <f t="shared" ca="1" si="7"/>
        <v>856.31555265787995</v>
      </c>
      <c r="V37" s="148">
        <f t="shared" ca="1" si="7"/>
        <v>913.63603829128544</v>
      </c>
      <c r="W37" s="148">
        <f t="shared" ca="1" si="7"/>
        <v>972.39880483838692</v>
      </c>
      <c r="X37" s="148">
        <f t="shared" ca="1" si="7"/>
        <v>1032.2115644561929</v>
      </c>
      <c r="Y37" s="148">
        <f t="shared" ca="1" si="7"/>
        <v>1093.2575444154461</v>
      </c>
      <c r="Z37" s="148">
        <f t="shared" ca="1" si="7"/>
        <v>1155.6180173900393</v>
      </c>
      <c r="AA37" s="148">
        <f t="shared" ca="1" si="7"/>
        <v>1236.3263727113783</v>
      </c>
      <c r="AB37" s="148">
        <f t="shared" ca="1" si="7"/>
        <v>1316.745362452881</v>
      </c>
      <c r="AC37" s="148">
        <f t="shared" ca="1" si="7"/>
        <v>1397.0331457442112</v>
      </c>
      <c r="AD37" s="148">
        <f t="shared" ca="1" si="7"/>
        <v>1477.2663144673977</v>
      </c>
      <c r="AE37" s="148">
        <f t="shared" ca="1" si="7"/>
        <v>1557.5942514592855</v>
      </c>
    </row>
    <row r="38" spans="2:31" x14ac:dyDescent="0.25">
      <c r="B38" s="143" t="s">
        <v>179</v>
      </c>
      <c r="C38" s="143"/>
      <c r="D38" s="144">
        <f ca="1">D37+D31</f>
        <v>93.582664110308599</v>
      </c>
      <c r="E38" s="144">
        <f t="shared" ref="E38:AE38" ca="1" si="8">E37+E31</f>
        <v>467.91332055154299</v>
      </c>
      <c r="F38" s="144">
        <f t="shared" ca="1" si="8"/>
        <v>514.37615049969065</v>
      </c>
      <c r="G38" s="144">
        <f t="shared" ca="1" si="8"/>
        <v>544.07966110725192</v>
      </c>
      <c r="H38" s="144">
        <f t="shared" ca="1" si="8"/>
        <v>572.1084777145328</v>
      </c>
      <c r="I38" s="144">
        <f t="shared" ca="1" si="8"/>
        <v>601.97801484965225</v>
      </c>
      <c r="J38" s="144">
        <f t="shared" ca="1" si="8"/>
        <v>633.72990489494032</v>
      </c>
      <c r="K38" s="144">
        <f t="shared" ca="1" si="8"/>
        <v>667.52518939265508</v>
      </c>
      <c r="L38" s="144">
        <f t="shared" ca="1" si="8"/>
        <v>702.96747295659884</v>
      </c>
      <c r="M38" s="144">
        <f t="shared" ca="1" si="8"/>
        <v>740.21319327520473</v>
      </c>
      <c r="N38" s="144">
        <f t="shared" ca="1" si="8"/>
        <v>779.30915325151705</v>
      </c>
      <c r="O38" s="144">
        <f t="shared" ca="1" si="8"/>
        <v>820.41171343875772</v>
      </c>
      <c r="P38" s="144">
        <f t="shared" ca="1" si="8"/>
        <v>860.72401445416654</v>
      </c>
      <c r="Q38" s="144">
        <f t="shared" ca="1" si="8"/>
        <v>894.76083172516394</v>
      </c>
      <c r="R38" s="144">
        <f t="shared" ca="1" si="8"/>
        <v>929.84387930856678</v>
      </c>
      <c r="S38" s="144">
        <f t="shared" ca="1" si="8"/>
        <v>966.17012552885922</v>
      </c>
      <c r="T38" s="144">
        <f t="shared" ca="1" si="8"/>
        <v>1003.4698156768141</v>
      </c>
      <c r="U38" s="144">
        <f t="shared" ca="1" si="8"/>
        <v>1041.9151018929583</v>
      </c>
      <c r="V38" s="144">
        <f t="shared" ca="1" si="8"/>
        <v>1081.603053896913</v>
      </c>
      <c r="W38" s="144">
        <f t="shared" ca="1" si="8"/>
        <v>1122.6849785032505</v>
      </c>
      <c r="X38" s="144">
        <f t="shared" ca="1" si="8"/>
        <v>1164.8652044916057</v>
      </c>
      <c r="Y38" s="144">
        <f t="shared" ca="1" si="8"/>
        <v>1208.2786508214083</v>
      </c>
      <c r="Z38" s="144">
        <f t="shared" ca="1" si="8"/>
        <v>1253.0065901665507</v>
      </c>
      <c r="AA38" s="144">
        <f t="shared" ca="1" si="8"/>
        <v>1316.0341035471256</v>
      </c>
      <c r="AB38" s="144">
        <f t="shared" ca="1" si="8"/>
        <v>1378.8205596591777</v>
      </c>
      <c r="AC38" s="144">
        <f t="shared" ca="1" si="8"/>
        <v>1441.4758093210571</v>
      </c>
      <c r="AD38" s="144">
        <f t="shared" ca="1" si="8"/>
        <v>1504.0764444147931</v>
      </c>
      <c r="AE38" s="144">
        <f t="shared" ca="1" si="8"/>
        <v>1566.7235394659165</v>
      </c>
    </row>
    <row r="40" spans="2:31" s="31" customFormat="1" x14ac:dyDescent="0.25">
      <c r="B40" s="150" t="s">
        <v>180</v>
      </c>
      <c r="C40" s="152">
        <f ca="1">SUM(D40:AE40)</f>
        <v>0</v>
      </c>
      <c r="D40" s="151">
        <f t="shared" ref="D40:AE40" ca="1" si="9">D19-D38</f>
        <v>0</v>
      </c>
      <c r="E40" s="151">
        <f t="shared" ca="1" si="9"/>
        <v>0</v>
      </c>
      <c r="F40" s="151">
        <f t="shared" ca="1" si="9"/>
        <v>0</v>
      </c>
      <c r="G40" s="151">
        <f t="shared" ca="1" si="9"/>
        <v>0</v>
      </c>
      <c r="H40" s="151">
        <f t="shared" ca="1" si="9"/>
        <v>0</v>
      </c>
      <c r="I40" s="151">
        <f t="shared" ca="1" si="9"/>
        <v>0</v>
      </c>
      <c r="J40" s="151">
        <f t="shared" ca="1" si="9"/>
        <v>0</v>
      </c>
      <c r="K40" s="151">
        <f t="shared" ca="1" si="9"/>
        <v>0</v>
      </c>
      <c r="L40" s="151">
        <f t="shared" ca="1" si="9"/>
        <v>0</v>
      </c>
      <c r="M40" s="151">
        <f t="shared" ca="1" si="9"/>
        <v>0</v>
      </c>
      <c r="N40" s="151">
        <f t="shared" ca="1" si="9"/>
        <v>0</v>
      </c>
      <c r="O40" s="151">
        <f t="shared" ca="1" si="9"/>
        <v>0</v>
      </c>
      <c r="P40" s="151">
        <f t="shared" ca="1" si="9"/>
        <v>0</v>
      </c>
      <c r="Q40" s="151">
        <f t="shared" ca="1" si="9"/>
        <v>0</v>
      </c>
      <c r="R40" s="151">
        <f t="shared" ca="1" si="9"/>
        <v>0</v>
      </c>
      <c r="S40" s="151">
        <f t="shared" ca="1" si="9"/>
        <v>0</v>
      </c>
      <c r="T40" s="151">
        <f t="shared" ca="1" si="9"/>
        <v>0</v>
      </c>
      <c r="U40" s="151">
        <f t="shared" ca="1" si="9"/>
        <v>0</v>
      </c>
      <c r="V40" s="151">
        <f t="shared" ca="1" si="9"/>
        <v>0</v>
      </c>
      <c r="W40" s="151">
        <f t="shared" ca="1" si="9"/>
        <v>0</v>
      </c>
      <c r="X40" s="151">
        <f t="shared" ca="1" si="9"/>
        <v>0</v>
      </c>
      <c r="Y40" s="151">
        <f t="shared" ca="1" si="9"/>
        <v>0</v>
      </c>
      <c r="Z40" s="151">
        <f t="shared" ca="1" si="9"/>
        <v>0</v>
      </c>
      <c r="AA40" s="151">
        <f t="shared" ca="1" si="9"/>
        <v>0</v>
      </c>
      <c r="AB40" s="151">
        <f t="shared" ca="1" si="9"/>
        <v>0</v>
      </c>
      <c r="AC40" s="151">
        <f t="shared" ca="1" si="9"/>
        <v>0</v>
      </c>
      <c r="AD40" s="151">
        <f t="shared" ca="1" si="9"/>
        <v>0</v>
      </c>
      <c r="AE40" s="151">
        <f t="shared" ca="1" si="9"/>
        <v>0</v>
      </c>
    </row>
    <row r="43" spans="2:31" x14ac:dyDescent="0.25">
      <c r="F43" s="296"/>
      <c r="G43" s="296"/>
      <c r="H43" s="296"/>
      <c r="I43" s="296"/>
      <c r="J43" s="296"/>
      <c r="K43" s="296"/>
      <c r="L43" s="296"/>
      <c r="M43" s="296"/>
      <c r="N43" s="296"/>
      <c r="O43" s="296"/>
      <c r="P43" s="296"/>
      <c r="Q43" s="296"/>
      <c r="R43" s="296"/>
      <c r="S43" s="296"/>
      <c r="T43" s="296"/>
      <c r="U43" s="296"/>
      <c r="V43" s="296"/>
      <c r="W43" s="296"/>
      <c r="X43" s="296"/>
      <c r="Y43" s="296"/>
      <c r="Z43" s="296"/>
      <c r="AA43" s="296"/>
      <c r="AB43" s="296"/>
      <c r="AC43" s="296"/>
      <c r="AD43" s="296"/>
      <c r="AE43" s="296"/>
    </row>
  </sheetData>
  <mergeCells count="2">
    <mergeCell ref="D7:E7"/>
    <mergeCell ref="F7:AE7"/>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32"/>
  <sheetViews>
    <sheetView showGridLines="0" workbookViewId="0">
      <pane xSplit="2" ySplit="8" topLeftCell="C9" activePane="bottomRight" state="frozen"/>
      <selection activeCell="A9" sqref="A9"/>
      <selection pane="topRight" activeCell="A9" sqref="A9"/>
      <selection pane="bottomLeft" activeCell="A9" sqref="A9"/>
      <selection pane="bottomRight"/>
    </sheetView>
  </sheetViews>
  <sheetFormatPr defaultColWidth="13.7109375" defaultRowHeight="15" x14ac:dyDescent="0.25"/>
  <cols>
    <col min="1" max="1" width="4" style="70" customWidth="1"/>
    <col min="2" max="2" width="64.7109375" style="70" customWidth="1"/>
    <col min="3" max="3" width="7.140625" style="70" customWidth="1"/>
    <col min="4" max="15" width="12.7109375" style="70" customWidth="1"/>
    <col min="16" max="31" width="13.7109375" style="70" customWidth="1"/>
    <col min="32" max="16384" width="13.7109375" style="70"/>
  </cols>
  <sheetData>
    <row r="1" spans="2:31" s="1" customFormat="1" ht="19.899999999999999" customHeight="1" x14ac:dyDescent="0.25">
      <c r="B1" s="105" t="str">
        <f>Company</f>
        <v>M/s. Sai Infinium Limited</v>
      </c>
      <c r="C1" s="105"/>
      <c r="D1" s="105"/>
      <c r="E1" s="105"/>
      <c r="F1" s="105"/>
      <c r="G1" s="105"/>
      <c r="H1" s="105"/>
      <c r="I1" s="105"/>
      <c r="J1" s="105"/>
      <c r="K1" s="105"/>
      <c r="L1" s="105"/>
      <c r="M1" s="105"/>
      <c r="N1" s="105"/>
      <c r="O1" s="105"/>
      <c r="P1" s="105"/>
      <c r="Q1" s="105"/>
      <c r="R1" s="105"/>
      <c r="S1" s="105"/>
      <c r="T1" s="105"/>
      <c r="U1" s="105"/>
      <c r="V1" s="105"/>
      <c r="W1" s="105"/>
      <c r="X1" s="105"/>
      <c r="Y1" s="105"/>
      <c r="Z1" s="105"/>
      <c r="AA1" s="105"/>
      <c r="AB1" s="105"/>
      <c r="AC1" s="105"/>
      <c r="AD1" s="105"/>
      <c r="AE1" s="105"/>
    </row>
    <row r="2" spans="2:31" s="1" customFormat="1" ht="9" customHeight="1" x14ac:dyDescent="0.25">
      <c r="B2" s="2"/>
      <c r="C2" s="2"/>
      <c r="D2" s="2"/>
      <c r="E2" s="2"/>
      <c r="F2" s="2"/>
      <c r="G2" s="2"/>
      <c r="H2" s="2"/>
      <c r="I2" s="2"/>
      <c r="J2" s="2"/>
      <c r="K2" s="2"/>
      <c r="L2" s="2"/>
      <c r="M2" s="2"/>
      <c r="N2" s="2"/>
      <c r="O2" s="2"/>
      <c r="P2" s="2"/>
      <c r="Q2" s="2"/>
      <c r="R2" s="2"/>
      <c r="S2" s="2"/>
      <c r="T2" s="2"/>
      <c r="U2" s="2"/>
      <c r="V2" s="2"/>
      <c r="W2" s="2"/>
      <c r="X2" s="2"/>
      <c r="Y2" s="2"/>
      <c r="Z2" s="2"/>
      <c r="AA2" s="2"/>
      <c r="AB2" s="2"/>
      <c r="AC2" s="2"/>
      <c r="AD2" s="2"/>
      <c r="AE2" s="2"/>
    </row>
    <row r="3" spans="2:31" s="1" customFormat="1" ht="19.899999999999999" customHeight="1" x14ac:dyDescent="0.25">
      <c r="B3" s="106" t="str">
        <f>Project</f>
        <v>Financial Model for Proposed Hybrid Solar Plant (36 MW DC) &amp; Wind Plant (27.30 MW) @ GUJARAT</v>
      </c>
      <c r="C3" s="106"/>
      <c r="D3" s="106"/>
      <c r="E3" s="106"/>
      <c r="F3" s="106"/>
      <c r="G3" s="106"/>
      <c r="H3" s="106"/>
      <c r="I3" s="106"/>
      <c r="J3" s="106"/>
      <c r="K3" s="106"/>
      <c r="L3" s="106"/>
      <c r="M3" s="106"/>
      <c r="N3" s="106"/>
      <c r="O3" s="106"/>
      <c r="P3" s="106"/>
      <c r="Q3" s="106"/>
      <c r="R3" s="106"/>
      <c r="S3" s="106"/>
      <c r="T3" s="106"/>
      <c r="U3" s="106"/>
      <c r="V3" s="106"/>
      <c r="W3" s="106"/>
      <c r="X3" s="106"/>
      <c r="Y3" s="106"/>
      <c r="Z3" s="106"/>
      <c r="AA3" s="106"/>
      <c r="AB3" s="106"/>
      <c r="AC3" s="106"/>
      <c r="AD3" s="106"/>
      <c r="AE3" s="106"/>
    </row>
    <row r="4" spans="2:31" s="1" customFormat="1" ht="9" customHeight="1" x14ac:dyDescent="0.25">
      <c r="B4" s="2"/>
      <c r="C4" s="2"/>
      <c r="D4" s="2"/>
      <c r="E4" s="2"/>
      <c r="F4" s="2"/>
      <c r="G4" s="297"/>
    </row>
    <row r="5" spans="2:31" customFormat="1" ht="15.75" x14ac:dyDescent="0.25">
      <c r="B5" s="71" t="s">
        <v>331</v>
      </c>
      <c r="C5" s="71"/>
      <c r="D5" s="72"/>
      <c r="E5" s="72"/>
      <c r="F5" s="72"/>
      <c r="G5" s="72"/>
      <c r="H5" s="72"/>
      <c r="I5" s="72"/>
      <c r="J5" s="72"/>
      <c r="K5" s="72"/>
      <c r="L5" s="72"/>
      <c r="M5" s="72"/>
      <c r="N5" s="72"/>
      <c r="O5" s="72"/>
      <c r="P5" s="72"/>
      <c r="Q5" s="72"/>
      <c r="R5" s="72"/>
      <c r="S5" s="72"/>
      <c r="T5" s="72"/>
      <c r="U5" s="72"/>
      <c r="V5" s="72"/>
      <c r="W5" s="72"/>
      <c r="X5" s="72"/>
      <c r="Y5" s="72"/>
      <c r="Z5" s="72"/>
      <c r="AA5" s="72"/>
      <c r="AB5" s="72"/>
      <c r="AC5" s="72"/>
      <c r="AD5" s="72"/>
      <c r="AE5" s="72"/>
    </row>
    <row r="6" spans="2:31" customFormat="1" x14ac:dyDescent="0.25">
      <c r="B6" s="298" t="s">
        <v>327</v>
      </c>
      <c r="C6" s="68"/>
      <c r="D6" s="68"/>
      <c r="E6" s="31"/>
      <c r="F6" s="24"/>
      <c r="G6" s="24"/>
      <c r="H6" s="24"/>
      <c r="I6" s="24"/>
      <c r="J6" s="24"/>
      <c r="K6" s="24"/>
      <c r="L6" s="24"/>
      <c r="M6" s="24"/>
      <c r="N6" s="24"/>
      <c r="O6" s="24"/>
      <c r="P6" s="24"/>
      <c r="Q6" s="24"/>
      <c r="R6" s="24"/>
      <c r="S6" s="24"/>
      <c r="T6" s="24"/>
      <c r="U6" s="24"/>
      <c r="V6" s="24"/>
      <c r="W6" s="24"/>
      <c r="X6" s="24"/>
      <c r="Y6" s="24"/>
      <c r="Z6" s="24"/>
      <c r="AA6" s="24"/>
      <c r="AB6" s="24"/>
      <c r="AC6" s="24"/>
      <c r="AD6" s="24"/>
      <c r="AE6" s="24"/>
    </row>
    <row r="7" spans="2:31" s="31" customFormat="1" ht="15.75" x14ac:dyDescent="0.25">
      <c r="C7" s="68"/>
      <c r="D7" s="357" t="s">
        <v>25</v>
      </c>
      <c r="E7" s="357"/>
      <c r="F7" s="359" t="s">
        <v>91</v>
      </c>
      <c r="G7" s="359"/>
      <c r="H7" s="359"/>
      <c r="I7" s="359"/>
      <c r="J7" s="359"/>
      <c r="K7" s="359"/>
      <c r="L7" s="359"/>
      <c r="M7" s="359"/>
      <c r="N7" s="359"/>
      <c r="O7" s="359"/>
      <c r="P7" s="359"/>
      <c r="Q7" s="359"/>
      <c r="R7" s="359"/>
      <c r="S7" s="359"/>
      <c r="T7" s="359"/>
      <c r="U7" s="359"/>
      <c r="V7" s="359"/>
      <c r="W7" s="359"/>
      <c r="X7" s="359"/>
      <c r="Y7" s="359"/>
      <c r="Z7" s="359"/>
      <c r="AA7" s="359"/>
      <c r="AB7" s="359"/>
      <c r="AC7" s="359"/>
      <c r="AD7" s="359"/>
      <c r="AE7" s="359"/>
    </row>
    <row r="8" spans="2:31" s="31" customFormat="1" x14ac:dyDescent="0.25">
      <c r="B8" s="73" t="s">
        <v>92</v>
      </c>
      <c r="C8" s="74" t="s">
        <v>93</v>
      </c>
      <c r="D8" s="75">
        <f>'Revenue &amp; Expenses Modeling'!D8</f>
        <v>45747</v>
      </c>
      <c r="E8" s="75">
        <f>'Revenue &amp; Expenses Modeling'!E8</f>
        <v>46112</v>
      </c>
      <c r="F8" s="75">
        <f>'Revenue &amp; Expenses Modeling'!F8</f>
        <v>46477</v>
      </c>
      <c r="G8" s="75">
        <f>'Revenue &amp; Expenses Modeling'!G8</f>
        <v>46843</v>
      </c>
      <c r="H8" s="75">
        <f>'Revenue &amp; Expenses Modeling'!H8</f>
        <v>47208</v>
      </c>
      <c r="I8" s="75">
        <f>'Revenue &amp; Expenses Modeling'!I8</f>
        <v>47573</v>
      </c>
      <c r="J8" s="75">
        <f>'Revenue &amp; Expenses Modeling'!J8</f>
        <v>47938</v>
      </c>
      <c r="K8" s="75">
        <f>'Revenue &amp; Expenses Modeling'!K8</f>
        <v>48304</v>
      </c>
      <c r="L8" s="75">
        <f>'Revenue &amp; Expenses Modeling'!L8</f>
        <v>48669</v>
      </c>
      <c r="M8" s="75">
        <f>'Revenue &amp; Expenses Modeling'!M8</f>
        <v>49034</v>
      </c>
      <c r="N8" s="75">
        <f>'Revenue &amp; Expenses Modeling'!N8</f>
        <v>49399</v>
      </c>
      <c r="O8" s="75">
        <f>'Revenue &amp; Expenses Modeling'!O8</f>
        <v>49765</v>
      </c>
      <c r="P8" s="75">
        <f>'Revenue &amp; Expenses Modeling'!P8</f>
        <v>50130</v>
      </c>
      <c r="Q8" s="75">
        <f>'Revenue &amp; Expenses Modeling'!Q8</f>
        <v>50495</v>
      </c>
      <c r="R8" s="75">
        <f>'Revenue &amp; Expenses Modeling'!R8</f>
        <v>50860</v>
      </c>
      <c r="S8" s="75">
        <f>'Revenue &amp; Expenses Modeling'!S8</f>
        <v>51226</v>
      </c>
      <c r="T8" s="75">
        <f>'Revenue &amp; Expenses Modeling'!T8</f>
        <v>51591</v>
      </c>
      <c r="U8" s="75">
        <f>'Revenue &amp; Expenses Modeling'!U8</f>
        <v>51956</v>
      </c>
      <c r="V8" s="75">
        <f>'Revenue &amp; Expenses Modeling'!V8</f>
        <v>52321</v>
      </c>
      <c r="W8" s="75">
        <f>'Revenue &amp; Expenses Modeling'!W8</f>
        <v>52687</v>
      </c>
      <c r="X8" s="75">
        <f>'Revenue &amp; Expenses Modeling'!X8</f>
        <v>53052</v>
      </c>
      <c r="Y8" s="75">
        <f>'Revenue &amp; Expenses Modeling'!Y8</f>
        <v>53417</v>
      </c>
      <c r="Z8" s="75">
        <f>'Revenue &amp; Expenses Modeling'!Z8</f>
        <v>53782</v>
      </c>
      <c r="AA8" s="75">
        <f>'Revenue &amp; Expenses Modeling'!AA8</f>
        <v>54148</v>
      </c>
      <c r="AB8" s="75">
        <f>'Revenue &amp; Expenses Modeling'!AB8</f>
        <v>54513</v>
      </c>
      <c r="AC8" s="75">
        <f>'Revenue &amp; Expenses Modeling'!AC8</f>
        <v>54878</v>
      </c>
      <c r="AD8" s="75">
        <f>'Revenue &amp; Expenses Modeling'!AD8</f>
        <v>55243</v>
      </c>
      <c r="AE8" s="75">
        <f>'Revenue &amp; Expenses Modeling'!AE8</f>
        <v>55609</v>
      </c>
    </row>
    <row r="9" spans="2:31" s="80" customFormat="1" ht="12.75" x14ac:dyDescent="0.25">
      <c r="B9" s="76" t="s">
        <v>94</v>
      </c>
      <c r="C9" s="77"/>
      <c r="D9" s="78">
        <v>0</v>
      </c>
      <c r="E9" s="78">
        <v>0</v>
      </c>
      <c r="F9" s="79">
        <v>1</v>
      </c>
      <c r="G9" s="79">
        <v>2</v>
      </c>
      <c r="H9" s="79">
        <v>3</v>
      </c>
      <c r="I9" s="79">
        <v>4</v>
      </c>
      <c r="J9" s="79">
        <v>5</v>
      </c>
      <c r="K9" s="79">
        <v>6</v>
      </c>
      <c r="L9" s="79">
        <v>7</v>
      </c>
      <c r="M9" s="79">
        <v>8</v>
      </c>
      <c r="N9" s="79">
        <v>9</v>
      </c>
      <c r="O9" s="79">
        <v>10</v>
      </c>
      <c r="P9" s="79">
        <v>11</v>
      </c>
      <c r="Q9" s="79">
        <v>12</v>
      </c>
      <c r="R9" s="79">
        <v>13</v>
      </c>
      <c r="S9" s="79">
        <v>14</v>
      </c>
      <c r="T9" s="79">
        <v>15</v>
      </c>
      <c r="U9" s="79">
        <v>16</v>
      </c>
      <c r="V9" s="79">
        <v>17</v>
      </c>
      <c r="W9" s="79">
        <v>18</v>
      </c>
      <c r="X9" s="79">
        <v>19</v>
      </c>
      <c r="Y9" s="79">
        <v>20</v>
      </c>
      <c r="Z9" s="79">
        <v>21</v>
      </c>
      <c r="AA9" s="79">
        <v>22</v>
      </c>
      <c r="AB9" s="79">
        <v>23</v>
      </c>
      <c r="AC9" s="79">
        <v>24</v>
      </c>
      <c r="AD9" s="79">
        <v>25</v>
      </c>
      <c r="AE9" s="79">
        <v>26</v>
      </c>
    </row>
    <row r="10" spans="2:31" s="80" customFormat="1" ht="12.75" x14ac:dyDescent="0.25">
      <c r="B10" s="76" t="s">
        <v>95</v>
      </c>
      <c r="C10" s="77">
        <v>13</v>
      </c>
      <c r="D10" s="78">
        <f>C10-E10</f>
        <v>1</v>
      </c>
      <c r="E10" s="78">
        <f>MONTH(E8-D8)</f>
        <v>12</v>
      </c>
      <c r="F10" s="77">
        <f t="shared" ref="F10:AE10" si="0">MONTH(F8-E8)</f>
        <v>12</v>
      </c>
      <c r="G10" s="77">
        <f t="shared" si="0"/>
        <v>12</v>
      </c>
      <c r="H10" s="77">
        <f t="shared" si="0"/>
        <v>12</v>
      </c>
      <c r="I10" s="77">
        <f t="shared" si="0"/>
        <v>12</v>
      </c>
      <c r="J10" s="77">
        <f t="shared" si="0"/>
        <v>12</v>
      </c>
      <c r="K10" s="77">
        <f t="shared" si="0"/>
        <v>12</v>
      </c>
      <c r="L10" s="77">
        <f t="shared" si="0"/>
        <v>12</v>
      </c>
      <c r="M10" s="77">
        <f t="shared" si="0"/>
        <v>12</v>
      </c>
      <c r="N10" s="77">
        <f t="shared" si="0"/>
        <v>12</v>
      </c>
      <c r="O10" s="77">
        <f t="shared" si="0"/>
        <v>12</v>
      </c>
      <c r="P10" s="77">
        <f t="shared" si="0"/>
        <v>12</v>
      </c>
      <c r="Q10" s="77">
        <f t="shared" si="0"/>
        <v>12</v>
      </c>
      <c r="R10" s="77">
        <f t="shared" si="0"/>
        <v>12</v>
      </c>
      <c r="S10" s="77">
        <f t="shared" si="0"/>
        <v>12</v>
      </c>
      <c r="T10" s="77">
        <f t="shared" si="0"/>
        <v>12</v>
      </c>
      <c r="U10" s="77">
        <f t="shared" si="0"/>
        <v>12</v>
      </c>
      <c r="V10" s="77">
        <f t="shared" si="0"/>
        <v>12</v>
      </c>
      <c r="W10" s="77">
        <f t="shared" si="0"/>
        <v>12</v>
      </c>
      <c r="X10" s="77">
        <f t="shared" si="0"/>
        <v>12</v>
      </c>
      <c r="Y10" s="77">
        <f t="shared" si="0"/>
        <v>12</v>
      </c>
      <c r="Z10" s="77">
        <f t="shared" si="0"/>
        <v>12</v>
      </c>
      <c r="AA10" s="77">
        <f t="shared" si="0"/>
        <v>12</v>
      </c>
      <c r="AB10" s="77">
        <f t="shared" si="0"/>
        <v>12</v>
      </c>
      <c r="AC10" s="77">
        <f t="shared" si="0"/>
        <v>12</v>
      </c>
      <c r="AD10" s="77">
        <f t="shared" si="0"/>
        <v>12</v>
      </c>
      <c r="AE10" s="77">
        <f t="shared" si="0"/>
        <v>12</v>
      </c>
    </row>
    <row r="11" spans="2:31" x14ac:dyDescent="0.25">
      <c r="B11" s="141" t="s">
        <v>182</v>
      </c>
    </row>
    <row r="12" spans="2:31" x14ac:dyDescent="0.25">
      <c r="B12" s="70" t="s">
        <v>183</v>
      </c>
      <c r="D12" s="119">
        <f>IS!D25</f>
        <v>0</v>
      </c>
      <c r="E12" s="119">
        <f>IS!E25</f>
        <v>0</v>
      </c>
      <c r="F12" s="119">
        <f ca="1">IS!F25</f>
        <v>46.462829948147601</v>
      </c>
      <c r="G12" s="119">
        <f ca="1">IS!G25</f>
        <v>47.250260128244193</v>
      </c>
      <c r="H12" s="119">
        <f ca="1">IS!H25</f>
        <v>45.575566127963654</v>
      </c>
      <c r="I12" s="119">
        <f ca="1">IS!I25</f>
        <v>47.416286655802359</v>
      </c>
      <c r="J12" s="119">
        <f ca="1">IS!J25</f>
        <v>49.29863956597093</v>
      </c>
      <c r="K12" s="119">
        <f ca="1">IS!K25</f>
        <v>51.342034018397676</v>
      </c>
      <c r="L12" s="119">
        <f ca="1">IS!L25</f>
        <v>52.989033084626584</v>
      </c>
      <c r="M12" s="119">
        <f ca="1">IS!M25</f>
        <v>54.792469839288628</v>
      </c>
      <c r="N12" s="119">
        <f ca="1">IS!N25</f>
        <v>56.64270949699528</v>
      </c>
      <c r="O12" s="119">
        <f ca="1">IS!O25</f>
        <v>58.649309707923564</v>
      </c>
      <c r="P12" s="119">
        <f ca="1">IS!P25</f>
        <v>57.859050536091615</v>
      </c>
      <c r="Q12" s="119">
        <f ca="1">IS!Q25</f>
        <v>51.583566791680312</v>
      </c>
      <c r="R12" s="119">
        <f ca="1">IS!R25</f>
        <v>52.629797104085704</v>
      </c>
      <c r="S12" s="119">
        <f ca="1">IS!S25</f>
        <v>53.872995740975384</v>
      </c>
      <c r="T12" s="119">
        <f ca="1">IS!T25</f>
        <v>54.846439668637629</v>
      </c>
      <c r="U12" s="119">
        <f ca="1">IS!U25</f>
        <v>55.99203573682712</v>
      </c>
      <c r="V12" s="119">
        <f ca="1">IS!V25</f>
        <v>57.234701524637728</v>
      </c>
      <c r="W12" s="119">
        <f ca="1">IS!W25</f>
        <v>58.628674127020105</v>
      </c>
      <c r="X12" s="119">
        <f ca="1">IS!X25</f>
        <v>59.72697550903824</v>
      </c>
      <c r="Y12" s="119">
        <f ca="1">IS!Y25</f>
        <v>60.960195850485377</v>
      </c>
      <c r="Z12" s="119">
        <f ca="1">IS!Z25</f>
        <v>62.274688865825524</v>
      </c>
      <c r="AA12" s="119">
        <f ca="1">IS!AA25</f>
        <v>63.027513380574746</v>
      </c>
      <c r="AB12" s="119">
        <f ca="1">IS!AB25</f>
        <v>62.786456112051901</v>
      </c>
      <c r="AC12" s="119">
        <f ca="1">IS!AC25</f>
        <v>62.65524966187963</v>
      </c>
      <c r="AD12" s="119">
        <f ca="1">IS!AD25</f>
        <v>62.600635093735868</v>
      </c>
      <c r="AE12" s="119">
        <f ca="1">IS!AE25</f>
        <v>62.647095051123578</v>
      </c>
    </row>
    <row r="13" spans="2:31" x14ac:dyDescent="0.25">
      <c r="B13" s="70" t="s">
        <v>184</v>
      </c>
      <c r="D13" s="119">
        <f ca="1">D20-D14</f>
        <v>23.39566602757715</v>
      </c>
      <c r="E13" s="119">
        <f ca="1">'TPC &amp; MoF'!F22-D13</f>
        <v>93.582664110308642</v>
      </c>
      <c r="F13" s="119">
        <f ca="1">BS!F12-BS!E12</f>
        <v>0</v>
      </c>
      <c r="G13" s="119">
        <f ca="1">BS!G12-BS!F12</f>
        <v>0</v>
      </c>
      <c r="H13" s="119">
        <f ca="1">BS!H12-BS!G12</f>
        <v>0</v>
      </c>
      <c r="I13" s="119">
        <f ca="1">BS!I12-BS!H12</f>
        <v>0</v>
      </c>
      <c r="J13" s="119">
        <f ca="1">BS!J12-BS!I12</f>
        <v>0</v>
      </c>
      <c r="K13" s="119">
        <f ca="1">BS!K12-BS!J12</f>
        <v>0</v>
      </c>
      <c r="L13" s="119">
        <f ca="1">BS!L12-BS!K12</f>
        <v>0</v>
      </c>
      <c r="M13" s="119">
        <f ca="1">BS!M12-BS!L12</f>
        <v>0</v>
      </c>
      <c r="N13" s="119">
        <f ca="1">BS!N12-BS!M12</f>
        <v>0</v>
      </c>
      <c r="O13" s="119">
        <f ca="1">BS!O12-BS!N12</f>
        <v>0</v>
      </c>
      <c r="P13" s="119">
        <f ca="1">BS!P12-BS!O12</f>
        <v>0</v>
      </c>
      <c r="Q13" s="119">
        <f ca="1">BS!Q12-BS!P12</f>
        <v>0</v>
      </c>
      <c r="R13" s="119">
        <f ca="1">BS!R12-BS!Q12</f>
        <v>0</v>
      </c>
      <c r="S13" s="119">
        <f ca="1">BS!S12-BS!R12</f>
        <v>0</v>
      </c>
      <c r="T13" s="119">
        <f ca="1">BS!T12-BS!S12</f>
        <v>0</v>
      </c>
      <c r="U13" s="119">
        <f ca="1">BS!U12-BS!T12</f>
        <v>0</v>
      </c>
      <c r="V13" s="119">
        <f ca="1">BS!V12-BS!U12</f>
        <v>0</v>
      </c>
      <c r="W13" s="119">
        <f ca="1">BS!W12-BS!V12</f>
        <v>0</v>
      </c>
      <c r="X13" s="119">
        <f ca="1">BS!X12-BS!W12</f>
        <v>0</v>
      </c>
      <c r="Y13" s="119">
        <f ca="1">BS!Y12-BS!X12</f>
        <v>0</v>
      </c>
      <c r="Z13" s="119">
        <f ca="1">BS!Z12-BS!Y12</f>
        <v>0</v>
      </c>
      <c r="AA13" s="119">
        <f ca="1">BS!AA12-BS!Z12</f>
        <v>0</v>
      </c>
      <c r="AB13" s="119">
        <f ca="1">BS!AB12-BS!AA12</f>
        <v>0</v>
      </c>
      <c r="AC13" s="119">
        <f ca="1">BS!AC12-BS!AB12</f>
        <v>0</v>
      </c>
      <c r="AD13" s="119">
        <f ca="1">BS!AD12-BS!AC12</f>
        <v>0</v>
      </c>
      <c r="AE13" s="119">
        <f ca="1">BS!AE12-BS!AD12</f>
        <v>0</v>
      </c>
    </row>
    <row r="14" spans="2:31" x14ac:dyDescent="0.25">
      <c r="B14" s="70" t="s">
        <v>185</v>
      </c>
      <c r="D14" s="119">
        <f ca="1">'Loan Schedule'!D12</f>
        <v>70.186998082731449</v>
      </c>
      <c r="E14" s="119">
        <f ca="1">'Loan Schedule'!E12</f>
        <v>280.7479923309258</v>
      </c>
      <c r="F14" s="119">
        <f>'Loan Schedule'!F12</f>
        <v>0</v>
      </c>
      <c r="G14" s="119">
        <f>'Loan Schedule'!G12</f>
        <v>0</v>
      </c>
      <c r="H14" s="119">
        <f>'Loan Schedule'!H12</f>
        <v>0</v>
      </c>
      <c r="I14" s="119">
        <f>'Loan Schedule'!I12</f>
        <v>0</v>
      </c>
      <c r="J14" s="119">
        <f>'Loan Schedule'!J12</f>
        <v>0</v>
      </c>
      <c r="K14" s="119">
        <f>'Loan Schedule'!K12</f>
        <v>0</v>
      </c>
      <c r="L14" s="119">
        <f>'Loan Schedule'!L12</f>
        <v>0</v>
      </c>
      <c r="M14" s="119">
        <f>'Loan Schedule'!M12</f>
        <v>0</v>
      </c>
      <c r="N14" s="119">
        <f>'Loan Schedule'!N12</f>
        <v>0</v>
      </c>
      <c r="O14" s="119">
        <f>'Loan Schedule'!O12</f>
        <v>0</v>
      </c>
      <c r="P14" s="119">
        <f>'Loan Schedule'!P12</f>
        <v>0</v>
      </c>
      <c r="Q14" s="119">
        <f>'Loan Schedule'!Q12</f>
        <v>0</v>
      </c>
      <c r="R14" s="119">
        <f>'Loan Schedule'!R12</f>
        <v>0</v>
      </c>
      <c r="S14" s="119">
        <f>'Loan Schedule'!S12</f>
        <v>0</v>
      </c>
      <c r="T14" s="119">
        <f>'Loan Schedule'!T12</f>
        <v>0</v>
      </c>
      <c r="U14" s="119">
        <f>'Loan Schedule'!U12</f>
        <v>0</v>
      </c>
      <c r="V14" s="119">
        <f>'Loan Schedule'!V12</f>
        <v>0</v>
      </c>
      <c r="W14" s="119">
        <f>'Loan Schedule'!W12</f>
        <v>0</v>
      </c>
      <c r="X14" s="119">
        <f>'Loan Schedule'!X12</f>
        <v>0</v>
      </c>
      <c r="Y14" s="119">
        <f>'Loan Schedule'!Y12</f>
        <v>0</v>
      </c>
      <c r="Z14" s="119">
        <f>'Loan Schedule'!Z12</f>
        <v>0</v>
      </c>
      <c r="AA14" s="119">
        <f>'Loan Schedule'!AA12</f>
        <v>0</v>
      </c>
      <c r="AB14" s="119">
        <f>'Loan Schedule'!AB12</f>
        <v>0</v>
      </c>
      <c r="AC14" s="119">
        <f>'Loan Schedule'!AC12</f>
        <v>0</v>
      </c>
      <c r="AD14" s="119">
        <f>'Loan Schedule'!AD12</f>
        <v>0</v>
      </c>
      <c r="AE14" s="119">
        <f>'Loan Schedule'!AE12</f>
        <v>0</v>
      </c>
    </row>
    <row r="15" spans="2:31" x14ac:dyDescent="0.25">
      <c r="B15" s="70" t="s">
        <v>186</v>
      </c>
      <c r="D15" s="119">
        <f>IS!D18</f>
        <v>0</v>
      </c>
      <c r="E15" s="119">
        <f>IS!E18</f>
        <v>0</v>
      </c>
      <c r="F15" s="119">
        <f ca="1">IS!F18</f>
        <v>17.632533629450649</v>
      </c>
      <c r="G15" s="119">
        <f ca="1">IS!G18</f>
        <v>17.680841940764211</v>
      </c>
      <c r="H15" s="119">
        <f ca="1">IS!H18</f>
        <v>17.632533629450649</v>
      </c>
      <c r="I15" s="119">
        <f ca="1">IS!I18</f>
        <v>17.632533629450649</v>
      </c>
      <c r="J15" s="119">
        <f ca="1">IS!J18</f>
        <v>17.632533629450649</v>
      </c>
      <c r="K15" s="119">
        <f ca="1">IS!K18</f>
        <v>17.680841940764211</v>
      </c>
      <c r="L15" s="119">
        <f ca="1">IS!L18</f>
        <v>17.632533629450649</v>
      </c>
      <c r="M15" s="119">
        <f ca="1">IS!M18</f>
        <v>17.632533629450649</v>
      </c>
      <c r="N15" s="119">
        <f ca="1">IS!N18</f>
        <v>17.632533629450649</v>
      </c>
      <c r="O15" s="119">
        <f ca="1">IS!O18</f>
        <v>17.680841940764211</v>
      </c>
      <c r="P15" s="119">
        <f ca="1">IS!P18</f>
        <v>17.632533629450649</v>
      </c>
      <c r="Q15" s="119">
        <f ca="1">IS!Q18</f>
        <v>17.632533629450649</v>
      </c>
      <c r="R15" s="119">
        <f ca="1">IS!R18</f>
        <v>17.632533629450649</v>
      </c>
      <c r="S15" s="119">
        <f ca="1">IS!S18</f>
        <v>17.680841940764211</v>
      </c>
      <c r="T15" s="119">
        <f ca="1">IS!T18</f>
        <v>17.632533629450649</v>
      </c>
      <c r="U15" s="119">
        <f ca="1">IS!U18</f>
        <v>17.632533629450649</v>
      </c>
      <c r="V15" s="119">
        <f ca="1">IS!V18</f>
        <v>17.632533629450649</v>
      </c>
      <c r="W15" s="119">
        <f ca="1">IS!W18</f>
        <v>17.680841940764211</v>
      </c>
      <c r="X15" s="119">
        <f ca="1">IS!X18</f>
        <v>17.632533629450649</v>
      </c>
      <c r="Y15" s="119">
        <f ca="1">IS!Y18</f>
        <v>17.632533629450649</v>
      </c>
      <c r="Z15" s="119">
        <f ca="1">IS!Z18</f>
        <v>17.632533629450649</v>
      </c>
      <c r="AA15" s="119">
        <f ca="1">IS!AA18</f>
        <v>17.680841940764211</v>
      </c>
      <c r="AB15" s="119">
        <f ca="1">IS!AB18</f>
        <v>17.632533629450649</v>
      </c>
      <c r="AC15" s="119">
        <f ca="1">IS!AC18</f>
        <v>17.632533629450649</v>
      </c>
      <c r="AD15" s="119">
        <f ca="1">IS!AD18</f>
        <v>17.632533629450649</v>
      </c>
      <c r="AE15" s="119">
        <f ca="1">IS!AE18</f>
        <v>17.680841940764211</v>
      </c>
    </row>
    <row r="16" spans="2:31" x14ac:dyDescent="0.25">
      <c r="B16" s="70" t="s">
        <v>187</v>
      </c>
      <c r="D16" s="119">
        <f>BS!D16-BS!C16</f>
        <v>0</v>
      </c>
      <c r="E16" s="119">
        <f>BS!E16-BS!D16</f>
        <v>0</v>
      </c>
      <c r="F16" s="119">
        <f>BS!F16-BS!E16</f>
        <v>0</v>
      </c>
      <c r="G16" s="119">
        <f>BS!G16-BS!F16</f>
        <v>0</v>
      </c>
      <c r="H16" s="119">
        <f>BS!H16-BS!G16</f>
        <v>0</v>
      </c>
      <c r="I16" s="119">
        <f>BS!I16-BS!H16</f>
        <v>0</v>
      </c>
      <c r="J16" s="119">
        <f>BS!J16-BS!I16</f>
        <v>0</v>
      </c>
      <c r="K16" s="119">
        <f>BS!K16-BS!J16</f>
        <v>0</v>
      </c>
      <c r="L16" s="119">
        <f>BS!L16-BS!K16</f>
        <v>0</v>
      </c>
      <c r="M16" s="119">
        <f>BS!M16-BS!L16</f>
        <v>0</v>
      </c>
      <c r="N16" s="119">
        <f>BS!N16-BS!M16</f>
        <v>0</v>
      </c>
      <c r="O16" s="119">
        <f>BS!O16-BS!N16</f>
        <v>0</v>
      </c>
      <c r="P16" s="119">
        <f>BS!P16-BS!O16</f>
        <v>0</v>
      </c>
      <c r="Q16" s="119">
        <f>BS!Q16-BS!P16</f>
        <v>0</v>
      </c>
      <c r="R16" s="119">
        <f>BS!R16-BS!Q16</f>
        <v>0</v>
      </c>
      <c r="S16" s="119">
        <f>BS!S16-BS!R16</f>
        <v>0</v>
      </c>
      <c r="T16" s="119">
        <f>BS!T16-BS!S16</f>
        <v>0</v>
      </c>
      <c r="U16" s="119">
        <f>BS!U16-BS!T16</f>
        <v>0</v>
      </c>
      <c r="V16" s="119">
        <f>BS!V16-BS!U16</f>
        <v>0</v>
      </c>
      <c r="W16" s="119">
        <f>BS!W16-BS!V16</f>
        <v>0</v>
      </c>
      <c r="X16" s="119">
        <f>BS!X16-BS!W16</f>
        <v>0</v>
      </c>
      <c r="Y16" s="119">
        <f>BS!Y16-BS!X16</f>
        <v>0</v>
      </c>
      <c r="Z16" s="119">
        <f>BS!Z16-BS!Y16</f>
        <v>0</v>
      </c>
      <c r="AA16" s="119">
        <f>BS!AA16-BS!Z16</f>
        <v>0</v>
      </c>
      <c r="AB16" s="119">
        <f>BS!AB16-BS!AA16</f>
        <v>0</v>
      </c>
      <c r="AC16" s="119">
        <f>BS!AC16-BS!AB16</f>
        <v>0</v>
      </c>
      <c r="AD16" s="119">
        <f>BS!AD16-BS!AC16</f>
        <v>0</v>
      </c>
      <c r="AE16" s="119">
        <f>BS!AE16-BS!AD16</f>
        <v>0</v>
      </c>
    </row>
    <row r="17" spans="2:31" x14ac:dyDescent="0.25">
      <c r="B17" s="154" t="s">
        <v>162</v>
      </c>
      <c r="C17" s="154"/>
      <c r="D17" s="155">
        <f t="shared" ref="D17:AE17" ca="1" si="1">SUM(D12:D16)</f>
        <v>93.582664110308599</v>
      </c>
      <c r="E17" s="155">
        <f t="shared" ca="1" si="1"/>
        <v>374.33065644123445</v>
      </c>
      <c r="F17" s="155">
        <f t="shared" ca="1" si="1"/>
        <v>64.095363577598249</v>
      </c>
      <c r="G17" s="155">
        <f t="shared" ca="1" si="1"/>
        <v>64.931102069008404</v>
      </c>
      <c r="H17" s="155">
        <f t="shared" ca="1" si="1"/>
        <v>63.208099757414303</v>
      </c>
      <c r="I17" s="155">
        <f t="shared" ca="1" si="1"/>
        <v>65.048820285253015</v>
      </c>
      <c r="J17" s="155">
        <f t="shared" ca="1" si="1"/>
        <v>66.931173195421579</v>
      </c>
      <c r="K17" s="155">
        <f t="shared" ca="1" si="1"/>
        <v>69.022875959161894</v>
      </c>
      <c r="L17" s="155">
        <f t="shared" ca="1" si="1"/>
        <v>70.621566714077233</v>
      </c>
      <c r="M17" s="155">
        <f t="shared" ca="1" si="1"/>
        <v>72.425003468739277</v>
      </c>
      <c r="N17" s="155">
        <f t="shared" ca="1" si="1"/>
        <v>74.275243126445929</v>
      </c>
      <c r="O17" s="155">
        <f t="shared" ca="1" si="1"/>
        <v>76.330151648687774</v>
      </c>
      <c r="P17" s="155">
        <f t="shared" ca="1" si="1"/>
        <v>75.491584165542264</v>
      </c>
      <c r="Q17" s="155">
        <f t="shared" ca="1" si="1"/>
        <v>69.21610042113096</v>
      </c>
      <c r="R17" s="155">
        <f t="shared" ca="1" si="1"/>
        <v>70.262330733536345</v>
      </c>
      <c r="S17" s="155">
        <f t="shared" ca="1" si="1"/>
        <v>71.553837681739594</v>
      </c>
      <c r="T17" s="155">
        <f t="shared" ca="1" si="1"/>
        <v>72.478973298088277</v>
      </c>
      <c r="U17" s="155">
        <f t="shared" ca="1" si="1"/>
        <v>73.624569366277768</v>
      </c>
      <c r="V17" s="155">
        <f t="shared" ca="1" si="1"/>
        <v>74.867235154088377</v>
      </c>
      <c r="W17" s="155">
        <f t="shared" ca="1" si="1"/>
        <v>76.309516067784315</v>
      </c>
      <c r="X17" s="155">
        <f t="shared" ca="1" si="1"/>
        <v>77.359509138488889</v>
      </c>
      <c r="Y17" s="155">
        <f t="shared" ca="1" si="1"/>
        <v>78.592729479936025</v>
      </c>
      <c r="Z17" s="155">
        <f t="shared" ca="1" si="1"/>
        <v>79.907222495276173</v>
      </c>
      <c r="AA17" s="155">
        <f t="shared" ca="1" si="1"/>
        <v>80.708355321338956</v>
      </c>
      <c r="AB17" s="155">
        <f t="shared" ca="1" si="1"/>
        <v>80.418989741502543</v>
      </c>
      <c r="AC17" s="155">
        <f t="shared" ca="1" si="1"/>
        <v>80.287783291330271</v>
      </c>
      <c r="AD17" s="155">
        <f t="shared" ca="1" si="1"/>
        <v>80.233168723186509</v>
      </c>
      <c r="AE17" s="155">
        <f t="shared" ca="1" si="1"/>
        <v>80.327936991887782</v>
      </c>
    </row>
    <row r="19" spans="2:31" x14ac:dyDescent="0.25">
      <c r="B19" s="141" t="s">
        <v>188</v>
      </c>
    </row>
    <row r="20" spans="2:31" x14ac:dyDescent="0.25">
      <c r="B20" s="70" t="s">
        <v>189</v>
      </c>
      <c r="D20" s="119">
        <f ca="1">BS!D23</f>
        <v>93.582664110308599</v>
      </c>
      <c r="E20" s="119">
        <f ca="1">BS!E23-BS!D23</f>
        <v>374.3306564412344</v>
      </c>
      <c r="F20" s="119">
        <f ca="1">BS!F23-BS!E23</f>
        <v>0</v>
      </c>
      <c r="G20" s="119">
        <f ca="1">BS!G23-BS!F23</f>
        <v>0</v>
      </c>
      <c r="H20" s="119">
        <f ca="1">BS!H23-BS!G23</f>
        <v>0</v>
      </c>
      <c r="I20" s="119">
        <f ca="1">BS!I23-BS!H23</f>
        <v>0</v>
      </c>
      <c r="J20" s="119">
        <f ca="1">BS!J23-BS!I23</f>
        <v>0</v>
      </c>
      <c r="K20" s="119">
        <f ca="1">BS!K23-BS!J23</f>
        <v>0</v>
      </c>
      <c r="L20" s="119">
        <f ca="1">BS!L23-BS!K23</f>
        <v>0</v>
      </c>
      <c r="M20" s="119">
        <f ca="1">BS!M23-BS!L23</f>
        <v>0</v>
      </c>
      <c r="N20" s="119">
        <f ca="1">BS!N23-BS!M23</f>
        <v>0</v>
      </c>
      <c r="O20" s="119">
        <f ca="1">BS!O23-BS!N23</f>
        <v>0</v>
      </c>
      <c r="P20" s="119">
        <f ca="1">BS!P23-BS!O23</f>
        <v>0</v>
      </c>
      <c r="Q20" s="119">
        <f ca="1">BS!Q23-BS!P23</f>
        <v>0</v>
      </c>
      <c r="R20" s="119">
        <f ca="1">BS!R23-BS!Q23</f>
        <v>0</v>
      </c>
      <c r="S20" s="119">
        <f ca="1">BS!S23-BS!R23</f>
        <v>0</v>
      </c>
      <c r="T20" s="119">
        <f ca="1">BS!T23-BS!S23</f>
        <v>0</v>
      </c>
      <c r="U20" s="119">
        <f ca="1">BS!U23-BS!T23</f>
        <v>0</v>
      </c>
      <c r="V20" s="119">
        <f ca="1">BS!V23-BS!U23</f>
        <v>0</v>
      </c>
      <c r="W20" s="119">
        <f ca="1">BS!W23-BS!V23</f>
        <v>0</v>
      </c>
      <c r="X20" s="119">
        <f ca="1">BS!X23-BS!W23</f>
        <v>0</v>
      </c>
      <c r="Y20" s="119">
        <f ca="1">BS!Y23-BS!X23</f>
        <v>0</v>
      </c>
      <c r="Z20" s="119">
        <f ca="1">BS!Z23-BS!Y23</f>
        <v>0</v>
      </c>
      <c r="AA20" s="119">
        <f ca="1">BS!AA23-BS!Z23</f>
        <v>0</v>
      </c>
      <c r="AB20" s="119">
        <f ca="1">BS!AB23-BS!AA23</f>
        <v>0</v>
      </c>
      <c r="AC20" s="119">
        <f ca="1">BS!AC23-BS!AB23</f>
        <v>0</v>
      </c>
      <c r="AD20" s="119">
        <f ca="1">BS!AD23-BS!AC23</f>
        <v>0</v>
      </c>
      <c r="AE20" s="119">
        <f ca="1">BS!AE23-BS!AD23</f>
        <v>0</v>
      </c>
    </row>
    <row r="21" spans="2:31" x14ac:dyDescent="0.25">
      <c r="B21" s="70" t="s">
        <v>409</v>
      </c>
      <c r="D21" s="119">
        <f>BS!D30-BS!C30</f>
        <v>0</v>
      </c>
      <c r="E21" s="119">
        <f>BS!E30-BS!D30</f>
        <v>0</v>
      </c>
      <c r="F21" s="119">
        <f ca="1">BS!F30-BS!E30</f>
        <v>9.8366441068974773</v>
      </c>
      <c r="G21" s="119">
        <f ca="1">BS!G30-BS!F30</f>
        <v>10.003350922846582</v>
      </c>
      <c r="H21" s="119">
        <f ca="1">BS!H30-BS!G30</f>
        <v>9.6488015144893993</v>
      </c>
      <c r="I21" s="119">
        <f ca="1">BS!I30-BS!H30</f>
        <v>10.03850039320205</v>
      </c>
      <c r="J21" s="119">
        <f ca="1">BS!J30-BS!I30</f>
        <v>-1.5150994518781289</v>
      </c>
      <c r="K21" s="119">
        <f ca="1">BS!K30-BS!J30</f>
        <v>-3.3571605547976091</v>
      </c>
      <c r="L21" s="119">
        <f ca="1">BS!L30-BS!K30</f>
        <v>-4.9357679819393958</v>
      </c>
      <c r="M21" s="119">
        <f ca="1">BS!M30-BS!L30</f>
        <v>-6.3238674757519071</v>
      </c>
      <c r="N21" s="119">
        <f ca="1">BS!N30-BS!M30</f>
        <v>-7.5503475627733341</v>
      </c>
      <c r="O21" s="119">
        <f ca="1">BS!O30-BS!N30</f>
        <v>-8.656759573906557</v>
      </c>
      <c r="P21" s="119">
        <f ca="1">BS!P30-BS!O30</f>
        <v>-7.1882943363885765</v>
      </c>
      <c r="Q21" s="119">
        <f ca="1">BS!Q30-BS!P30</f>
        <v>0</v>
      </c>
      <c r="R21" s="119">
        <f ca="1">BS!R30-BS!Q30</f>
        <v>0</v>
      </c>
      <c r="S21" s="119">
        <f ca="1">BS!S30-BS!R30</f>
        <v>0</v>
      </c>
      <c r="T21" s="119">
        <f ca="1">BS!T30-BS!S30</f>
        <v>0</v>
      </c>
      <c r="U21" s="119">
        <f ca="1">BS!U30-BS!T30</f>
        <v>0</v>
      </c>
      <c r="V21" s="119">
        <f ca="1">BS!V30-BS!U30</f>
        <v>0</v>
      </c>
      <c r="W21" s="119">
        <f ca="1">BS!W30-BS!V30</f>
        <v>0</v>
      </c>
      <c r="X21" s="119">
        <f ca="1">BS!X30-BS!W30</f>
        <v>0</v>
      </c>
      <c r="Y21" s="119">
        <f ca="1">BS!Y30-BS!X30</f>
        <v>0</v>
      </c>
      <c r="Z21" s="119">
        <f ca="1">BS!Z30-BS!Y30</f>
        <v>0</v>
      </c>
      <c r="AA21" s="119">
        <f ca="1">BS!AA30-BS!Z30</f>
        <v>0</v>
      </c>
      <c r="AB21" s="119">
        <f ca="1">BS!AB30-BS!AA30</f>
        <v>0</v>
      </c>
      <c r="AC21" s="119">
        <f ca="1">BS!AC30-BS!AB30</f>
        <v>0</v>
      </c>
      <c r="AD21" s="119">
        <f ca="1">BS!AD30-BS!AC30</f>
        <v>0</v>
      </c>
      <c r="AE21" s="119">
        <f ca="1">BS!AE30-BS!AD30</f>
        <v>0</v>
      </c>
    </row>
    <row r="22" spans="2:31" x14ac:dyDescent="0.25">
      <c r="B22" s="70" t="s">
        <v>190</v>
      </c>
      <c r="D22" s="119">
        <f>'Loan Schedule'!D13</f>
        <v>0</v>
      </c>
      <c r="E22" s="119">
        <f>'Loan Schedule'!E13</f>
        <v>0</v>
      </c>
      <c r="F22" s="119">
        <f ca="1">'Loan Schedule'!F13</f>
        <v>0</v>
      </c>
      <c r="G22" s="119">
        <f ca="1">'Loan Schedule'!G13</f>
        <v>17.546749520682859</v>
      </c>
      <c r="H22" s="119">
        <f ca="1">'Loan Schedule'!H13</f>
        <v>17.546749520682859</v>
      </c>
      <c r="I22" s="119">
        <f ca="1">'Loan Schedule'!I13</f>
        <v>17.546749520682859</v>
      </c>
      <c r="J22" s="119">
        <f ca="1">'Loan Schedule'!J13</f>
        <v>17.546749520682859</v>
      </c>
      <c r="K22" s="119">
        <f ca="1">'Loan Schedule'!K13</f>
        <v>17.546749520682859</v>
      </c>
      <c r="L22" s="119">
        <f ca="1">'Loan Schedule'!L13</f>
        <v>17.546749520682859</v>
      </c>
      <c r="M22" s="119">
        <f ca="1">'Loan Schedule'!M13</f>
        <v>17.546749520682859</v>
      </c>
      <c r="N22" s="119">
        <f ca="1">'Loan Schedule'!N13</f>
        <v>17.546749520682859</v>
      </c>
      <c r="O22" s="119">
        <f ca="1">'Loan Schedule'!O13</f>
        <v>17.546749520682859</v>
      </c>
      <c r="P22" s="119">
        <f ca="1">'Loan Schedule'!P13</f>
        <v>17.546749520682859</v>
      </c>
      <c r="Q22" s="119">
        <f ca="1">'Loan Schedule'!Q13</f>
        <v>17.546749520682859</v>
      </c>
      <c r="R22" s="119">
        <f ca="1">'Loan Schedule'!R13</f>
        <v>17.546749520682859</v>
      </c>
      <c r="S22" s="119">
        <f ca="1">'Loan Schedule'!S13</f>
        <v>17.546749520682859</v>
      </c>
      <c r="T22" s="119">
        <f ca="1">'Loan Schedule'!T13</f>
        <v>17.546749520682859</v>
      </c>
      <c r="U22" s="119">
        <f ca="1">'Loan Schedule'!U13</f>
        <v>17.546749520682859</v>
      </c>
      <c r="V22" s="119">
        <f ca="1">'Loan Schedule'!V13</f>
        <v>17.546749520682859</v>
      </c>
      <c r="W22" s="119">
        <f ca="1">'Loan Schedule'!W13</f>
        <v>17.546749520682859</v>
      </c>
      <c r="X22" s="119">
        <f ca="1">'Loan Schedule'!X13</f>
        <v>17.546749520682859</v>
      </c>
      <c r="Y22" s="119">
        <f ca="1">'Loan Schedule'!Y13</f>
        <v>17.546749520682859</v>
      </c>
      <c r="Z22" s="119">
        <f ca="1">'Loan Schedule'!Z13</f>
        <v>17.546749520682859</v>
      </c>
      <c r="AA22" s="119">
        <f>'Loan Schedule'!AA13</f>
        <v>0</v>
      </c>
      <c r="AB22" s="119">
        <f>'Loan Schedule'!AB13</f>
        <v>0</v>
      </c>
      <c r="AC22" s="119">
        <f>'Loan Schedule'!AC13</f>
        <v>0</v>
      </c>
      <c r="AD22" s="119">
        <f>'Loan Schedule'!AD13</f>
        <v>0</v>
      </c>
      <c r="AE22" s="119">
        <f>'Loan Schedule'!AE13</f>
        <v>0</v>
      </c>
    </row>
    <row r="23" spans="2:31" x14ac:dyDescent="0.25">
      <c r="B23" s="70" t="s">
        <v>191</v>
      </c>
      <c r="D23" s="119"/>
      <c r="E23" s="119"/>
      <c r="F23" s="119"/>
      <c r="G23" s="119"/>
      <c r="H23" s="119"/>
      <c r="I23" s="119"/>
      <c r="J23" s="119"/>
      <c r="K23" s="119"/>
      <c r="L23" s="119"/>
      <c r="M23" s="119"/>
      <c r="N23" s="119"/>
      <c r="O23" s="119"/>
      <c r="P23" s="119"/>
      <c r="Q23" s="119"/>
      <c r="R23" s="119"/>
      <c r="S23" s="119"/>
      <c r="T23" s="119"/>
      <c r="U23" s="119"/>
      <c r="V23" s="119"/>
      <c r="W23" s="119"/>
      <c r="X23" s="119"/>
      <c r="Y23" s="119"/>
      <c r="Z23" s="119"/>
      <c r="AA23" s="119"/>
      <c r="AB23" s="119"/>
      <c r="AC23" s="119"/>
      <c r="AD23" s="119"/>
      <c r="AE23" s="119"/>
    </row>
    <row r="24" spans="2:31" x14ac:dyDescent="0.25">
      <c r="B24" s="70" t="s">
        <v>192</v>
      </c>
      <c r="D24" s="119"/>
      <c r="E24" s="119"/>
      <c r="F24" s="119"/>
      <c r="G24" s="119"/>
      <c r="H24" s="119"/>
      <c r="I24" s="119"/>
      <c r="J24" s="119"/>
      <c r="K24" s="119"/>
      <c r="L24" s="119"/>
      <c r="M24" s="119"/>
      <c r="N24" s="119"/>
      <c r="O24" s="119"/>
      <c r="P24" s="119"/>
      <c r="Q24" s="119"/>
      <c r="R24" s="119"/>
      <c r="S24" s="119"/>
      <c r="T24" s="119"/>
      <c r="U24" s="119"/>
      <c r="V24" s="119"/>
      <c r="W24" s="119"/>
      <c r="X24" s="119"/>
      <c r="Y24" s="119"/>
      <c r="Z24" s="119"/>
      <c r="AA24" s="119"/>
      <c r="AB24" s="119"/>
      <c r="AC24" s="119"/>
      <c r="AD24" s="119"/>
      <c r="AE24" s="119"/>
    </row>
    <row r="25" spans="2:31" x14ac:dyDescent="0.25">
      <c r="B25" s="70" t="s">
        <v>177</v>
      </c>
      <c r="D25" s="149"/>
      <c r="E25" s="149"/>
      <c r="F25" s="149"/>
      <c r="G25" s="149"/>
      <c r="H25" s="149"/>
      <c r="I25" s="149"/>
      <c r="J25" s="149"/>
      <c r="K25" s="149"/>
      <c r="L25" s="149"/>
      <c r="M25" s="149"/>
      <c r="N25" s="149"/>
      <c r="O25" s="149"/>
      <c r="P25" s="149"/>
      <c r="Q25" s="149"/>
      <c r="R25" s="149"/>
      <c r="S25" s="149"/>
      <c r="T25" s="149"/>
      <c r="U25" s="149"/>
      <c r="V25" s="149"/>
      <c r="W25" s="149"/>
      <c r="X25" s="149"/>
      <c r="Y25" s="149"/>
      <c r="Z25" s="149"/>
      <c r="AA25" s="149"/>
      <c r="AB25" s="149"/>
      <c r="AC25" s="149"/>
      <c r="AD25" s="149"/>
      <c r="AE25" s="149"/>
    </row>
    <row r="26" spans="2:31" x14ac:dyDescent="0.25">
      <c r="B26" s="70" t="s">
        <v>171</v>
      </c>
      <c r="D26" s="119"/>
      <c r="E26" s="119"/>
      <c r="F26" s="119"/>
      <c r="G26" s="119"/>
      <c r="H26" s="119"/>
      <c r="I26" s="119"/>
      <c r="J26" s="119"/>
      <c r="K26" s="119"/>
      <c r="L26" s="119"/>
      <c r="M26" s="119"/>
      <c r="N26" s="119"/>
      <c r="O26" s="119"/>
      <c r="P26" s="119"/>
      <c r="Q26" s="119"/>
      <c r="R26" s="119"/>
      <c r="S26" s="119"/>
      <c r="T26" s="119"/>
      <c r="U26" s="119"/>
      <c r="V26" s="119"/>
      <c r="W26" s="119"/>
      <c r="X26" s="119"/>
      <c r="Y26" s="119"/>
      <c r="Z26" s="119"/>
      <c r="AA26" s="119"/>
      <c r="AB26" s="119"/>
      <c r="AC26" s="119"/>
      <c r="AD26" s="119"/>
      <c r="AE26" s="119"/>
    </row>
    <row r="27" spans="2:31" x14ac:dyDescent="0.25">
      <c r="B27" s="154" t="s">
        <v>162</v>
      </c>
      <c r="C27" s="154"/>
      <c r="D27" s="155">
        <f ca="1">SUM(D20:D26)</f>
        <v>93.582664110308599</v>
      </c>
      <c r="E27" s="155">
        <f t="shared" ref="E27:AE27" ca="1" si="2">SUM(E20:E26)</f>
        <v>374.3306564412344</v>
      </c>
      <c r="F27" s="155">
        <f t="shared" ca="1" si="2"/>
        <v>9.8366441068974773</v>
      </c>
      <c r="G27" s="155">
        <f t="shared" ca="1" si="2"/>
        <v>27.550100443529441</v>
      </c>
      <c r="H27" s="155">
        <f t="shared" ca="1" si="2"/>
        <v>27.195551035172258</v>
      </c>
      <c r="I27" s="155">
        <f t="shared" ca="1" si="2"/>
        <v>27.585249913884908</v>
      </c>
      <c r="J27" s="155">
        <f t="shared" ca="1" si="2"/>
        <v>16.03165006880473</v>
      </c>
      <c r="K27" s="155">
        <f t="shared" ca="1" si="2"/>
        <v>14.18958896588525</v>
      </c>
      <c r="L27" s="155">
        <f t="shared" ca="1" si="2"/>
        <v>12.610981538743463</v>
      </c>
      <c r="M27" s="155">
        <f t="shared" ca="1" si="2"/>
        <v>11.222882044930952</v>
      </c>
      <c r="N27" s="155">
        <f t="shared" ca="1" si="2"/>
        <v>9.9964019579095247</v>
      </c>
      <c r="O27" s="155">
        <f t="shared" ca="1" si="2"/>
        <v>8.8899899467763017</v>
      </c>
      <c r="P27" s="155">
        <f t="shared" ca="1" si="2"/>
        <v>10.358455184294282</v>
      </c>
      <c r="Q27" s="155">
        <f t="shared" ca="1" si="2"/>
        <v>17.546749520682859</v>
      </c>
      <c r="R27" s="155">
        <f t="shared" ca="1" si="2"/>
        <v>17.546749520682859</v>
      </c>
      <c r="S27" s="155">
        <f t="shared" ca="1" si="2"/>
        <v>17.546749520682859</v>
      </c>
      <c r="T27" s="155">
        <f t="shared" ca="1" si="2"/>
        <v>17.546749520682859</v>
      </c>
      <c r="U27" s="155">
        <f t="shared" ca="1" si="2"/>
        <v>17.546749520682859</v>
      </c>
      <c r="V27" s="155">
        <f t="shared" ca="1" si="2"/>
        <v>17.546749520682859</v>
      </c>
      <c r="W27" s="155">
        <f t="shared" ca="1" si="2"/>
        <v>17.546749520682859</v>
      </c>
      <c r="X27" s="155">
        <f t="shared" ca="1" si="2"/>
        <v>17.546749520682859</v>
      </c>
      <c r="Y27" s="155">
        <f t="shared" ca="1" si="2"/>
        <v>17.546749520682859</v>
      </c>
      <c r="Z27" s="155">
        <f t="shared" ca="1" si="2"/>
        <v>17.546749520682859</v>
      </c>
      <c r="AA27" s="155">
        <f t="shared" ca="1" si="2"/>
        <v>0</v>
      </c>
      <c r="AB27" s="155">
        <f t="shared" ca="1" si="2"/>
        <v>0</v>
      </c>
      <c r="AC27" s="155">
        <f t="shared" ca="1" si="2"/>
        <v>0</v>
      </c>
      <c r="AD27" s="155">
        <f t="shared" ca="1" si="2"/>
        <v>0</v>
      </c>
      <c r="AE27" s="155">
        <f t="shared" ca="1" si="2"/>
        <v>0</v>
      </c>
    </row>
    <row r="28" spans="2:31" x14ac:dyDescent="0.25">
      <c r="B28" s="70" t="s">
        <v>193</v>
      </c>
      <c r="D28" s="119">
        <v>0</v>
      </c>
      <c r="E28" s="119">
        <f ca="1">D30</f>
        <v>0</v>
      </c>
      <c r="F28" s="119">
        <f t="shared" ref="F28:AE28" ca="1" si="3">E30</f>
        <v>0</v>
      </c>
      <c r="G28" s="119">
        <f t="shared" ca="1" si="3"/>
        <v>54.258719470700768</v>
      </c>
      <c r="H28" s="119">
        <f t="shared" ca="1" si="3"/>
        <v>91.639721096179727</v>
      </c>
      <c r="I28" s="119">
        <f t="shared" ca="1" si="3"/>
        <v>127.65226981842177</v>
      </c>
      <c r="J28" s="119">
        <f t="shared" ca="1" si="3"/>
        <v>165.11584018978988</v>
      </c>
      <c r="K28" s="119">
        <f t="shared" ca="1" si="3"/>
        <v>216.01536331640673</v>
      </c>
      <c r="L28" s="119">
        <f t="shared" ca="1" si="3"/>
        <v>270.84865030968336</v>
      </c>
      <c r="M28" s="119">
        <f t="shared" ca="1" si="3"/>
        <v>328.85923548501717</v>
      </c>
      <c r="N28" s="119">
        <f t="shared" ca="1" si="3"/>
        <v>390.06135690882547</v>
      </c>
      <c r="O28" s="119">
        <f t="shared" ca="1" si="3"/>
        <v>454.34019807736189</v>
      </c>
      <c r="P28" s="119">
        <f t="shared" ca="1" si="3"/>
        <v>521.78035977927334</v>
      </c>
      <c r="Q28" s="119">
        <f t="shared" ca="1" si="3"/>
        <v>586.91348876052132</v>
      </c>
      <c r="R28" s="119">
        <f t="shared" ca="1" si="3"/>
        <v>638.5828396609694</v>
      </c>
      <c r="S28" s="119">
        <f t="shared" ca="1" si="3"/>
        <v>691.29842087382292</v>
      </c>
      <c r="T28" s="119">
        <f t="shared" ca="1" si="3"/>
        <v>745.30550903487961</v>
      </c>
      <c r="U28" s="119">
        <f t="shared" ca="1" si="3"/>
        <v>800.237732812285</v>
      </c>
      <c r="V28" s="119">
        <f t="shared" ca="1" si="3"/>
        <v>856.31555265787995</v>
      </c>
      <c r="W28" s="119">
        <f t="shared" ca="1" si="3"/>
        <v>913.63603829128544</v>
      </c>
      <c r="X28" s="119">
        <f t="shared" ca="1" si="3"/>
        <v>972.39880483838692</v>
      </c>
      <c r="Y28" s="119">
        <f t="shared" ca="1" si="3"/>
        <v>1032.2115644561929</v>
      </c>
      <c r="Z28" s="119">
        <f t="shared" ca="1" si="3"/>
        <v>1093.2575444154461</v>
      </c>
      <c r="AA28" s="119">
        <f t="shared" ca="1" si="3"/>
        <v>1155.6180173900393</v>
      </c>
      <c r="AB28" s="119">
        <f t="shared" ca="1" si="3"/>
        <v>1236.3263727113783</v>
      </c>
      <c r="AC28" s="119">
        <f t="shared" ca="1" si="3"/>
        <v>1316.745362452881</v>
      </c>
      <c r="AD28" s="119">
        <f t="shared" ca="1" si="3"/>
        <v>1397.0331457442112</v>
      </c>
      <c r="AE28" s="119">
        <f t="shared" ca="1" si="3"/>
        <v>1477.2663144673977</v>
      </c>
    </row>
    <row r="29" spans="2:31" x14ac:dyDescent="0.25">
      <c r="B29" s="70" t="s">
        <v>194</v>
      </c>
      <c r="D29" s="119">
        <f ca="1">D17-D27</f>
        <v>0</v>
      </c>
      <c r="E29" s="119">
        <f t="shared" ref="E29:AE29" ca="1" si="4">E17-E27</f>
        <v>0</v>
      </c>
      <c r="F29" s="119">
        <f t="shared" ca="1" si="4"/>
        <v>54.258719470700768</v>
      </c>
      <c r="G29" s="119">
        <f t="shared" ca="1" si="4"/>
        <v>37.381001625478959</v>
      </c>
      <c r="H29" s="119">
        <f t="shared" ca="1" si="4"/>
        <v>36.012548722242045</v>
      </c>
      <c r="I29" s="119">
        <f t="shared" ca="1" si="4"/>
        <v>37.463570371368107</v>
      </c>
      <c r="J29" s="119">
        <f t="shared" ca="1" si="4"/>
        <v>50.899523126616849</v>
      </c>
      <c r="K29" s="119">
        <f t="shared" ca="1" si="4"/>
        <v>54.833286993276644</v>
      </c>
      <c r="L29" s="119">
        <f t="shared" ca="1" si="4"/>
        <v>58.010585175333773</v>
      </c>
      <c r="M29" s="119">
        <f t="shared" ca="1" si="4"/>
        <v>61.202121423808322</v>
      </c>
      <c r="N29" s="119">
        <f t="shared" ca="1" si="4"/>
        <v>64.278841168536403</v>
      </c>
      <c r="O29" s="119">
        <f t="shared" ca="1" si="4"/>
        <v>67.440161701911478</v>
      </c>
      <c r="P29" s="119">
        <f t="shared" ca="1" si="4"/>
        <v>65.133128981247978</v>
      </c>
      <c r="Q29" s="119">
        <f t="shared" ca="1" si="4"/>
        <v>51.669350900448102</v>
      </c>
      <c r="R29" s="119">
        <f t="shared" ca="1" si="4"/>
        <v>52.715581212853486</v>
      </c>
      <c r="S29" s="119">
        <f t="shared" ca="1" si="4"/>
        <v>54.007088161056735</v>
      </c>
      <c r="T29" s="119">
        <f t="shared" ca="1" si="4"/>
        <v>54.932223777405419</v>
      </c>
      <c r="U29" s="119">
        <f t="shared" ca="1" si="4"/>
        <v>56.07781984559491</v>
      </c>
      <c r="V29" s="119">
        <f t="shared" ca="1" si="4"/>
        <v>57.320485633405518</v>
      </c>
      <c r="W29" s="119">
        <f t="shared" ca="1" si="4"/>
        <v>58.762766547101457</v>
      </c>
      <c r="X29" s="119">
        <f t="shared" ca="1" si="4"/>
        <v>59.81275961780603</v>
      </c>
      <c r="Y29" s="119">
        <f t="shared" ca="1" si="4"/>
        <v>61.045979959253167</v>
      </c>
      <c r="Z29" s="119">
        <f t="shared" ca="1" si="4"/>
        <v>62.360472974593314</v>
      </c>
      <c r="AA29" s="119">
        <f t="shared" ca="1" si="4"/>
        <v>80.708355321338956</v>
      </c>
      <c r="AB29" s="119">
        <f t="shared" ca="1" si="4"/>
        <v>80.418989741502543</v>
      </c>
      <c r="AC29" s="119">
        <f t="shared" ca="1" si="4"/>
        <v>80.287783291330271</v>
      </c>
      <c r="AD29" s="119">
        <f t="shared" ca="1" si="4"/>
        <v>80.233168723186509</v>
      </c>
      <c r="AE29" s="119">
        <f t="shared" ca="1" si="4"/>
        <v>80.327936991887782</v>
      </c>
    </row>
    <row r="30" spans="2:31" x14ac:dyDescent="0.25">
      <c r="B30" s="70" t="s">
        <v>195</v>
      </c>
      <c r="D30" s="119">
        <f ca="1">D28+D29</f>
        <v>0</v>
      </c>
      <c r="E30" s="119">
        <f t="shared" ref="E30:AE30" ca="1" si="5">E28+E29</f>
        <v>0</v>
      </c>
      <c r="F30" s="119">
        <f t="shared" ca="1" si="5"/>
        <v>54.258719470700768</v>
      </c>
      <c r="G30" s="119">
        <f t="shared" ca="1" si="5"/>
        <v>91.639721096179727</v>
      </c>
      <c r="H30" s="119">
        <f t="shared" ca="1" si="5"/>
        <v>127.65226981842177</v>
      </c>
      <c r="I30" s="119">
        <f t="shared" ca="1" si="5"/>
        <v>165.11584018978988</v>
      </c>
      <c r="J30" s="119">
        <f t="shared" ca="1" si="5"/>
        <v>216.01536331640673</v>
      </c>
      <c r="K30" s="119">
        <f t="shared" ca="1" si="5"/>
        <v>270.84865030968336</v>
      </c>
      <c r="L30" s="119">
        <f t="shared" ca="1" si="5"/>
        <v>328.85923548501717</v>
      </c>
      <c r="M30" s="119">
        <f t="shared" ca="1" si="5"/>
        <v>390.06135690882547</v>
      </c>
      <c r="N30" s="119">
        <f t="shared" ca="1" si="5"/>
        <v>454.34019807736189</v>
      </c>
      <c r="O30" s="119">
        <f t="shared" ca="1" si="5"/>
        <v>521.78035977927334</v>
      </c>
      <c r="P30" s="119">
        <f t="shared" ca="1" si="5"/>
        <v>586.91348876052132</v>
      </c>
      <c r="Q30" s="119">
        <f t="shared" ca="1" si="5"/>
        <v>638.5828396609694</v>
      </c>
      <c r="R30" s="119">
        <f t="shared" ca="1" si="5"/>
        <v>691.29842087382292</v>
      </c>
      <c r="S30" s="119">
        <f t="shared" ca="1" si="5"/>
        <v>745.30550903487961</v>
      </c>
      <c r="T30" s="119">
        <f t="shared" ca="1" si="5"/>
        <v>800.237732812285</v>
      </c>
      <c r="U30" s="119">
        <f t="shared" ca="1" si="5"/>
        <v>856.31555265787995</v>
      </c>
      <c r="V30" s="119">
        <f t="shared" ca="1" si="5"/>
        <v>913.63603829128544</v>
      </c>
      <c r="W30" s="119">
        <f t="shared" ca="1" si="5"/>
        <v>972.39880483838692</v>
      </c>
      <c r="X30" s="119">
        <f t="shared" ca="1" si="5"/>
        <v>1032.2115644561929</v>
      </c>
      <c r="Y30" s="119">
        <f t="shared" ca="1" si="5"/>
        <v>1093.2575444154461</v>
      </c>
      <c r="Z30" s="119">
        <f t="shared" ca="1" si="5"/>
        <v>1155.6180173900393</v>
      </c>
      <c r="AA30" s="119">
        <f t="shared" ca="1" si="5"/>
        <v>1236.3263727113783</v>
      </c>
      <c r="AB30" s="119">
        <f t="shared" ca="1" si="5"/>
        <v>1316.745362452881</v>
      </c>
      <c r="AC30" s="119">
        <f t="shared" ca="1" si="5"/>
        <v>1397.0331457442112</v>
      </c>
      <c r="AD30" s="119">
        <f t="shared" ca="1" si="5"/>
        <v>1477.2663144673977</v>
      </c>
      <c r="AE30" s="119">
        <f t="shared" ca="1" si="5"/>
        <v>1557.5942514592855</v>
      </c>
    </row>
    <row r="32" spans="2:31" x14ac:dyDescent="0.25">
      <c r="E32" s="282"/>
    </row>
  </sheetData>
  <mergeCells count="2">
    <mergeCell ref="D7:E7"/>
    <mergeCell ref="F7:AE7"/>
  </mergeCells>
  <conditionalFormatting sqref="D28:AE30">
    <cfRule type="cellIs" dxfId="1" priority="1" operator="lessThan">
      <formula>0</formula>
    </cfRule>
  </conditionalFormatting>
  <conditionalFormatting sqref="D29:AE30">
    <cfRule type="cellIs" dxfId="0" priority="3" operator="lessThan">
      <formula>0</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49"/>
  <sheetViews>
    <sheetView showGridLines="0" workbookViewId="0">
      <pane xSplit="2" ySplit="8" topLeftCell="C9" activePane="bottomRight" state="frozen"/>
      <selection activeCell="A9" sqref="A9"/>
      <selection pane="topRight" activeCell="A9" sqref="A9"/>
      <selection pane="bottomLeft" activeCell="A9" sqref="A9"/>
      <selection pane="bottomRight"/>
    </sheetView>
  </sheetViews>
  <sheetFormatPr defaultColWidth="13.7109375" defaultRowHeight="15" x14ac:dyDescent="0.25"/>
  <cols>
    <col min="1" max="1" width="4.85546875" style="70" customWidth="1"/>
    <col min="2" max="2" width="64.7109375" style="70" customWidth="1"/>
    <col min="3" max="3" width="10.7109375" style="70" customWidth="1"/>
    <col min="4" max="6" width="12.7109375" style="70" customWidth="1"/>
    <col min="7" max="7" width="17.7109375" style="70" customWidth="1"/>
    <col min="8" max="8" width="15.7109375" style="120" customWidth="1"/>
    <col min="9" max="9" width="13" style="70" customWidth="1"/>
    <col min="10" max="15" width="12.7109375" style="70" customWidth="1"/>
    <col min="16" max="16384" width="13.7109375" style="70"/>
  </cols>
  <sheetData>
    <row r="1" spans="2:31" s="1" customFormat="1" ht="19.899999999999999" customHeight="1" x14ac:dyDescent="0.25">
      <c r="B1" s="105" t="str">
        <f>Company</f>
        <v>M/s. Sai Infinium Limited</v>
      </c>
      <c r="C1" s="105"/>
      <c r="D1" s="105"/>
      <c r="E1" s="105"/>
      <c r="F1" s="105"/>
      <c r="G1" s="105"/>
      <c r="H1" s="105"/>
      <c r="I1" s="105"/>
      <c r="J1" s="105"/>
      <c r="K1" s="105"/>
      <c r="L1" s="105"/>
      <c r="M1" s="105"/>
      <c r="N1" s="105"/>
      <c r="O1" s="105"/>
      <c r="P1" s="105"/>
      <c r="Q1" s="105"/>
      <c r="R1" s="105"/>
      <c r="S1" s="105"/>
      <c r="T1" s="105"/>
      <c r="U1" s="105"/>
      <c r="V1" s="105"/>
      <c r="W1" s="105"/>
      <c r="X1" s="105"/>
      <c r="Y1" s="105"/>
      <c r="Z1" s="105"/>
      <c r="AA1" s="105"/>
      <c r="AB1" s="105"/>
      <c r="AC1" s="105"/>
      <c r="AD1" s="105"/>
      <c r="AE1" s="105"/>
    </row>
    <row r="2" spans="2:31" s="1" customFormat="1" ht="9" customHeight="1" x14ac:dyDescent="0.25">
      <c r="B2" s="2"/>
      <c r="C2" s="2"/>
      <c r="D2" s="2"/>
      <c r="E2" s="2"/>
      <c r="F2" s="2"/>
      <c r="G2" s="2"/>
      <c r="H2" s="2"/>
      <c r="I2" s="2"/>
      <c r="J2" s="2"/>
      <c r="K2" s="2"/>
      <c r="L2" s="2"/>
      <c r="M2" s="2"/>
      <c r="N2" s="2"/>
      <c r="O2" s="2"/>
      <c r="P2" s="2"/>
      <c r="Q2" s="2"/>
      <c r="R2" s="2"/>
      <c r="S2" s="2"/>
      <c r="T2" s="2"/>
      <c r="U2" s="2"/>
      <c r="V2" s="2"/>
      <c r="W2" s="2"/>
      <c r="X2" s="2"/>
      <c r="Y2" s="2"/>
      <c r="Z2" s="2"/>
      <c r="AA2" s="2"/>
      <c r="AB2" s="2"/>
      <c r="AC2" s="2"/>
      <c r="AD2" s="2"/>
      <c r="AE2" s="2"/>
    </row>
    <row r="3" spans="2:31" s="1" customFormat="1" ht="19.899999999999999" customHeight="1" x14ac:dyDescent="0.25">
      <c r="B3" s="106" t="str">
        <f>Project</f>
        <v>Financial Model for Proposed Hybrid Solar Plant (36 MW DC) &amp; Wind Plant (27.30 MW) @ GUJARAT</v>
      </c>
      <c r="C3" s="106"/>
      <c r="D3" s="106"/>
      <c r="E3" s="106"/>
      <c r="F3" s="106"/>
      <c r="G3" s="106"/>
      <c r="H3" s="106"/>
      <c r="I3" s="106"/>
      <c r="J3" s="106"/>
      <c r="K3" s="106"/>
      <c r="L3" s="106"/>
      <c r="M3" s="106"/>
      <c r="N3" s="106"/>
      <c r="O3" s="106"/>
      <c r="P3" s="106"/>
      <c r="Q3" s="106"/>
      <c r="R3" s="106"/>
      <c r="S3" s="106"/>
      <c r="T3" s="106"/>
      <c r="U3" s="106"/>
      <c r="V3" s="106"/>
      <c r="W3" s="106"/>
      <c r="X3" s="106"/>
      <c r="Y3" s="106"/>
      <c r="Z3" s="106"/>
      <c r="AA3" s="106"/>
      <c r="AB3" s="106"/>
      <c r="AC3" s="106"/>
      <c r="AD3" s="106"/>
      <c r="AE3" s="106"/>
    </row>
    <row r="4" spans="2:31" s="1" customFormat="1" ht="9" customHeight="1" x14ac:dyDescent="0.25">
      <c r="B4" s="2"/>
      <c r="C4" s="2"/>
      <c r="D4" s="2"/>
      <c r="E4" s="2"/>
      <c r="F4" s="2"/>
      <c r="G4" s="297"/>
    </row>
    <row r="5" spans="2:31" customFormat="1" ht="15.75" x14ac:dyDescent="0.25">
      <c r="B5" s="71" t="s">
        <v>332</v>
      </c>
      <c r="C5" s="71"/>
      <c r="D5" s="72"/>
      <c r="E5" s="72"/>
      <c r="F5" s="72"/>
      <c r="G5" s="72"/>
      <c r="H5" s="72"/>
      <c r="I5" s="72"/>
      <c r="J5" s="72"/>
      <c r="K5" s="72"/>
      <c r="L5" s="72"/>
      <c r="M5" s="72"/>
      <c r="N5" s="72"/>
      <c r="O5" s="72"/>
      <c r="P5" s="72"/>
      <c r="Q5" s="72"/>
      <c r="R5" s="72"/>
      <c r="S5" s="72"/>
      <c r="T5" s="72"/>
      <c r="U5" s="72"/>
      <c r="V5" s="72"/>
      <c r="W5" s="72"/>
      <c r="X5" s="72"/>
      <c r="Y5" s="72"/>
      <c r="Z5" s="72"/>
      <c r="AA5" s="72"/>
      <c r="AB5" s="72"/>
      <c r="AC5" s="72"/>
      <c r="AD5" s="72"/>
      <c r="AE5" s="72"/>
    </row>
    <row r="6" spans="2:31" customFormat="1" x14ac:dyDescent="0.25">
      <c r="B6" s="298" t="s">
        <v>327</v>
      </c>
      <c r="C6" s="68"/>
      <c r="D6" s="68"/>
      <c r="E6" s="31"/>
      <c r="F6" s="24"/>
      <c r="G6" s="24"/>
      <c r="H6" s="24"/>
      <c r="I6" s="24"/>
      <c r="J6" s="24"/>
      <c r="K6" s="24"/>
      <c r="L6" s="24"/>
      <c r="M6" s="24"/>
      <c r="N6" s="24"/>
      <c r="O6" s="24"/>
      <c r="P6" s="24"/>
      <c r="Q6" s="24"/>
      <c r="R6" s="24"/>
      <c r="S6" s="24"/>
      <c r="T6" s="24"/>
      <c r="U6" s="24"/>
      <c r="V6" s="24"/>
      <c r="W6" s="24"/>
      <c r="X6" s="24"/>
      <c r="Y6" s="24"/>
      <c r="Z6" s="24"/>
      <c r="AA6" s="24"/>
      <c r="AB6" s="24"/>
      <c r="AC6" s="24"/>
      <c r="AD6" s="24"/>
      <c r="AE6" s="24"/>
    </row>
    <row r="7" spans="2:31" s="31" customFormat="1" ht="15.75" x14ac:dyDescent="0.25">
      <c r="C7" s="68"/>
      <c r="D7" s="357" t="s">
        <v>25</v>
      </c>
      <c r="E7" s="357"/>
      <c r="F7" s="241" t="s">
        <v>91</v>
      </c>
      <c r="G7" s="241"/>
      <c r="H7" s="241"/>
      <c r="I7" s="241"/>
      <c r="J7" s="241"/>
      <c r="K7" s="241"/>
      <c r="L7" s="241"/>
      <c r="M7" s="241"/>
      <c r="N7" s="241"/>
      <c r="O7" s="241"/>
      <c r="P7" s="241"/>
      <c r="Q7" s="241"/>
      <c r="R7" s="241"/>
      <c r="S7" s="241"/>
      <c r="T7" s="241"/>
      <c r="U7" s="241"/>
      <c r="V7" s="241"/>
      <c r="W7" s="241"/>
      <c r="X7" s="241"/>
      <c r="Y7" s="241"/>
      <c r="Z7" s="241"/>
      <c r="AA7" s="241"/>
      <c r="AB7" s="241"/>
      <c r="AC7" s="241"/>
      <c r="AD7" s="241"/>
      <c r="AE7" s="241"/>
    </row>
    <row r="8" spans="2:31" s="31" customFormat="1" x14ac:dyDescent="0.25">
      <c r="B8" s="73" t="s">
        <v>326</v>
      </c>
      <c r="C8" s="74" t="s">
        <v>93</v>
      </c>
      <c r="D8" s="75">
        <f>'Revenue &amp; Expenses Modeling'!D8</f>
        <v>45747</v>
      </c>
      <c r="E8" s="75">
        <f>'Revenue &amp; Expenses Modeling'!E8</f>
        <v>46112</v>
      </c>
      <c r="F8" s="75">
        <f>'Revenue &amp; Expenses Modeling'!F8</f>
        <v>46477</v>
      </c>
      <c r="G8" s="75">
        <f>'Revenue &amp; Expenses Modeling'!G8</f>
        <v>46843</v>
      </c>
      <c r="H8" s="75">
        <f>'Revenue &amp; Expenses Modeling'!H8</f>
        <v>47208</v>
      </c>
      <c r="I8" s="75">
        <f>'Revenue &amp; Expenses Modeling'!I8</f>
        <v>47573</v>
      </c>
      <c r="J8" s="75">
        <f>'Revenue &amp; Expenses Modeling'!J8</f>
        <v>47938</v>
      </c>
      <c r="K8" s="75">
        <f>'Revenue &amp; Expenses Modeling'!K8</f>
        <v>48304</v>
      </c>
      <c r="L8" s="75">
        <f>'Revenue &amp; Expenses Modeling'!L8</f>
        <v>48669</v>
      </c>
      <c r="M8" s="75">
        <f>'Revenue &amp; Expenses Modeling'!M8</f>
        <v>49034</v>
      </c>
      <c r="N8" s="75">
        <f>'Revenue &amp; Expenses Modeling'!N8</f>
        <v>49399</v>
      </c>
      <c r="O8" s="75">
        <f>'Revenue &amp; Expenses Modeling'!O8</f>
        <v>49765</v>
      </c>
      <c r="P8" s="75">
        <f>'Revenue &amp; Expenses Modeling'!P8</f>
        <v>50130</v>
      </c>
      <c r="Q8" s="75">
        <f>'Revenue &amp; Expenses Modeling'!Q8</f>
        <v>50495</v>
      </c>
      <c r="R8" s="75">
        <f>'Revenue &amp; Expenses Modeling'!R8</f>
        <v>50860</v>
      </c>
      <c r="S8" s="75">
        <f>'Revenue &amp; Expenses Modeling'!S8</f>
        <v>51226</v>
      </c>
      <c r="T8" s="75">
        <f>'Revenue &amp; Expenses Modeling'!T8</f>
        <v>51591</v>
      </c>
      <c r="U8" s="75">
        <f>'Revenue &amp; Expenses Modeling'!U8</f>
        <v>51956</v>
      </c>
      <c r="V8" s="75">
        <f>'Revenue &amp; Expenses Modeling'!V8</f>
        <v>52321</v>
      </c>
      <c r="W8" s="75">
        <f>'Revenue &amp; Expenses Modeling'!W8</f>
        <v>52687</v>
      </c>
      <c r="X8" s="75">
        <f>'Revenue &amp; Expenses Modeling'!X8</f>
        <v>53052</v>
      </c>
      <c r="Y8" s="75">
        <f>'Revenue &amp; Expenses Modeling'!Y8</f>
        <v>53417</v>
      </c>
      <c r="Z8" s="75">
        <f>'Revenue &amp; Expenses Modeling'!Z8</f>
        <v>53782</v>
      </c>
      <c r="AA8" s="75">
        <f>'Revenue &amp; Expenses Modeling'!AA8</f>
        <v>54148</v>
      </c>
      <c r="AB8" s="75">
        <f>'Revenue &amp; Expenses Modeling'!AB8</f>
        <v>54513</v>
      </c>
      <c r="AC8" s="75">
        <f>'Revenue &amp; Expenses Modeling'!AC8</f>
        <v>54878</v>
      </c>
      <c r="AD8" s="75">
        <f>'Revenue &amp; Expenses Modeling'!AD8</f>
        <v>55243</v>
      </c>
      <c r="AE8" s="75">
        <f>'Revenue &amp; Expenses Modeling'!AE8</f>
        <v>55609</v>
      </c>
    </row>
    <row r="9" spans="2:31" s="80" customFormat="1" ht="12.75" x14ac:dyDescent="0.25">
      <c r="B9" s="76" t="s">
        <v>94</v>
      </c>
      <c r="C9" s="77"/>
      <c r="D9" s="78">
        <v>0</v>
      </c>
      <c r="E9" s="78">
        <v>0</v>
      </c>
      <c r="F9" s="79">
        <v>1</v>
      </c>
      <c r="G9" s="79">
        <f>F9+1</f>
        <v>2</v>
      </c>
      <c r="H9" s="79">
        <f t="shared" ref="H9:AE9" si="0">G9+1</f>
        <v>3</v>
      </c>
      <c r="I9" s="79">
        <f t="shared" si="0"/>
        <v>4</v>
      </c>
      <c r="J9" s="79">
        <f t="shared" si="0"/>
        <v>5</v>
      </c>
      <c r="K9" s="79">
        <f t="shared" si="0"/>
        <v>6</v>
      </c>
      <c r="L9" s="79">
        <f t="shared" si="0"/>
        <v>7</v>
      </c>
      <c r="M9" s="79">
        <f t="shared" si="0"/>
        <v>8</v>
      </c>
      <c r="N9" s="79">
        <f t="shared" si="0"/>
        <v>9</v>
      </c>
      <c r="O9" s="79">
        <f t="shared" si="0"/>
        <v>10</v>
      </c>
      <c r="P9" s="79">
        <f t="shared" si="0"/>
        <v>11</v>
      </c>
      <c r="Q9" s="79">
        <f t="shared" si="0"/>
        <v>12</v>
      </c>
      <c r="R9" s="79">
        <f t="shared" si="0"/>
        <v>13</v>
      </c>
      <c r="S9" s="79">
        <f t="shared" si="0"/>
        <v>14</v>
      </c>
      <c r="T9" s="79">
        <f t="shared" si="0"/>
        <v>15</v>
      </c>
      <c r="U9" s="79">
        <f t="shared" si="0"/>
        <v>16</v>
      </c>
      <c r="V9" s="79">
        <f t="shared" si="0"/>
        <v>17</v>
      </c>
      <c r="W9" s="79">
        <f t="shared" si="0"/>
        <v>18</v>
      </c>
      <c r="X9" s="79">
        <f t="shared" si="0"/>
        <v>19</v>
      </c>
      <c r="Y9" s="79">
        <f t="shared" si="0"/>
        <v>20</v>
      </c>
      <c r="Z9" s="79">
        <f t="shared" si="0"/>
        <v>21</v>
      </c>
      <c r="AA9" s="79">
        <f t="shared" si="0"/>
        <v>22</v>
      </c>
      <c r="AB9" s="79">
        <f t="shared" si="0"/>
        <v>23</v>
      </c>
      <c r="AC9" s="79">
        <f t="shared" si="0"/>
        <v>24</v>
      </c>
      <c r="AD9" s="79">
        <f t="shared" si="0"/>
        <v>25</v>
      </c>
      <c r="AE9" s="79">
        <f t="shared" si="0"/>
        <v>26</v>
      </c>
    </row>
    <row r="10" spans="2:31" s="80" customFormat="1" ht="12.75" x14ac:dyDescent="0.25">
      <c r="B10" s="76" t="s">
        <v>95</v>
      </c>
      <c r="C10" s="77">
        <v>13</v>
      </c>
      <c r="D10" s="78">
        <f>C10-E10</f>
        <v>1</v>
      </c>
      <c r="E10" s="78">
        <f>MONTH(E8-D8)</f>
        <v>12</v>
      </c>
      <c r="F10" s="77">
        <f t="shared" ref="F10:AE10" si="1">MONTH(F8-E8)</f>
        <v>12</v>
      </c>
      <c r="G10" s="77">
        <f t="shared" si="1"/>
        <v>12</v>
      </c>
      <c r="H10" s="77">
        <f t="shared" si="1"/>
        <v>12</v>
      </c>
      <c r="I10" s="77">
        <f t="shared" si="1"/>
        <v>12</v>
      </c>
      <c r="J10" s="77">
        <f t="shared" si="1"/>
        <v>12</v>
      </c>
      <c r="K10" s="77">
        <f t="shared" si="1"/>
        <v>12</v>
      </c>
      <c r="L10" s="77">
        <f t="shared" si="1"/>
        <v>12</v>
      </c>
      <c r="M10" s="77">
        <f t="shared" si="1"/>
        <v>12</v>
      </c>
      <c r="N10" s="77">
        <f t="shared" si="1"/>
        <v>12</v>
      </c>
      <c r="O10" s="77">
        <f t="shared" si="1"/>
        <v>12</v>
      </c>
      <c r="P10" s="77">
        <f t="shared" si="1"/>
        <v>12</v>
      </c>
      <c r="Q10" s="77">
        <f t="shared" si="1"/>
        <v>12</v>
      </c>
      <c r="R10" s="77">
        <f t="shared" si="1"/>
        <v>12</v>
      </c>
      <c r="S10" s="77">
        <f t="shared" si="1"/>
        <v>12</v>
      </c>
      <c r="T10" s="77">
        <f t="shared" si="1"/>
        <v>12</v>
      </c>
      <c r="U10" s="77">
        <f t="shared" si="1"/>
        <v>12</v>
      </c>
      <c r="V10" s="77">
        <f t="shared" si="1"/>
        <v>12</v>
      </c>
      <c r="W10" s="77">
        <f t="shared" si="1"/>
        <v>12</v>
      </c>
      <c r="X10" s="77">
        <f t="shared" si="1"/>
        <v>12</v>
      </c>
      <c r="Y10" s="77">
        <f t="shared" si="1"/>
        <v>12</v>
      </c>
      <c r="Z10" s="77">
        <f t="shared" si="1"/>
        <v>12</v>
      </c>
      <c r="AA10" s="77">
        <f t="shared" si="1"/>
        <v>12</v>
      </c>
      <c r="AB10" s="77">
        <f t="shared" si="1"/>
        <v>12</v>
      </c>
      <c r="AC10" s="77">
        <f t="shared" si="1"/>
        <v>12</v>
      </c>
      <c r="AD10" s="77">
        <f t="shared" si="1"/>
        <v>12</v>
      </c>
      <c r="AE10" s="77">
        <f t="shared" si="1"/>
        <v>12</v>
      </c>
    </row>
    <row r="11" spans="2:31" x14ac:dyDescent="0.25">
      <c r="B11" s="31" t="s">
        <v>196</v>
      </c>
      <c r="D11" s="119">
        <f>C14</f>
        <v>0</v>
      </c>
      <c r="E11" s="119">
        <f t="shared" ref="E11:AE11" ca="1" si="2">D14</f>
        <v>70.186998082731449</v>
      </c>
      <c r="F11" s="119">
        <f t="shared" ca="1" si="2"/>
        <v>350.93499041365726</v>
      </c>
      <c r="G11" s="119">
        <f t="shared" ca="1" si="2"/>
        <v>350.93499041365726</v>
      </c>
      <c r="H11" s="119">
        <f t="shared" ca="1" si="2"/>
        <v>333.38824089297441</v>
      </c>
      <c r="I11" s="119">
        <f t="shared" ca="1" si="2"/>
        <v>315.84149137229156</v>
      </c>
      <c r="J11" s="119">
        <f t="shared" ca="1" si="2"/>
        <v>298.29474185160871</v>
      </c>
      <c r="K11" s="119">
        <f t="shared" ca="1" si="2"/>
        <v>280.74799233092585</v>
      </c>
      <c r="L11" s="119">
        <f t="shared" ca="1" si="2"/>
        <v>263.201242810243</v>
      </c>
      <c r="M11" s="119">
        <f t="shared" ca="1" si="2"/>
        <v>245.65449328956015</v>
      </c>
      <c r="N11" s="119">
        <f t="shared" ca="1" si="2"/>
        <v>228.1077437688773</v>
      </c>
      <c r="O11" s="119">
        <f t="shared" ca="1" si="2"/>
        <v>210.56099424819445</v>
      </c>
      <c r="P11" s="119">
        <f t="shared" ca="1" si="2"/>
        <v>193.0142447275116</v>
      </c>
      <c r="Q11" s="119">
        <f t="shared" ca="1" si="2"/>
        <v>175.46749520682874</v>
      </c>
      <c r="R11" s="119">
        <f t="shared" ca="1" si="2"/>
        <v>157.92074568614589</v>
      </c>
      <c r="S11" s="119">
        <f t="shared" ca="1" si="2"/>
        <v>140.37399616546304</v>
      </c>
      <c r="T11" s="119">
        <f t="shared" ca="1" si="2"/>
        <v>122.82724664478019</v>
      </c>
      <c r="U11" s="119">
        <f t="shared" ca="1" si="2"/>
        <v>105.28049712409734</v>
      </c>
      <c r="V11" s="119">
        <f t="shared" ca="1" si="2"/>
        <v>87.733747603414486</v>
      </c>
      <c r="W11" s="119">
        <f t="shared" ca="1" si="2"/>
        <v>70.186998082731634</v>
      </c>
      <c r="X11" s="119">
        <f t="shared" ca="1" si="2"/>
        <v>52.640248562048775</v>
      </c>
      <c r="Y11" s="119">
        <f t="shared" ca="1" si="2"/>
        <v>35.093499041365916</v>
      </c>
      <c r="Z11" s="119">
        <f t="shared" ca="1" si="2"/>
        <v>17.546749520683058</v>
      </c>
      <c r="AA11" s="119">
        <f t="shared" ca="1" si="2"/>
        <v>1.9895196601282805E-13</v>
      </c>
      <c r="AB11" s="119">
        <f t="shared" ca="1" si="2"/>
        <v>1.9895196601282805E-13</v>
      </c>
      <c r="AC11" s="119">
        <f t="shared" ca="1" si="2"/>
        <v>1.9895196601282805E-13</v>
      </c>
      <c r="AD11" s="119">
        <f t="shared" ca="1" si="2"/>
        <v>1.9895196601282805E-13</v>
      </c>
      <c r="AE11" s="119">
        <f t="shared" ca="1" si="2"/>
        <v>1.9895196601282805E-13</v>
      </c>
    </row>
    <row r="12" spans="2:31" x14ac:dyDescent="0.25">
      <c r="B12" s="31" t="s">
        <v>197</v>
      </c>
      <c r="D12" s="119">
        <f ca="1">SUM(C36)</f>
        <v>70.186998082731449</v>
      </c>
      <c r="E12" s="119">
        <f ca="1">C49-D12</f>
        <v>280.7479923309258</v>
      </c>
      <c r="F12" s="119">
        <v>0</v>
      </c>
      <c r="G12" s="119">
        <v>0</v>
      </c>
      <c r="H12" s="119">
        <v>0</v>
      </c>
      <c r="I12" s="119">
        <v>0</v>
      </c>
      <c r="J12" s="119">
        <v>0</v>
      </c>
      <c r="K12" s="119">
        <v>0</v>
      </c>
      <c r="L12" s="119">
        <v>0</v>
      </c>
      <c r="M12" s="119">
        <v>0</v>
      </c>
      <c r="N12" s="119">
        <v>0</v>
      </c>
      <c r="O12" s="119">
        <v>0</v>
      </c>
      <c r="P12" s="119">
        <v>0</v>
      </c>
      <c r="Q12" s="119">
        <v>0</v>
      </c>
      <c r="R12" s="119">
        <v>0</v>
      </c>
      <c r="S12" s="119">
        <v>0</v>
      </c>
      <c r="T12" s="119">
        <v>0</v>
      </c>
      <c r="U12" s="119">
        <v>0</v>
      </c>
      <c r="V12" s="119">
        <v>0</v>
      </c>
      <c r="W12" s="119">
        <v>0</v>
      </c>
      <c r="X12" s="119">
        <v>0</v>
      </c>
      <c r="Y12" s="119">
        <v>0</v>
      </c>
      <c r="Z12" s="119">
        <v>0</v>
      </c>
      <c r="AA12" s="119">
        <v>0</v>
      </c>
      <c r="AB12" s="119">
        <v>0</v>
      </c>
      <c r="AC12" s="119">
        <v>0</v>
      </c>
      <c r="AD12" s="119">
        <v>0</v>
      </c>
      <c r="AE12" s="119">
        <v>0</v>
      </c>
    </row>
    <row r="13" spans="2:31" x14ac:dyDescent="0.25">
      <c r="B13" s="31" t="s">
        <v>198</v>
      </c>
      <c r="D13" s="119">
        <f>SUM(D36)</f>
        <v>0</v>
      </c>
      <c r="E13" s="119">
        <f>SUM(D38:D46)</f>
        <v>0</v>
      </c>
      <c r="F13" s="119">
        <f ca="1">SUM(D51:D62)</f>
        <v>0</v>
      </c>
      <c r="G13" s="119">
        <f ca="1">SUM(D64:D75)</f>
        <v>17.546749520682859</v>
      </c>
      <c r="H13" s="119">
        <f ca="1">SUM(D77:D88)</f>
        <v>17.546749520682859</v>
      </c>
      <c r="I13" s="119">
        <f ca="1">SUM(D90:D101)</f>
        <v>17.546749520682859</v>
      </c>
      <c r="J13" s="119">
        <f ca="1">SUM(D103:D114)</f>
        <v>17.546749520682859</v>
      </c>
      <c r="K13" s="119">
        <f ca="1">SUM(D116:D127)</f>
        <v>17.546749520682859</v>
      </c>
      <c r="L13" s="119">
        <f ca="1">SUM(D129:D140)</f>
        <v>17.546749520682859</v>
      </c>
      <c r="M13" s="119">
        <f ca="1">SUM(D142:D153)</f>
        <v>17.546749520682859</v>
      </c>
      <c r="N13" s="119">
        <f ca="1">SUM(D155:D166)</f>
        <v>17.546749520682859</v>
      </c>
      <c r="O13" s="119">
        <f ca="1">SUM(D181:D192)</f>
        <v>17.546749520682859</v>
      </c>
      <c r="P13" s="119">
        <f ca="1">SUM(D181:D192)</f>
        <v>17.546749520682859</v>
      </c>
      <c r="Q13" s="119">
        <f ca="1">SUM(D194:D205)</f>
        <v>17.546749520682859</v>
      </c>
      <c r="R13" s="119">
        <f ca="1">SUM(D207:D218)</f>
        <v>17.546749520682859</v>
      </c>
      <c r="S13" s="119">
        <f ca="1">SUM(D220:D231)</f>
        <v>17.546749520682859</v>
      </c>
      <c r="T13" s="119">
        <f ca="1">SUM(D233:D244)</f>
        <v>17.546749520682859</v>
      </c>
      <c r="U13" s="119">
        <f ca="1">SUM(D246:D257)</f>
        <v>17.546749520682859</v>
      </c>
      <c r="V13" s="119">
        <f ca="1">SUM(D259:D270)</f>
        <v>17.546749520682859</v>
      </c>
      <c r="W13" s="119">
        <f ca="1">SUM(D272:D283)</f>
        <v>17.546749520682859</v>
      </c>
      <c r="X13" s="119">
        <f ca="1">SUM(D285:D296)</f>
        <v>17.546749520682859</v>
      </c>
      <c r="Y13" s="119">
        <f ca="1">SUM(D298:D309)</f>
        <v>17.546749520682859</v>
      </c>
      <c r="Z13" s="119">
        <f ca="1">SUM(D311:D322)</f>
        <v>17.546749520682859</v>
      </c>
      <c r="AA13" s="119">
        <v>0</v>
      </c>
      <c r="AB13" s="119">
        <v>0</v>
      </c>
      <c r="AC13" s="119">
        <v>0</v>
      </c>
      <c r="AD13" s="119">
        <v>0</v>
      </c>
      <c r="AE13" s="119">
        <v>0</v>
      </c>
    </row>
    <row r="14" spans="2:31" x14ac:dyDescent="0.25">
      <c r="B14" s="31" t="s">
        <v>199</v>
      </c>
      <c r="C14" s="142">
        <v>0</v>
      </c>
      <c r="D14" s="119">
        <f ca="1">D11+D12-D13</f>
        <v>70.186998082731449</v>
      </c>
      <c r="E14" s="119">
        <f t="shared" ref="E14:AE14" ca="1" si="3">E11+E12-E13</f>
        <v>350.93499041365726</v>
      </c>
      <c r="F14" s="119">
        <f t="shared" ca="1" si="3"/>
        <v>350.93499041365726</v>
      </c>
      <c r="G14" s="119">
        <f t="shared" ca="1" si="3"/>
        <v>333.38824089297441</v>
      </c>
      <c r="H14" s="119">
        <f t="shared" ca="1" si="3"/>
        <v>315.84149137229156</v>
      </c>
      <c r="I14" s="119">
        <f t="shared" ca="1" si="3"/>
        <v>298.29474185160871</v>
      </c>
      <c r="J14" s="119">
        <f t="shared" ca="1" si="3"/>
        <v>280.74799233092585</v>
      </c>
      <c r="K14" s="119">
        <f t="shared" ca="1" si="3"/>
        <v>263.201242810243</v>
      </c>
      <c r="L14" s="119">
        <f t="shared" ca="1" si="3"/>
        <v>245.65449328956015</v>
      </c>
      <c r="M14" s="119">
        <f t="shared" ca="1" si="3"/>
        <v>228.1077437688773</v>
      </c>
      <c r="N14" s="119">
        <f t="shared" ca="1" si="3"/>
        <v>210.56099424819445</v>
      </c>
      <c r="O14" s="119">
        <f t="shared" ca="1" si="3"/>
        <v>193.0142447275116</v>
      </c>
      <c r="P14" s="119">
        <f t="shared" ca="1" si="3"/>
        <v>175.46749520682874</v>
      </c>
      <c r="Q14" s="119">
        <f t="shared" ca="1" si="3"/>
        <v>157.92074568614589</v>
      </c>
      <c r="R14" s="119">
        <f t="shared" ca="1" si="3"/>
        <v>140.37399616546304</v>
      </c>
      <c r="S14" s="119">
        <f t="shared" ca="1" si="3"/>
        <v>122.82724664478019</v>
      </c>
      <c r="T14" s="119">
        <f t="shared" ca="1" si="3"/>
        <v>105.28049712409734</v>
      </c>
      <c r="U14" s="119">
        <f t="shared" ca="1" si="3"/>
        <v>87.733747603414486</v>
      </c>
      <c r="V14" s="119">
        <f t="shared" ca="1" si="3"/>
        <v>70.186998082731634</v>
      </c>
      <c r="W14" s="119">
        <f t="shared" ca="1" si="3"/>
        <v>52.640248562048775</v>
      </c>
      <c r="X14" s="119">
        <f t="shared" ca="1" si="3"/>
        <v>35.093499041365916</v>
      </c>
      <c r="Y14" s="119">
        <f t="shared" ca="1" si="3"/>
        <v>17.546749520683058</v>
      </c>
      <c r="Z14" s="119">
        <f t="shared" ca="1" si="3"/>
        <v>1.9895196601282805E-13</v>
      </c>
      <c r="AA14" s="119">
        <f t="shared" ca="1" si="3"/>
        <v>1.9895196601282805E-13</v>
      </c>
      <c r="AB14" s="119">
        <f t="shared" ca="1" si="3"/>
        <v>1.9895196601282805E-13</v>
      </c>
      <c r="AC14" s="119">
        <f t="shared" ca="1" si="3"/>
        <v>1.9895196601282805E-13</v>
      </c>
      <c r="AD14" s="119">
        <f t="shared" ca="1" si="3"/>
        <v>1.9895196601282805E-13</v>
      </c>
      <c r="AE14" s="119">
        <f t="shared" ca="1" si="3"/>
        <v>1.9895196601282805E-13</v>
      </c>
    </row>
    <row r="15" spans="2:31" x14ac:dyDescent="0.25">
      <c r="B15" s="31" t="s">
        <v>200</v>
      </c>
      <c r="D15" s="119">
        <f ca="1">SUM(F36)</f>
        <v>0.64338081575837169</v>
      </c>
      <c r="E15" s="119">
        <f ca="1">SUM(F38:F49)</f>
        <v>21.874947735784637</v>
      </c>
      <c r="F15" s="119">
        <f ca="1">SUM(F51:F62)</f>
        <v>38.602848945502302</v>
      </c>
      <c r="G15" s="119">
        <f ca="1">SUM(F64:F75)</f>
        <v>37.637777721864737</v>
      </c>
      <c r="H15" s="119">
        <f ca="1">SUM(F77:F88)</f>
        <v>35.707635274589627</v>
      </c>
      <c r="I15" s="119">
        <f ca="1">SUM(F90:F101)</f>
        <v>33.777492827314518</v>
      </c>
      <c r="J15" s="119">
        <f ca="1">SUM(F103:F114)</f>
        <v>31.847350380039401</v>
      </c>
      <c r="K15" s="119">
        <f ca="1">SUM(F116:F127)</f>
        <v>29.917207932764285</v>
      </c>
      <c r="L15" s="119">
        <f ca="1">SUM(F129:F140)</f>
        <v>27.987065485489179</v>
      </c>
      <c r="M15" s="119">
        <f ca="1">SUM(F142:F153)</f>
        <v>26.056923038214055</v>
      </c>
      <c r="N15" s="119">
        <f ca="1">SUM(F155:F166)</f>
        <v>24.126780590938946</v>
      </c>
      <c r="O15" s="119">
        <f ca="1">SUM(F168:F179)</f>
        <v>22.196638143663833</v>
      </c>
      <c r="P15" s="119">
        <f ca="1">SUM(F181:F192)</f>
        <v>20.266495696388716</v>
      </c>
      <c r="Q15" s="119">
        <f ca="1">SUM(F194:F205)</f>
        <v>18.336353249113607</v>
      </c>
      <c r="R15" s="119">
        <f ca="1">SUM(F207:F218)</f>
        <v>16.40621080183849</v>
      </c>
      <c r="S15" s="119">
        <f ca="1">SUM(F220:F231)</f>
        <v>14.476068354563379</v>
      </c>
      <c r="T15" s="119">
        <f ca="1">SUM(F233:F244)</f>
        <v>12.545925907288265</v>
      </c>
      <c r="U15" s="119">
        <f ca="1">SUM(F246:F257)</f>
        <v>10.615783460013152</v>
      </c>
      <c r="V15" s="119">
        <f ca="1">SUM(F259:F270)</f>
        <v>8.685641012738035</v>
      </c>
      <c r="W15" s="119">
        <f ca="1">SUM(F272:F283)</f>
        <v>6.755498565462922</v>
      </c>
      <c r="X15" s="119">
        <f ca="1">SUM(F285:F296)</f>
        <v>4.8253561181878082</v>
      </c>
      <c r="Y15" s="119">
        <f ca="1">SUM(F298:F309)</f>
        <v>2.8952136709126952</v>
      </c>
      <c r="Z15" s="119">
        <f ca="1">SUM(F311:F322)</f>
        <v>0.96507122363758158</v>
      </c>
      <c r="AA15" s="119">
        <v>0</v>
      </c>
      <c r="AB15" s="119">
        <v>0</v>
      </c>
      <c r="AC15" s="119">
        <v>0</v>
      </c>
      <c r="AD15" s="119">
        <v>0</v>
      </c>
      <c r="AE15" s="119">
        <v>0</v>
      </c>
    </row>
    <row r="16" spans="2:31" x14ac:dyDescent="0.25">
      <c r="B16" s="156" t="s">
        <v>201</v>
      </c>
      <c r="D16" s="157">
        <f ca="1">D15</f>
        <v>0.64338081575837169</v>
      </c>
      <c r="E16" s="157">
        <f ca="1">E15</f>
        <v>21.874947735784637</v>
      </c>
      <c r="F16" s="119">
        <v>0</v>
      </c>
      <c r="G16" s="119">
        <v>0</v>
      </c>
      <c r="H16" s="119">
        <v>0</v>
      </c>
      <c r="I16" s="119">
        <v>0</v>
      </c>
      <c r="J16" s="119">
        <v>0</v>
      </c>
      <c r="K16" s="119">
        <v>0</v>
      </c>
      <c r="L16" s="119">
        <v>0</v>
      </c>
      <c r="M16" s="119">
        <v>0</v>
      </c>
      <c r="N16" s="119">
        <v>0</v>
      </c>
      <c r="O16" s="119">
        <v>0</v>
      </c>
      <c r="P16" s="119">
        <v>0</v>
      </c>
      <c r="Q16" s="119">
        <v>0</v>
      </c>
      <c r="R16" s="119">
        <v>0</v>
      </c>
      <c r="S16" s="119">
        <v>0</v>
      </c>
      <c r="T16" s="119">
        <v>0</v>
      </c>
      <c r="U16" s="119">
        <v>0</v>
      </c>
      <c r="V16" s="119">
        <v>0</v>
      </c>
      <c r="W16" s="119">
        <v>0</v>
      </c>
      <c r="X16" s="119">
        <v>0</v>
      </c>
      <c r="Y16" s="119">
        <v>0</v>
      </c>
      <c r="Z16" s="119">
        <v>0</v>
      </c>
      <c r="AA16" s="119">
        <v>0</v>
      </c>
      <c r="AB16" s="119">
        <v>0</v>
      </c>
      <c r="AC16" s="119">
        <v>0</v>
      </c>
      <c r="AD16" s="119">
        <v>0</v>
      </c>
      <c r="AE16" s="119">
        <v>0</v>
      </c>
    </row>
    <row r="17" spans="2:31" x14ac:dyDescent="0.25">
      <c r="B17" s="73" t="s">
        <v>202</v>
      </c>
      <c r="C17" s="74"/>
      <c r="D17" s="134">
        <f ca="1">D15-D16</f>
        <v>0</v>
      </c>
      <c r="E17" s="134">
        <f t="shared" ref="E17:AE17" ca="1" si="4">E15-E16</f>
        <v>0</v>
      </c>
      <c r="F17" s="134">
        <f t="shared" ca="1" si="4"/>
        <v>38.602848945502302</v>
      </c>
      <c r="G17" s="134">
        <f t="shared" ca="1" si="4"/>
        <v>37.637777721864737</v>
      </c>
      <c r="H17" s="134">
        <f t="shared" ca="1" si="4"/>
        <v>35.707635274589627</v>
      </c>
      <c r="I17" s="134">
        <f t="shared" ca="1" si="4"/>
        <v>33.777492827314518</v>
      </c>
      <c r="J17" s="134">
        <f t="shared" ca="1" si="4"/>
        <v>31.847350380039401</v>
      </c>
      <c r="K17" s="134">
        <f t="shared" ca="1" si="4"/>
        <v>29.917207932764285</v>
      </c>
      <c r="L17" s="134">
        <f t="shared" ca="1" si="4"/>
        <v>27.987065485489179</v>
      </c>
      <c r="M17" s="134">
        <f t="shared" ca="1" si="4"/>
        <v>26.056923038214055</v>
      </c>
      <c r="N17" s="134">
        <f t="shared" ca="1" si="4"/>
        <v>24.126780590938946</v>
      </c>
      <c r="O17" s="134">
        <f t="shared" ca="1" si="4"/>
        <v>22.196638143663833</v>
      </c>
      <c r="P17" s="134">
        <f t="shared" ca="1" si="4"/>
        <v>20.266495696388716</v>
      </c>
      <c r="Q17" s="134">
        <f t="shared" ca="1" si="4"/>
        <v>18.336353249113607</v>
      </c>
      <c r="R17" s="134">
        <f t="shared" ca="1" si="4"/>
        <v>16.40621080183849</v>
      </c>
      <c r="S17" s="134">
        <f t="shared" ca="1" si="4"/>
        <v>14.476068354563379</v>
      </c>
      <c r="T17" s="134">
        <f t="shared" ca="1" si="4"/>
        <v>12.545925907288265</v>
      </c>
      <c r="U17" s="134">
        <f t="shared" ca="1" si="4"/>
        <v>10.615783460013152</v>
      </c>
      <c r="V17" s="134">
        <f t="shared" ca="1" si="4"/>
        <v>8.685641012738035</v>
      </c>
      <c r="W17" s="134">
        <f t="shared" ca="1" si="4"/>
        <v>6.755498565462922</v>
      </c>
      <c r="X17" s="134">
        <f t="shared" ca="1" si="4"/>
        <v>4.8253561181878082</v>
      </c>
      <c r="Y17" s="134">
        <f t="shared" ca="1" si="4"/>
        <v>2.8952136709126952</v>
      </c>
      <c r="Z17" s="134">
        <f t="shared" ca="1" si="4"/>
        <v>0.96507122363758158</v>
      </c>
      <c r="AA17" s="134">
        <f t="shared" si="4"/>
        <v>0</v>
      </c>
      <c r="AB17" s="134">
        <f t="shared" si="4"/>
        <v>0</v>
      </c>
      <c r="AC17" s="134">
        <f t="shared" si="4"/>
        <v>0</v>
      </c>
      <c r="AD17" s="134">
        <f t="shared" si="4"/>
        <v>0</v>
      </c>
      <c r="AE17" s="134">
        <f t="shared" si="4"/>
        <v>0</v>
      </c>
    </row>
    <row r="19" spans="2:31" x14ac:dyDescent="0.25">
      <c r="B19" s="73" t="s">
        <v>68</v>
      </c>
      <c r="C19" s="74"/>
      <c r="D19" s="158"/>
      <c r="E19" s="158"/>
      <c r="F19" s="158"/>
      <c r="G19" s="74"/>
      <c r="H19" s="74"/>
      <c r="I19" s="74"/>
      <c r="J19" s="74"/>
      <c r="K19" s="74"/>
      <c r="L19" s="74"/>
      <c r="M19" s="74"/>
      <c r="N19" s="74"/>
    </row>
    <row r="21" spans="2:31" x14ac:dyDescent="0.25">
      <c r="B21" s="73" t="s">
        <v>203</v>
      </c>
      <c r="C21" s="134">
        <f ca="1">'TPC &amp; MoF'!F23</f>
        <v>350.93499041365726</v>
      </c>
      <c r="D21" s="74"/>
      <c r="E21" s="74" t="s">
        <v>204</v>
      </c>
      <c r="F21" s="74"/>
      <c r="G21" s="74"/>
      <c r="H21" s="74"/>
      <c r="I21" s="74"/>
    </row>
    <row r="22" spans="2:31" x14ac:dyDescent="0.25">
      <c r="B22" s="73" t="s">
        <v>205</v>
      </c>
      <c r="C22" s="159">
        <f>Assumptions!D66</f>
        <v>0.11</v>
      </c>
      <c r="D22" s="159"/>
      <c r="E22" s="74" t="s">
        <v>206</v>
      </c>
      <c r="F22" s="74" t="s">
        <v>406</v>
      </c>
      <c r="G22" s="74"/>
      <c r="H22" s="74" t="s">
        <v>207</v>
      </c>
      <c r="I22" s="74" t="s">
        <v>207</v>
      </c>
    </row>
    <row r="23" spans="2:31" x14ac:dyDescent="0.25">
      <c r="B23" s="135" t="s">
        <v>0</v>
      </c>
      <c r="C23" s="37" t="s">
        <v>208</v>
      </c>
      <c r="D23" s="37" t="s">
        <v>209</v>
      </c>
      <c r="E23" s="37" t="s">
        <v>210</v>
      </c>
      <c r="F23" s="37" t="s">
        <v>200</v>
      </c>
      <c r="G23" s="37"/>
      <c r="H23" s="37" t="s">
        <v>211</v>
      </c>
      <c r="I23" s="37" t="s">
        <v>212</v>
      </c>
    </row>
    <row r="24" spans="2:31" x14ac:dyDescent="0.25">
      <c r="B24" s="63" t="s">
        <v>213</v>
      </c>
      <c r="C24" s="63"/>
      <c r="D24" s="63"/>
      <c r="E24" s="63"/>
      <c r="F24" s="63"/>
      <c r="G24" s="63"/>
      <c r="H24" s="63"/>
      <c r="I24" s="63"/>
    </row>
    <row r="25" spans="2:31" x14ac:dyDescent="0.25">
      <c r="B25" s="31" t="s">
        <v>214</v>
      </c>
      <c r="C25" s="86">
        <v>0</v>
      </c>
      <c r="D25" s="86">
        <v>0</v>
      </c>
      <c r="E25" s="86">
        <v>0</v>
      </c>
      <c r="F25" s="86">
        <v>0</v>
      </c>
      <c r="G25" s="86"/>
      <c r="H25" s="86"/>
      <c r="I25" s="86"/>
    </row>
    <row r="26" spans="2:31" x14ac:dyDescent="0.25">
      <c r="B26" s="31" t="s">
        <v>215</v>
      </c>
      <c r="C26" s="86">
        <v>0</v>
      </c>
      <c r="D26" s="86">
        <v>0</v>
      </c>
      <c r="E26" s="86">
        <v>0</v>
      </c>
      <c r="F26" s="86">
        <v>0</v>
      </c>
      <c r="G26" s="86"/>
      <c r="H26" s="86"/>
      <c r="I26" s="86"/>
    </row>
    <row r="27" spans="2:31" x14ac:dyDescent="0.25">
      <c r="B27" s="31" t="s">
        <v>216</v>
      </c>
      <c r="C27" s="86">
        <v>0</v>
      </c>
      <c r="D27" s="86">
        <v>0</v>
      </c>
      <c r="E27" s="86">
        <v>0</v>
      </c>
      <c r="F27" s="86">
        <v>0</v>
      </c>
      <c r="G27" s="86"/>
      <c r="H27" s="86"/>
      <c r="I27" s="86"/>
    </row>
    <row r="28" spans="2:31" x14ac:dyDescent="0.25">
      <c r="B28" s="31" t="s">
        <v>217</v>
      </c>
      <c r="C28" s="86">
        <v>0</v>
      </c>
      <c r="D28" s="86">
        <v>0</v>
      </c>
      <c r="E28" s="86">
        <v>0</v>
      </c>
      <c r="F28" s="86">
        <v>0</v>
      </c>
      <c r="G28" s="86"/>
      <c r="H28" s="86"/>
      <c r="I28" s="86"/>
    </row>
    <row r="29" spans="2:31" x14ac:dyDescent="0.25">
      <c r="B29" s="31" t="s">
        <v>218</v>
      </c>
      <c r="C29" s="86">
        <f>E28+$C$19*H29</f>
        <v>0</v>
      </c>
      <c r="D29" s="86">
        <v>0</v>
      </c>
      <c r="E29" s="86">
        <f>C29-D29</f>
        <v>0</v>
      </c>
      <c r="F29" s="86">
        <f>AVERAGE(C29,E29)*$C$20/12</f>
        <v>0</v>
      </c>
      <c r="G29" s="86"/>
      <c r="H29" s="86"/>
      <c r="I29" s="86"/>
    </row>
    <row r="30" spans="2:31" x14ac:dyDescent="0.25">
      <c r="B30" s="31" t="s">
        <v>219</v>
      </c>
      <c r="C30" s="86">
        <f ca="1">E29+$C$21*H30</f>
        <v>0</v>
      </c>
      <c r="D30" s="86">
        <v>0</v>
      </c>
      <c r="E30" s="86">
        <f t="shared" ref="E30:E93" ca="1" si="5">C30-D30</f>
        <v>0</v>
      </c>
      <c r="F30" s="86">
        <f ca="1">AVERAGE(C30,E30)*$C$22/12</f>
        <v>0</v>
      </c>
      <c r="G30" s="86"/>
      <c r="H30" s="86"/>
      <c r="I30" s="86"/>
    </row>
    <row r="31" spans="2:31" x14ac:dyDescent="0.25">
      <c r="B31" s="31" t="s">
        <v>220</v>
      </c>
      <c r="C31" s="86">
        <f ca="1">E30+$C$21*H31</f>
        <v>0</v>
      </c>
      <c r="D31" s="86">
        <v>0</v>
      </c>
      <c r="E31" s="86">
        <f t="shared" ca="1" si="5"/>
        <v>0</v>
      </c>
      <c r="F31" s="86">
        <f t="shared" ref="F31:F32" ca="1" si="6">AVERAGE(C31,E31)*$D$22/12</f>
        <v>0</v>
      </c>
      <c r="G31" s="86"/>
      <c r="H31" s="86"/>
      <c r="I31" s="86"/>
    </row>
    <row r="32" spans="2:31" x14ac:dyDescent="0.25">
      <c r="B32" s="31" t="s">
        <v>221</v>
      </c>
      <c r="C32" s="86">
        <f t="shared" ref="C32:C36" ca="1" si="7">E31+$C$21*H32</f>
        <v>0</v>
      </c>
      <c r="D32" s="86">
        <v>0</v>
      </c>
      <c r="E32" s="86">
        <f t="shared" ca="1" si="5"/>
        <v>0</v>
      </c>
      <c r="F32" s="86">
        <f t="shared" ca="1" si="6"/>
        <v>0</v>
      </c>
      <c r="G32" s="86"/>
      <c r="H32" s="86"/>
      <c r="I32" s="86"/>
    </row>
    <row r="33" spans="2:9" x14ac:dyDescent="0.25">
      <c r="B33" s="31" t="s">
        <v>222</v>
      </c>
      <c r="C33" s="86">
        <f t="shared" ca="1" si="7"/>
        <v>0</v>
      </c>
      <c r="D33" s="86">
        <v>0</v>
      </c>
      <c r="E33" s="86">
        <f t="shared" ca="1" si="5"/>
        <v>0</v>
      </c>
      <c r="F33" s="86">
        <f ca="1">AVERAGE(C33,E33)*$C$22/12</f>
        <v>0</v>
      </c>
      <c r="G33" s="86"/>
      <c r="H33" s="86"/>
      <c r="I33" s="86"/>
    </row>
    <row r="34" spans="2:9" x14ac:dyDescent="0.25">
      <c r="B34" s="31" t="s">
        <v>224</v>
      </c>
      <c r="C34" s="86">
        <f t="shared" ca="1" si="7"/>
        <v>0</v>
      </c>
      <c r="D34" s="86">
        <v>0</v>
      </c>
      <c r="E34" s="86">
        <f t="shared" ca="1" si="5"/>
        <v>0</v>
      </c>
      <c r="F34" s="86">
        <f t="shared" ref="F34:F36" ca="1" si="8">AVERAGE(C34,E34)*$C$22/12</f>
        <v>0</v>
      </c>
      <c r="G34" s="86"/>
      <c r="H34" s="86"/>
      <c r="I34" s="86"/>
    </row>
    <row r="35" spans="2:9" x14ac:dyDescent="0.25">
      <c r="B35" s="31" t="s">
        <v>225</v>
      </c>
      <c r="C35" s="86">
        <f t="shared" ca="1" si="7"/>
        <v>0</v>
      </c>
      <c r="D35" s="86">
        <v>0</v>
      </c>
      <c r="E35" s="86">
        <f t="shared" ca="1" si="5"/>
        <v>0</v>
      </c>
      <c r="F35" s="86">
        <f t="shared" ca="1" si="8"/>
        <v>0</v>
      </c>
      <c r="G35" s="86"/>
      <c r="H35" s="86"/>
      <c r="I35" s="86"/>
    </row>
    <row r="36" spans="2:9" x14ac:dyDescent="0.25">
      <c r="B36" s="163" t="s">
        <v>226</v>
      </c>
      <c r="C36" s="164">
        <f t="shared" ca="1" si="7"/>
        <v>70.186998082731449</v>
      </c>
      <c r="D36" s="164">
        <v>0</v>
      </c>
      <c r="E36" s="164">
        <f t="shared" ca="1" si="5"/>
        <v>70.186998082731449</v>
      </c>
      <c r="F36" s="164">
        <f t="shared" ca="1" si="8"/>
        <v>0.64338081575837169</v>
      </c>
      <c r="G36" s="164"/>
      <c r="H36" s="214">
        <v>0.2</v>
      </c>
      <c r="I36" s="214"/>
    </row>
    <row r="37" spans="2:9" x14ac:dyDescent="0.25">
      <c r="B37" s="103" t="s">
        <v>227</v>
      </c>
      <c r="C37" s="103"/>
      <c r="D37" s="103"/>
      <c r="E37" s="103"/>
      <c r="F37" s="103"/>
      <c r="G37" s="103"/>
      <c r="H37" s="215"/>
      <c r="I37" s="215"/>
    </row>
    <row r="38" spans="2:9" x14ac:dyDescent="0.25">
      <c r="B38" s="160" t="s">
        <v>214</v>
      </c>
      <c r="C38" s="161">
        <f ca="1">E36+$C$21*H38</f>
        <v>70.186998082731449</v>
      </c>
      <c r="D38" s="161">
        <v>0</v>
      </c>
      <c r="E38" s="161">
        <f t="shared" ca="1" si="5"/>
        <v>70.186998082731449</v>
      </c>
      <c r="F38" s="162">
        <f t="shared" ref="F38:F101" ca="1" si="9">AVERAGE(C38,E38)*$C$22/12</f>
        <v>0.64338081575837169</v>
      </c>
      <c r="G38" s="162" t="s">
        <v>223</v>
      </c>
      <c r="H38" s="213"/>
      <c r="I38" s="213"/>
    </row>
    <row r="39" spans="2:9" x14ac:dyDescent="0.25">
      <c r="B39" s="165" t="s">
        <v>215</v>
      </c>
      <c r="C39" s="166">
        <f ca="1">E38+$C$21*H39</f>
        <v>70.186998082731449</v>
      </c>
      <c r="D39" s="166">
        <v>0</v>
      </c>
      <c r="E39" s="166">
        <f t="shared" ca="1" si="5"/>
        <v>70.186998082731449</v>
      </c>
      <c r="F39" s="166">
        <f t="shared" ca="1" si="9"/>
        <v>0.64338081575837169</v>
      </c>
      <c r="G39" s="166"/>
      <c r="H39" s="216"/>
      <c r="I39" s="216"/>
    </row>
    <row r="40" spans="2:9" x14ac:dyDescent="0.25">
      <c r="B40" s="165" t="s">
        <v>216</v>
      </c>
      <c r="C40" s="166">
        <f ca="1">E39+$C$21*H40</f>
        <v>140.3739961654629</v>
      </c>
      <c r="D40" s="166">
        <v>0</v>
      </c>
      <c r="E40" s="166">
        <f t="shared" ca="1" si="5"/>
        <v>140.3739961654629</v>
      </c>
      <c r="F40" s="166">
        <f t="shared" ca="1" si="9"/>
        <v>1.2867616315167434</v>
      </c>
      <c r="G40" s="166"/>
      <c r="H40" s="216">
        <v>0.2</v>
      </c>
      <c r="I40" s="216"/>
    </row>
    <row r="41" spans="2:9" x14ac:dyDescent="0.25">
      <c r="B41" s="165" t="s">
        <v>217</v>
      </c>
      <c r="C41" s="166">
        <f t="shared" ref="C41:C45" ca="1" si="10">E40+$C$21*H41</f>
        <v>140.3739961654629</v>
      </c>
      <c r="D41" s="166">
        <v>0</v>
      </c>
      <c r="E41" s="166">
        <f t="shared" ca="1" si="5"/>
        <v>140.3739961654629</v>
      </c>
      <c r="F41" s="166">
        <f t="shared" ca="1" si="9"/>
        <v>1.2867616315167434</v>
      </c>
      <c r="G41" s="166"/>
      <c r="H41" s="216"/>
      <c r="I41" s="216"/>
    </row>
    <row r="42" spans="2:9" x14ac:dyDescent="0.25">
      <c r="B42" s="165" t="s">
        <v>218</v>
      </c>
      <c r="C42" s="166">
        <f t="shared" ca="1" si="10"/>
        <v>140.3739961654629</v>
      </c>
      <c r="D42" s="166">
        <v>0</v>
      </c>
      <c r="E42" s="166">
        <f t="shared" ca="1" si="5"/>
        <v>140.3739961654629</v>
      </c>
      <c r="F42" s="166">
        <f t="shared" ca="1" si="9"/>
        <v>1.2867616315167434</v>
      </c>
      <c r="G42" s="166"/>
      <c r="H42" s="216"/>
      <c r="I42" s="216"/>
    </row>
    <row r="43" spans="2:9" x14ac:dyDescent="0.25">
      <c r="B43" s="165" t="s">
        <v>219</v>
      </c>
      <c r="C43" s="166">
        <f t="shared" ca="1" si="10"/>
        <v>210.56099424819433</v>
      </c>
      <c r="D43" s="166">
        <v>0</v>
      </c>
      <c r="E43" s="166">
        <f t="shared" ca="1" si="5"/>
        <v>210.56099424819433</v>
      </c>
      <c r="F43" s="166">
        <f t="shared" ca="1" si="9"/>
        <v>1.9301424472751147</v>
      </c>
      <c r="G43" s="166"/>
      <c r="H43" s="216">
        <v>0.2</v>
      </c>
      <c r="I43" s="216"/>
    </row>
    <row r="44" spans="2:9" x14ac:dyDescent="0.25">
      <c r="B44" s="165" t="s">
        <v>220</v>
      </c>
      <c r="C44" s="166">
        <f t="shared" ca="1" si="10"/>
        <v>210.56099424819433</v>
      </c>
      <c r="D44" s="166">
        <v>0</v>
      </c>
      <c r="E44" s="166">
        <f t="shared" ca="1" si="5"/>
        <v>210.56099424819433</v>
      </c>
      <c r="F44" s="166">
        <f t="shared" ca="1" si="9"/>
        <v>1.9301424472751147</v>
      </c>
      <c r="G44" s="166"/>
      <c r="H44" s="216"/>
      <c r="I44" s="216"/>
    </row>
    <row r="45" spans="2:9" x14ac:dyDescent="0.25">
      <c r="B45" s="165" t="s">
        <v>221</v>
      </c>
      <c r="C45" s="166">
        <f t="shared" ca="1" si="10"/>
        <v>210.56099424819433</v>
      </c>
      <c r="D45" s="166">
        <v>0</v>
      </c>
      <c r="E45" s="166">
        <f t="shared" ca="1" si="5"/>
        <v>210.56099424819433</v>
      </c>
      <c r="F45" s="166">
        <f t="shared" ca="1" si="9"/>
        <v>1.9301424472751147</v>
      </c>
      <c r="G45" s="166"/>
      <c r="H45" s="216"/>
      <c r="I45" s="216"/>
    </row>
    <row r="46" spans="2:9" x14ac:dyDescent="0.25">
      <c r="B46" s="165" t="s">
        <v>222</v>
      </c>
      <c r="C46" s="166">
        <f ca="1">E45+$C$21*H46</f>
        <v>280.7479923309258</v>
      </c>
      <c r="D46" s="166">
        <v>0</v>
      </c>
      <c r="E46" s="166">
        <f t="shared" ca="1" si="5"/>
        <v>280.7479923309258</v>
      </c>
      <c r="F46" s="166">
        <f t="shared" ca="1" si="9"/>
        <v>2.5735232630334868</v>
      </c>
      <c r="G46" s="166"/>
      <c r="H46" s="216">
        <v>0.2</v>
      </c>
      <c r="I46" s="216"/>
    </row>
    <row r="47" spans="2:9" x14ac:dyDescent="0.25">
      <c r="B47" s="165" t="s">
        <v>224</v>
      </c>
      <c r="C47" s="166">
        <f t="shared" ref="C47:C48" ca="1" si="11">E46+$C$19*H47</f>
        <v>280.7479923309258</v>
      </c>
      <c r="D47" s="166">
        <v>0</v>
      </c>
      <c r="E47" s="166">
        <f t="shared" ca="1" si="5"/>
        <v>280.7479923309258</v>
      </c>
      <c r="F47" s="166">
        <f t="shared" ca="1" si="9"/>
        <v>2.5735232630334868</v>
      </c>
      <c r="G47" s="166"/>
      <c r="H47" s="216"/>
      <c r="I47" s="216"/>
    </row>
    <row r="48" spans="2:9" x14ac:dyDescent="0.25">
      <c r="B48" s="165" t="s">
        <v>225</v>
      </c>
      <c r="C48" s="166">
        <f t="shared" ca="1" si="11"/>
        <v>280.7479923309258</v>
      </c>
      <c r="D48" s="166">
        <v>0</v>
      </c>
      <c r="E48" s="166">
        <f t="shared" ca="1" si="5"/>
        <v>280.7479923309258</v>
      </c>
      <c r="F48" s="166">
        <f t="shared" ca="1" si="9"/>
        <v>2.5735232630334868</v>
      </c>
      <c r="G48" s="166"/>
      <c r="H48" s="216"/>
      <c r="I48" s="216"/>
    </row>
    <row r="49" spans="1:13" x14ac:dyDescent="0.25">
      <c r="B49" s="165" t="s">
        <v>226</v>
      </c>
      <c r="C49" s="166">
        <f ca="1">E48+$C$21*H49</f>
        <v>350.93499041365726</v>
      </c>
      <c r="D49" s="166">
        <v>0</v>
      </c>
      <c r="E49" s="166">
        <f t="shared" ca="1" si="5"/>
        <v>350.93499041365726</v>
      </c>
      <c r="F49" s="166">
        <f t="shared" ca="1" si="9"/>
        <v>3.2169040787918584</v>
      </c>
      <c r="G49" s="166"/>
      <c r="H49" s="216">
        <v>0.2</v>
      </c>
      <c r="I49" s="216"/>
    </row>
    <row r="50" spans="1:13" x14ac:dyDescent="0.25">
      <c r="B50" s="167" t="s">
        <v>230</v>
      </c>
      <c r="C50" s="167"/>
      <c r="D50" s="167"/>
      <c r="E50" s="168"/>
      <c r="F50" s="168"/>
      <c r="G50" s="168"/>
      <c r="H50" s="217"/>
      <c r="I50" s="217"/>
    </row>
    <row r="51" spans="1:13" x14ac:dyDescent="0.25">
      <c r="B51" s="160" t="s">
        <v>214</v>
      </c>
      <c r="C51" s="161">
        <f ca="1">E49</f>
        <v>350.93499041365726</v>
      </c>
      <c r="D51" s="161">
        <f ca="1">$C$21*$I$50/12</f>
        <v>0</v>
      </c>
      <c r="E51" s="161">
        <f t="shared" ca="1" si="5"/>
        <v>350.93499041365726</v>
      </c>
      <c r="F51" s="161">
        <f t="shared" ca="1" si="9"/>
        <v>3.2169040787918584</v>
      </c>
      <c r="G51" s="161" t="s">
        <v>228</v>
      </c>
      <c r="H51" s="213"/>
      <c r="I51" s="213"/>
    </row>
    <row r="52" spans="1:13" x14ac:dyDescent="0.25">
      <c r="B52" s="169" t="s">
        <v>215</v>
      </c>
      <c r="C52" s="170">
        <f ca="1">E51</f>
        <v>350.93499041365726</v>
      </c>
      <c r="D52" s="170">
        <f t="shared" ref="D52:D62" ca="1" si="12">$C$21*$I$50/12</f>
        <v>0</v>
      </c>
      <c r="E52" s="170">
        <f t="shared" ca="1" si="5"/>
        <v>350.93499041365726</v>
      </c>
      <c r="F52" s="170">
        <f t="shared" ca="1" si="9"/>
        <v>3.2169040787918584</v>
      </c>
      <c r="G52" s="170"/>
      <c r="H52" s="218"/>
      <c r="I52" s="218"/>
    </row>
    <row r="53" spans="1:13" x14ac:dyDescent="0.25">
      <c r="B53" s="169" t="s">
        <v>216</v>
      </c>
      <c r="C53" s="170">
        <f t="shared" ref="C53:C62" ca="1" si="13">E52</f>
        <v>350.93499041365726</v>
      </c>
      <c r="D53" s="170">
        <f t="shared" ca="1" si="12"/>
        <v>0</v>
      </c>
      <c r="E53" s="170">
        <f t="shared" ca="1" si="5"/>
        <v>350.93499041365726</v>
      </c>
      <c r="F53" s="170">
        <f t="shared" ca="1" si="9"/>
        <v>3.2169040787918584</v>
      </c>
      <c r="G53" s="170"/>
      <c r="H53" s="218"/>
      <c r="I53" s="218"/>
    </row>
    <row r="54" spans="1:13" x14ac:dyDescent="0.25">
      <c r="B54" s="169" t="s">
        <v>217</v>
      </c>
      <c r="C54" s="170">
        <f t="shared" ca="1" si="13"/>
        <v>350.93499041365726</v>
      </c>
      <c r="D54" s="170">
        <f t="shared" ca="1" si="12"/>
        <v>0</v>
      </c>
      <c r="E54" s="170">
        <f t="shared" ca="1" si="5"/>
        <v>350.93499041365726</v>
      </c>
      <c r="F54" s="170">
        <f t="shared" ca="1" si="9"/>
        <v>3.2169040787918584</v>
      </c>
      <c r="G54" s="170"/>
      <c r="H54" s="218"/>
      <c r="I54" s="218"/>
    </row>
    <row r="55" spans="1:13" x14ac:dyDescent="0.25">
      <c r="B55" s="169" t="s">
        <v>218</v>
      </c>
      <c r="C55" s="170">
        <f t="shared" ca="1" si="13"/>
        <v>350.93499041365726</v>
      </c>
      <c r="D55" s="170">
        <f t="shared" ca="1" si="12"/>
        <v>0</v>
      </c>
      <c r="E55" s="170">
        <f t="shared" ca="1" si="5"/>
        <v>350.93499041365726</v>
      </c>
      <c r="F55" s="170">
        <f t="shared" ca="1" si="9"/>
        <v>3.2169040787918584</v>
      </c>
      <c r="G55" s="170"/>
      <c r="H55" s="218"/>
      <c r="I55" s="218"/>
    </row>
    <row r="56" spans="1:13" x14ac:dyDescent="0.25">
      <c r="B56" s="169" t="s">
        <v>219</v>
      </c>
      <c r="C56" s="170">
        <f t="shared" ca="1" si="13"/>
        <v>350.93499041365726</v>
      </c>
      <c r="D56" s="170">
        <f t="shared" ca="1" si="12"/>
        <v>0</v>
      </c>
      <c r="E56" s="170">
        <f t="shared" ca="1" si="5"/>
        <v>350.93499041365726</v>
      </c>
      <c r="F56" s="170">
        <f t="shared" ca="1" si="9"/>
        <v>3.2169040787918584</v>
      </c>
      <c r="G56" s="170"/>
      <c r="H56" s="218"/>
      <c r="I56" s="218"/>
    </row>
    <row r="57" spans="1:13" x14ac:dyDescent="0.25">
      <c r="B57" s="169" t="s">
        <v>220</v>
      </c>
      <c r="C57" s="170">
        <f t="shared" ca="1" si="13"/>
        <v>350.93499041365726</v>
      </c>
      <c r="D57" s="170">
        <f t="shared" ca="1" si="12"/>
        <v>0</v>
      </c>
      <c r="E57" s="170">
        <f t="shared" ca="1" si="5"/>
        <v>350.93499041365726</v>
      </c>
      <c r="F57" s="170">
        <f t="shared" ca="1" si="9"/>
        <v>3.2169040787918584</v>
      </c>
      <c r="G57" s="170"/>
      <c r="H57" s="218"/>
      <c r="I57" s="218"/>
    </row>
    <row r="58" spans="1:13" x14ac:dyDescent="0.25">
      <c r="B58" s="169" t="s">
        <v>221</v>
      </c>
      <c r="C58" s="170">
        <f t="shared" ca="1" si="13"/>
        <v>350.93499041365726</v>
      </c>
      <c r="D58" s="170">
        <f t="shared" ca="1" si="12"/>
        <v>0</v>
      </c>
      <c r="E58" s="170">
        <f t="shared" ca="1" si="5"/>
        <v>350.93499041365726</v>
      </c>
      <c r="F58" s="170">
        <f t="shared" ca="1" si="9"/>
        <v>3.2169040787918584</v>
      </c>
      <c r="G58" s="170"/>
      <c r="H58" s="218"/>
      <c r="I58" s="218"/>
    </row>
    <row r="59" spans="1:13" x14ac:dyDescent="0.25">
      <c r="B59" s="169" t="s">
        <v>222</v>
      </c>
      <c r="C59" s="170">
        <f t="shared" ca="1" si="13"/>
        <v>350.93499041365726</v>
      </c>
      <c r="D59" s="170">
        <f t="shared" ca="1" si="12"/>
        <v>0</v>
      </c>
      <c r="E59" s="170">
        <f t="shared" ca="1" si="5"/>
        <v>350.93499041365726</v>
      </c>
      <c r="F59" s="170">
        <f t="shared" ca="1" si="9"/>
        <v>3.2169040787918584</v>
      </c>
      <c r="G59" s="170"/>
      <c r="H59" s="218"/>
      <c r="I59" s="218"/>
    </row>
    <row r="60" spans="1:13" x14ac:dyDescent="0.25">
      <c r="B60" s="169" t="s">
        <v>224</v>
      </c>
      <c r="C60" s="170">
        <f t="shared" ca="1" si="13"/>
        <v>350.93499041365726</v>
      </c>
      <c r="D60" s="170">
        <f t="shared" ca="1" si="12"/>
        <v>0</v>
      </c>
      <c r="E60" s="170">
        <f t="shared" ca="1" si="5"/>
        <v>350.93499041365726</v>
      </c>
      <c r="F60" s="170">
        <f t="shared" ca="1" si="9"/>
        <v>3.2169040787918584</v>
      </c>
      <c r="G60" s="170"/>
      <c r="H60" s="218"/>
      <c r="I60" s="218"/>
    </row>
    <row r="61" spans="1:13" x14ac:dyDescent="0.25">
      <c r="B61" s="169" t="s">
        <v>225</v>
      </c>
      <c r="C61" s="170">
        <f t="shared" ca="1" si="13"/>
        <v>350.93499041365726</v>
      </c>
      <c r="D61" s="170">
        <f t="shared" ca="1" si="12"/>
        <v>0</v>
      </c>
      <c r="E61" s="170">
        <f t="shared" ca="1" si="5"/>
        <v>350.93499041365726</v>
      </c>
      <c r="F61" s="170">
        <f t="shared" ca="1" si="9"/>
        <v>3.2169040787918584</v>
      </c>
      <c r="G61" s="170"/>
      <c r="H61" s="218"/>
      <c r="I61" s="218"/>
    </row>
    <row r="62" spans="1:13" x14ac:dyDescent="0.25">
      <c r="B62" s="160" t="s">
        <v>226</v>
      </c>
      <c r="C62" s="161">
        <f t="shared" ca="1" si="13"/>
        <v>350.93499041365726</v>
      </c>
      <c r="D62" s="161">
        <f t="shared" ca="1" si="12"/>
        <v>0</v>
      </c>
      <c r="E62" s="161">
        <f t="shared" ca="1" si="5"/>
        <v>350.93499041365726</v>
      </c>
      <c r="F62" s="161">
        <f t="shared" ca="1" si="9"/>
        <v>3.2169040787918584</v>
      </c>
      <c r="G62" s="161" t="s">
        <v>229</v>
      </c>
      <c r="H62" s="213"/>
      <c r="I62" s="213"/>
      <c r="M62" s="171"/>
    </row>
    <row r="63" spans="1:13" x14ac:dyDescent="0.25">
      <c r="A63" s="360">
        <v>1</v>
      </c>
      <c r="B63" s="172" t="s">
        <v>232</v>
      </c>
      <c r="C63" s="173"/>
      <c r="D63" s="173"/>
      <c r="E63" s="174"/>
      <c r="F63" s="174"/>
      <c r="G63" s="174"/>
      <c r="H63" s="219"/>
      <c r="I63" s="219">
        <v>0.05</v>
      </c>
    </row>
    <row r="64" spans="1:13" x14ac:dyDescent="0.25">
      <c r="A64" s="360"/>
      <c r="B64" s="160" t="s">
        <v>214</v>
      </c>
      <c r="C64" s="161">
        <f ca="1">E62</f>
        <v>350.93499041365726</v>
      </c>
      <c r="D64" s="161">
        <f ca="1">$C$21*$I$63/12</f>
        <v>1.4622291267235719</v>
      </c>
      <c r="E64" s="161">
        <f t="shared" ca="1" si="5"/>
        <v>349.47276128693369</v>
      </c>
      <c r="F64" s="161">
        <f t="shared" ca="1" si="9"/>
        <v>3.2102021952943756</v>
      </c>
      <c r="G64" s="161" t="s">
        <v>231</v>
      </c>
      <c r="H64" s="213"/>
      <c r="I64" s="213"/>
    </row>
    <row r="65" spans="1:11" x14ac:dyDescent="0.25">
      <c r="A65" s="360"/>
      <c r="B65" s="175" t="s">
        <v>215</v>
      </c>
      <c r="C65" s="176">
        <f ca="1">E64</f>
        <v>349.47276128693369</v>
      </c>
      <c r="D65" s="176">
        <f t="shared" ref="D65:D75" ca="1" si="14">$C$21*$I$63/12</f>
        <v>1.4622291267235719</v>
      </c>
      <c r="E65" s="176">
        <f t="shared" ca="1" si="5"/>
        <v>348.01053216021012</v>
      </c>
      <c r="F65" s="176">
        <f t="shared" ca="1" si="9"/>
        <v>3.1967984282994091</v>
      </c>
      <c r="G65" s="176"/>
      <c r="H65" s="220"/>
      <c r="I65" s="220"/>
    </row>
    <row r="66" spans="1:11" x14ac:dyDescent="0.25">
      <c r="A66" s="360"/>
      <c r="B66" s="175" t="s">
        <v>216</v>
      </c>
      <c r="C66" s="176">
        <f t="shared" ref="C66:C75" ca="1" si="15">E65</f>
        <v>348.01053216021012</v>
      </c>
      <c r="D66" s="176">
        <f t="shared" ca="1" si="14"/>
        <v>1.4622291267235719</v>
      </c>
      <c r="E66" s="176">
        <f t="shared" ca="1" si="5"/>
        <v>346.54830303348655</v>
      </c>
      <c r="F66" s="176">
        <f t="shared" ca="1" si="9"/>
        <v>3.1833946613044435</v>
      </c>
      <c r="G66" s="176"/>
      <c r="H66" s="220"/>
      <c r="I66" s="220"/>
    </row>
    <row r="67" spans="1:11" x14ac:dyDescent="0.25">
      <c r="A67" s="360"/>
      <c r="B67" s="175" t="s">
        <v>217</v>
      </c>
      <c r="C67" s="176">
        <f t="shared" ca="1" si="15"/>
        <v>346.54830303348655</v>
      </c>
      <c r="D67" s="176">
        <f t="shared" ca="1" si="14"/>
        <v>1.4622291267235719</v>
      </c>
      <c r="E67" s="176">
        <f t="shared" ca="1" si="5"/>
        <v>345.08607390676298</v>
      </c>
      <c r="F67" s="176">
        <f t="shared" ca="1" si="9"/>
        <v>3.1699908943094766</v>
      </c>
      <c r="G67" s="176"/>
      <c r="H67" s="220"/>
      <c r="I67" s="220"/>
    </row>
    <row r="68" spans="1:11" x14ac:dyDescent="0.25">
      <c r="A68" s="360"/>
      <c r="B68" s="175" t="s">
        <v>218</v>
      </c>
      <c r="C68" s="176">
        <f t="shared" ca="1" si="15"/>
        <v>345.08607390676298</v>
      </c>
      <c r="D68" s="176">
        <f t="shared" ca="1" si="14"/>
        <v>1.4622291267235719</v>
      </c>
      <c r="E68" s="176">
        <f t="shared" ca="1" si="5"/>
        <v>343.62384478003941</v>
      </c>
      <c r="F68" s="176">
        <f t="shared" ca="1" si="9"/>
        <v>3.156587127314511</v>
      </c>
      <c r="G68" s="176"/>
      <c r="H68" s="220"/>
      <c r="I68" s="220"/>
    </row>
    <row r="69" spans="1:11" x14ac:dyDescent="0.25">
      <c r="A69" s="360"/>
      <c r="B69" s="175" t="s">
        <v>219</v>
      </c>
      <c r="C69" s="176">
        <f t="shared" ca="1" si="15"/>
        <v>343.62384478003941</v>
      </c>
      <c r="D69" s="176">
        <f t="shared" ca="1" si="14"/>
        <v>1.4622291267235719</v>
      </c>
      <c r="E69" s="176">
        <f t="shared" ca="1" si="5"/>
        <v>342.16161565331583</v>
      </c>
      <c r="F69" s="176">
        <f t="shared" ca="1" si="9"/>
        <v>3.1431833603195449</v>
      </c>
      <c r="G69" s="176"/>
      <c r="H69" s="220"/>
      <c r="I69" s="220"/>
      <c r="K69" s="70">
        <f>22*12</f>
        <v>264</v>
      </c>
    </row>
    <row r="70" spans="1:11" x14ac:dyDescent="0.25">
      <c r="A70" s="360"/>
      <c r="B70" s="175" t="s">
        <v>220</v>
      </c>
      <c r="C70" s="176">
        <f t="shared" ca="1" si="15"/>
        <v>342.16161565331583</v>
      </c>
      <c r="D70" s="176">
        <f t="shared" ca="1" si="14"/>
        <v>1.4622291267235719</v>
      </c>
      <c r="E70" s="176">
        <f t="shared" ca="1" si="5"/>
        <v>340.69938652659226</v>
      </c>
      <c r="F70" s="176">
        <f t="shared" ca="1" si="9"/>
        <v>3.1297795933245793</v>
      </c>
      <c r="G70" s="176"/>
      <c r="H70" s="220"/>
      <c r="I70" s="220"/>
    </row>
    <row r="71" spans="1:11" x14ac:dyDescent="0.25">
      <c r="A71" s="360"/>
      <c r="B71" s="175" t="s">
        <v>221</v>
      </c>
      <c r="C71" s="176">
        <f t="shared" ca="1" si="15"/>
        <v>340.69938652659226</v>
      </c>
      <c r="D71" s="176">
        <f t="shared" ca="1" si="14"/>
        <v>1.4622291267235719</v>
      </c>
      <c r="E71" s="176">
        <f t="shared" ca="1" si="5"/>
        <v>339.23715739986869</v>
      </c>
      <c r="F71" s="176">
        <f t="shared" ca="1" si="9"/>
        <v>3.1163758263296124</v>
      </c>
      <c r="G71" s="176"/>
      <c r="H71" s="220"/>
      <c r="I71" s="220"/>
    </row>
    <row r="72" spans="1:11" x14ac:dyDescent="0.25">
      <c r="A72" s="360"/>
      <c r="B72" s="175" t="s">
        <v>222</v>
      </c>
      <c r="C72" s="176">
        <f t="shared" ca="1" si="15"/>
        <v>339.23715739986869</v>
      </c>
      <c r="D72" s="176">
        <f t="shared" ca="1" si="14"/>
        <v>1.4622291267235719</v>
      </c>
      <c r="E72" s="176">
        <f t="shared" ca="1" si="5"/>
        <v>337.77492827314512</v>
      </c>
      <c r="F72" s="176">
        <f t="shared" ca="1" si="9"/>
        <v>3.1029720593346468</v>
      </c>
      <c r="G72" s="176"/>
      <c r="H72" s="220"/>
      <c r="I72" s="220"/>
    </row>
    <row r="73" spans="1:11" x14ac:dyDescent="0.25">
      <c r="A73" s="360"/>
      <c r="B73" s="175" t="s">
        <v>224</v>
      </c>
      <c r="C73" s="176">
        <f t="shared" ca="1" si="15"/>
        <v>337.77492827314512</v>
      </c>
      <c r="D73" s="176">
        <f t="shared" ca="1" si="14"/>
        <v>1.4622291267235719</v>
      </c>
      <c r="E73" s="176">
        <f t="shared" ca="1" si="5"/>
        <v>336.31269914642155</v>
      </c>
      <c r="F73" s="176">
        <f t="shared" ca="1" si="9"/>
        <v>3.0895682923396808</v>
      </c>
      <c r="G73" s="176"/>
      <c r="H73" s="220"/>
      <c r="I73" s="220"/>
    </row>
    <row r="74" spans="1:11" x14ac:dyDescent="0.25">
      <c r="A74" s="360"/>
      <c r="B74" s="175" t="s">
        <v>225</v>
      </c>
      <c r="C74" s="176">
        <f t="shared" ca="1" si="15"/>
        <v>336.31269914642155</v>
      </c>
      <c r="D74" s="176">
        <f t="shared" ca="1" si="14"/>
        <v>1.4622291267235719</v>
      </c>
      <c r="E74" s="176">
        <f t="shared" ca="1" si="5"/>
        <v>334.85047001969798</v>
      </c>
      <c r="F74" s="176">
        <f t="shared" ca="1" si="9"/>
        <v>3.0761645253447152</v>
      </c>
      <c r="G74" s="176"/>
      <c r="H74" s="220"/>
      <c r="I74" s="220"/>
    </row>
    <row r="75" spans="1:11" x14ac:dyDescent="0.25">
      <c r="A75" s="360"/>
      <c r="B75" s="175" t="s">
        <v>226</v>
      </c>
      <c r="C75" s="176">
        <f t="shared" ca="1" si="15"/>
        <v>334.85047001969798</v>
      </c>
      <c r="D75" s="176">
        <f t="shared" ca="1" si="14"/>
        <v>1.4622291267235719</v>
      </c>
      <c r="E75" s="176">
        <f t="shared" ca="1" si="5"/>
        <v>333.38824089297441</v>
      </c>
      <c r="F75" s="176">
        <f t="shared" ca="1" si="9"/>
        <v>3.0627607583497483</v>
      </c>
      <c r="G75" s="176"/>
      <c r="H75" s="220"/>
      <c r="I75" s="220"/>
    </row>
    <row r="76" spans="1:11" x14ac:dyDescent="0.25">
      <c r="A76" s="360">
        <f>A63+1</f>
        <v>2</v>
      </c>
      <c r="B76" s="177" t="s">
        <v>233</v>
      </c>
      <c r="C76" s="177"/>
      <c r="D76" s="177"/>
      <c r="E76" s="178"/>
      <c r="F76" s="178"/>
      <c r="G76" s="178"/>
      <c r="H76" s="221"/>
      <c r="I76" s="221">
        <v>0.05</v>
      </c>
    </row>
    <row r="77" spans="1:11" x14ac:dyDescent="0.25">
      <c r="A77" s="360"/>
      <c r="B77" s="179" t="s">
        <v>214</v>
      </c>
      <c r="C77" s="180">
        <f ca="1">E75</f>
        <v>333.38824089297441</v>
      </c>
      <c r="D77" s="180">
        <f ca="1">$C$21*$I$76/12</f>
        <v>1.4622291267235719</v>
      </c>
      <c r="E77" s="180">
        <f t="shared" ca="1" si="5"/>
        <v>331.92601176625084</v>
      </c>
      <c r="F77" s="180">
        <f t="shared" ca="1" si="9"/>
        <v>3.0493569913547827</v>
      </c>
      <c r="G77" s="180"/>
      <c r="H77" s="222"/>
      <c r="I77" s="222"/>
    </row>
    <row r="78" spans="1:11" x14ac:dyDescent="0.25">
      <c r="A78" s="360"/>
      <c r="B78" s="179" t="s">
        <v>215</v>
      </c>
      <c r="C78" s="180">
        <f t="shared" ref="C78:C114" ca="1" si="16">E77</f>
        <v>331.92601176625084</v>
      </c>
      <c r="D78" s="180">
        <f t="shared" ref="D78:D88" ca="1" si="17">$C$21*$I$76/12</f>
        <v>1.4622291267235719</v>
      </c>
      <c r="E78" s="180">
        <f t="shared" ca="1" si="5"/>
        <v>330.46378263952727</v>
      </c>
      <c r="F78" s="180">
        <f t="shared" ca="1" si="9"/>
        <v>3.0359532243598157</v>
      </c>
      <c r="G78" s="180"/>
      <c r="H78" s="222"/>
      <c r="I78" s="222"/>
    </row>
    <row r="79" spans="1:11" x14ac:dyDescent="0.25">
      <c r="A79" s="360"/>
      <c r="B79" s="179" t="s">
        <v>216</v>
      </c>
      <c r="C79" s="180">
        <f t="shared" ca="1" si="16"/>
        <v>330.46378263952727</v>
      </c>
      <c r="D79" s="180">
        <f t="shared" ca="1" si="17"/>
        <v>1.4622291267235719</v>
      </c>
      <c r="E79" s="180">
        <f t="shared" ca="1" si="5"/>
        <v>329.0015535128037</v>
      </c>
      <c r="F79" s="180">
        <f t="shared" ca="1" si="9"/>
        <v>3.0225494573648501</v>
      </c>
      <c r="G79" s="180"/>
      <c r="H79" s="222"/>
      <c r="I79" s="222"/>
    </row>
    <row r="80" spans="1:11" x14ac:dyDescent="0.25">
      <c r="A80" s="360"/>
      <c r="B80" s="179" t="s">
        <v>217</v>
      </c>
      <c r="C80" s="180">
        <f t="shared" ca="1" si="16"/>
        <v>329.0015535128037</v>
      </c>
      <c r="D80" s="180">
        <f t="shared" ca="1" si="17"/>
        <v>1.4622291267235719</v>
      </c>
      <c r="E80" s="180">
        <f t="shared" ca="1" si="5"/>
        <v>327.53932438608012</v>
      </c>
      <c r="F80" s="180">
        <f t="shared" ca="1" si="9"/>
        <v>3.0091456903698841</v>
      </c>
      <c r="G80" s="180"/>
      <c r="H80" s="222"/>
      <c r="I80" s="222"/>
    </row>
    <row r="81" spans="1:9" x14ac:dyDescent="0.25">
      <c r="A81" s="360"/>
      <c r="B81" s="179" t="s">
        <v>218</v>
      </c>
      <c r="C81" s="180">
        <f t="shared" ca="1" si="16"/>
        <v>327.53932438608012</v>
      </c>
      <c r="D81" s="180">
        <f t="shared" ca="1" si="17"/>
        <v>1.4622291267235719</v>
      </c>
      <c r="E81" s="180">
        <f t="shared" ca="1" si="5"/>
        <v>326.07709525935655</v>
      </c>
      <c r="F81" s="180">
        <f t="shared" ca="1" si="9"/>
        <v>2.9957419233749185</v>
      </c>
      <c r="G81" s="180"/>
      <c r="H81" s="222"/>
      <c r="I81" s="222"/>
    </row>
    <row r="82" spans="1:9" x14ac:dyDescent="0.25">
      <c r="A82" s="360"/>
      <c r="B82" s="179" t="s">
        <v>219</v>
      </c>
      <c r="C82" s="180">
        <f t="shared" ca="1" si="16"/>
        <v>326.07709525935655</v>
      </c>
      <c r="D82" s="180">
        <f t="shared" ca="1" si="17"/>
        <v>1.4622291267235719</v>
      </c>
      <c r="E82" s="180">
        <f t="shared" ca="1" si="5"/>
        <v>324.61486613263298</v>
      </c>
      <c r="F82" s="180">
        <f t="shared" ca="1" si="9"/>
        <v>2.9823381563799516</v>
      </c>
      <c r="G82" s="180"/>
      <c r="H82" s="222"/>
      <c r="I82" s="222"/>
    </row>
    <row r="83" spans="1:9" x14ac:dyDescent="0.25">
      <c r="A83" s="360"/>
      <c r="B83" s="179" t="s">
        <v>220</v>
      </c>
      <c r="C83" s="180">
        <f t="shared" ca="1" si="16"/>
        <v>324.61486613263298</v>
      </c>
      <c r="D83" s="180">
        <f t="shared" ca="1" si="17"/>
        <v>1.4622291267235719</v>
      </c>
      <c r="E83" s="180">
        <f t="shared" ca="1" si="5"/>
        <v>323.15263700590941</v>
      </c>
      <c r="F83" s="180">
        <f t="shared" ca="1" si="9"/>
        <v>2.968934389384986</v>
      </c>
      <c r="G83" s="180"/>
      <c r="H83" s="222"/>
      <c r="I83" s="222"/>
    </row>
    <row r="84" spans="1:9" x14ac:dyDescent="0.25">
      <c r="A84" s="360"/>
      <c r="B84" s="179" t="s">
        <v>221</v>
      </c>
      <c r="C84" s="180">
        <f t="shared" ca="1" si="16"/>
        <v>323.15263700590941</v>
      </c>
      <c r="D84" s="180">
        <f t="shared" ca="1" si="17"/>
        <v>1.4622291267235719</v>
      </c>
      <c r="E84" s="180">
        <f t="shared" ca="1" si="5"/>
        <v>321.69040787918584</v>
      </c>
      <c r="F84" s="180">
        <f t="shared" ca="1" si="9"/>
        <v>2.95553062239002</v>
      </c>
      <c r="G84" s="180"/>
      <c r="H84" s="222"/>
      <c r="I84" s="222"/>
    </row>
    <row r="85" spans="1:9" x14ac:dyDescent="0.25">
      <c r="A85" s="360"/>
      <c r="B85" s="179" t="s">
        <v>222</v>
      </c>
      <c r="C85" s="180">
        <f t="shared" ca="1" si="16"/>
        <v>321.69040787918584</v>
      </c>
      <c r="D85" s="180">
        <f t="shared" ca="1" si="17"/>
        <v>1.4622291267235719</v>
      </c>
      <c r="E85" s="180">
        <f t="shared" ca="1" si="5"/>
        <v>320.22817875246227</v>
      </c>
      <c r="F85" s="180">
        <f t="shared" ca="1" si="9"/>
        <v>2.9421268553950544</v>
      </c>
      <c r="G85" s="180"/>
      <c r="H85" s="222"/>
      <c r="I85" s="222"/>
    </row>
    <row r="86" spans="1:9" x14ac:dyDescent="0.25">
      <c r="A86" s="360"/>
      <c r="B86" s="179" t="s">
        <v>224</v>
      </c>
      <c r="C86" s="180">
        <f t="shared" ca="1" si="16"/>
        <v>320.22817875246227</v>
      </c>
      <c r="D86" s="180">
        <f t="shared" ca="1" si="17"/>
        <v>1.4622291267235719</v>
      </c>
      <c r="E86" s="180">
        <f t="shared" ca="1" si="5"/>
        <v>318.7659496257387</v>
      </c>
      <c r="F86" s="180">
        <f t="shared" ca="1" si="9"/>
        <v>2.9287230884000874</v>
      </c>
      <c r="G86" s="180"/>
      <c r="H86" s="222"/>
      <c r="I86" s="222"/>
    </row>
    <row r="87" spans="1:9" x14ac:dyDescent="0.25">
      <c r="A87" s="360"/>
      <c r="B87" s="179" t="s">
        <v>225</v>
      </c>
      <c r="C87" s="180">
        <f t="shared" ca="1" si="16"/>
        <v>318.7659496257387</v>
      </c>
      <c r="D87" s="180">
        <f t="shared" ca="1" si="17"/>
        <v>1.4622291267235719</v>
      </c>
      <c r="E87" s="180">
        <f t="shared" ca="1" si="5"/>
        <v>317.30372049901513</v>
      </c>
      <c r="F87" s="180">
        <f t="shared" ca="1" si="9"/>
        <v>2.9153193214051218</v>
      </c>
      <c r="G87" s="180"/>
      <c r="H87" s="222"/>
      <c r="I87" s="222"/>
    </row>
    <row r="88" spans="1:9" x14ac:dyDescent="0.25">
      <c r="A88" s="360"/>
      <c r="B88" s="179" t="s">
        <v>226</v>
      </c>
      <c r="C88" s="180">
        <f t="shared" ca="1" si="16"/>
        <v>317.30372049901513</v>
      </c>
      <c r="D88" s="180">
        <f t="shared" ca="1" si="17"/>
        <v>1.4622291267235719</v>
      </c>
      <c r="E88" s="180">
        <f t="shared" ca="1" si="5"/>
        <v>315.84149137229156</v>
      </c>
      <c r="F88" s="180">
        <f t="shared" ca="1" si="9"/>
        <v>2.9019155544101554</v>
      </c>
      <c r="G88" s="180"/>
      <c r="H88" s="222"/>
      <c r="I88" s="222"/>
    </row>
    <row r="89" spans="1:9" x14ac:dyDescent="0.25">
      <c r="A89" s="360">
        <f>A76+1</f>
        <v>3</v>
      </c>
      <c r="B89" s="181" t="s">
        <v>234</v>
      </c>
      <c r="C89" s="182"/>
      <c r="D89" s="181"/>
      <c r="E89" s="182"/>
      <c r="F89" s="182"/>
      <c r="G89" s="182"/>
      <c r="H89" s="223"/>
      <c r="I89" s="223">
        <v>0.05</v>
      </c>
    </row>
    <row r="90" spans="1:9" x14ac:dyDescent="0.25">
      <c r="A90" s="360"/>
      <c r="B90" s="183" t="s">
        <v>214</v>
      </c>
      <c r="C90" s="184">
        <f ca="1">E88</f>
        <v>315.84149137229156</v>
      </c>
      <c r="D90" s="184">
        <f ca="1">$C$21*$I$89/12</f>
        <v>1.4622291267235719</v>
      </c>
      <c r="E90" s="184">
        <f t="shared" ca="1" si="5"/>
        <v>314.37926224556799</v>
      </c>
      <c r="F90" s="184">
        <f t="shared" ca="1" si="9"/>
        <v>2.8885117874151898</v>
      </c>
      <c r="G90" s="184"/>
      <c r="H90" s="224"/>
      <c r="I90" s="224"/>
    </row>
    <row r="91" spans="1:9" x14ac:dyDescent="0.25">
      <c r="A91" s="360"/>
      <c r="B91" s="183" t="s">
        <v>215</v>
      </c>
      <c r="C91" s="184">
        <f t="shared" ca="1" si="16"/>
        <v>314.37926224556799</v>
      </c>
      <c r="D91" s="184">
        <f t="shared" ref="D91:D101" ca="1" si="18">$C$21*$I$89/12</f>
        <v>1.4622291267235719</v>
      </c>
      <c r="E91" s="184">
        <f t="shared" ca="1" si="5"/>
        <v>312.91703311884442</v>
      </c>
      <c r="F91" s="184">
        <f t="shared" ca="1" si="9"/>
        <v>2.8751080204202233</v>
      </c>
      <c r="G91" s="184"/>
      <c r="H91" s="224"/>
      <c r="I91" s="224"/>
    </row>
    <row r="92" spans="1:9" x14ac:dyDescent="0.25">
      <c r="A92" s="360"/>
      <c r="B92" s="183" t="s">
        <v>216</v>
      </c>
      <c r="C92" s="184">
        <f t="shared" ca="1" si="16"/>
        <v>312.91703311884442</v>
      </c>
      <c r="D92" s="184">
        <f t="shared" ca="1" si="18"/>
        <v>1.4622291267235719</v>
      </c>
      <c r="E92" s="184">
        <f t="shared" ca="1" si="5"/>
        <v>311.45480399212084</v>
      </c>
      <c r="F92" s="184">
        <f t="shared" ca="1" si="9"/>
        <v>2.8617042534252577</v>
      </c>
      <c r="G92" s="184"/>
      <c r="H92" s="224"/>
      <c r="I92" s="224"/>
    </row>
    <row r="93" spans="1:9" x14ac:dyDescent="0.25">
      <c r="A93" s="360"/>
      <c r="B93" s="183" t="s">
        <v>217</v>
      </c>
      <c r="C93" s="184">
        <f t="shared" ca="1" si="16"/>
        <v>311.45480399212084</v>
      </c>
      <c r="D93" s="184">
        <f t="shared" ca="1" si="18"/>
        <v>1.4622291267235719</v>
      </c>
      <c r="E93" s="184">
        <f t="shared" ca="1" si="5"/>
        <v>309.99257486539727</v>
      </c>
      <c r="F93" s="184">
        <f t="shared" ca="1" si="9"/>
        <v>2.8483004864302912</v>
      </c>
      <c r="G93" s="184"/>
      <c r="H93" s="224"/>
      <c r="I93" s="224"/>
    </row>
    <row r="94" spans="1:9" x14ac:dyDescent="0.25">
      <c r="A94" s="360"/>
      <c r="B94" s="183" t="s">
        <v>218</v>
      </c>
      <c r="C94" s="184">
        <f t="shared" ca="1" si="16"/>
        <v>309.99257486539727</v>
      </c>
      <c r="D94" s="184">
        <f t="shared" ca="1" si="18"/>
        <v>1.4622291267235719</v>
      </c>
      <c r="E94" s="184">
        <f t="shared" ref="E94:E157" ca="1" si="19">C94-D94</f>
        <v>308.5303457386737</v>
      </c>
      <c r="F94" s="184">
        <f t="shared" ca="1" si="9"/>
        <v>2.8348967194353256</v>
      </c>
      <c r="G94" s="184"/>
      <c r="H94" s="224"/>
      <c r="I94" s="224"/>
    </row>
    <row r="95" spans="1:9" x14ac:dyDescent="0.25">
      <c r="A95" s="360"/>
      <c r="B95" s="183" t="s">
        <v>219</v>
      </c>
      <c r="C95" s="184">
        <f t="shared" ca="1" si="16"/>
        <v>308.5303457386737</v>
      </c>
      <c r="D95" s="184">
        <f t="shared" ca="1" si="18"/>
        <v>1.4622291267235719</v>
      </c>
      <c r="E95" s="184">
        <f t="shared" ca="1" si="19"/>
        <v>307.06811661195013</v>
      </c>
      <c r="F95" s="184">
        <f t="shared" ca="1" si="9"/>
        <v>2.8214929524403591</v>
      </c>
      <c r="G95" s="184"/>
      <c r="H95" s="224"/>
      <c r="I95" s="224"/>
    </row>
    <row r="96" spans="1:9" x14ac:dyDescent="0.25">
      <c r="A96" s="360"/>
      <c r="B96" s="183" t="s">
        <v>220</v>
      </c>
      <c r="C96" s="184">
        <f t="shared" ca="1" si="16"/>
        <v>307.06811661195013</v>
      </c>
      <c r="D96" s="184">
        <f t="shared" ca="1" si="18"/>
        <v>1.4622291267235719</v>
      </c>
      <c r="E96" s="184">
        <f t="shared" ca="1" si="19"/>
        <v>305.60588748522656</v>
      </c>
      <c r="F96" s="184">
        <f t="shared" ca="1" si="9"/>
        <v>2.8080891854453935</v>
      </c>
      <c r="G96" s="184"/>
      <c r="H96" s="224"/>
      <c r="I96" s="224"/>
    </row>
    <row r="97" spans="1:9" x14ac:dyDescent="0.25">
      <c r="A97" s="360"/>
      <c r="B97" s="183" t="s">
        <v>221</v>
      </c>
      <c r="C97" s="184">
        <f t="shared" ca="1" si="16"/>
        <v>305.60588748522656</v>
      </c>
      <c r="D97" s="184">
        <f t="shared" ca="1" si="18"/>
        <v>1.4622291267235719</v>
      </c>
      <c r="E97" s="184">
        <f t="shared" ca="1" si="19"/>
        <v>304.14365835850299</v>
      </c>
      <c r="F97" s="184">
        <f t="shared" ca="1" si="9"/>
        <v>2.7946854184504271</v>
      </c>
      <c r="G97" s="184"/>
      <c r="H97" s="224"/>
      <c r="I97" s="224"/>
    </row>
    <row r="98" spans="1:9" x14ac:dyDescent="0.25">
      <c r="A98" s="360"/>
      <c r="B98" s="183" t="s">
        <v>222</v>
      </c>
      <c r="C98" s="184">
        <f t="shared" ca="1" si="16"/>
        <v>304.14365835850299</v>
      </c>
      <c r="D98" s="184">
        <f t="shared" ca="1" si="18"/>
        <v>1.4622291267235719</v>
      </c>
      <c r="E98" s="184">
        <f t="shared" ca="1" si="19"/>
        <v>302.68142923177942</v>
      </c>
      <c r="F98" s="184">
        <f t="shared" ca="1" si="9"/>
        <v>2.7812816514554615</v>
      </c>
      <c r="G98" s="184"/>
      <c r="H98" s="224"/>
      <c r="I98" s="224"/>
    </row>
    <row r="99" spans="1:9" x14ac:dyDescent="0.25">
      <c r="A99" s="360"/>
      <c r="B99" s="183" t="s">
        <v>224</v>
      </c>
      <c r="C99" s="184">
        <f t="shared" ca="1" si="16"/>
        <v>302.68142923177942</v>
      </c>
      <c r="D99" s="184">
        <f t="shared" ca="1" si="18"/>
        <v>1.4622291267235719</v>
      </c>
      <c r="E99" s="184">
        <f t="shared" ca="1" si="19"/>
        <v>301.21920010505585</v>
      </c>
      <c r="F99" s="184">
        <f t="shared" ca="1" si="9"/>
        <v>2.7678778844604945</v>
      </c>
      <c r="G99" s="184"/>
      <c r="H99" s="224"/>
      <c r="I99" s="224"/>
    </row>
    <row r="100" spans="1:9" x14ac:dyDescent="0.25">
      <c r="A100" s="360"/>
      <c r="B100" s="183" t="s">
        <v>225</v>
      </c>
      <c r="C100" s="184">
        <f t="shared" ca="1" si="16"/>
        <v>301.21920010505585</v>
      </c>
      <c r="D100" s="184">
        <f t="shared" ca="1" si="18"/>
        <v>1.4622291267235719</v>
      </c>
      <c r="E100" s="184">
        <f t="shared" ca="1" si="19"/>
        <v>299.75697097833228</v>
      </c>
      <c r="F100" s="184">
        <f t="shared" ca="1" si="9"/>
        <v>2.7544741174655289</v>
      </c>
      <c r="G100" s="184"/>
      <c r="H100" s="224"/>
      <c r="I100" s="224"/>
    </row>
    <row r="101" spans="1:9" x14ac:dyDescent="0.25">
      <c r="A101" s="360"/>
      <c r="B101" s="183" t="s">
        <v>226</v>
      </c>
      <c r="C101" s="184">
        <f t="shared" ca="1" si="16"/>
        <v>299.75697097833228</v>
      </c>
      <c r="D101" s="184">
        <f t="shared" ca="1" si="18"/>
        <v>1.4622291267235719</v>
      </c>
      <c r="E101" s="184">
        <f t="shared" ca="1" si="19"/>
        <v>298.29474185160871</v>
      </c>
      <c r="F101" s="184">
        <f t="shared" ca="1" si="9"/>
        <v>2.7410703504705629</v>
      </c>
      <c r="G101" s="184"/>
      <c r="H101" s="224"/>
      <c r="I101" s="224"/>
    </row>
    <row r="102" spans="1:9" x14ac:dyDescent="0.25">
      <c r="A102" s="360">
        <f>A89+1</f>
        <v>4</v>
      </c>
      <c r="B102" s="185" t="s">
        <v>235</v>
      </c>
      <c r="C102" s="186"/>
      <c r="D102" s="185"/>
      <c r="E102" s="186"/>
      <c r="F102" s="186"/>
      <c r="G102" s="186"/>
      <c r="H102" s="225"/>
      <c r="I102" s="225">
        <v>0.05</v>
      </c>
    </row>
    <row r="103" spans="1:9" x14ac:dyDescent="0.25">
      <c r="A103" s="360"/>
      <c r="B103" s="187" t="s">
        <v>214</v>
      </c>
      <c r="C103" s="188">
        <f ca="1">E101</f>
        <v>298.29474185160871</v>
      </c>
      <c r="D103" s="188">
        <f ca="1">$C$21*$I$102/12</f>
        <v>1.4622291267235719</v>
      </c>
      <c r="E103" s="188">
        <f t="shared" ca="1" si="19"/>
        <v>296.83251272488513</v>
      </c>
      <c r="F103" s="188">
        <f t="shared" ref="F103:F166" ca="1" si="20">AVERAGE(C103,E103)*$C$22/12</f>
        <v>2.7276665834755973</v>
      </c>
      <c r="G103" s="188"/>
      <c r="H103" s="226"/>
      <c r="I103" s="226"/>
    </row>
    <row r="104" spans="1:9" x14ac:dyDescent="0.25">
      <c r="A104" s="360"/>
      <c r="B104" s="187" t="s">
        <v>215</v>
      </c>
      <c r="C104" s="188">
        <f t="shared" ca="1" si="16"/>
        <v>296.83251272488513</v>
      </c>
      <c r="D104" s="188">
        <f t="shared" ref="D104:D114" ca="1" si="21">$C$21*$I$102/12</f>
        <v>1.4622291267235719</v>
      </c>
      <c r="E104" s="188">
        <f t="shared" ca="1" si="19"/>
        <v>295.37028359816156</v>
      </c>
      <c r="F104" s="188">
        <f t="shared" ca="1" si="20"/>
        <v>2.7142628164806304</v>
      </c>
      <c r="G104" s="188"/>
      <c r="H104" s="226"/>
      <c r="I104" s="226"/>
    </row>
    <row r="105" spans="1:9" x14ac:dyDescent="0.25">
      <c r="A105" s="360"/>
      <c r="B105" s="187" t="s">
        <v>216</v>
      </c>
      <c r="C105" s="188">
        <f t="shared" ca="1" si="16"/>
        <v>295.37028359816156</v>
      </c>
      <c r="D105" s="188">
        <f t="shared" ca="1" si="21"/>
        <v>1.4622291267235719</v>
      </c>
      <c r="E105" s="188">
        <f t="shared" ca="1" si="19"/>
        <v>293.90805447143799</v>
      </c>
      <c r="F105" s="188">
        <f t="shared" ca="1" si="20"/>
        <v>2.7008590494856648</v>
      </c>
      <c r="G105" s="188"/>
      <c r="H105" s="226"/>
      <c r="I105" s="226"/>
    </row>
    <row r="106" spans="1:9" x14ac:dyDescent="0.25">
      <c r="A106" s="360"/>
      <c r="B106" s="187" t="s">
        <v>217</v>
      </c>
      <c r="C106" s="188">
        <f t="shared" ca="1" si="16"/>
        <v>293.90805447143799</v>
      </c>
      <c r="D106" s="188">
        <f t="shared" ca="1" si="21"/>
        <v>1.4622291267235719</v>
      </c>
      <c r="E106" s="188">
        <f t="shared" ca="1" si="19"/>
        <v>292.44582534471442</v>
      </c>
      <c r="F106" s="188">
        <f t="shared" ca="1" si="20"/>
        <v>2.6874552824906988</v>
      </c>
      <c r="G106" s="188"/>
      <c r="H106" s="226"/>
      <c r="I106" s="226"/>
    </row>
    <row r="107" spans="1:9" x14ac:dyDescent="0.25">
      <c r="A107" s="360"/>
      <c r="B107" s="187" t="s">
        <v>218</v>
      </c>
      <c r="C107" s="188">
        <f t="shared" ca="1" si="16"/>
        <v>292.44582534471442</v>
      </c>
      <c r="D107" s="188">
        <f t="shared" ca="1" si="21"/>
        <v>1.4622291267235719</v>
      </c>
      <c r="E107" s="188">
        <f t="shared" ca="1" si="19"/>
        <v>290.98359621799085</v>
      </c>
      <c r="F107" s="188">
        <f t="shared" ca="1" si="20"/>
        <v>2.6740515154957332</v>
      </c>
      <c r="G107" s="188"/>
      <c r="H107" s="226"/>
      <c r="I107" s="226"/>
    </row>
    <row r="108" spans="1:9" x14ac:dyDescent="0.25">
      <c r="A108" s="360"/>
      <c r="B108" s="187" t="s">
        <v>219</v>
      </c>
      <c r="C108" s="188">
        <f t="shared" ca="1" si="16"/>
        <v>290.98359621799085</v>
      </c>
      <c r="D108" s="188">
        <f t="shared" ca="1" si="21"/>
        <v>1.4622291267235719</v>
      </c>
      <c r="E108" s="188">
        <f t="shared" ca="1" si="19"/>
        <v>289.52136709126728</v>
      </c>
      <c r="F108" s="188">
        <f t="shared" ca="1" si="20"/>
        <v>2.6606477485007662</v>
      </c>
      <c r="G108" s="188"/>
      <c r="H108" s="226"/>
      <c r="I108" s="226"/>
    </row>
    <row r="109" spans="1:9" x14ac:dyDescent="0.25">
      <c r="A109" s="360"/>
      <c r="B109" s="187" t="s">
        <v>220</v>
      </c>
      <c r="C109" s="188">
        <f t="shared" ca="1" si="16"/>
        <v>289.52136709126728</v>
      </c>
      <c r="D109" s="188">
        <f t="shared" ca="1" si="21"/>
        <v>1.4622291267235719</v>
      </c>
      <c r="E109" s="188">
        <f t="shared" ca="1" si="19"/>
        <v>288.05913796454371</v>
      </c>
      <c r="F109" s="188">
        <f t="shared" ca="1" si="20"/>
        <v>2.6472439815058006</v>
      </c>
      <c r="G109" s="188"/>
      <c r="H109" s="226"/>
      <c r="I109" s="226"/>
    </row>
    <row r="110" spans="1:9" x14ac:dyDescent="0.25">
      <c r="A110" s="360"/>
      <c r="B110" s="187" t="s">
        <v>221</v>
      </c>
      <c r="C110" s="188">
        <f t="shared" ca="1" si="16"/>
        <v>288.05913796454371</v>
      </c>
      <c r="D110" s="188">
        <f t="shared" ca="1" si="21"/>
        <v>1.4622291267235719</v>
      </c>
      <c r="E110" s="188">
        <f t="shared" ca="1" si="19"/>
        <v>286.59690883782014</v>
      </c>
      <c r="F110" s="188">
        <f t="shared" ca="1" si="20"/>
        <v>2.6338402145108342</v>
      </c>
      <c r="G110" s="188"/>
      <c r="H110" s="226"/>
      <c r="I110" s="226"/>
    </row>
    <row r="111" spans="1:9" x14ac:dyDescent="0.25">
      <c r="A111" s="360"/>
      <c r="B111" s="187" t="s">
        <v>222</v>
      </c>
      <c r="C111" s="188">
        <f t="shared" ca="1" si="16"/>
        <v>286.59690883782014</v>
      </c>
      <c r="D111" s="188">
        <f t="shared" ca="1" si="21"/>
        <v>1.4622291267235719</v>
      </c>
      <c r="E111" s="188">
        <f t="shared" ca="1" si="19"/>
        <v>285.13467971109657</v>
      </c>
      <c r="F111" s="188">
        <f t="shared" ca="1" si="20"/>
        <v>2.6204364475158686</v>
      </c>
      <c r="G111" s="188"/>
      <c r="H111" s="226"/>
      <c r="I111" s="226"/>
    </row>
    <row r="112" spans="1:9" x14ac:dyDescent="0.25">
      <c r="A112" s="360"/>
      <c r="B112" s="187" t="s">
        <v>224</v>
      </c>
      <c r="C112" s="188">
        <f t="shared" ca="1" si="16"/>
        <v>285.13467971109657</v>
      </c>
      <c r="D112" s="188">
        <f t="shared" ca="1" si="21"/>
        <v>1.4622291267235719</v>
      </c>
      <c r="E112" s="188">
        <f t="shared" ca="1" si="19"/>
        <v>283.672450584373</v>
      </c>
      <c r="F112" s="188">
        <f t="shared" ca="1" si="20"/>
        <v>2.6070326805209016</v>
      </c>
      <c r="G112" s="188"/>
      <c r="H112" s="226"/>
      <c r="I112" s="226"/>
    </row>
    <row r="113" spans="1:9" x14ac:dyDescent="0.25">
      <c r="A113" s="360"/>
      <c r="B113" s="187" t="s">
        <v>225</v>
      </c>
      <c r="C113" s="188">
        <f t="shared" ca="1" si="16"/>
        <v>283.672450584373</v>
      </c>
      <c r="D113" s="188">
        <f t="shared" ca="1" si="21"/>
        <v>1.4622291267235719</v>
      </c>
      <c r="E113" s="188">
        <f t="shared" ca="1" si="19"/>
        <v>282.21022145764942</v>
      </c>
      <c r="F113" s="188">
        <f t="shared" ca="1" si="20"/>
        <v>2.5936289135259365</v>
      </c>
      <c r="G113" s="188"/>
      <c r="H113" s="226"/>
      <c r="I113" s="226"/>
    </row>
    <row r="114" spans="1:9" x14ac:dyDescent="0.25">
      <c r="A114" s="360"/>
      <c r="B114" s="187" t="s">
        <v>226</v>
      </c>
      <c r="C114" s="188">
        <f t="shared" ca="1" si="16"/>
        <v>282.21022145764942</v>
      </c>
      <c r="D114" s="188">
        <f t="shared" ca="1" si="21"/>
        <v>1.4622291267235719</v>
      </c>
      <c r="E114" s="188">
        <f t="shared" ca="1" si="19"/>
        <v>280.74799233092585</v>
      </c>
      <c r="F114" s="188">
        <f t="shared" ca="1" si="20"/>
        <v>2.5802251465309696</v>
      </c>
      <c r="G114" s="188"/>
      <c r="H114" s="226"/>
      <c r="I114" s="226"/>
    </row>
    <row r="115" spans="1:9" x14ac:dyDescent="0.25">
      <c r="A115" s="360">
        <f>A102+1</f>
        <v>5</v>
      </c>
      <c r="B115" s="189" t="s">
        <v>236</v>
      </c>
      <c r="C115" s="190"/>
      <c r="D115" s="189"/>
      <c r="E115" s="190"/>
      <c r="F115" s="190"/>
      <c r="G115" s="190"/>
      <c r="H115" s="227"/>
      <c r="I115" s="227">
        <v>0.05</v>
      </c>
    </row>
    <row r="116" spans="1:9" x14ac:dyDescent="0.25">
      <c r="A116" s="360"/>
      <c r="B116" s="191" t="s">
        <v>214</v>
      </c>
      <c r="C116" s="192">
        <f ca="1">E114</f>
        <v>280.74799233092585</v>
      </c>
      <c r="D116" s="192">
        <f ca="1">$C$21*$I$115/12</f>
        <v>1.4622291267235719</v>
      </c>
      <c r="E116" s="192">
        <f t="shared" ca="1" si="19"/>
        <v>279.28576320420228</v>
      </c>
      <c r="F116" s="192">
        <f t="shared" ca="1" si="20"/>
        <v>2.566821379536004</v>
      </c>
      <c r="G116" s="192"/>
      <c r="H116" s="228"/>
      <c r="I116" s="228"/>
    </row>
    <row r="117" spans="1:9" x14ac:dyDescent="0.25">
      <c r="A117" s="360"/>
      <c r="B117" s="191" t="s">
        <v>215</v>
      </c>
      <c r="C117" s="192">
        <f t="shared" ref="C117:C153" ca="1" si="22">E116</f>
        <v>279.28576320420228</v>
      </c>
      <c r="D117" s="192">
        <f t="shared" ref="D117:D127" ca="1" si="23">$C$21*$I$115/12</f>
        <v>1.4622291267235719</v>
      </c>
      <c r="E117" s="192">
        <f t="shared" ca="1" si="19"/>
        <v>277.82353407747871</v>
      </c>
      <c r="F117" s="192">
        <f t="shared" ca="1" si="20"/>
        <v>2.5534176125410375</v>
      </c>
      <c r="G117" s="192"/>
      <c r="H117" s="228"/>
      <c r="I117" s="228"/>
    </row>
    <row r="118" spans="1:9" x14ac:dyDescent="0.25">
      <c r="A118" s="360"/>
      <c r="B118" s="191" t="s">
        <v>216</v>
      </c>
      <c r="C118" s="192">
        <f t="shared" ca="1" si="22"/>
        <v>277.82353407747871</v>
      </c>
      <c r="D118" s="192">
        <f t="shared" ca="1" si="23"/>
        <v>1.4622291267235719</v>
      </c>
      <c r="E118" s="192">
        <f t="shared" ca="1" si="19"/>
        <v>276.36130495075514</v>
      </c>
      <c r="F118" s="192">
        <f t="shared" ca="1" si="20"/>
        <v>2.5400138455460719</v>
      </c>
      <c r="G118" s="192"/>
      <c r="H118" s="228"/>
      <c r="I118" s="228"/>
    </row>
    <row r="119" spans="1:9" x14ac:dyDescent="0.25">
      <c r="A119" s="360"/>
      <c r="B119" s="191" t="s">
        <v>217</v>
      </c>
      <c r="C119" s="192">
        <f t="shared" ca="1" si="22"/>
        <v>276.36130495075514</v>
      </c>
      <c r="D119" s="192">
        <f t="shared" ca="1" si="23"/>
        <v>1.4622291267235719</v>
      </c>
      <c r="E119" s="192">
        <f t="shared" ca="1" si="19"/>
        <v>274.89907582403157</v>
      </c>
      <c r="F119" s="192">
        <f t="shared" ca="1" si="20"/>
        <v>2.5266100785511054</v>
      </c>
      <c r="G119" s="192"/>
      <c r="H119" s="228"/>
      <c r="I119" s="228"/>
    </row>
    <row r="120" spans="1:9" x14ac:dyDescent="0.25">
      <c r="A120" s="360"/>
      <c r="B120" s="191" t="s">
        <v>218</v>
      </c>
      <c r="C120" s="192">
        <f t="shared" ca="1" si="22"/>
        <v>274.89907582403157</v>
      </c>
      <c r="D120" s="192">
        <f t="shared" ca="1" si="23"/>
        <v>1.4622291267235719</v>
      </c>
      <c r="E120" s="192">
        <f t="shared" ca="1" si="19"/>
        <v>273.436846697308</v>
      </c>
      <c r="F120" s="192">
        <f t="shared" ca="1" si="20"/>
        <v>2.5132063115561398</v>
      </c>
      <c r="G120" s="192"/>
      <c r="H120" s="228"/>
      <c r="I120" s="228"/>
    </row>
    <row r="121" spans="1:9" x14ac:dyDescent="0.25">
      <c r="A121" s="360"/>
      <c r="B121" s="191" t="s">
        <v>219</v>
      </c>
      <c r="C121" s="192">
        <f t="shared" ca="1" si="22"/>
        <v>273.436846697308</v>
      </c>
      <c r="D121" s="192">
        <f t="shared" ca="1" si="23"/>
        <v>1.4622291267235719</v>
      </c>
      <c r="E121" s="192">
        <f t="shared" ca="1" si="19"/>
        <v>271.97461757058443</v>
      </c>
      <c r="F121" s="192">
        <f t="shared" ca="1" si="20"/>
        <v>2.4998025445611733</v>
      </c>
      <c r="G121" s="192"/>
      <c r="H121" s="228"/>
      <c r="I121" s="228"/>
    </row>
    <row r="122" spans="1:9" x14ac:dyDescent="0.25">
      <c r="A122" s="360"/>
      <c r="B122" s="191" t="s">
        <v>220</v>
      </c>
      <c r="C122" s="192">
        <f t="shared" ca="1" si="22"/>
        <v>271.97461757058443</v>
      </c>
      <c r="D122" s="192">
        <f t="shared" ca="1" si="23"/>
        <v>1.4622291267235719</v>
      </c>
      <c r="E122" s="192">
        <f t="shared" ca="1" si="19"/>
        <v>270.51238844386086</v>
      </c>
      <c r="F122" s="192">
        <f t="shared" ca="1" si="20"/>
        <v>2.4863987775662078</v>
      </c>
      <c r="G122" s="192"/>
      <c r="H122" s="228"/>
      <c r="I122" s="228"/>
    </row>
    <row r="123" spans="1:9" x14ac:dyDescent="0.25">
      <c r="A123" s="360"/>
      <c r="B123" s="191" t="s">
        <v>221</v>
      </c>
      <c r="C123" s="192">
        <f t="shared" ca="1" si="22"/>
        <v>270.51238844386086</v>
      </c>
      <c r="D123" s="192">
        <f t="shared" ca="1" si="23"/>
        <v>1.4622291267235719</v>
      </c>
      <c r="E123" s="192">
        <f t="shared" ca="1" si="19"/>
        <v>269.05015931713729</v>
      </c>
      <c r="F123" s="192">
        <f t="shared" ca="1" si="20"/>
        <v>2.4729950105712413</v>
      </c>
      <c r="G123" s="192"/>
      <c r="H123" s="228"/>
      <c r="I123" s="228"/>
    </row>
    <row r="124" spans="1:9" x14ac:dyDescent="0.25">
      <c r="A124" s="360"/>
      <c r="B124" s="191" t="s">
        <v>222</v>
      </c>
      <c r="C124" s="192">
        <f t="shared" ca="1" si="22"/>
        <v>269.05015931713729</v>
      </c>
      <c r="D124" s="192">
        <f t="shared" ca="1" si="23"/>
        <v>1.4622291267235719</v>
      </c>
      <c r="E124" s="192">
        <f t="shared" ca="1" si="19"/>
        <v>267.58793019041372</v>
      </c>
      <c r="F124" s="192">
        <f t="shared" ca="1" si="20"/>
        <v>2.4595912435762757</v>
      </c>
      <c r="G124" s="192"/>
      <c r="H124" s="228"/>
      <c r="I124" s="228"/>
    </row>
    <row r="125" spans="1:9" x14ac:dyDescent="0.25">
      <c r="A125" s="360"/>
      <c r="B125" s="191" t="s">
        <v>224</v>
      </c>
      <c r="C125" s="192">
        <f t="shared" ca="1" si="22"/>
        <v>267.58793019041372</v>
      </c>
      <c r="D125" s="192">
        <f t="shared" ca="1" si="23"/>
        <v>1.4622291267235719</v>
      </c>
      <c r="E125" s="192">
        <f t="shared" ca="1" si="19"/>
        <v>266.12570106369014</v>
      </c>
      <c r="F125" s="192">
        <f t="shared" ca="1" si="20"/>
        <v>2.4461874765813092</v>
      </c>
      <c r="G125" s="192"/>
      <c r="H125" s="228"/>
      <c r="I125" s="228"/>
    </row>
    <row r="126" spans="1:9" x14ac:dyDescent="0.25">
      <c r="A126" s="360"/>
      <c r="B126" s="191" t="s">
        <v>225</v>
      </c>
      <c r="C126" s="192">
        <f t="shared" ca="1" si="22"/>
        <v>266.12570106369014</v>
      </c>
      <c r="D126" s="192">
        <f t="shared" ca="1" si="23"/>
        <v>1.4622291267235719</v>
      </c>
      <c r="E126" s="192">
        <f t="shared" ca="1" si="19"/>
        <v>264.66347193696657</v>
      </c>
      <c r="F126" s="192">
        <f t="shared" ca="1" si="20"/>
        <v>2.4327837095863436</v>
      </c>
      <c r="G126" s="192"/>
      <c r="H126" s="228"/>
      <c r="I126" s="228"/>
    </row>
    <row r="127" spans="1:9" x14ac:dyDescent="0.25">
      <c r="A127" s="360"/>
      <c r="B127" s="191" t="s">
        <v>226</v>
      </c>
      <c r="C127" s="192">
        <f t="shared" ca="1" si="22"/>
        <v>264.66347193696657</v>
      </c>
      <c r="D127" s="192">
        <f t="shared" ca="1" si="23"/>
        <v>1.4622291267235719</v>
      </c>
      <c r="E127" s="192">
        <f t="shared" ca="1" si="19"/>
        <v>263.201242810243</v>
      </c>
      <c r="F127" s="192">
        <f t="shared" ca="1" si="20"/>
        <v>2.4193799425913771</v>
      </c>
      <c r="G127" s="192"/>
      <c r="H127" s="228"/>
      <c r="I127" s="228"/>
    </row>
    <row r="128" spans="1:9" x14ac:dyDescent="0.25">
      <c r="A128" s="360">
        <f>A115+1</f>
        <v>6</v>
      </c>
      <c r="B128" s="181" t="s">
        <v>237</v>
      </c>
      <c r="C128" s="182"/>
      <c r="D128" s="181"/>
      <c r="E128" s="182"/>
      <c r="F128" s="182"/>
      <c r="G128" s="182"/>
      <c r="H128" s="223"/>
      <c r="I128" s="223">
        <v>0.05</v>
      </c>
    </row>
    <row r="129" spans="1:9" x14ac:dyDescent="0.25">
      <c r="A129" s="360"/>
      <c r="B129" s="183" t="s">
        <v>214</v>
      </c>
      <c r="C129" s="184">
        <f ca="1">E127</f>
        <v>263.201242810243</v>
      </c>
      <c r="D129" s="184">
        <f ca="1">$C$21*$I$128/12</f>
        <v>1.4622291267235719</v>
      </c>
      <c r="E129" s="184">
        <f t="shared" ca="1" si="19"/>
        <v>261.73901368351943</v>
      </c>
      <c r="F129" s="184">
        <f t="shared" ca="1" si="20"/>
        <v>2.4059761755964115</v>
      </c>
      <c r="G129" s="184"/>
      <c r="H129" s="224"/>
      <c r="I129" s="224"/>
    </row>
    <row r="130" spans="1:9" x14ac:dyDescent="0.25">
      <c r="A130" s="360"/>
      <c r="B130" s="183" t="s">
        <v>215</v>
      </c>
      <c r="C130" s="184">
        <f t="shared" ca="1" si="22"/>
        <v>261.73901368351943</v>
      </c>
      <c r="D130" s="184">
        <f t="shared" ref="D130:D140" ca="1" si="24">$C$21*$I$128/12</f>
        <v>1.4622291267235719</v>
      </c>
      <c r="E130" s="184">
        <f t="shared" ca="1" si="19"/>
        <v>260.27678455679586</v>
      </c>
      <c r="F130" s="184">
        <f t="shared" ca="1" si="20"/>
        <v>2.392572408601445</v>
      </c>
      <c r="G130" s="184"/>
      <c r="H130" s="224"/>
      <c r="I130" s="224"/>
    </row>
    <row r="131" spans="1:9" x14ac:dyDescent="0.25">
      <c r="A131" s="360"/>
      <c r="B131" s="183" t="s">
        <v>216</v>
      </c>
      <c r="C131" s="184">
        <f t="shared" ca="1" si="22"/>
        <v>260.27678455679586</v>
      </c>
      <c r="D131" s="184">
        <f t="shared" ca="1" si="24"/>
        <v>1.4622291267235719</v>
      </c>
      <c r="E131" s="184">
        <f t="shared" ca="1" si="19"/>
        <v>258.81455543007229</v>
      </c>
      <c r="F131" s="184">
        <f t="shared" ca="1" si="20"/>
        <v>2.3791686416064795</v>
      </c>
      <c r="G131" s="184"/>
      <c r="H131" s="224"/>
      <c r="I131" s="224"/>
    </row>
    <row r="132" spans="1:9" x14ac:dyDescent="0.25">
      <c r="A132" s="360"/>
      <c r="B132" s="183" t="s">
        <v>217</v>
      </c>
      <c r="C132" s="184">
        <f t="shared" ca="1" si="22"/>
        <v>258.81455543007229</v>
      </c>
      <c r="D132" s="184">
        <f t="shared" ca="1" si="24"/>
        <v>1.4622291267235719</v>
      </c>
      <c r="E132" s="184">
        <f t="shared" ca="1" si="19"/>
        <v>257.35232630334872</v>
      </c>
      <c r="F132" s="184">
        <f t="shared" ca="1" si="20"/>
        <v>2.365764874611513</v>
      </c>
      <c r="G132" s="184"/>
      <c r="H132" s="224"/>
      <c r="I132" s="224"/>
    </row>
    <row r="133" spans="1:9" x14ac:dyDescent="0.25">
      <c r="A133" s="360"/>
      <c r="B133" s="183" t="s">
        <v>218</v>
      </c>
      <c r="C133" s="184">
        <f t="shared" ca="1" si="22"/>
        <v>257.35232630334872</v>
      </c>
      <c r="D133" s="184">
        <f t="shared" ca="1" si="24"/>
        <v>1.4622291267235719</v>
      </c>
      <c r="E133" s="184">
        <f t="shared" ca="1" si="19"/>
        <v>255.89009717662515</v>
      </c>
      <c r="F133" s="184">
        <f t="shared" ca="1" si="20"/>
        <v>2.3523611076165474</v>
      </c>
      <c r="G133" s="184"/>
      <c r="H133" s="224"/>
      <c r="I133" s="224"/>
    </row>
    <row r="134" spans="1:9" x14ac:dyDescent="0.25">
      <c r="A134" s="360"/>
      <c r="B134" s="183" t="s">
        <v>219</v>
      </c>
      <c r="C134" s="184">
        <f t="shared" ca="1" si="22"/>
        <v>255.89009717662515</v>
      </c>
      <c r="D134" s="184">
        <f t="shared" ca="1" si="24"/>
        <v>1.4622291267235719</v>
      </c>
      <c r="E134" s="184">
        <f t="shared" ca="1" si="19"/>
        <v>254.42786804990158</v>
      </c>
      <c r="F134" s="184">
        <f t="shared" ca="1" si="20"/>
        <v>2.3389573406215809</v>
      </c>
      <c r="G134" s="184"/>
      <c r="H134" s="224"/>
      <c r="I134" s="224"/>
    </row>
    <row r="135" spans="1:9" x14ac:dyDescent="0.25">
      <c r="A135" s="360"/>
      <c r="B135" s="183" t="s">
        <v>220</v>
      </c>
      <c r="C135" s="184">
        <f t="shared" ca="1" si="22"/>
        <v>254.42786804990158</v>
      </c>
      <c r="D135" s="184">
        <f t="shared" ca="1" si="24"/>
        <v>1.4622291267235719</v>
      </c>
      <c r="E135" s="184">
        <f t="shared" ca="1" si="19"/>
        <v>252.96563892317801</v>
      </c>
      <c r="F135" s="184">
        <f t="shared" ca="1" si="20"/>
        <v>2.3255535736266149</v>
      </c>
      <c r="G135" s="184"/>
      <c r="H135" s="224"/>
      <c r="I135" s="224"/>
    </row>
    <row r="136" spans="1:9" x14ac:dyDescent="0.25">
      <c r="A136" s="360"/>
      <c r="B136" s="183" t="s">
        <v>221</v>
      </c>
      <c r="C136" s="184">
        <f t="shared" ca="1" si="22"/>
        <v>252.96563892317801</v>
      </c>
      <c r="D136" s="184">
        <f t="shared" ca="1" si="24"/>
        <v>1.4622291267235719</v>
      </c>
      <c r="E136" s="184">
        <f t="shared" ca="1" si="19"/>
        <v>251.50340979645443</v>
      </c>
      <c r="F136" s="184">
        <f t="shared" ca="1" si="20"/>
        <v>2.3121498066316488</v>
      </c>
      <c r="G136" s="184"/>
      <c r="H136" s="224"/>
      <c r="I136" s="224"/>
    </row>
    <row r="137" spans="1:9" x14ac:dyDescent="0.25">
      <c r="A137" s="360"/>
      <c r="B137" s="183" t="s">
        <v>222</v>
      </c>
      <c r="C137" s="184">
        <f t="shared" ca="1" si="22"/>
        <v>251.50340979645443</v>
      </c>
      <c r="D137" s="184">
        <f t="shared" ca="1" si="24"/>
        <v>1.4622291267235719</v>
      </c>
      <c r="E137" s="184">
        <f t="shared" ca="1" si="19"/>
        <v>250.04118066973086</v>
      </c>
      <c r="F137" s="184">
        <f t="shared" ca="1" si="20"/>
        <v>2.2987460396366823</v>
      </c>
      <c r="G137" s="184"/>
      <c r="H137" s="224"/>
      <c r="I137" s="224"/>
    </row>
    <row r="138" spans="1:9" x14ac:dyDescent="0.25">
      <c r="A138" s="360"/>
      <c r="B138" s="183" t="s">
        <v>224</v>
      </c>
      <c r="C138" s="184">
        <f t="shared" ca="1" si="22"/>
        <v>250.04118066973086</v>
      </c>
      <c r="D138" s="184">
        <f t="shared" ca="1" si="24"/>
        <v>1.4622291267235719</v>
      </c>
      <c r="E138" s="184">
        <f t="shared" ca="1" si="19"/>
        <v>248.57895154300729</v>
      </c>
      <c r="F138" s="184">
        <f t="shared" ca="1" si="20"/>
        <v>2.2853422726417167</v>
      </c>
      <c r="G138" s="184"/>
      <c r="H138" s="224"/>
      <c r="I138" s="224"/>
    </row>
    <row r="139" spans="1:9" x14ac:dyDescent="0.25">
      <c r="A139" s="360"/>
      <c r="B139" s="183" t="s">
        <v>225</v>
      </c>
      <c r="C139" s="184">
        <f t="shared" ca="1" si="22"/>
        <v>248.57895154300729</v>
      </c>
      <c r="D139" s="184">
        <f t="shared" ca="1" si="24"/>
        <v>1.4622291267235719</v>
      </c>
      <c r="E139" s="184">
        <f t="shared" ca="1" si="19"/>
        <v>247.11672241628372</v>
      </c>
      <c r="F139" s="184">
        <f t="shared" ca="1" si="20"/>
        <v>2.2719385056467503</v>
      </c>
      <c r="G139" s="184"/>
      <c r="H139" s="224"/>
      <c r="I139" s="224"/>
    </row>
    <row r="140" spans="1:9" x14ac:dyDescent="0.25">
      <c r="A140" s="360"/>
      <c r="B140" s="183" t="s">
        <v>226</v>
      </c>
      <c r="C140" s="184">
        <f t="shared" ca="1" si="22"/>
        <v>247.11672241628372</v>
      </c>
      <c r="D140" s="184">
        <f t="shared" ca="1" si="24"/>
        <v>1.4622291267235719</v>
      </c>
      <c r="E140" s="184">
        <f t="shared" ca="1" si="19"/>
        <v>245.65449328956015</v>
      </c>
      <c r="F140" s="184">
        <f t="shared" ca="1" si="20"/>
        <v>2.2585347386517847</v>
      </c>
      <c r="G140" s="184"/>
      <c r="H140" s="224"/>
      <c r="I140" s="224"/>
    </row>
    <row r="141" spans="1:9" x14ac:dyDescent="0.25">
      <c r="A141" s="360">
        <f>A128+1</f>
        <v>7</v>
      </c>
      <c r="B141" s="177" t="s">
        <v>238</v>
      </c>
      <c r="C141" s="178"/>
      <c r="D141" s="177"/>
      <c r="E141" s="178"/>
      <c r="F141" s="178"/>
      <c r="G141" s="178"/>
      <c r="H141" s="221"/>
      <c r="I141" s="221">
        <v>0.05</v>
      </c>
    </row>
    <row r="142" spans="1:9" x14ac:dyDescent="0.25">
      <c r="A142" s="360"/>
      <c r="B142" s="179" t="s">
        <v>214</v>
      </c>
      <c r="C142" s="180">
        <f ca="1">E140</f>
        <v>245.65449328956015</v>
      </c>
      <c r="D142" s="180">
        <f ca="1">$C$21*$I$141/12</f>
        <v>1.4622291267235719</v>
      </c>
      <c r="E142" s="180">
        <f t="shared" ca="1" si="19"/>
        <v>244.19226416283658</v>
      </c>
      <c r="F142" s="180">
        <f t="shared" ca="1" si="20"/>
        <v>2.2451309716568182</v>
      </c>
      <c r="G142" s="180"/>
      <c r="H142" s="222"/>
      <c r="I142" s="222"/>
    </row>
    <row r="143" spans="1:9" x14ac:dyDescent="0.25">
      <c r="A143" s="360"/>
      <c r="B143" s="179" t="s">
        <v>215</v>
      </c>
      <c r="C143" s="180">
        <f t="shared" ca="1" si="22"/>
        <v>244.19226416283658</v>
      </c>
      <c r="D143" s="180">
        <f t="shared" ref="D143:D153" ca="1" si="25">$C$21*$I$141/12</f>
        <v>1.4622291267235719</v>
      </c>
      <c r="E143" s="180">
        <f t="shared" ca="1" si="19"/>
        <v>242.73003503611301</v>
      </c>
      <c r="F143" s="180">
        <f t="shared" ca="1" si="20"/>
        <v>2.2317272046618521</v>
      </c>
      <c r="G143" s="180"/>
      <c r="H143" s="222"/>
      <c r="I143" s="222"/>
    </row>
    <row r="144" spans="1:9" x14ac:dyDescent="0.25">
      <c r="A144" s="360"/>
      <c r="B144" s="179" t="s">
        <v>216</v>
      </c>
      <c r="C144" s="180">
        <f t="shared" ca="1" si="22"/>
        <v>242.73003503611301</v>
      </c>
      <c r="D144" s="180">
        <f t="shared" ca="1" si="25"/>
        <v>1.4622291267235719</v>
      </c>
      <c r="E144" s="180">
        <f t="shared" ca="1" si="19"/>
        <v>241.26780590938944</v>
      </c>
      <c r="F144" s="180">
        <f t="shared" ca="1" si="20"/>
        <v>2.2183234376668861</v>
      </c>
      <c r="G144" s="180"/>
      <c r="H144" s="222"/>
      <c r="I144" s="222"/>
    </row>
    <row r="145" spans="1:9" x14ac:dyDescent="0.25">
      <c r="A145" s="360"/>
      <c r="B145" s="179" t="s">
        <v>217</v>
      </c>
      <c r="C145" s="180">
        <f t="shared" ca="1" si="22"/>
        <v>241.26780590938944</v>
      </c>
      <c r="D145" s="180">
        <f t="shared" ca="1" si="25"/>
        <v>1.4622291267235719</v>
      </c>
      <c r="E145" s="180">
        <f t="shared" ca="1" si="19"/>
        <v>239.80557678266587</v>
      </c>
      <c r="F145" s="180">
        <f t="shared" ca="1" si="20"/>
        <v>2.2049196706719201</v>
      </c>
      <c r="G145" s="180"/>
      <c r="H145" s="222"/>
      <c r="I145" s="222"/>
    </row>
    <row r="146" spans="1:9" x14ac:dyDescent="0.25">
      <c r="A146" s="360"/>
      <c r="B146" s="179" t="s">
        <v>218</v>
      </c>
      <c r="C146" s="180">
        <f t="shared" ca="1" si="22"/>
        <v>239.80557678266587</v>
      </c>
      <c r="D146" s="180">
        <f t="shared" ca="1" si="25"/>
        <v>1.4622291267235719</v>
      </c>
      <c r="E146" s="180">
        <f t="shared" ca="1" si="19"/>
        <v>238.3433476559423</v>
      </c>
      <c r="F146" s="180">
        <f t="shared" ca="1" si="20"/>
        <v>2.191515903676954</v>
      </c>
      <c r="G146" s="180"/>
      <c r="H146" s="222"/>
      <c r="I146" s="222"/>
    </row>
    <row r="147" spans="1:9" x14ac:dyDescent="0.25">
      <c r="A147" s="360"/>
      <c r="B147" s="179" t="s">
        <v>219</v>
      </c>
      <c r="C147" s="180">
        <f t="shared" ca="1" si="22"/>
        <v>238.3433476559423</v>
      </c>
      <c r="D147" s="180">
        <f t="shared" ca="1" si="25"/>
        <v>1.4622291267235719</v>
      </c>
      <c r="E147" s="180">
        <f t="shared" ca="1" si="19"/>
        <v>236.88111852921872</v>
      </c>
      <c r="F147" s="180">
        <f t="shared" ca="1" si="20"/>
        <v>2.178112136681988</v>
      </c>
      <c r="G147" s="180"/>
      <c r="H147" s="222"/>
      <c r="I147" s="222"/>
    </row>
    <row r="148" spans="1:9" x14ac:dyDescent="0.25">
      <c r="A148" s="360"/>
      <c r="B148" s="179" t="s">
        <v>220</v>
      </c>
      <c r="C148" s="180">
        <f t="shared" ca="1" si="22"/>
        <v>236.88111852921872</v>
      </c>
      <c r="D148" s="180">
        <f t="shared" ca="1" si="25"/>
        <v>1.4622291267235719</v>
      </c>
      <c r="E148" s="180">
        <f t="shared" ca="1" si="19"/>
        <v>235.41888940249515</v>
      </c>
      <c r="F148" s="180">
        <f t="shared" ca="1" si="20"/>
        <v>2.164708369687022</v>
      </c>
      <c r="G148" s="180"/>
      <c r="H148" s="222"/>
      <c r="I148" s="222"/>
    </row>
    <row r="149" spans="1:9" x14ac:dyDescent="0.25">
      <c r="A149" s="360"/>
      <c r="B149" s="179" t="s">
        <v>221</v>
      </c>
      <c r="C149" s="180">
        <f t="shared" ca="1" si="22"/>
        <v>235.41888940249515</v>
      </c>
      <c r="D149" s="180">
        <f t="shared" ca="1" si="25"/>
        <v>1.4622291267235719</v>
      </c>
      <c r="E149" s="180">
        <f t="shared" ca="1" si="19"/>
        <v>233.95666027577158</v>
      </c>
      <c r="F149" s="180">
        <f t="shared" ca="1" si="20"/>
        <v>2.1513046026920559</v>
      </c>
      <c r="G149" s="180"/>
      <c r="H149" s="222"/>
      <c r="I149" s="222"/>
    </row>
    <row r="150" spans="1:9" x14ac:dyDescent="0.25">
      <c r="A150" s="360"/>
      <c r="B150" s="179" t="s">
        <v>222</v>
      </c>
      <c r="C150" s="180">
        <f t="shared" ca="1" si="22"/>
        <v>233.95666027577158</v>
      </c>
      <c r="D150" s="180">
        <f t="shared" ca="1" si="25"/>
        <v>1.4622291267235719</v>
      </c>
      <c r="E150" s="180">
        <f t="shared" ca="1" si="19"/>
        <v>232.49443114904801</v>
      </c>
      <c r="F150" s="180">
        <f t="shared" ca="1" si="20"/>
        <v>2.1379008356970899</v>
      </c>
      <c r="G150" s="180"/>
      <c r="H150" s="222"/>
      <c r="I150" s="222"/>
    </row>
    <row r="151" spans="1:9" x14ac:dyDescent="0.25">
      <c r="A151" s="360"/>
      <c r="B151" s="179" t="s">
        <v>224</v>
      </c>
      <c r="C151" s="180">
        <f t="shared" ca="1" si="22"/>
        <v>232.49443114904801</v>
      </c>
      <c r="D151" s="180">
        <f t="shared" ca="1" si="25"/>
        <v>1.4622291267235719</v>
      </c>
      <c r="E151" s="180">
        <f t="shared" ca="1" si="19"/>
        <v>231.03220202232444</v>
      </c>
      <c r="F151" s="180">
        <f t="shared" ca="1" si="20"/>
        <v>2.1244970687021238</v>
      </c>
      <c r="G151" s="180"/>
      <c r="H151" s="222"/>
      <c r="I151" s="222"/>
    </row>
    <row r="152" spans="1:9" x14ac:dyDescent="0.25">
      <c r="A152" s="360"/>
      <c r="B152" s="179" t="s">
        <v>225</v>
      </c>
      <c r="C152" s="180">
        <f t="shared" ca="1" si="22"/>
        <v>231.03220202232444</v>
      </c>
      <c r="D152" s="180">
        <f t="shared" ca="1" si="25"/>
        <v>1.4622291267235719</v>
      </c>
      <c r="E152" s="180">
        <f t="shared" ca="1" si="19"/>
        <v>229.56997289560087</v>
      </c>
      <c r="F152" s="180">
        <f t="shared" ca="1" si="20"/>
        <v>2.1110933017071578</v>
      </c>
      <c r="G152" s="180"/>
      <c r="H152" s="222"/>
      <c r="I152" s="222"/>
    </row>
    <row r="153" spans="1:9" x14ac:dyDescent="0.25">
      <c r="A153" s="360"/>
      <c r="B153" s="179" t="s">
        <v>226</v>
      </c>
      <c r="C153" s="180">
        <f t="shared" ca="1" si="22"/>
        <v>229.56997289560087</v>
      </c>
      <c r="D153" s="180">
        <f t="shared" ca="1" si="25"/>
        <v>1.4622291267235719</v>
      </c>
      <c r="E153" s="180">
        <f t="shared" ca="1" si="19"/>
        <v>228.1077437688773</v>
      </c>
      <c r="F153" s="180">
        <f t="shared" ca="1" si="20"/>
        <v>2.0976895347121913</v>
      </c>
      <c r="G153" s="180"/>
      <c r="H153" s="222"/>
      <c r="I153" s="222"/>
    </row>
    <row r="154" spans="1:9" x14ac:dyDescent="0.25">
      <c r="A154" s="360">
        <f>A141+1</f>
        <v>8</v>
      </c>
      <c r="B154" s="189" t="s">
        <v>239</v>
      </c>
      <c r="C154" s="190"/>
      <c r="D154" s="189"/>
      <c r="E154" s="190"/>
      <c r="F154" s="190"/>
      <c r="G154" s="190"/>
      <c r="H154" s="227"/>
      <c r="I154" s="227">
        <v>0.05</v>
      </c>
    </row>
    <row r="155" spans="1:9" x14ac:dyDescent="0.25">
      <c r="A155" s="360"/>
      <c r="B155" s="191" t="s">
        <v>214</v>
      </c>
      <c r="C155" s="192">
        <f ca="1">E153</f>
        <v>228.1077437688773</v>
      </c>
      <c r="D155" s="192">
        <f ca="1">$C$21*$I$154/12</f>
        <v>1.4622291267235719</v>
      </c>
      <c r="E155" s="192">
        <f t="shared" ca="1" si="19"/>
        <v>226.64551464215373</v>
      </c>
      <c r="F155" s="192">
        <f t="shared" ca="1" si="20"/>
        <v>2.0842857677172257</v>
      </c>
      <c r="G155" s="192"/>
      <c r="H155" s="228"/>
      <c r="I155" s="228"/>
    </row>
    <row r="156" spans="1:9" x14ac:dyDescent="0.25">
      <c r="A156" s="360"/>
      <c r="B156" s="191" t="s">
        <v>215</v>
      </c>
      <c r="C156" s="192">
        <f t="shared" ref="C156:C166" ca="1" si="26">E155</f>
        <v>226.64551464215373</v>
      </c>
      <c r="D156" s="192">
        <f t="shared" ref="D156:D166" ca="1" si="27">$C$21*$I$154/12</f>
        <v>1.4622291267235719</v>
      </c>
      <c r="E156" s="192">
        <f t="shared" ca="1" si="19"/>
        <v>225.18328551543016</v>
      </c>
      <c r="F156" s="192">
        <f t="shared" ca="1" si="20"/>
        <v>2.0708820007222593</v>
      </c>
      <c r="G156" s="192"/>
      <c r="H156" s="228"/>
      <c r="I156" s="228"/>
    </row>
    <row r="157" spans="1:9" x14ac:dyDescent="0.25">
      <c r="A157" s="360"/>
      <c r="B157" s="191" t="s">
        <v>216</v>
      </c>
      <c r="C157" s="192">
        <f t="shared" ca="1" si="26"/>
        <v>225.18328551543016</v>
      </c>
      <c r="D157" s="192">
        <f t="shared" ca="1" si="27"/>
        <v>1.4622291267235719</v>
      </c>
      <c r="E157" s="192">
        <f t="shared" ca="1" si="19"/>
        <v>223.72105638870659</v>
      </c>
      <c r="F157" s="192">
        <f t="shared" ca="1" si="20"/>
        <v>2.0574782337272937</v>
      </c>
      <c r="G157" s="192"/>
      <c r="H157" s="228"/>
      <c r="I157" s="228"/>
    </row>
    <row r="158" spans="1:9" x14ac:dyDescent="0.25">
      <c r="A158" s="360"/>
      <c r="B158" s="191" t="s">
        <v>217</v>
      </c>
      <c r="C158" s="192">
        <f t="shared" ca="1" si="26"/>
        <v>223.72105638870659</v>
      </c>
      <c r="D158" s="192">
        <f t="shared" ca="1" si="27"/>
        <v>1.4622291267235719</v>
      </c>
      <c r="E158" s="192">
        <f t="shared" ref="E158:E166" ca="1" si="28">C158-D158</f>
        <v>222.25882726198301</v>
      </c>
      <c r="F158" s="192">
        <f t="shared" ca="1" si="20"/>
        <v>2.0440744667323272</v>
      </c>
      <c r="G158" s="192"/>
      <c r="H158" s="228"/>
      <c r="I158" s="228"/>
    </row>
    <row r="159" spans="1:9" x14ac:dyDescent="0.25">
      <c r="A159" s="360"/>
      <c r="B159" s="191" t="s">
        <v>218</v>
      </c>
      <c r="C159" s="192">
        <f t="shared" ca="1" si="26"/>
        <v>222.25882726198301</v>
      </c>
      <c r="D159" s="192">
        <f t="shared" ca="1" si="27"/>
        <v>1.4622291267235719</v>
      </c>
      <c r="E159" s="192">
        <f t="shared" ca="1" si="28"/>
        <v>220.79659813525944</v>
      </c>
      <c r="F159" s="192">
        <f t="shared" ca="1" si="20"/>
        <v>2.0306706997373611</v>
      </c>
      <c r="G159" s="192"/>
      <c r="H159" s="228"/>
      <c r="I159" s="228"/>
    </row>
    <row r="160" spans="1:9" x14ac:dyDescent="0.25">
      <c r="A160" s="360"/>
      <c r="B160" s="191" t="s">
        <v>219</v>
      </c>
      <c r="C160" s="192">
        <f t="shared" ca="1" si="26"/>
        <v>220.79659813525944</v>
      </c>
      <c r="D160" s="192">
        <f t="shared" ca="1" si="27"/>
        <v>1.4622291267235719</v>
      </c>
      <c r="E160" s="192">
        <f t="shared" ca="1" si="28"/>
        <v>219.33436900853587</v>
      </c>
      <c r="F160" s="192">
        <f t="shared" ca="1" si="20"/>
        <v>2.0172669327423951</v>
      </c>
      <c r="G160" s="192"/>
      <c r="H160" s="228"/>
      <c r="I160" s="228"/>
    </row>
    <row r="161" spans="1:9" x14ac:dyDescent="0.25">
      <c r="A161" s="360"/>
      <c r="B161" s="191" t="s">
        <v>220</v>
      </c>
      <c r="C161" s="192">
        <f t="shared" ca="1" si="26"/>
        <v>219.33436900853587</v>
      </c>
      <c r="D161" s="192">
        <f t="shared" ca="1" si="27"/>
        <v>1.4622291267235719</v>
      </c>
      <c r="E161" s="192">
        <f t="shared" ca="1" si="28"/>
        <v>217.8721398818123</v>
      </c>
      <c r="F161" s="192">
        <f t="shared" ca="1" si="20"/>
        <v>2.0038631657474291</v>
      </c>
      <c r="G161" s="192"/>
      <c r="H161" s="228"/>
      <c r="I161" s="228"/>
    </row>
    <row r="162" spans="1:9" x14ac:dyDescent="0.25">
      <c r="A162" s="360"/>
      <c r="B162" s="191" t="s">
        <v>221</v>
      </c>
      <c r="C162" s="192">
        <f t="shared" ca="1" si="26"/>
        <v>217.8721398818123</v>
      </c>
      <c r="D162" s="192">
        <f t="shared" ca="1" si="27"/>
        <v>1.4622291267235719</v>
      </c>
      <c r="E162" s="192">
        <f t="shared" ca="1" si="28"/>
        <v>216.40991075508873</v>
      </c>
      <c r="F162" s="192">
        <f t="shared" ca="1" si="20"/>
        <v>1.9904593987524632</v>
      </c>
      <c r="G162" s="192"/>
      <c r="H162" s="228"/>
      <c r="I162" s="228"/>
    </row>
    <row r="163" spans="1:9" x14ac:dyDescent="0.25">
      <c r="A163" s="360"/>
      <c r="B163" s="191" t="s">
        <v>222</v>
      </c>
      <c r="C163" s="192">
        <f t="shared" ca="1" si="26"/>
        <v>216.40991075508873</v>
      </c>
      <c r="D163" s="192">
        <f t="shared" ca="1" si="27"/>
        <v>1.4622291267235719</v>
      </c>
      <c r="E163" s="192">
        <f t="shared" ca="1" si="28"/>
        <v>214.94768162836516</v>
      </c>
      <c r="F163" s="192">
        <f t="shared" ca="1" si="20"/>
        <v>1.977055631757497</v>
      </c>
      <c r="G163" s="192"/>
      <c r="H163" s="228"/>
      <c r="I163" s="228"/>
    </row>
    <row r="164" spans="1:9" x14ac:dyDescent="0.25">
      <c r="A164" s="360"/>
      <c r="B164" s="191" t="s">
        <v>224</v>
      </c>
      <c r="C164" s="192">
        <f t="shared" ca="1" si="26"/>
        <v>214.94768162836516</v>
      </c>
      <c r="D164" s="192">
        <f t="shared" ca="1" si="27"/>
        <v>1.4622291267235719</v>
      </c>
      <c r="E164" s="192">
        <f t="shared" ca="1" si="28"/>
        <v>213.48545250164159</v>
      </c>
      <c r="F164" s="192">
        <f t="shared" ca="1" si="20"/>
        <v>1.9636518647625307</v>
      </c>
      <c r="G164" s="192"/>
      <c r="H164" s="228"/>
      <c r="I164" s="228"/>
    </row>
    <row r="165" spans="1:9" x14ac:dyDescent="0.25">
      <c r="A165" s="360"/>
      <c r="B165" s="191" t="s">
        <v>225</v>
      </c>
      <c r="C165" s="192">
        <f t="shared" ca="1" si="26"/>
        <v>213.48545250164159</v>
      </c>
      <c r="D165" s="192">
        <f t="shared" ca="1" si="27"/>
        <v>1.4622291267235719</v>
      </c>
      <c r="E165" s="192">
        <f t="shared" ca="1" si="28"/>
        <v>212.02322337491802</v>
      </c>
      <c r="F165" s="192">
        <f t="shared" ca="1" si="20"/>
        <v>1.9502480977675649</v>
      </c>
      <c r="G165" s="192"/>
      <c r="H165" s="228"/>
      <c r="I165" s="228"/>
    </row>
    <row r="166" spans="1:9" x14ac:dyDescent="0.25">
      <c r="A166" s="360"/>
      <c r="B166" s="191" t="s">
        <v>226</v>
      </c>
      <c r="C166" s="192">
        <f t="shared" ca="1" si="26"/>
        <v>212.02322337491802</v>
      </c>
      <c r="D166" s="192">
        <f t="shared" ca="1" si="27"/>
        <v>1.4622291267235719</v>
      </c>
      <c r="E166" s="192">
        <f t="shared" ca="1" si="28"/>
        <v>210.56099424819445</v>
      </c>
      <c r="F166" s="192">
        <f t="shared" ca="1" si="20"/>
        <v>1.9368443307725987</v>
      </c>
      <c r="G166" s="192"/>
      <c r="H166" s="228"/>
      <c r="I166" s="228"/>
    </row>
    <row r="167" spans="1:9" x14ac:dyDescent="0.25">
      <c r="A167" s="360">
        <f>A154+1</f>
        <v>9</v>
      </c>
      <c r="B167" s="177" t="s">
        <v>240</v>
      </c>
      <c r="C167" s="178"/>
      <c r="D167" s="177"/>
      <c r="E167" s="178"/>
      <c r="F167" s="178"/>
      <c r="G167" s="178"/>
      <c r="H167" s="221"/>
      <c r="I167" s="221">
        <v>0.05</v>
      </c>
    </row>
    <row r="168" spans="1:9" x14ac:dyDescent="0.25">
      <c r="A168" s="360"/>
      <c r="B168" s="179" t="s">
        <v>214</v>
      </c>
      <c r="C168" s="180">
        <f ca="1">E166</f>
        <v>210.56099424819445</v>
      </c>
      <c r="D168" s="180">
        <f ca="1">$C$21*$I$167/12</f>
        <v>1.4622291267235719</v>
      </c>
      <c r="E168" s="180">
        <f t="shared" ref="E168:E179" ca="1" si="29">C168-D168</f>
        <v>209.09876512147088</v>
      </c>
      <c r="F168" s="180">
        <f t="shared" ref="F168:F179" ca="1" si="30">AVERAGE(C168,E168)*$C$22/12</f>
        <v>1.9234405637776328</v>
      </c>
      <c r="G168" s="180"/>
      <c r="H168" s="222"/>
      <c r="I168" s="222"/>
    </row>
    <row r="169" spans="1:9" x14ac:dyDescent="0.25">
      <c r="A169" s="360"/>
      <c r="B169" s="179" t="s">
        <v>215</v>
      </c>
      <c r="C169" s="180">
        <f t="shared" ref="C169:C179" ca="1" si="31">E168</f>
        <v>209.09876512147088</v>
      </c>
      <c r="D169" s="180">
        <f t="shared" ref="D169:D179" ca="1" si="32">$C$21*$I$167/12</f>
        <v>1.4622291267235719</v>
      </c>
      <c r="E169" s="180">
        <f t="shared" ca="1" si="29"/>
        <v>207.63653599474731</v>
      </c>
      <c r="F169" s="180">
        <f t="shared" ca="1" si="30"/>
        <v>1.9100367967826666</v>
      </c>
      <c r="G169" s="180"/>
      <c r="H169" s="222"/>
      <c r="I169" s="222"/>
    </row>
    <row r="170" spans="1:9" x14ac:dyDescent="0.25">
      <c r="A170" s="360"/>
      <c r="B170" s="179" t="s">
        <v>216</v>
      </c>
      <c r="C170" s="180">
        <f t="shared" ca="1" si="31"/>
        <v>207.63653599474731</v>
      </c>
      <c r="D170" s="180">
        <f t="shared" ca="1" si="32"/>
        <v>1.4622291267235719</v>
      </c>
      <c r="E170" s="180">
        <f t="shared" ca="1" si="29"/>
        <v>206.17430686802373</v>
      </c>
      <c r="F170" s="180">
        <f t="shared" ca="1" si="30"/>
        <v>1.8966330297877005</v>
      </c>
      <c r="G170" s="180"/>
      <c r="H170" s="222"/>
      <c r="I170" s="222"/>
    </row>
    <row r="171" spans="1:9" x14ac:dyDescent="0.25">
      <c r="A171" s="360"/>
      <c r="B171" s="179" t="s">
        <v>217</v>
      </c>
      <c r="C171" s="180">
        <f t="shared" ca="1" si="31"/>
        <v>206.17430686802373</v>
      </c>
      <c r="D171" s="180">
        <f t="shared" ca="1" si="32"/>
        <v>1.4622291267235719</v>
      </c>
      <c r="E171" s="180">
        <f t="shared" ca="1" si="29"/>
        <v>204.71207774130016</v>
      </c>
      <c r="F171" s="180">
        <f t="shared" ca="1" si="30"/>
        <v>1.8832292627927345</v>
      </c>
      <c r="G171" s="180"/>
      <c r="H171" s="222"/>
      <c r="I171" s="222"/>
    </row>
    <row r="172" spans="1:9" x14ac:dyDescent="0.25">
      <c r="A172" s="360"/>
      <c r="B172" s="179" t="s">
        <v>218</v>
      </c>
      <c r="C172" s="180">
        <f t="shared" ca="1" si="31"/>
        <v>204.71207774130016</v>
      </c>
      <c r="D172" s="180">
        <f t="shared" ca="1" si="32"/>
        <v>1.4622291267235719</v>
      </c>
      <c r="E172" s="180">
        <f t="shared" ca="1" si="29"/>
        <v>203.24984861457659</v>
      </c>
      <c r="F172" s="180">
        <f t="shared" ca="1" si="30"/>
        <v>1.8698254957977685</v>
      </c>
      <c r="G172" s="180"/>
      <c r="H172" s="222"/>
      <c r="I172" s="222"/>
    </row>
    <row r="173" spans="1:9" x14ac:dyDescent="0.25">
      <c r="A173" s="360"/>
      <c r="B173" s="179" t="s">
        <v>219</v>
      </c>
      <c r="C173" s="180">
        <f t="shared" ca="1" si="31"/>
        <v>203.24984861457659</v>
      </c>
      <c r="D173" s="180">
        <f t="shared" ca="1" si="32"/>
        <v>1.4622291267235719</v>
      </c>
      <c r="E173" s="180">
        <f t="shared" ca="1" si="29"/>
        <v>201.78761948785302</v>
      </c>
      <c r="F173" s="180">
        <f t="shared" ca="1" si="30"/>
        <v>1.8564217288028024</v>
      </c>
      <c r="G173" s="180"/>
      <c r="H173" s="222"/>
      <c r="I173" s="222"/>
    </row>
    <row r="174" spans="1:9" x14ac:dyDescent="0.25">
      <c r="A174" s="360"/>
      <c r="B174" s="179" t="s">
        <v>220</v>
      </c>
      <c r="C174" s="180">
        <f t="shared" ca="1" si="31"/>
        <v>201.78761948785302</v>
      </c>
      <c r="D174" s="180">
        <f t="shared" ca="1" si="32"/>
        <v>1.4622291267235719</v>
      </c>
      <c r="E174" s="180">
        <f t="shared" ca="1" si="29"/>
        <v>200.32539036112945</v>
      </c>
      <c r="F174" s="180">
        <f t="shared" ca="1" si="30"/>
        <v>1.8430179618078364</v>
      </c>
      <c r="G174" s="180"/>
      <c r="H174" s="222"/>
      <c r="I174" s="222"/>
    </row>
    <row r="175" spans="1:9" x14ac:dyDescent="0.25">
      <c r="A175" s="360"/>
      <c r="B175" s="179" t="s">
        <v>221</v>
      </c>
      <c r="C175" s="180">
        <f t="shared" ca="1" si="31"/>
        <v>200.32539036112945</v>
      </c>
      <c r="D175" s="180">
        <f t="shared" ca="1" si="32"/>
        <v>1.4622291267235719</v>
      </c>
      <c r="E175" s="180">
        <f t="shared" ca="1" si="29"/>
        <v>198.86316123440588</v>
      </c>
      <c r="F175" s="180">
        <f t="shared" ca="1" si="30"/>
        <v>1.8296141948128701</v>
      </c>
      <c r="G175" s="180"/>
      <c r="H175" s="222"/>
      <c r="I175" s="222"/>
    </row>
    <row r="176" spans="1:9" x14ac:dyDescent="0.25">
      <c r="A176" s="360"/>
      <c r="B176" s="179" t="s">
        <v>222</v>
      </c>
      <c r="C176" s="180">
        <f t="shared" ca="1" si="31"/>
        <v>198.86316123440588</v>
      </c>
      <c r="D176" s="180">
        <f t="shared" ca="1" si="32"/>
        <v>1.4622291267235719</v>
      </c>
      <c r="E176" s="180">
        <f t="shared" ca="1" si="29"/>
        <v>197.40093210768231</v>
      </c>
      <c r="F176" s="180">
        <f t="shared" ca="1" si="30"/>
        <v>1.8162104278179043</v>
      </c>
      <c r="G176" s="180"/>
      <c r="H176" s="222"/>
      <c r="I176" s="222"/>
    </row>
    <row r="177" spans="1:9" x14ac:dyDescent="0.25">
      <c r="A177" s="360"/>
      <c r="B177" s="179" t="s">
        <v>224</v>
      </c>
      <c r="C177" s="180">
        <f t="shared" ca="1" si="31"/>
        <v>197.40093210768231</v>
      </c>
      <c r="D177" s="180">
        <f t="shared" ca="1" si="32"/>
        <v>1.4622291267235719</v>
      </c>
      <c r="E177" s="180">
        <f t="shared" ca="1" si="29"/>
        <v>195.93870298095874</v>
      </c>
      <c r="F177" s="180">
        <f t="shared" ca="1" si="30"/>
        <v>1.8028066608229381</v>
      </c>
      <c r="G177" s="180"/>
      <c r="H177" s="222"/>
      <c r="I177" s="222"/>
    </row>
    <row r="178" spans="1:9" x14ac:dyDescent="0.25">
      <c r="A178" s="360"/>
      <c r="B178" s="179" t="s">
        <v>225</v>
      </c>
      <c r="C178" s="180">
        <f t="shared" ca="1" si="31"/>
        <v>195.93870298095874</v>
      </c>
      <c r="D178" s="180">
        <f t="shared" ca="1" si="32"/>
        <v>1.4622291267235719</v>
      </c>
      <c r="E178" s="180">
        <f t="shared" ca="1" si="29"/>
        <v>194.47647385423517</v>
      </c>
      <c r="F178" s="180">
        <f t="shared" ca="1" si="30"/>
        <v>1.7894028938279722</v>
      </c>
      <c r="G178" s="180"/>
      <c r="H178" s="222"/>
      <c r="I178" s="222"/>
    </row>
    <row r="179" spans="1:9" x14ac:dyDescent="0.25">
      <c r="A179" s="360"/>
      <c r="B179" s="179" t="s">
        <v>226</v>
      </c>
      <c r="C179" s="180">
        <f t="shared" ca="1" si="31"/>
        <v>194.47647385423517</v>
      </c>
      <c r="D179" s="180">
        <f t="shared" ca="1" si="32"/>
        <v>1.4622291267235719</v>
      </c>
      <c r="E179" s="180">
        <f t="shared" ca="1" si="29"/>
        <v>193.0142447275116</v>
      </c>
      <c r="F179" s="180">
        <f t="shared" ca="1" si="30"/>
        <v>1.775999126833006</v>
      </c>
      <c r="G179" s="180"/>
      <c r="H179" s="222"/>
      <c r="I179" s="222"/>
    </row>
    <row r="180" spans="1:9" x14ac:dyDescent="0.25">
      <c r="A180" s="360">
        <f>A167+1</f>
        <v>10</v>
      </c>
      <c r="B180" s="100" t="s">
        <v>241</v>
      </c>
      <c r="C180" s="101"/>
      <c r="D180" s="100"/>
      <c r="E180" s="101"/>
      <c r="F180" s="101"/>
      <c r="G180" s="101"/>
      <c r="H180" s="229"/>
      <c r="I180" s="229">
        <v>0.05</v>
      </c>
    </row>
    <row r="181" spans="1:9" x14ac:dyDescent="0.25">
      <c r="A181" s="360"/>
      <c r="B181" s="84" t="s">
        <v>214</v>
      </c>
      <c r="C181" s="85">
        <f ca="1">E179</f>
        <v>193.0142447275116</v>
      </c>
      <c r="D181" s="85">
        <f ca="1">$C$21*$I$180/12</f>
        <v>1.4622291267235719</v>
      </c>
      <c r="E181" s="85">
        <f t="shared" ref="E181:E192" ca="1" si="33">C181-D181</f>
        <v>191.55201560078802</v>
      </c>
      <c r="F181" s="85">
        <f t="shared" ref="F181:F192" ca="1" si="34">AVERAGE(C181,E181)*$C$22/12</f>
        <v>1.7625953598380397</v>
      </c>
      <c r="G181" s="85"/>
      <c r="H181" s="230"/>
      <c r="I181" s="230"/>
    </row>
    <row r="182" spans="1:9" x14ac:dyDescent="0.25">
      <c r="A182" s="360"/>
      <c r="B182" s="84" t="s">
        <v>215</v>
      </c>
      <c r="C182" s="85">
        <f t="shared" ref="C182:C192" ca="1" si="35">E181</f>
        <v>191.55201560078802</v>
      </c>
      <c r="D182" s="85">
        <f t="shared" ref="D182:D192" ca="1" si="36">$C$21*$I$180/12</f>
        <v>1.4622291267235719</v>
      </c>
      <c r="E182" s="85">
        <f t="shared" ca="1" si="33"/>
        <v>190.08978647406445</v>
      </c>
      <c r="F182" s="85">
        <f t="shared" ca="1" si="34"/>
        <v>1.7491915928430739</v>
      </c>
      <c r="G182" s="85"/>
      <c r="H182" s="230"/>
      <c r="I182" s="230"/>
    </row>
    <row r="183" spans="1:9" x14ac:dyDescent="0.25">
      <c r="A183" s="360"/>
      <c r="B183" s="84" t="s">
        <v>216</v>
      </c>
      <c r="C183" s="85">
        <f t="shared" ca="1" si="35"/>
        <v>190.08978647406445</v>
      </c>
      <c r="D183" s="85">
        <f t="shared" ca="1" si="36"/>
        <v>1.4622291267235719</v>
      </c>
      <c r="E183" s="85">
        <f t="shared" ca="1" si="33"/>
        <v>188.62755734734088</v>
      </c>
      <c r="F183" s="85">
        <f t="shared" ca="1" si="34"/>
        <v>1.7357878258481076</v>
      </c>
      <c r="G183" s="85"/>
      <c r="H183" s="230"/>
      <c r="I183" s="230"/>
    </row>
    <row r="184" spans="1:9" x14ac:dyDescent="0.25">
      <c r="A184" s="360"/>
      <c r="B184" s="84" t="s">
        <v>217</v>
      </c>
      <c r="C184" s="85">
        <f t="shared" ca="1" si="35"/>
        <v>188.62755734734088</v>
      </c>
      <c r="D184" s="85">
        <f t="shared" ca="1" si="36"/>
        <v>1.4622291267235719</v>
      </c>
      <c r="E184" s="85">
        <f t="shared" ca="1" si="33"/>
        <v>187.16532822061731</v>
      </c>
      <c r="F184" s="85">
        <f t="shared" ca="1" si="34"/>
        <v>1.7223840588531418</v>
      </c>
      <c r="G184" s="85"/>
      <c r="H184" s="230"/>
      <c r="I184" s="230"/>
    </row>
    <row r="185" spans="1:9" x14ac:dyDescent="0.25">
      <c r="A185" s="360"/>
      <c r="B185" s="84" t="s">
        <v>218</v>
      </c>
      <c r="C185" s="85">
        <f t="shared" ca="1" si="35"/>
        <v>187.16532822061731</v>
      </c>
      <c r="D185" s="85">
        <f t="shared" ca="1" si="36"/>
        <v>1.4622291267235719</v>
      </c>
      <c r="E185" s="85">
        <f t="shared" ca="1" si="33"/>
        <v>185.70309909389374</v>
      </c>
      <c r="F185" s="85">
        <f t="shared" ca="1" si="34"/>
        <v>1.7089802918581756</v>
      </c>
      <c r="G185" s="85"/>
      <c r="H185" s="230"/>
      <c r="I185" s="230"/>
    </row>
    <row r="186" spans="1:9" x14ac:dyDescent="0.25">
      <c r="A186" s="360"/>
      <c r="B186" s="84" t="s">
        <v>219</v>
      </c>
      <c r="C186" s="85">
        <f t="shared" ca="1" si="35"/>
        <v>185.70309909389374</v>
      </c>
      <c r="D186" s="85">
        <f t="shared" ca="1" si="36"/>
        <v>1.4622291267235719</v>
      </c>
      <c r="E186" s="85">
        <f t="shared" ca="1" si="33"/>
        <v>184.24086996717017</v>
      </c>
      <c r="F186" s="85">
        <f t="shared" ca="1" si="34"/>
        <v>1.6955765248632095</v>
      </c>
      <c r="G186" s="85"/>
      <c r="H186" s="230"/>
      <c r="I186" s="230"/>
    </row>
    <row r="187" spans="1:9" x14ac:dyDescent="0.25">
      <c r="A187" s="360"/>
      <c r="B187" s="84" t="s">
        <v>220</v>
      </c>
      <c r="C187" s="85">
        <f t="shared" ca="1" si="35"/>
        <v>184.24086996717017</v>
      </c>
      <c r="D187" s="85">
        <f t="shared" ca="1" si="36"/>
        <v>1.4622291267235719</v>
      </c>
      <c r="E187" s="85">
        <f t="shared" ca="1" si="33"/>
        <v>182.7786408404466</v>
      </c>
      <c r="F187" s="85">
        <f t="shared" ca="1" si="34"/>
        <v>1.6821727578682435</v>
      </c>
      <c r="G187" s="85"/>
      <c r="H187" s="230"/>
      <c r="I187" s="230"/>
    </row>
    <row r="188" spans="1:9" x14ac:dyDescent="0.25">
      <c r="A188" s="360"/>
      <c r="B188" s="84" t="s">
        <v>221</v>
      </c>
      <c r="C188" s="85">
        <f t="shared" ca="1" si="35"/>
        <v>182.7786408404466</v>
      </c>
      <c r="D188" s="85">
        <f t="shared" ca="1" si="36"/>
        <v>1.4622291267235719</v>
      </c>
      <c r="E188" s="85">
        <f t="shared" ca="1" si="33"/>
        <v>181.31641171372303</v>
      </c>
      <c r="F188" s="85">
        <f t="shared" ca="1" si="34"/>
        <v>1.6687689908732775</v>
      </c>
      <c r="G188" s="85"/>
      <c r="H188" s="230"/>
      <c r="I188" s="230"/>
    </row>
    <row r="189" spans="1:9" x14ac:dyDescent="0.25">
      <c r="A189" s="360"/>
      <c r="B189" s="84" t="s">
        <v>222</v>
      </c>
      <c r="C189" s="85">
        <f t="shared" ca="1" si="35"/>
        <v>181.31641171372303</v>
      </c>
      <c r="D189" s="85">
        <f t="shared" ca="1" si="36"/>
        <v>1.4622291267235719</v>
      </c>
      <c r="E189" s="85">
        <f t="shared" ca="1" si="33"/>
        <v>179.85418258699946</v>
      </c>
      <c r="F189" s="85">
        <f t="shared" ca="1" si="34"/>
        <v>1.6553652238783114</v>
      </c>
      <c r="G189" s="85"/>
      <c r="H189" s="230"/>
      <c r="I189" s="230"/>
    </row>
    <row r="190" spans="1:9" x14ac:dyDescent="0.25">
      <c r="A190" s="360"/>
      <c r="B190" s="84" t="s">
        <v>224</v>
      </c>
      <c r="C190" s="85">
        <f t="shared" ca="1" si="35"/>
        <v>179.85418258699946</v>
      </c>
      <c r="D190" s="85">
        <f t="shared" ca="1" si="36"/>
        <v>1.4622291267235719</v>
      </c>
      <c r="E190" s="85">
        <f t="shared" ca="1" si="33"/>
        <v>178.39195346027589</v>
      </c>
      <c r="F190" s="85">
        <f t="shared" ca="1" si="34"/>
        <v>1.6419614568833454</v>
      </c>
      <c r="G190" s="85"/>
      <c r="H190" s="230"/>
      <c r="I190" s="230"/>
    </row>
    <row r="191" spans="1:9" x14ac:dyDescent="0.25">
      <c r="A191" s="360"/>
      <c r="B191" s="84" t="s">
        <v>225</v>
      </c>
      <c r="C191" s="85">
        <f t="shared" ca="1" si="35"/>
        <v>178.39195346027589</v>
      </c>
      <c r="D191" s="85">
        <f t="shared" ca="1" si="36"/>
        <v>1.4622291267235719</v>
      </c>
      <c r="E191" s="85">
        <f t="shared" ca="1" si="33"/>
        <v>176.92972433355231</v>
      </c>
      <c r="F191" s="85">
        <f t="shared" ca="1" si="34"/>
        <v>1.6285576898883791</v>
      </c>
      <c r="G191" s="85"/>
      <c r="H191" s="230"/>
      <c r="I191" s="230"/>
    </row>
    <row r="192" spans="1:9" x14ac:dyDescent="0.25">
      <c r="A192" s="360"/>
      <c r="B192" s="84" t="s">
        <v>226</v>
      </c>
      <c r="C192" s="85">
        <f t="shared" ca="1" si="35"/>
        <v>176.92972433355231</v>
      </c>
      <c r="D192" s="85">
        <f t="shared" ca="1" si="36"/>
        <v>1.4622291267235719</v>
      </c>
      <c r="E192" s="85">
        <f t="shared" ca="1" si="33"/>
        <v>175.46749520682874</v>
      </c>
      <c r="F192" s="85">
        <f t="shared" ca="1" si="34"/>
        <v>1.6151539228934133</v>
      </c>
      <c r="G192" s="85"/>
      <c r="H192" s="230"/>
      <c r="I192" s="230"/>
    </row>
    <row r="193" spans="1:9" x14ac:dyDescent="0.25">
      <c r="A193" s="360">
        <f>A180+1</f>
        <v>11</v>
      </c>
      <c r="B193" s="185" t="s">
        <v>242</v>
      </c>
      <c r="C193" s="186"/>
      <c r="D193" s="185"/>
      <c r="E193" s="186"/>
      <c r="F193" s="186"/>
      <c r="G193" s="186"/>
      <c r="H193" s="225"/>
      <c r="I193" s="225">
        <v>0.05</v>
      </c>
    </row>
    <row r="194" spans="1:9" x14ac:dyDescent="0.25">
      <c r="A194" s="360"/>
      <c r="B194" s="187" t="s">
        <v>214</v>
      </c>
      <c r="C194" s="188">
        <f ca="1">E192</f>
        <v>175.46749520682874</v>
      </c>
      <c r="D194" s="188">
        <f ca="1">$C$21*$I$193/12</f>
        <v>1.4622291267235719</v>
      </c>
      <c r="E194" s="188">
        <f t="shared" ref="E194:E205" ca="1" si="37">C194-D194</f>
        <v>174.00526608010517</v>
      </c>
      <c r="F194" s="188">
        <f t="shared" ref="F194:F205" ca="1" si="38">AVERAGE(C194,E194)*$C$22/12</f>
        <v>1.601750155898447</v>
      </c>
      <c r="G194" s="188"/>
      <c r="H194" s="226"/>
      <c r="I194" s="226"/>
    </row>
    <row r="195" spans="1:9" x14ac:dyDescent="0.25">
      <c r="A195" s="360"/>
      <c r="B195" s="187" t="s">
        <v>215</v>
      </c>
      <c r="C195" s="188">
        <f t="shared" ref="C195:C205" ca="1" si="39">E194</f>
        <v>174.00526608010517</v>
      </c>
      <c r="D195" s="188">
        <f t="shared" ref="D195:D205" ca="1" si="40">$C$21*$I$193/12</f>
        <v>1.4622291267235719</v>
      </c>
      <c r="E195" s="188">
        <f t="shared" ca="1" si="37"/>
        <v>172.5430369533816</v>
      </c>
      <c r="F195" s="188">
        <f t="shared" ca="1" si="38"/>
        <v>1.5883463889034812</v>
      </c>
      <c r="G195" s="188"/>
      <c r="H195" s="226"/>
      <c r="I195" s="226"/>
    </row>
    <row r="196" spans="1:9" x14ac:dyDescent="0.25">
      <c r="A196" s="360"/>
      <c r="B196" s="187" t="s">
        <v>216</v>
      </c>
      <c r="C196" s="188">
        <f t="shared" ca="1" si="39"/>
        <v>172.5430369533816</v>
      </c>
      <c r="D196" s="188">
        <f t="shared" ca="1" si="40"/>
        <v>1.4622291267235719</v>
      </c>
      <c r="E196" s="188">
        <f t="shared" ca="1" si="37"/>
        <v>171.08080782665803</v>
      </c>
      <c r="F196" s="188">
        <f t="shared" ca="1" si="38"/>
        <v>1.574942621908515</v>
      </c>
      <c r="G196" s="188"/>
      <c r="H196" s="226"/>
      <c r="I196" s="226"/>
    </row>
    <row r="197" spans="1:9" x14ac:dyDescent="0.25">
      <c r="A197" s="360"/>
      <c r="B197" s="187" t="s">
        <v>217</v>
      </c>
      <c r="C197" s="188">
        <f t="shared" ca="1" si="39"/>
        <v>171.08080782665803</v>
      </c>
      <c r="D197" s="188">
        <f t="shared" ca="1" si="40"/>
        <v>1.4622291267235719</v>
      </c>
      <c r="E197" s="188">
        <f t="shared" ca="1" si="37"/>
        <v>169.61857869993446</v>
      </c>
      <c r="F197" s="188">
        <f t="shared" ca="1" si="38"/>
        <v>1.5615388549135487</v>
      </c>
      <c r="G197" s="188"/>
      <c r="H197" s="226"/>
      <c r="I197" s="226"/>
    </row>
    <row r="198" spans="1:9" x14ac:dyDescent="0.25">
      <c r="A198" s="360"/>
      <c r="B198" s="187" t="s">
        <v>218</v>
      </c>
      <c r="C198" s="188">
        <f t="shared" ca="1" si="39"/>
        <v>169.61857869993446</v>
      </c>
      <c r="D198" s="188">
        <f t="shared" ca="1" si="40"/>
        <v>1.4622291267235719</v>
      </c>
      <c r="E198" s="188">
        <f t="shared" ca="1" si="37"/>
        <v>168.15634957321089</v>
      </c>
      <c r="F198" s="188">
        <f t="shared" ca="1" si="38"/>
        <v>1.5481350879185829</v>
      </c>
      <c r="G198" s="188"/>
      <c r="H198" s="226"/>
      <c r="I198" s="226"/>
    </row>
    <row r="199" spans="1:9" x14ac:dyDescent="0.25">
      <c r="A199" s="360"/>
      <c r="B199" s="187" t="s">
        <v>219</v>
      </c>
      <c r="C199" s="188">
        <f t="shared" ca="1" si="39"/>
        <v>168.15634957321089</v>
      </c>
      <c r="D199" s="188">
        <f t="shared" ca="1" si="40"/>
        <v>1.4622291267235719</v>
      </c>
      <c r="E199" s="188">
        <f t="shared" ca="1" si="37"/>
        <v>166.69412044648732</v>
      </c>
      <c r="F199" s="188">
        <f t="shared" ca="1" si="38"/>
        <v>1.5347313209236166</v>
      </c>
      <c r="G199" s="188"/>
      <c r="H199" s="226"/>
      <c r="I199" s="226"/>
    </row>
    <row r="200" spans="1:9" x14ac:dyDescent="0.25">
      <c r="A200" s="360"/>
      <c r="B200" s="187" t="s">
        <v>220</v>
      </c>
      <c r="C200" s="188">
        <f t="shared" ca="1" si="39"/>
        <v>166.69412044648732</v>
      </c>
      <c r="D200" s="188">
        <f t="shared" ca="1" si="40"/>
        <v>1.4622291267235719</v>
      </c>
      <c r="E200" s="188">
        <f t="shared" ca="1" si="37"/>
        <v>165.23189131976375</v>
      </c>
      <c r="F200" s="188">
        <f t="shared" ca="1" si="38"/>
        <v>1.5213275539286508</v>
      </c>
      <c r="G200" s="188"/>
      <c r="H200" s="226"/>
      <c r="I200" s="226"/>
    </row>
    <row r="201" spans="1:9" x14ac:dyDescent="0.25">
      <c r="A201" s="360"/>
      <c r="B201" s="187" t="s">
        <v>221</v>
      </c>
      <c r="C201" s="188">
        <f t="shared" ca="1" si="39"/>
        <v>165.23189131976375</v>
      </c>
      <c r="D201" s="188">
        <f t="shared" ca="1" si="40"/>
        <v>1.4622291267235719</v>
      </c>
      <c r="E201" s="188">
        <f t="shared" ca="1" si="37"/>
        <v>163.76966219304018</v>
      </c>
      <c r="F201" s="188">
        <f t="shared" ca="1" si="38"/>
        <v>1.5079237869336846</v>
      </c>
      <c r="G201" s="188"/>
      <c r="H201" s="226"/>
      <c r="I201" s="226"/>
    </row>
    <row r="202" spans="1:9" x14ac:dyDescent="0.25">
      <c r="A202" s="360"/>
      <c r="B202" s="187" t="s">
        <v>222</v>
      </c>
      <c r="C202" s="188">
        <f t="shared" ca="1" si="39"/>
        <v>163.76966219304018</v>
      </c>
      <c r="D202" s="188">
        <f t="shared" ca="1" si="40"/>
        <v>1.4622291267235719</v>
      </c>
      <c r="E202" s="188">
        <f t="shared" ca="1" si="37"/>
        <v>162.30743306631661</v>
      </c>
      <c r="F202" s="188">
        <f t="shared" ca="1" si="38"/>
        <v>1.4945200199387185</v>
      </c>
      <c r="G202" s="188"/>
      <c r="H202" s="226"/>
      <c r="I202" s="226"/>
    </row>
    <row r="203" spans="1:9" x14ac:dyDescent="0.25">
      <c r="A203" s="360"/>
      <c r="B203" s="187" t="s">
        <v>224</v>
      </c>
      <c r="C203" s="188">
        <f t="shared" ca="1" si="39"/>
        <v>162.30743306631661</v>
      </c>
      <c r="D203" s="188">
        <f t="shared" ca="1" si="40"/>
        <v>1.4622291267235719</v>
      </c>
      <c r="E203" s="188">
        <f t="shared" ca="1" si="37"/>
        <v>160.84520393959303</v>
      </c>
      <c r="F203" s="188">
        <f t="shared" ca="1" si="38"/>
        <v>1.4811162529437525</v>
      </c>
      <c r="G203" s="188"/>
      <c r="H203" s="226"/>
      <c r="I203" s="226"/>
    </row>
    <row r="204" spans="1:9" x14ac:dyDescent="0.25">
      <c r="A204" s="360"/>
      <c r="B204" s="187" t="s">
        <v>225</v>
      </c>
      <c r="C204" s="188">
        <f t="shared" ca="1" si="39"/>
        <v>160.84520393959303</v>
      </c>
      <c r="D204" s="188">
        <f t="shared" ca="1" si="40"/>
        <v>1.4622291267235719</v>
      </c>
      <c r="E204" s="188">
        <f t="shared" ca="1" si="37"/>
        <v>159.38297481286946</v>
      </c>
      <c r="F204" s="188">
        <f t="shared" ca="1" si="38"/>
        <v>1.4677124859487864</v>
      </c>
      <c r="G204" s="188"/>
      <c r="H204" s="226"/>
      <c r="I204" s="226"/>
    </row>
    <row r="205" spans="1:9" x14ac:dyDescent="0.25">
      <c r="A205" s="360"/>
      <c r="B205" s="187" t="s">
        <v>226</v>
      </c>
      <c r="C205" s="188">
        <f t="shared" ca="1" si="39"/>
        <v>159.38297481286946</v>
      </c>
      <c r="D205" s="188">
        <f t="shared" ca="1" si="40"/>
        <v>1.4622291267235719</v>
      </c>
      <c r="E205" s="188">
        <f t="shared" ca="1" si="37"/>
        <v>157.92074568614589</v>
      </c>
      <c r="F205" s="188">
        <f t="shared" ca="1" si="38"/>
        <v>1.4543087189538204</v>
      </c>
      <c r="G205" s="188"/>
      <c r="H205" s="226"/>
      <c r="I205" s="226"/>
    </row>
    <row r="206" spans="1:9" x14ac:dyDescent="0.25">
      <c r="A206" s="360">
        <f>A193+1</f>
        <v>12</v>
      </c>
      <c r="B206" s="193" t="s">
        <v>243</v>
      </c>
      <c r="C206" s="194"/>
      <c r="D206" s="193"/>
      <c r="E206" s="194"/>
      <c r="F206" s="194"/>
      <c r="G206" s="194"/>
      <c r="H206" s="231"/>
      <c r="I206" s="231">
        <v>0.05</v>
      </c>
    </row>
    <row r="207" spans="1:9" x14ac:dyDescent="0.25">
      <c r="A207" s="360"/>
      <c r="B207" s="195" t="s">
        <v>214</v>
      </c>
      <c r="C207" s="196">
        <f ca="1">E205</f>
        <v>157.92074568614589</v>
      </c>
      <c r="D207" s="196">
        <f ca="1">$C$21*$I$206/12</f>
        <v>1.4622291267235719</v>
      </c>
      <c r="E207" s="196">
        <f t="shared" ref="E207:E218" ca="1" si="41">C207-D207</f>
        <v>156.45851655942232</v>
      </c>
      <c r="F207" s="196">
        <f t="shared" ref="F207:F218" ca="1" si="42">AVERAGE(C207,E207)*$C$22/12</f>
        <v>1.4409049519588544</v>
      </c>
      <c r="G207" s="196"/>
      <c r="H207" s="232"/>
      <c r="I207" s="232"/>
    </row>
    <row r="208" spans="1:9" x14ac:dyDescent="0.25">
      <c r="A208" s="360"/>
      <c r="B208" s="195" t="s">
        <v>215</v>
      </c>
      <c r="C208" s="196">
        <f t="shared" ref="C208:C218" ca="1" si="43">E207</f>
        <v>156.45851655942232</v>
      </c>
      <c r="D208" s="196">
        <f t="shared" ref="D208:D218" ca="1" si="44">$C$21*$I$206/12</f>
        <v>1.4622291267235719</v>
      </c>
      <c r="E208" s="196">
        <f t="shared" ca="1" si="41"/>
        <v>154.99628743269875</v>
      </c>
      <c r="F208" s="196">
        <f t="shared" ca="1" si="42"/>
        <v>1.4275011849638881</v>
      </c>
      <c r="G208" s="196"/>
      <c r="H208" s="232"/>
      <c r="I208" s="232"/>
    </row>
    <row r="209" spans="1:9" x14ac:dyDescent="0.25">
      <c r="A209" s="360"/>
      <c r="B209" s="195" t="s">
        <v>216</v>
      </c>
      <c r="C209" s="196">
        <f t="shared" ca="1" si="43"/>
        <v>154.99628743269875</v>
      </c>
      <c r="D209" s="196">
        <f t="shared" ca="1" si="44"/>
        <v>1.4622291267235719</v>
      </c>
      <c r="E209" s="196">
        <f t="shared" ca="1" si="41"/>
        <v>153.53405830597518</v>
      </c>
      <c r="F209" s="196">
        <f t="shared" ca="1" si="42"/>
        <v>1.4140974179689223</v>
      </c>
      <c r="G209" s="196"/>
      <c r="H209" s="232"/>
      <c r="I209" s="232"/>
    </row>
    <row r="210" spans="1:9" x14ac:dyDescent="0.25">
      <c r="A210" s="360"/>
      <c r="B210" s="195" t="s">
        <v>217</v>
      </c>
      <c r="C210" s="196">
        <f t="shared" ca="1" si="43"/>
        <v>153.53405830597518</v>
      </c>
      <c r="D210" s="196">
        <f t="shared" ca="1" si="44"/>
        <v>1.4622291267235719</v>
      </c>
      <c r="E210" s="196">
        <f t="shared" ca="1" si="41"/>
        <v>152.07182917925161</v>
      </c>
      <c r="F210" s="196">
        <f t="shared" ca="1" si="42"/>
        <v>1.400693650973956</v>
      </c>
      <c r="G210" s="196"/>
      <c r="H210" s="232"/>
      <c r="I210" s="232"/>
    </row>
    <row r="211" spans="1:9" x14ac:dyDescent="0.25">
      <c r="A211" s="360"/>
      <c r="B211" s="195" t="s">
        <v>218</v>
      </c>
      <c r="C211" s="196">
        <f t="shared" ca="1" si="43"/>
        <v>152.07182917925161</v>
      </c>
      <c r="D211" s="196">
        <f t="shared" ca="1" si="44"/>
        <v>1.4622291267235719</v>
      </c>
      <c r="E211" s="196">
        <f t="shared" ca="1" si="41"/>
        <v>150.60960005252804</v>
      </c>
      <c r="F211" s="196">
        <f t="shared" ca="1" si="42"/>
        <v>1.3872898839789902</v>
      </c>
      <c r="G211" s="196"/>
      <c r="H211" s="232"/>
      <c r="I211" s="232"/>
    </row>
    <row r="212" spans="1:9" x14ac:dyDescent="0.25">
      <c r="A212" s="360"/>
      <c r="B212" s="195" t="s">
        <v>219</v>
      </c>
      <c r="C212" s="196">
        <f t="shared" ca="1" si="43"/>
        <v>150.60960005252804</v>
      </c>
      <c r="D212" s="196">
        <f t="shared" ca="1" si="44"/>
        <v>1.4622291267235719</v>
      </c>
      <c r="E212" s="196">
        <f t="shared" ca="1" si="41"/>
        <v>149.14737092580447</v>
      </c>
      <c r="F212" s="196">
        <f t="shared" ca="1" si="42"/>
        <v>1.373886116984024</v>
      </c>
      <c r="G212" s="196"/>
      <c r="H212" s="232"/>
      <c r="I212" s="232"/>
    </row>
    <row r="213" spans="1:9" x14ac:dyDescent="0.25">
      <c r="A213" s="360"/>
      <c r="B213" s="195" t="s">
        <v>220</v>
      </c>
      <c r="C213" s="196">
        <f t="shared" ca="1" si="43"/>
        <v>149.14737092580447</v>
      </c>
      <c r="D213" s="196">
        <f t="shared" ca="1" si="44"/>
        <v>1.4622291267235719</v>
      </c>
      <c r="E213" s="196">
        <f t="shared" ca="1" si="41"/>
        <v>147.6851417990809</v>
      </c>
      <c r="F213" s="196">
        <f t="shared" ca="1" si="42"/>
        <v>1.3604823499890577</v>
      </c>
      <c r="G213" s="196"/>
      <c r="H213" s="232"/>
      <c r="I213" s="232"/>
    </row>
    <row r="214" spans="1:9" x14ac:dyDescent="0.25">
      <c r="A214" s="360"/>
      <c r="B214" s="195" t="s">
        <v>221</v>
      </c>
      <c r="C214" s="196">
        <f t="shared" ca="1" si="43"/>
        <v>147.6851417990809</v>
      </c>
      <c r="D214" s="196">
        <f t="shared" ca="1" si="44"/>
        <v>1.4622291267235719</v>
      </c>
      <c r="E214" s="196">
        <f t="shared" ca="1" si="41"/>
        <v>146.22291267235732</v>
      </c>
      <c r="F214" s="196">
        <f t="shared" ca="1" si="42"/>
        <v>1.3470785829940919</v>
      </c>
      <c r="G214" s="196"/>
      <c r="H214" s="232"/>
      <c r="I214" s="232"/>
    </row>
    <row r="215" spans="1:9" x14ac:dyDescent="0.25">
      <c r="A215" s="360"/>
      <c r="B215" s="195" t="s">
        <v>222</v>
      </c>
      <c r="C215" s="196">
        <f t="shared" ca="1" si="43"/>
        <v>146.22291267235732</v>
      </c>
      <c r="D215" s="196">
        <f t="shared" ca="1" si="44"/>
        <v>1.4622291267235719</v>
      </c>
      <c r="E215" s="196">
        <f t="shared" ca="1" si="41"/>
        <v>144.76068354563375</v>
      </c>
      <c r="F215" s="196">
        <f t="shared" ca="1" si="42"/>
        <v>1.3336748159991256</v>
      </c>
      <c r="G215" s="196"/>
      <c r="H215" s="232"/>
      <c r="I215" s="232"/>
    </row>
    <row r="216" spans="1:9" x14ac:dyDescent="0.25">
      <c r="A216" s="360"/>
      <c r="B216" s="195" t="s">
        <v>224</v>
      </c>
      <c r="C216" s="196">
        <f t="shared" ca="1" si="43"/>
        <v>144.76068354563375</v>
      </c>
      <c r="D216" s="196">
        <f t="shared" ca="1" si="44"/>
        <v>1.4622291267235719</v>
      </c>
      <c r="E216" s="196">
        <f t="shared" ca="1" si="41"/>
        <v>143.29845441891018</v>
      </c>
      <c r="F216" s="196">
        <f t="shared" ca="1" si="42"/>
        <v>1.3202710490041596</v>
      </c>
      <c r="G216" s="196"/>
      <c r="H216" s="232"/>
      <c r="I216" s="232"/>
    </row>
    <row r="217" spans="1:9" x14ac:dyDescent="0.25">
      <c r="A217" s="360"/>
      <c r="B217" s="195" t="s">
        <v>225</v>
      </c>
      <c r="C217" s="196">
        <f t="shared" ca="1" si="43"/>
        <v>143.29845441891018</v>
      </c>
      <c r="D217" s="196">
        <f t="shared" ca="1" si="44"/>
        <v>1.4622291267235719</v>
      </c>
      <c r="E217" s="196">
        <f t="shared" ca="1" si="41"/>
        <v>141.83622529218661</v>
      </c>
      <c r="F217" s="196">
        <f t="shared" ca="1" si="42"/>
        <v>1.3068672820091936</v>
      </c>
      <c r="G217" s="196"/>
      <c r="H217" s="232"/>
      <c r="I217" s="232"/>
    </row>
    <row r="218" spans="1:9" x14ac:dyDescent="0.25">
      <c r="A218" s="360"/>
      <c r="B218" s="195" t="s">
        <v>226</v>
      </c>
      <c r="C218" s="196">
        <f t="shared" ca="1" si="43"/>
        <v>141.83622529218661</v>
      </c>
      <c r="D218" s="196">
        <f t="shared" ca="1" si="44"/>
        <v>1.4622291267235719</v>
      </c>
      <c r="E218" s="196">
        <f t="shared" ca="1" si="41"/>
        <v>140.37399616546304</v>
      </c>
      <c r="F218" s="196">
        <f t="shared" ca="1" si="42"/>
        <v>1.2934635150142275</v>
      </c>
      <c r="G218" s="196"/>
      <c r="H218" s="232"/>
      <c r="I218" s="232"/>
    </row>
    <row r="219" spans="1:9" x14ac:dyDescent="0.25">
      <c r="A219" s="360">
        <f>A206+1</f>
        <v>13</v>
      </c>
      <c r="B219" s="189" t="s">
        <v>244</v>
      </c>
      <c r="C219" s="190"/>
      <c r="D219" s="189"/>
      <c r="E219" s="190"/>
      <c r="F219" s="190"/>
      <c r="G219" s="190"/>
      <c r="H219" s="227"/>
      <c r="I219" s="227">
        <v>0.05</v>
      </c>
    </row>
    <row r="220" spans="1:9" x14ac:dyDescent="0.25">
      <c r="A220" s="360"/>
      <c r="B220" s="191" t="s">
        <v>214</v>
      </c>
      <c r="C220" s="192">
        <f ca="1">E218</f>
        <v>140.37399616546304</v>
      </c>
      <c r="D220" s="192">
        <f ca="1">$C$21*$I$219/12</f>
        <v>1.4622291267235719</v>
      </c>
      <c r="E220" s="192">
        <f t="shared" ref="E220:E231" ca="1" si="45">C220-D220</f>
        <v>138.91176703873947</v>
      </c>
      <c r="F220" s="192">
        <f t="shared" ref="F220:F231" ca="1" si="46">AVERAGE(C220,E220)*$C$22/12</f>
        <v>1.2800597480192615</v>
      </c>
      <c r="G220" s="192"/>
      <c r="H220" s="228"/>
      <c r="I220" s="228"/>
    </row>
    <row r="221" spans="1:9" x14ac:dyDescent="0.25">
      <c r="A221" s="360"/>
      <c r="B221" s="191" t="s">
        <v>215</v>
      </c>
      <c r="C221" s="192">
        <f t="shared" ref="C221:C231" ca="1" si="47">E220</f>
        <v>138.91176703873947</v>
      </c>
      <c r="D221" s="192">
        <f t="shared" ref="D221:D231" ca="1" si="48">$C$21*$I$219/12</f>
        <v>1.4622291267235719</v>
      </c>
      <c r="E221" s="192">
        <f t="shared" ca="1" si="45"/>
        <v>137.4495379120159</v>
      </c>
      <c r="F221" s="192">
        <f t="shared" ca="1" si="46"/>
        <v>1.2666559810242954</v>
      </c>
      <c r="G221" s="192"/>
      <c r="H221" s="228"/>
      <c r="I221" s="228"/>
    </row>
    <row r="222" spans="1:9" x14ac:dyDescent="0.25">
      <c r="A222" s="360"/>
      <c r="B222" s="191" t="s">
        <v>216</v>
      </c>
      <c r="C222" s="192">
        <f t="shared" ca="1" si="47"/>
        <v>137.4495379120159</v>
      </c>
      <c r="D222" s="192">
        <f t="shared" ca="1" si="48"/>
        <v>1.4622291267235719</v>
      </c>
      <c r="E222" s="192">
        <f t="shared" ca="1" si="45"/>
        <v>135.98730878529233</v>
      </c>
      <c r="F222" s="192">
        <f t="shared" ca="1" si="46"/>
        <v>1.2532522140293294</v>
      </c>
      <c r="G222" s="192"/>
      <c r="H222" s="228"/>
      <c r="I222" s="228"/>
    </row>
    <row r="223" spans="1:9" x14ac:dyDescent="0.25">
      <c r="A223" s="360"/>
      <c r="B223" s="191" t="s">
        <v>217</v>
      </c>
      <c r="C223" s="192">
        <f t="shared" ca="1" si="47"/>
        <v>135.98730878529233</v>
      </c>
      <c r="D223" s="192">
        <f t="shared" ca="1" si="48"/>
        <v>1.4622291267235719</v>
      </c>
      <c r="E223" s="192">
        <f t="shared" ca="1" si="45"/>
        <v>134.52507965856876</v>
      </c>
      <c r="F223" s="192">
        <f t="shared" ca="1" si="46"/>
        <v>1.2398484470343634</v>
      </c>
      <c r="G223" s="192"/>
      <c r="H223" s="228"/>
      <c r="I223" s="228"/>
    </row>
    <row r="224" spans="1:9" x14ac:dyDescent="0.25">
      <c r="A224" s="360"/>
      <c r="B224" s="191" t="s">
        <v>218</v>
      </c>
      <c r="C224" s="192">
        <f t="shared" ca="1" si="47"/>
        <v>134.52507965856876</v>
      </c>
      <c r="D224" s="192">
        <f t="shared" ca="1" si="48"/>
        <v>1.4622291267235719</v>
      </c>
      <c r="E224" s="192">
        <f t="shared" ca="1" si="45"/>
        <v>133.06285053184519</v>
      </c>
      <c r="F224" s="192">
        <f t="shared" ca="1" si="46"/>
        <v>1.2264446800393973</v>
      </c>
      <c r="G224" s="192"/>
      <c r="H224" s="228"/>
      <c r="I224" s="228"/>
    </row>
    <row r="225" spans="1:9" x14ac:dyDescent="0.25">
      <c r="A225" s="360"/>
      <c r="B225" s="191" t="s">
        <v>219</v>
      </c>
      <c r="C225" s="192">
        <f t="shared" ca="1" si="47"/>
        <v>133.06285053184519</v>
      </c>
      <c r="D225" s="192">
        <f t="shared" ca="1" si="48"/>
        <v>1.4622291267235719</v>
      </c>
      <c r="E225" s="192">
        <f t="shared" ca="1" si="45"/>
        <v>131.60062140512161</v>
      </c>
      <c r="F225" s="192">
        <f t="shared" ca="1" si="46"/>
        <v>1.2130409130444313</v>
      </c>
      <c r="G225" s="192"/>
      <c r="H225" s="228"/>
      <c r="I225" s="228"/>
    </row>
    <row r="226" spans="1:9" x14ac:dyDescent="0.25">
      <c r="A226" s="360"/>
      <c r="B226" s="191" t="s">
        <v>220</v>
      </c>
      <c r="C226" s="192">
        <f t="shared" ca="1" si="47"/>
        <v>131.60062140512161</v>
      </c>
      <c r="D226" s="192">
        <f t="shared" ca="1" si="48"/>
        <v>1.4622291267235719</v>
      </c>
      <c r="E226" s="192">
        <f t="shared" ca="1" si="45"/>
        <v>130.13839227839804</v>
      </c>
      <c r="F226" s="192">
        <f t="shared" ca="1" si="46"/>
        <v>1.1996371460494653</v>
      </c>
      <c r="G226" s="192"/>
      <c r="H226" s="228"/>
      <c r="I226" s="228"/>
    </row>
    <row r="227" spans="1:9" x14ac:dyDescent="0.25">
      <c r="A227" s="360"/>
      <c r="B227" s="191" t="s">
        <v>221</v>
      </c>
      <c r="C227" s="192">
        <f t="shared" ca="1" si="47"/>
        <v>130.13839227839804</v>
      </c>
      <c r="D227" s="192">
        <f t="shared" ca="1" si="48"/>
        <v>1.4622291267235719</v>
      </c>
      <c r="E227" s="192">
        <f t="shared" ca="1" si="45"/>
        <v>128.67616315167447</v>
      </c>
      <c r="F227" s="192">
        <f t="shared" ca="1" si="46"/>
        <v>1.186233379054499</v>
      </c>
      <c r="G227" s="192"/>
      <c r="H227" s="228"/>
      <c r="I227" s="228"/>
    </row>
    <row r="228" spans="1:9" x14ac:dyDescent="0.25">
      <c r="A228" s="360"/>
      <c r="B228" s="191" t="s">
        <v>222</v>
      </c>
      <c r="C228" s="192">
        <f t="shared" ca="1" si="47"/>
        <v>128.67616315167447</v>
      </c>
      <c r="D228" s="192">
        <f t="shared" ca="1" si="48"/>
        <v>1.4622291267235719</v>
      </c>
      <c r="E228" s="192">
        <f t="shared" ca="1" si="45"/>
        <v>127.2139340249509</v>
      </c>
      <c r="F228" s="192">
        <f t="shared" ca="1" si="46"/>
        <v>1.172829612059533</v>
      </c>
      <c r="G228" s="192"/>
      <c r="H228" s="228"/>
      <c r="I228" s="228"/>
    </row>
    <row r="229" spans="1:9" x14ac:dyDescent="0.25">
      <c r="A229" s="360"/>
      <c r="B229" s="191" t="s">
        <v>224</v>
      </c>
      <c r="C229" s="192">
        <f t="shared" ca="1" si="47"/>
        <v>127.2139340249509</v>
      </c>
      <c r="D229" s="192">
        <f t="shared" ca="1" si="48"/>
        <v>1.4622291267235719</v>
      </c>
      <c r="E229" s="192">
        <f t="shared" ca="1" si="45"/>
        <v>125.75170489822733</v>
      </c>
      <c r="F229" s="192">
        <f t="shared" ca="1" si="46"/>
        <v>1.1594258450645669</v>
      </c>
      <c r="G229" s="192"/>
      <c r="H229" s="228"/>
      <c r="I229" s="228"/>
    </row>
    <row r="230" spans="1:9" x14ac:dyDescent="0.25">
      <c r="A230" s="360"/>
      <c r="B230" s="191" t="s">
        <v>225</v>
      </c>
      <c r="C230" s="192">
        <f t="shared" ca="1" si="47"/>
        <v>125.75170489822733</v>
      </c>
      <c r="D230" s="192">
        <f t="shared" ca="1" si="48"/>
        <v>1.4622291267235719</v>
      </c>
      <c r="E230" s="192">
        <f t="shared" ca="1" si="45"/>
        <v>124.28947577150376</v>
      </c>
      <c r="F230" s="192">
        <f t="shared" ca="1" si="46"/>
        <v>1.1460220780696009</v>
      </c>
      <c r="G230" s="192"/>
      <c r="H230" s="228"/>
      <c r="I230" s="228"/>
    </row>
    <row r="231" spans="1:9" x14ac:dyDescent="0.25">
      <c r="A231" s="360"/>
      <c r="B231" s="191" t="s">
        <v>226</v>
      </c>
      <c r="C231" s="192">
        <f t="shared" ca="1" si="47"/>
        <v>124.28947577150376</v>
      </c>
      <c r="D231" s="192">
        <f t="shared" ca="1" si="48"/>
        <v>1.4622291267235719</v>
      </c>
      <c r="E231" s="192">
        <f t="shared" ca="1" si="45"/>
        <v>122.82724664478019</v>
      </c>
      <c r="F231" s="192">
        <f t="shared" ca="1" si="46"/>
        <v>1.1326183110746348</v>
      </c>
      <c r="G231" s="192"/>
      <c r="H231" s="228"/>
      <c r="I231" s="228"/>
    </row>
    <row r="232" spans="1:9" x14ac:dyDescent="0.25">
      <c r="A232" s="360">
        <f>A219+1</f>
        <v>14</v>
      </c>
      <c r="B232" s="197" t="s">
        <v>245</v>
      </c>
      <c r="C232" s="198"/>
      <c r="D232" s="197"/>
      <c r="E232" s="198"/>
      <c r="F232" s="198"/>
      <c r="G232" s="198"/>
      <c r="H232" s="233"/>
      <c r="I232" s="233">
        <v>0.05</v>
      </c>
    </row>
    <row r="233" spans="1:9" x14ac:dyDescent="0.25">
      <c r="A233" s="360"/>
      <c r="B233" s="199" t="s">
        <v>214</v>
      </c>
      <c r="C233" s="200">
        <f ca="1">E231</f>
        <v>122.82724664478019</v>
      </c>
      <c r="D233" s="200">
        <f ca="1">$C$21*$I$232/12</f>
        <v>1.4622291267235719</v>
      </c>
      <c r="E233" s="200">
        <f t="shared" ref="E233:E244" ca="1" si="49">C233-D233</f>
        <v>121.36501751805662</v>
      </c>
      <c r="F233" s="200">
        <f t="shared" ref="F233:F244" ca="1" si="50">AVERAGE(C233,E233)*$C$22/12</f>
        <v>1.1192145440796686</v>
      </c>
      <c r="G233" s="200"/>
      <c r="H233" s="234"/>
      <c r="I233" s="234"/>
    </row>
    <row r="234" spans="1:9" x14ac:dyDescent="0.25">
      <c r="A234" s="360"/>
      <c r="B234" s="199" t="s">
        <v>215</v>
      </c>
      <c r="C234" s="200">
        <f t="shared" ref="C234:C244" ca="1" si="51">E233</f>
        <v>121.36501751805662</v>
      </c>
      <c r="D234" s="200">
        <f t="shared" ref="D234:D244" ca="1" si="52">$C$21*$I$232/12</f>
        <v>1.4622291267235719</v>
      </c>
      <c r="E234" s="200">
        <f t="shared" ca="1" si="49"/>
        <v>119.90278839133305</v>
      </c>
      <c r="F234" s="200">
        <f t="shared" ca="1" si="50"/>
        <v>1.1058107770847025</v>
      </c>
      <c r="G234" s="200"/>
      <c r="H234" s="234"/>
      <c r="I234" s="234"/>
    </row>
    <row r="235" spans="1:9" x14ac:dyDescent="0.25">
      <c r="A235" s="360"/>
      <c r="B235" s="199" t="s">
        <v>216</v>
      </c>
      <c r="C235" s="200">
        <f t="shared" ca="1" si="51"/>
        <v>119.90278839133305</v>
      </c>
      <c r="D235" s="200">
        <f t="shared" ca="1" si="52"/>
        <v>1.4622291267235719</v>
      </c>
      <c r="E235" s="200">
        <f t="shared" ca="1" si="49"/>
        <v>118.44055926460948</v>
      </c>
      <c r="F235" s="200">
        <f t="shared" ca="1" si="50"/>
        <v>1.0924070100897365</v>
      </c>
      <c r="G235" s="200"/>
      <c r="H235" s="234"/>
      <c r="I235" s="234"/>
    </row>
    <row r="236" spans="1:9" x14ac:dyDescent="0.25">
      <c r="A236" s="360"/>
      <c r="B236" s="199" t="s">
        <v>217</v>
      </c>
      <c r="C236" s="200">
        <f t="shared" ca="1" si="51"/>
        <v>118.44055926460948</v>
      </c>
      <c r="D236" s="200">
        <f t="shared" ca="1" si="52"/>
        <v>1.4622291267235719</v>
      </c>
      <c r="E236" s="200">
        <f t="shared" ca="1" si="49"/>
        <v>116.97833013788591</v>
      </c>
      <c r="F236" s="200">
        <f t="shared" ca="1" si="50"/>
        <v>1.0790032430947705</v>
      </c>
      <c r="G236" s="200"/>
      <c r="H236" s="234"/>
      <c r="I236" s="234"/>
    </row>
    <row r="237" spans="1:9" x14ac:dyDescent="0.25">
      <c r="A237" s="360"/>
      <c r="B237" s="199" t="s">
        <v>218</v>
      </c>
      <c r="C237" s="200">
        <f t="shared" ca="1" si="51"/>
        <v>116.97833013788591</v>
      </c>
      <c r="D237" s="200">
        <f t="shared" ca="1" si="52"/>
        <v>1.4622291267235719</v>
      </c>
      <c r="E237" s="200">
        <f t="shared" ca="1" si="49"/>
        <v>115.51610101116233</v>
      </c>
      <c r="F237" s="200">
        <f t="shared" ca="1" si="50"/>
        <v>1.0655994760998044</v>
      </c>
      <c r="G237" s="200"/>
      <c r="H237" s="234"/>
      <c r="I237" s="234"/>
    </row>
    <row r="238" spans="1:9" x14ac:dyDescent="0.25">
      <c r="A238" s="360"/>
      <c r="B238" s="199" t="s">
        <v>219</v>
      </c>
      <c r="C238" s="200">
        <f t="shared" ca="1" si="51"/>
        <v>115.51610101116233</v>
      </c>
      <c r="D238" s="200">
        <f t="shared" ca="1" si="52"/>
        <v>1.4622291267235719</v>
      </c>
      <c r="E238" s="200">
        <f t="shared" ca="1" si="49"/>
        <v>114.05387188443876</v>
      </c>
      <c r="F238" s="200">
        <f t="shared" ca="1" si="50"/>
        <v>1.0521957091048384</v>
      </c>
      <c r="G238" s="200"/>
      <c r="H238" s="234"/>
      <c r="I238" s="234"/>
    </row>
    <row r="239" spans="1:9" x14ac:dyDescent="0.25">
      <c r="A239" s="360"/>
      <c r="B239" s="199" t="s">
        <v>220</v>
      </c>
      <c r="C239" s="200">
        <f t="shared" ca="1" si="51"/>
        <v>114.05387188443876</v>
      </c>
      <c r="D239" s="200">
        <f t="shared" ca="1" si="52"/>
        <v>1.4622291267235719</v>
      </c>
      <c r="E239" s="200">
        <f t="shared" ca="1" si="49"/>
        <v>112.59164275771519</v>
      </c>
      <c r="F239" s="200">
        <f t="shared" ca="1" si="50"/>
        <v>1.0387919421098724</v>
      </c>
      <c r="G239" s="200"/>
      <c r="H239" s="234"/>
      <c r="I239" s="234"/>
    </row>
    <row r="240" spans="1:9" x14ac:dyDescent="0.25">
      <c r="A240" s="360"/>
      <c r="B240" s="199" t="s">
        <v>221</v>
      </c>
      <c r="C240" s="200">
        <f t="shared" ca="1" si="51"/>
        <v>112.59164275771519</v>
      </c>
      <c r="D240" s="200">
        <f t="shared" ca="1" si="52"/>
        <v>1.4622291267235719</v>
      </c>
      <c r="E240" s="200">
        <f t="shared" ca="1" si="49"/>
        <v>111.12941363099162</v>
      </c>
      <c r="F240" s="200">
        <f t="shared" ca="1" si="50"/>
        <v>1.0253881751149063</v>
      </c>
      <c r="G240" s="200"/>
      <c r="H240" s="234"/>
      <c r="I240" s="234"/>
    </row>
    <row r="241" spans="1:9" x14ac:dyDescent="0.25">
      <c r="A241" s="360"/>
      <c r="B241" s="199" t="s">
        <v>222</v>
      </c>
      <c r="C241" s="200">
        <f t="shared" ca="1" si="51"/>
        <v>111.12941363099162</v>
      </c>
      <c r="D241" s="200">
        <f t="shared" ca="1" si="52"/>
        <v>1.4622291267235719</v>
      </c>
      <c r="E241" s="200">
        <f t="shared" ca="1" si="49"/>
        <v>109.66718450426805</v>
      </c>
      <c r="F241" s="200">
        <f t="shared" ca="1" si="50"/>
        <v>1.0119844081199403</v>
      </c>
      <c r="G241" s="200"/>
      <c r="H241" s="234"/>
      <c r="I241" s="234"/>
    </row>
    <row r="242" spans="1:9" x14ac:dyDescent="0.25">
      <c r="A242" s="360"/>
      <c r="B242" s="199" t="s">
        <v>224</v>
      </c>
      <c r="C242" s="200">
        <f t="shared" ca="1" si="51"/>
        <v>109.66718450426805</v>
      </c>
      <c r="D242" s="200">
        <f t="shared" ca="1" si="52"/>
        <v>1.4622291267235719</v>
      </c>
      <c r="E242" s="200">
        <f t="shared" ca="1" si="49"/>
        <v>108.20495537754448</v>
      </c>
      <c r="F242" s="200">
        <f t="shared" ca="1" si="50"/>
        <v>0.99858064112497413</v>
      </c>
      <c r="G242" s="200"/>
      <c r="H242" s="234"/>
      <c r="I242" s="234"/>
    </row>
    <row r="243" spans="1:9" x14ac:dyDescent="0.25">
      <c r="A243" s="360"/>
      <c r="B243" s="199" t="s">
        <v>225</v>
      </c>
      <c r="C243" s="200">
        <f t="shared" ca="1" si="51"/>
        <v>108.20495537754448</v>
      </c>
      <c r="D243" s="200">
        <f t="shared" ca="1" si="52"/>
        <v>1.4622291267235719</v>
      </c>
      <c r="E243" s="200">
        <f t="shared" ca="1" si="49"/>
        <v>106.74272625082091</v>
      </c>
      <c r="F243" s="200">
        <f t="shared" ca="1" si="50"/>
        <v>0.98517687413000798</v>
      </c>
      <c r="G243" s="200"/>
      <c r="H243" s="234"/>
      <c r="I243" s="234"/>
    </row>
    <row r="244" spans="1:9" x14ac:dyDescent="0.25">
      <c r="A244" s="360"/>
      <c r="B244" s="199" t="s">
        <v>226</v>
      </c>
      <c r="C244" s="200">
        <f t="shared" ca="1" si="51"/>
        <v>106.74272625082091</v>
      </c>
      <c r="D244" s="200">
        <f t="shared" ca="1" si="52"/>
        <v>1.4622291267235719</v>
      </c>
      <c r="E244" s="200">
        <f t="shared" ca="1" si="49"/>
        <v>105.28049712409734</v>
      </c>
      <c r="F244" s="200">
        <f t="shared" ca="1" si="50"/>
        <v>0.97177310713504195</v>
      </c>
      <c r="G244" s="200"/>
      <c r="H244" s="234"/>
      <c r="I244" s="234"/>
    </row>
    <row r="245" spans="1:9" x14ac:dyDescent="0.25">
      <c r="A245" s="360">
        <f>A232+1</f>
        <v>15</v>
      </c>
      <c r="B245" s="201" t="s">
        <v>246</v>
      </c>
      <c r="C245" s="202"/>
      <c r="D245" s="201"/>
      <c r="E245" s="202"/>
      <c r="F245" s="202"/>
      <c r="G245" s="202"/>
      <c r="H245" s="235"/>
      <c r="I245" s="235">
        <v>0.05</v>
      </c>
    </row>
    <row r="246" spans="1:9" x14ac:dyDescent="0.25">
      <c r="A246" s="360"/>
      <c r="B246" s="203" t="s">
        <v>214</v>
      </c>
      <c r="C246" s="204">
        <f ca="1">E244</f>
        <v>105.28049712409734</v>
      </c>
      <c r="D246" s="204">
        <f ca="1">$C$21*$I$245/12</f>
        <v>1.4622291267235719</v>
      </c>
      <c r="E246" s="204">
        <f t="shared" ref="E246:E257" ca="1" si="53">C246-D246</f>
        <v>103.81826799737377</v>
      </c>
      <c r="F246" s="204">
        <f t="shared" ref="F246:F257" ca="1" si="54">AVERAGE(C246,E246)*$C$22/12</f>
        <v>0.95836934014007591</v>
      </c>
      <c r="G246" s="204"/>
      <c r="H246" s="236"/>
      <c r="I246" s="236"/>
    </row>
    <row r="247" spans="1:9" x14ac:dyDescent="0.25">
      <c r="A247" s="360"/>
      <c r="B247" s="203" t="s">
        <v>215</v>
      </c>
      <c r="C247" s="204">
        <f t="shared" ref="C247:C257" ca="1" si="55">E246</f>
        <v>103.81826799737377</v>
      </c>
      <c r="D247" s="204">
        <f t="shared" ref="D247:D257" ca="1" si="56">$C$21*$I$245/12</f>
        <v>1.4622291267235719</v>
      </c>
      <c r="E247" s="204">
        <f t="shared" ca="1" si="53"/>
        <v>102.3560388706502</v>
      </c>
      <c r="F247" s="204">
        <f t="shared" ca="1" si="54"/>
        <v>0.94496557314510987</v>
      </c>
      <c r="G247" s="204"/>
      <c r="H247" s="236"/>
      <c r="I247" s="236"/>
    </row>
    <row r="248" spans="1:9" x14ac:dyDescent="0.25">
      <c r="A248" s="360"/>
      <c r="B248" s="203" t="s">
        <v>216</v>
      </c>
      <c r="C248" s="204">
        <f t="shared" ca="1" si="55"/>
        <v>102.3560388706502</v>
      </c>
      <c r="D248" s="204">
        <f t="shared" ca="1" si="56"/>
        <v>1.4622291267235719</v>
      </c>
      <c r="E248" s="204">
        <f t="shared" ca="1" si="53"/>
        <v>100.89380974392662</v>
      </c>
      <c r="F248" s="204">
        <f t="shared" ca="1" si="54"/>
        <v>0.93156180615014383</v>
      </c>
      <c r="G248" s="204"/>
      <c r="H248" s="236"/>
      <c r="I248" s="236"/>
    </row>
    <row r="249" spans="1:9" x14ac:dyDescent="0.25">
      <c r="A249" s="360"/>
      <c r="B249" s="203" t="s">
        <v>217</v>
      </c>
      <c r="C249" s="204">
        <f t="shared" ca="1" si="55"/>
        <v>100.89380974392662</v>
      </c>
      <c r="D249" s="204">
        <f t="shared" ca="1" si="56"/>
        <v>1.4622291267235719</v>
      </c>
      <c r="E249" s="204">
        <f t="shared" ca="1" si="53"/>
        <v>99.431580617203053</v>
      </c>
      <c r="F249" s="204">
        <f t="shared" ca="1" si="54"/>
        <v>0.91815803915517769</v>
      </c>
      <c r="G249" s="204"/>
      <c r="H249" s="236"/>
      <c r="I249" s="236"/>
    </row>
    <row r="250" spans="1:9" x14ac:dyDescent="0.25">
      <c r="A250" s="360"/>
      <c r="B250" s="203" t="s">
        <v>218</v>
      </c>
      <c r="C250" s="204">
        <f t="shared" ca="1" si="55"/>
        <v>99.431580617203053</v>
      </c>
      <c r="D250" s="204">
        <f t="shared" ca="1" si="56"/>
        <v>1.4622291267235719</v>
      </c>
      <c r="E250" s="204">
        <f t="shared" ca="1" si="53"/>
        <v>97.969351490479482</v>
      </c>
      <c r="F250" s="204">
        <f t="shared" ca="1" si="54"/>
        <v>0.90475427216021165</v>
      </c>
      <c r="G250" s="204"/>
      <c r="H250" s="236"/>
      <c r="I250" s="236"/>
    </row>
    <row r="251" spans="1:9" x14ac:dyDescent="0.25">
      <c r="A251" s="360"/>
      <c r="B251" s="203" t="s">
        <v>219</v>
      </c>
      <c r="C251" s="204">
        <f t="shared" ca="1" si="55"/>
        <v>97.969351490479482</v>
      </c>
      <c r="D251" s="204">
        <f t="shared" ca="1" si="56"/>
        <v>1.4622291267235719</v>
      </c>
      <c r="E251" s="204">
        <f t="shared" ca="1" si="53"/>
        <v>96.507122363755911</v>
      </c>
      <c r="F251" s="204">
        <f t="shared" ca="1" si="54"/>
        <v>0.89135050516524561</v>
      </c>
      <c r="G251" s="204"/>
      <c r="H251" s="236"/>
      <c r="I251" s="236"/>
    </row>
    <row r="252" spans="1:9" x14ac:dyDescent="0.25">
      <c r="A252" s="360"/>
      <c r="B252" s="203" t="s">
        <v>220</v>
      </c>
      <c r="C252" s="204">
        <f t="shared" ca="1" si="55"/>
        <v>96.507122363755911</v>
      </c>
      <c r="D252" s="204">
        <f t="shared" ca="1" si="56"/>
        <v>1.4622291267235719</v>
      </c>
      <c r="E252" s="204">
        <f t="shared" ca="1" si="53"/>
        <v>95.04489323703234</v>
      </c>
      <c r="F252" s="204">
        <f t="shared" ca="1" si="54"/>
        <v>0.87794673817027957</v>
      </c>
      <c r="G252" s="204"/>
      <c r="H252" s="236"/>
      <c r="I252" s="236"/>
    </row>
    <row r="253" spans="1:9" x14ac:dyDescent="0.25">
      <c r="A253" s="360"/>
      <c r="B253" s="203" t="s">
        <v>221</v>
      </c>
      <c r="C253" s="204">
        <f t="shared" ca="1" si="55"/>
        <v>95.04489323703234</v>
      </c>
      <c r="D253" s="204">
        <f t="shared" ca="1" si="56"/>
        <v>1.4622291267235719</v>
      </c>
      <c r="E253" s="204">
        <f t="shared" ca="1" si="53"/>
        <v>93.58266411030877</v>
      </c>
      <c r="F253" s="204">
        <f t="shared" ca="1" si="54"/>
        <v>0.86454297117531353</v>
      </c>
      <c r="G253" s="204"/>
      <c r="H253" s="236"/>
      <c r="I253" s="236"/>
    </row>
    <row r="254" spans="1:9" x14ac:dyDescent="0.25">
      <c r="A254" s="360"/>
      <c r="B254" s="203" t="s">
        <v>222</v>
      </c>
      <c r="C254" s="204">
        <f t="shared" ca="1" si="55"/>
        <v>93.58266411030877</v>
      </c>
      <c r="D254" s="204">
        <f t="shared" ca="1" si="56"/>
        <v>1.4622291267235719</v>
      </c>
      <c r="E254" s="204">
        <f t="shared" ca="1" si="53"/>
        <v>92.120434983585199</v>
      </c>
      <c r="F254" s="204">
        <f t="shared" ca="1" si="54"/>
        <v>0.85113920418034728</v>
      </c>
      <c r="G254" s="204"/>
      <c r="H254" s="236"/>
      <c r="I254" s="236"/>
    </row>
    <row r="255" spans="1:9" x14ac:dyDescent="0.25">
      <c r="A255" s="360"/>
      <c r="B255" s="203" t="s">
        <v>224</v>
      </c>
      <c r="C255" s="204">
        <f t="shared" ca="1" si="55"/>
        <v>92.120434983585199</v>
      </c>
      <c r="D255" s="204">
        <f t="shared" ca="1" si="56"/>
        <v>1.4622291267235719</v>
      </c>
      <c r="E255" s="204">
        <f t="shared" ca="1" si="53"/>
        <v>90.658205856861628</v>
      </c>
      <c r="F255" s="204">
        <f t="shared" ca="1" si="54"/>
        <v>0.83773543718538124</v>
      </c>
      <c r="G255" s="204"/>
      <c r="H255" s="236"/>
      <c r="I255" s="236"/>
    </row>
    <row r="256" spans="1:9" x14ac:dyDescent="0.25">
      <c r="A256" s="360"/>
      <c r="B256" s="203" t="s">
        <v>225</v>
      </c>
      <c r="C256" s="204">
        <f t="shared" ca="1" si="55"/>
        <v>90.658205856861628</v>
      </c>
      <c r="D256" s="204">
        <f t="shared" ca="1" si="56"/>
        <v>1.4622291267235719</v>
      </c>
      <c r="E256" s="204">
        <f t="shared" ca="1" si="53"/>
        <v>89.195976730138057</v>
      </c>
      <c r="F256" s="204">
        <f t="shared" ca="1" si="54"/>
        <v>0.8243316701904152</v>
      </c>
      <c r="G256" s="204"/>
      <c r="H256" s="236"/>
      <c r="I256" s="236"/>
    </row>
    <row r="257" spans="1:9" x14ac:dyDescent="0.25">
      <c r="A257" s="360"/>
      <c r="B257" s="203" t="s">
        <v>226</v>
      </c>
      <c r="C257" s="204">
        <f t="shared" ca="1" si="55"/>
        <v>89.195976730138057</v>
      </c>
      <c r="D257" s="204">
        <f t="shared" ca="1" si="56"/>
        <v>1.4622291267235719</v>
      </c>
      <c r="E257" s="204">
        <f t="shared" ca="1" si="53"/>
        <v>87.733747603414486</v>
      </c>
      <c r="F257" s="204">
        <f t="shared" ca="1" si="54"/>
        <v>0.81092790319544916</v>
      </c>
      <c r="G257" s="204"/>
      <c r="H257" s="236"/>
      <c r="I257" s="236"/>
    </row>
    <row r="258" spans="1:9" x14ac:dyDescent="0.25">
      <c r="A258" s="360">
        <f>A245+1</f>
        <v>16</v>
      </c>
      <c r="B258" s="197" t="s">
        <v>247</v>
      </c>
      <c r="C258" s="198"/>
      <c r="D258" s="197"/>
      <c r="E258" s="198"/>
      <c r="F258" s="198"/>
      <c r="G258" s="198"/>
      <c r="H258" s="233"/>
      <c r="I258" s="233">
        <v>0.05</v>
      </c>
    </row>
    <row r="259" spans="1:9" x14ac:dyDescent="0.25">
      <c r="A259" s="360"/>
      <c r="B259" s="199" t="s">
        <v>214</v>
      </c>
      <c r="C259" s="200">
        <f ca="1">E257</f>
        <v>87.733747603414486</v>
      </c>
      <c r="D259" s="200">
        <f ca="1">$C$21*$I$258/12</f>
        <v>1.4622291267235719</v>
      </c>
      <c r="E259" s="200">
        <f t="shared" ref="E259:E270" ca="1" si="57">C259-D259</f>
        <v>86.271518476690915</v>
      </c>
      <c r="F259" s="200">
        <f t="shared" ref="F259:F270" ca="1" si="58">AVERAGE(C259,E259)*$C$22/12</f>
        <v>0.79752413620048312</v>
      </c>
      <c r="G259" s="200"/>
      <c r="H259" s="234"/>
      <c r="I259" s="234"/>
    </row>
    <row r="260" spans="1:9" x14ac:dyDescent="0.25">
      <c r="A260" s="360"/>
      <c r="B260" s="199" t="s">
        <v>215</v>
      </c>
      <c r="C260" s="200">
        <f t="shared" ref="C260:C270" ca="1" si="59">E259</f>
        <v>86.271518476690915</v>
      </c>
      <c r="D260" s="200">
        <f t="shared" ref="D260:D270" ca="1" si="60">$C$21*$I$258/12</f>
        <v>1.4622291267235719</v>
      </c>
      <c r="E260" s="200">
        <f t="shared" ca="1" si="57"/>
        <v>84.809289349967344</v>
      </c>
      <c r="F260" s="200">
        <f t="shared" ca="1" si="58"/>
        <v>0.78412036920551698</v>
      </c>
      <c r="G260" s="200"/>
      <c r="H260" s="234"/>
      <c r="I260" s="234"/>
    </row>
    <row r="261" spans="1:9" x14ac:dyDescent="0.25">
      <c r="A261" s="360"/>
      <c r="B261" s="199" t="s">
        <v>216</v>
      </c>
      <c r="C261" s="200">
        <f t="shared" ca="1" si="59"/>
        <v>84.809289349967344</v>
      </c>
      <c r="D261" s="200">
        <f t="shared" ca="1" si="60"/>
        <v>1.4622291267235719</v>
      </c>
      <c r="E261" s="200">
        <f t="shared" ca="1" si="57"/>
        <v>83.347060223243773</v>
      </c>
      <c r="F261" s="200">
        <f t="shared" ca="1" si="58"/>
        <v>0.77071660221055094</v>
      </c>
      <c r="G261" s="200"/>
      <c r="H261" s="234"/>
      <c r="I261" s="234"/>
    </row>
    <row r="262" spans="1:9" x14ac:dyDescent="0.25">
      <c r="A262" s="360"/>
      <c r="B262" s="199" t="s">
        <v>217</v>
      </c>
      <c r="C262" s="200">
        <f t="shared" ca="1" si="59"/>
        <v>83.347060223243773</v>
      </c>
      <c r="D262" s="200">
        <f t="shared" ca="1" si="60"/>
        <v>1.4622291267235719</v>
      </c>
      <c r="E262" s="200">
        <f t="shared" ca="1" si="57"/>
        <v>81.884831096520202</v>
      </c>
      <c r="F262" s="200">
        <f t="shared" ca="1" si="58"/>
        <v>0.7573128352155849</v>
      </c>
      <c r="G262" s="200"/>
      <c r="H262" s="234"/>
      <c r="I262" s="234"/>
    </row>
    <row r="263" spans="1:9" x14ac:dyDescent="0.25">
      <c r="A263" s="360"/>
      <c r="B263" s="199" t="s">
        <v>218</v>
      </c>
      <c r="C263" s="200">
        <f t="shared" ca="1" si="59"/>
        <v>81.884831096520202</v>
      </c>
      <c r="D263" s="200">
        <f t="shared" ca="1" si="60"/>
        <v>1.4622291267235719</v>
      </c>
      <c r="E263" s="200">
        <f t="shared" ca="1" si="57"/>
        <v>80.422601969796631</v>
      </c>
      <c r="F263" s="200">
        <f t="shared" ca="1" si="58"/>
        <v>0.74390906822061886</v>
      </c>
      <c r="G263" s="200"/>
      <c r="H263" s="234"/>
      <c r="I263" s="234"/>
    </row>
    <row r="264" spans="1:9" x14ac:dyDescent="0.25">
      <c r="A264" s="360"/>
      <c r="B264" s="199" t="s">
        <v>219</v>
      </c>
      <c r="C264" s="200">
        <f t="shared" ca="1" si="59"/>
        <v>80.422601969796631</v>
      </c>
      <c r="D264" s="200">
        <f t="shared" ca="1" si="60"/>
        <v>1.4622291267235719</v>
      </c>
      <c r="E264" s="200">
        <f t="shared" ca="1" si="57"/>
        <v>78.96037284307306</v>
      </c>
      <c r="F264" s="200">
        <f t="shared" ca="1" si="58"/>
        <v>0.73050530122565283</v>
      </c>
      <c r="G264" s="200"/>
      <c r="H264" s="234"/>
      <c r="I264" s="234"/>
    </row>
    <row r="265" spans="1:9" x14ac:dyDescent="0.25">
      <c r="A265" s="360"/>
      <c r="B265" s="199" t="s">
        <v>220</v>
      </c>
      <c r="C265" s="200">
        <f t="shared" ca="1" si="59"/>
        <v>78.96037284307306</v>
      </c>
      <c r="D265" s="200">
        <f t="shared" ca="1" si="60"/>
        <v>1.4622291267235719</v>
      </c>
      <c r="E265" s="200">
        <f t="shared" ca="1" si="57"/>
        <v>77.498143716349489</v>
      </c>
      <c r="F265" s="200">
        <f t="shared" ca="1" si="58"/>
        <v>0.71710153423068668</v>
      </c>
      <c r="G265" s="200"/>
      <c r="H265" s="234"/>
      <c r="I265" s="234"/>
    </row>
    <row r="266" spans="1:9" x14ac:dyDescent="0.25">
      <c r="A266" s="360"/>
      <c r="B266" s="199" t="s">
        <v>221</v>
      </c>
      <c r="C266" s="200">
        <f t="shared" ca="1" si="59"/>
        <v>77.498143716349489</v>
      </c>
      <c r="D266" s="200">
        <f t="shared" ca="1" si="60"/>
        <v>1.4622291267235719</v>
      </c>
      <c r="E266" s="200">
        <f t="shared" ca="1" si="57"/>
        <v>76.035914589625918</v>
      </c>
      <c r="F266" s="200">
        <f t="shared" ca="1" si="58"/>
        <v>0.70369776723572064</v>
      </c>
      <c r="G266" s="200"/>
      <c r="H266" s="234"/>
      <c r="I266" s="234"/>
    </row>
    <row r="267" spans="1:9" x14ac:dyDescent="0.25">
      <c r="A267" s="360"/>
      <c r="B267" s="199" t="s">
        <v>222</v>
      </c>
      <c r="C267" s="200">
        <f t="shared" ca="1" si="59"/>
        <v>76.035914589625918</v>
      </c>
      <c r="D267" s="200">
        <f t="shared" ca="1" si="60"/>
        <v>1.4622291267235719</v>
      </c>
      <c r="E267" s="200">
        <f t="shared" ca="1" si="57"/>
        <v>74.573685462902347</v>
      </c>
      <c r="F267" s="200">
        <f t="shared" ca="1" si="58"/>
        <v>0.6902940002407546</v>
      </c>
      <c r="G267" s="200"/>
      <c r="H267" s="234"/>
      <c r="I267" s="234"/>
    </row>
    <row r="268" spans="1:9" x14ac:dyDescent="0.25">
      <c r="A268" s="360"/>
      <c r="B268" s="199" t="s">
        <v>224</v>
      </c>
      <c r="C268" s="200">
        <f t="shared" ca="1" si="59"/>
        <v>74.573685462902347</v>
      </c>
      <c r="D268" s="200">
        <f t="shared" ca="1" si="60"/>
        <v>1.4622291267235719</v>
      </c>
      <c r="E268" s="200">
        <f t="shared" ca="1" si="57"/>
        <v>73.111456336178776</v>
      </c>
      <c r="F268" s="200">
        <f t="shared" ca="1" si="58"/>
        <v>0.67689023324578856</v>
      </c>
      <c r="G268" s="200"/>
      <c r="H268" s="234"/>
      <c r="I268" s="234"/>
    </row>
    <row r="269" spans="1:9" x14ac:dyDescent="0.25">
      <c r="A269" s="360"/>
      <c r="B269" s="199" t="s">
        <v>225</v>
      </c>
      <c r="C269" s="200">
        <f t="shared" ca="1" si="59"/>
        <v>73.111456336178776</v>
      </c>
      <c r="D269" s="200">
        <f t="shared" ca="1" si="60"/>
        <v>1.4622291267235719</v>
      </c>
      <c r="E269" s="200">
        <f t="shared" ca="1" si="57"/>
        <v>71.649227209455205</v>
      </c>
      <c r="F269" s="200">
        <f t="shared" ca="1" si="58"/>
        <v>0.66348646625082242</v>
      </c>
      <c r="G269" s="200"/>
      <c r="H269" s="234"/>
      <c r="I269" s="234"/>
    </row>
    <row r="270" spans="1:9" x14ac:dyDescent="0.25">
      <c r="A270" s="360"/>
      <c r="B270" s="199" t="s">
        <v>226</v>
      </c>
      <c r="C270" s="200">
        <f t="shared" ca="1" si="59"/>
        <v>71.649227209455205</v>
      </c>
      <c r="D270" s="200">
        <f t="shared" ca="1" si="60"/>
        <v>1.4622291267235719</v>
      </c>
      <c r="E270" s="200">
        <f t="shared" ca="1" si="57"/>
        <v>70.186998082731634</v>
      </c>
      <c r="F270" s="200">
        <f t="shared" ca="1" si="58"/>
        <v>0.65008269925585638</v>
      </c>
      <c r="G270" s="200"/>
      <c r="H270" s="234"/>
      <c r="I270" s="234"/>
    </row>
    <row r="271" spans="1:9" x14ac:dyDescent="0.25">
      <c r="A271" s="360">
        <f>A258+1</f>
        <v>17</v>
      </c>
      <c r="B271" s="181" t="s">
        <v>248</v>
      </c>
      <c r="C271" s="182"/>
      <c r="D271" s="181"/>
      <c r="E271" s="182"/>
      <c r="F271" s="182"/>
      <c r="G271" s="182"/>
      <c r="H271" s="223"/>
      <c r="I271" s="223">
        <v>0.05</v>
      </c>
    </row>
    <row r="272" spans="1:9" x14ac:dyDescent="0.25">
      <c r="A272" s="360"/>
      <c r="B272" s="183" t="s">
        <v>214</v>
      </c>
      <c r="C272" s="184">
        <f ca="1">E270</f>
        <v>70.186998082731634</v>
      </c>
      <c r="D272" s="184">
        <f ca="1">$C$21*$I$271/12</f>
        <v>1.4622291267235719</v>
      </c>
      <c r="E272" s="184">
        <f t="shared" ref="E272:E283" ca="1" si="61">C272-D272</f>
        <v>68.724768956008063</v>
      </c>
      <c r="F272" s="184">
        <f t="shared" ref="F272:F283" ca="1" si="62">AVERAGE(C272,E272)*$C$22/12</f>
        <v>0.63667893226089023</v>
      </c>
      <c r="G272" s="184"/>
      <c r="H272" s="224"/>
      <c r="I272" s="224"/>
    </row>
    <row r="273" spans="1:9" x14ac:dyDescent="0.25">
      <c r="A273" s="360"/>
      <c r="B273" s="183" t="s">
        <v>215</v>
      </c>
      <c r="C273" s="184">
        <f t="shared" ref="C273:C283" ca="1" si="63">E272</f>
        <v>68.724768956008063</v>
      </c>
      <c r="D273" s="184">
        <f t="shared" ref="D273:D283" ca="1" si="64">$C$21*$I$271/12</f>
        <v>1.4622291267235719</v>
      </c>
      <c r="E273" s="184">
        <f t="shared" ca="1" si="61"/>
        <v>67.262539829284492</v>
      </c>
      <c r="F273" s="184">
        <f t="shared" ca="1" si="62"/>
        <v>0.62327516526592419</v>
      </c>
      <c r="G273" s="184"/>
      <c r="H273" s="224"/>
      <c r="I273" s="224"/>
    </row>
    <row r="274" spans="1:9" x14ac:dyDescent="0.25">
      <c r="A274" s="360"/>
      <c r="B274" s="183" t="s">
        <v>216</v>
      </c>
      <c r="C274" s="184">
        <f t="shared" ca="1" si="63"/>
        <v>67.262539829284492</v>
      </c>
      <c r="D274" s="184">
        <f t="shared" ca="1" si="64"/>
        <v>1.4622291267235719</v>
      </c>
      <c r="E274" s="184">
        <f t="shared" ca="1" si="61"/>
        <v>65.800310702560921</v>
      </c>
      <c r="F274" s="184">
        <f t="shared" ca="1" si="62"/>
        <v>0.60987139827095815</v>
      </c>
      <c r="G274" s="184"/>
      <c r="H274" s="224"/>
      <c r="I274" s="224"/>
    </row>
    <row r="275" spans="1:9" x14ac:dyDescent="0.25">
      <c r="A275" s="360"/>
      <c r="B275" s="183" t="s">
        <v>217</v>
      </c>
      <c r="C275" s="184">
        <f t="shared" ca="1" si="63"/>
        <v>65.800310702560921</v>
      </c>
      <c r="D275" s="184">
        <f t="shared" ca="1" si="64"/>
        <v>1.4622291267235719</v>
      </c>
      <c r="E275" s="184">
        <f t="shared" ca="1" si="61"/>
        <v>64.33808157583735</v>
      </c>
      <c r="F275" s="184">
        <f t="shared" ca="1" si="62"/>
        <v>0.59646763127599212</v>
      </c>
      <c r="G275" s="184"/>
      <c r="H275" s="224"/>
      <c r="I275" s="224"/>
    </row>
    <row r="276" spans="1:9" x14ac:dyDescent="0.25">
      <c r="A276" s="360"/>
      <c r="B276" s="183" t="s">
        <v>218</v>
      </c>
      <c r="C276" s="184">
        <f t="shared" ca="1" si="63"/>
        <v>64.33808157583735</v>
      </c>
      <c r="D276" s="184">
        <f t="shared" ca="1" si="64"/>
        <v>1.4622291267235719</v>
      </c>
      <c r="E276" s="184">
        <f t="shared" ca="1" si="61"/>
        <v>62.875852449113779</v>
      </c>
      <c r="F276" s="184">
        <f t="shared" ca="1" si="62"/>
        <v>0.58306386428102608</v>
      </c>
      <c r="G276" s="184"/>
      <c r="H276" s="224"/>
      <c r="I276" s="224"/>
    </row>
    <row r="277" spans="1:9" x14ac:dyDescent="0.25">
      <c r="A277" s="360"/>
      <c r="B277" s="183" t="s">
        <v>219</v>
      </c>
      <c r="C277" s="184">
        <f t="shared" ca="1" si="63"/>
        <v>62.875852449113779</v>
      </c>
      <c r="D277" s="184">
        <f t="shared" ca="1" si="64"/>
        <v>1.4622291267235719</v>
      </c>
      <c r="E277" s="184">
        <f t="shared" ca="1" si="61"/>
        <v>61.413623322390208</v>
      </c>
      <c r="F277" s="184">
        <f t="shared" ca="1" si="62"/>
        <v>0.56966009728605993</v>
      </c>
      <c r="G277" s="184"/>
      <c r="H277" s="224"/>
      <c r="I277" s="224"/>
    </row>
    <row r="278" spans="1:9" x14ac:dyDescent="0.25">
      <c r="A278" s="360"/>
      <c r="B278" s="183" t="s">
        <v>220</v>
      </c>
      <c r="C278" s="184">
        <f t="shared" ca="1" si="63"/>
        <v>61.413623322390208</v>
      </c>
      <c r="D278" s="184">
        <f t="shared" ca="1" si="64"/>
        <v>1.4622291267235719</v>
      </c>
      <c r="E278" s="184">
        <f t="shared" ca="1" si="61"/>
        <v>59.951394195666637</v>
      </c>
      <c r="F278" s="184">
        <f t="shared" ca="1" si="62"/>
        <v>0.55625633029109389</v>
      </c>
      <c r="G278" s="184"/>
      <c r="H278" s="224"/>
      <c r="I278" s="224"/>
    </row>
    <row r="279" spans="1:9" x14ac:dyDescent="0.25">
      <c r="A279" s="360"/>
      <c r="B279" s="183" t="s">
        <v>221</v>
      </c>
      <c r="C279" s="184">
        <f t="shared" ca="1" si="63"/>
        <v>59.951394195666637</v>
      </c>
      <c r="D279" s="184">
        <f t="shared" ca="1" si="64"/>
        <v>1.4622291267235719</v>
      </c>
      <c r="E279" s="184">
        <f t="shared" ca="1" si="61"/>
        <v>58.489165068943066</v>
      </c>
      <c r="F279" s="184">
        <f t="shared" ca="1" si="62"/>
        <v>0.54285256329612774</v>
      </c>
      <c r="G279" s="184"/>
      <c r="H279" s="224"/>
      <c r="I279" s="224"/>
    </row>
    <row r="280" spans="1:9" x14ac:dyDescent="0.25">
      <c r="A280" s="360"/>
      <c r="B280" s="183" t="s">
        <v>222</v>
      </c>
      <c r="C280" s="184">
        <f t="shared" ca="1" si="63"/>
        <v>58.489165068943066</v>
      </c>
      <c r="D280" s="184">
        <f t="shared" ca="1" si="64"/>
        <v>1.4622291267235719</v>
      </c>
      <c r="E280" s="184">
        <f t="shared" ca="1" si="61"/>
        <v>57.026935942219495</v>
      </c>
      <c r="F280" s="184">
        <f t="shared" ca="1" si="62"/>
        <v>0.52944879630116171</v>
      </c>
      <c r="G280" s="184"/>
      <c r="H280" s="224"/>
      <c r="I280" s="224"/>
    </row>
    <row r="281" spans="1:9" x14ac:dyDescent="0.25">
      <c r="A281" s="360"/>
      <c r="B281" s="183" t="s">
        <v>224</v>
      </c>
      <c r="C281" s="184">
        <f t="shared" ca="1" si="63"/>
        <v>57.026935942219495</v>
      </c>
      <c r="D281" s="184">
        <f t="shared" ca="1" si="64"/>
        <v>1.4622291267235719</v>
      </c>
      <c r="E281" s="184">
        <f t="shared" ca="1" si="61"/>
        <v>55.564706815495924</v>
      </c>
      <c r="F281" s="184">
        <f t="shared" ca="1" si="62"/>
        <v>0.51604502930619567</v>
      </c>
      <c r="G281" s="184"/>
      <c r="H281" s="224"/>
      <c r="I281" s="224"/>
    </row>
    <row r="282" spans="1:9" x14ac:dyDescent="0.25">
      <c r="A282" s="360"/>
      <c r="B282" s="183" t="s">
        <v>225</v>
      </c>
      <c r="C282" s="184">
        <f t="shared" ca="1" si="63"/>
        <v>55.564706815495924</v>
      </c>
      <c r="D282" s="184">
        <f t="shared" ca="1" si="64"/>
        <v>1.4622291267235719</v>
      </c>
      <c r="E282" s="184">
        <f t="shared" ca="1" si="61"/>
        <v>54.102477688772353</v>
      </c>
      <c r="F282" s="184">
        <f t="shared" ca="1" si="62"/>
        <v>0.50264126231122963</v>
      </c>
      <c r="G282" s="184"/>
      <c r="H282" s="224"/>
      <c r="I282" s="224"/>
    </row>
    <row r="283" spans="1:9" x14ac:dyDescent="0.25">
      <c r="A283" s="360"/>
      <c r="B283" s="183" t="s">
        <v>226</v>
      </c>
      <c r="C283" s="184">
        <f t="shared" ca="1" si="63"/>
        <v>54.102477688772353</v>
      </c>
      <c r="D283" s="184">
        <f t="shared" ca="1" si="64"/>
        <v>1.4622291267235719</v>
      </c>
      <c r="E283" s="184">
        <f t="shared" ca="1" si="61"/>
        <v>52.640248562048782</v>
      </c>
      <c r="F283" s="184">
        <f t="shared" ca="1" si="62"/>
        <v>0.48923749531626354</v>
      </c>
      <c r="G283" s="184"/>
      <c r="H283" s="224"/>
      <c r="I283" s="224"/>
    </row>
    <row r="284" spans="1:9" x14ac:dyDescent="0.25">
      <c r="A284" s="360">
        <f>A271+1</f>
        <v>18</v>
      </c>
      <c r="B284" s="189" t="s">
        <v>249</v>
      </c>
      <c r="C284" s="190"/>
      <c r="D284" s="189"/>
      <c r="E284" s="190"/>
      <c r="F284" s="190"/>
      <c r="G284" s="190"/>
      <c r="H284" s="227"/>
      <c r="I284" s="227">
        <v>0.05</v>
      </c>
    </row>
    <row r="285" spans="1:9" x14ac:dyDescent="0.25">
      <c r="A285" s="360"/>
      <c r="B285" s="191" t="s">
        <v>214</v>
      </c>
      <c r="C285" s="192">
        <f ca="1">E283</f>
        <v>52.640248562048782</v>
      </c>
      <c r="D285" s="192">
        <f ca="1">$C$21*$I$284/12</f>
        <v>1.4622291267235719</v>
      </c>
      <c r="E285" s="192">
        <f t="shared" ref="E285:E296" ca="1" si="65">C285-D285</f>
        <v>51.178019435325211</v>
      </c>
      <c r="F285" s="192">
        <f t="shared" ref="F285:F296" ca="1" si="66">AVERAGE(C285,E285)*$C$22/12</f>
        <v>0.47583372832129744</v>
      </c>
      <c r="G285" s="192"/>
      <c r="H285" s="228"/>
      <c r="I285" s="228"/>
    </row>
    <row r="286" spans="1:9" x14ac:dyDescent="0.25">
      <c r="A286" s="360"/>
      <c r="B286" s="191" t="s">
        <v>215</v>
      </c>
      <c r="C286" s="192">
        <f t="shared" ref="C286:C296" ca="1" si="67">E285</f>
        <v>51.178019435325211</v>
      </c>
      <c r="D286" s="192">
        <f t="shared" ref="D286:D296" ca="1" si="68">$C$21*$I$284/12</f>
        <v>1.4622291267235719</v>
      </c>
      <c r="E286" s="192">
        <f t="shared" ca="1" si="65"/>
        <v>49.71579030860164</v>
      </c>
      <c r="F286" s="192">
        <f t="shared" ca="1" si="66"/>
        <v>0.46242996132633141</v>
      </c>
      <c r="G286" s="192"/>
      <c r="H286" s="228"/>
      <c r="I286" s="228"/>
    </row>
    <row r="287" spans="1:9" x14ac:dyDescent="0.25">
      <c r="A287" s="360"/>
      <c r="B287" s="191" t="s">
        <v>216</v>
      </c>
      <c r="C287" s="192">
        <f t="shared" ca="1" si="67"/>
        <v>49.71579030860164</v>
      </c>
      <c r="D287" s="192">
        <f t="shared" ca="1" si="68"/>
        <v>1.4622291267235719</v>
      </c>
      <c r="E287" s="192">
        <f t="shared" ca="1" si="65"/>
        <v>48.253561181878069</v>
      </c>
      <c r="F287" s="192">
        <f t="shared" ca="1" si="66"/>
        <v>0.44902619433136537</v>
      </c>
      <c r="G287" s="192"/>
      <c r="H287" s="228"/>
      <c r="I287" s="228"/>
    </row>
    <row r="288" spans="1:9" x14ac:dyDescent="0.25">
      <c r="A288" s="360"/>
      <c r="B288" s="191" t="s">
        <v>217</v>
      </c>
      <c r="C288" s="192">
        <f t="shared" ca="1" si="67"/>
        <v>48.253561181878069</v>
      </c>
      <c r="D288" s="192">
        <f t="shared" ca="1" si="68"/>
        <v>1.4622291267235719</v>
      </c>
      <c r="E288" s="192">
        <f t="shared" ca="1" si="65"/>
        <v>46.791332055154498</v>
      </c>
      <c r="F288" s="192">
        <f t="shared" ca="1" si="66"/>
        <v>0.43562242733639928</v>
      </c>
      <c r="G288" s="192"/>
      <c r="H288" s="228"/>
      <c r="I288" s="228"/>
    </row>
    <row r="289" spans="1:9" x14ac:dyDescent="0.25">
      <c r="A289" s="360"/>
      <c r="B289" s="191" t="s">
        <v>218</v>
      </c>
      <c r="C289" s="192">
        <f t="shared" ca="1" si="67"/>
        <v>46.791332055154498</v>
      </c>
      <c r="D289" s="192">
        <f t="shared" ca="1" si="68"/>
        <v>1.4622291267235719</v>
      </c>
      <c r="E289" s="192">
        <f t="shared" ca="1" si="65"/>
        <v>45.329102928430927</v>
      </c>
      <c r="F289" s="192">
        <f t="shared" ca="1" si="66"/>
        <v>0.42221866034143324</v>
      </c>
      <c r="G289" s="192"/>
      <c r="H289" s="228"/>
      <c r="I289" s="228"/>
    </row>
    <row r="290" spans="1:9" x14ac:dyDescent="0.25">
      <c r="A290" s="360"/>
      <c r="B290" s="191" t="s">
        <v>219</v>
      </c>
      <c r="C290" s="192">
        <f t="shared" ca="1" si="67"/>
        <v>45.329102928430927</v>
      </c>
      <c r="D290" s="192">
        <f t="shared" ca="1" si="68"/>
        <v>1.4622291267235719</v>
      </c>
      <c r="E290" s="192">
        <f t="shared" ca="1" si="65"/>
        <v>43.866873801707357</v>
      </c>
      <c r="F290" s="192">
        <f t="shared" ca="1" si="66"/>
        <v>0.40881489334646709</v>
      </c>
      <c r="G290" s="192"/>
      <c r="H290" s="228"/>
      <c r="I290" s="228"/>
    </row>
    <row r="291" spans="1:9" x14ac:dyDescent="0.25">
      <c r="A291" s="360"/>
      <c r="B291" s="191" t="s">
        <v>220</v>
      </c>
      <c r="C291" s="192">
        <f t="shared" ca="1" si="67"/>
        <v>43.866873801707357</v>
      </c>
      <c r="D291" s="192">
        <f t="shared" ca="1" si="68"/>
        <v>1.4622291267235719</v>
      </c>
      <c r="E291" s="192">
        <f t="shared" ca="1" si="65"/>
        <v>42.404644674983786</v>
      </c>
      <c r="F291" s="192">
        <f t="shared" ca="1" si="66"/>
        <v>0.39541112635150105</v>
      </c>
      <c r="G291" s="192"/>
      <c r="H291" s="228"/>
      <c r="I291" s="228"/>
    </row>
    <row r="292" spans="1:9" x14ac:dyDescent="0.25">
      <c r="A292" s="360"/>
      <c r="B292" s="191" t="s">
        <v>221</v>
      </c>
      <c r="C292" s="192">
        <f t="shared" ca="1" si="67"/>
        <v>42.404644674983786</v>
      </c>
      <c r="D292" s="192">
        <f t="shared" ca="1" si="68"/>
        <v>1.4622291267235719</v>
      </c>
      <c r="E292" s="192">
        <f t="shared" ca="1" si="65"/>
        <v>40.942415548260215</v>
      </c>
      <c r="F292" s="192">
        <f t="shared" ca="1" si="66"/>
        <v>0.38200735935653501</v>
      </c>
      <c r="G292" s="192"/>
      <c r="H292" s="228"/>
      <c r="I292" s="228"/>
    </row>
    <row r="293" spans="1:9" x14ac:dyDescent="0.25">
      <c r="A293" s="360"/>
      <c r="B293" s="191" t="s">
        <v>222</v>
      </c>
      <c r="C293" s="192">
        <f t="shared" ca="1" si="67"/>
        <v>40.942415548260215</v>
      </c>
      <c r="D293" s="192">
        <f t="shared" ca="1" si="68"/>
        <v>1.4622291267235719</v>
      </c>
      <c r="E293" s="192">
        <f t="shared" ca="1" si="65"/>
        <v>39.480186421536644</v>
      </c>
      <c r="F293" s="192">
        <f t="shared" ca="1" si="66"/>
        <v>0.36860359236156892</v>
      </c>
      <c r="G293" s="192"/>
      <c r="H293" s="228"/>
      <c r="I293" s="228"/>
    </row>
    <row r="294" spans="1:9" x14ac:dyDescent="0.25">
      <c r="A294" s="360"/>
      <c r="B294" s="191" t="s">
        <v>224</v>
      </c>
      <c r="C294" s="192">
        <f t="shared" ca="1" si="67"/>
        <v>39.480186421536644</v>
      </c>
      <c r="D294" s="192">
        <f t="shared" ca="1" si="68"/>
        <v>1.4622291267235719</v>
      </c>
      <c r="E294" s="192">
        <f t="shared" ca="1" si="65"/>
        <v>38.017957294813073</v>
      </c>
      <c r="F294" s="192">
        <f t="shared" ca="1" si="66"/>
        <v>0.35519982536660288</v>
      </c>
      <c r="G294" s="192"/>
      <c r="H294" s="228"/>
      <c r="I294" s="228"/>
    </row>
    <row r="295" spans="1:9" x14ac:dyDescent="0.25">
      <c r="A295" s="360"/>
      <c r="B295" s="191" t="s">
        <v>225</v>
      </c>
      <c r="C295" s="192">
        <f t="shared" ca="1" si="67"/>
        <v>38.017957294813073</v>
      </c>
      <c r="D295" s="192">
        <f t="shared" ca="1" si="68"/>
        <v>1.4622291267235719</v>
      </c>
      <c r="E295" s="192">
        <f t="shared" ca="1" si="65"/>
        <v>36.555728168089502</v>
      </c>
      <c r="F295" s="192">
        <f t="shared" ca="1" si="66"/>
        <v>0.34179605837163679</v>
      </c>
      <c r="G295" s="192"/>
      <c r="H295" s="228"/>
      <c r="I295" s="228"/>
    </row>
    <row r="296" spans="1:9" x14ac:dyDescent="0.25">
      <c r="A296" s="360"/>
      <c r="B296" s="191" t="s">
        <v>226</v>
      </c>
      <c r="C296" s="192">
        <f t="shared" ca="1" si="67"/>
        <v>36.555728168089502</v>
      </c>
      <c r="D296" s="192">
        <f t="shared" ca="1" si="68"/>
        <v>1.4622291267235719</v>
      </c>
      <c r="E296" s="192">
        <f t="shared" ca="1" si="65"/>
        <v>35.093499041365931</v>
      </c>
      <c r="F296" s="192">
        <f t="shared" ca="1" si="66"/>
        <v>0.32839229137667075</v>
      </c>
      <c r="G296" s="192"/>
      <c r="H296" s="228"/>
      <c r="I296" s="228"/>
    </row>
    <row r="297" spans="1:9" x14ac:dyDescent="0.25">
      <c r="A297" s="360">
        <f>A284+1</f>
        <v>19</v>
      </c>
      <c r="B297" s="205" t="s">
        <v>250</v>
      </c>
      <c r="C297" s="206"/>
      <c r="D297" s="205"/>
      <c r="E297" s="206"/>
      <c r="F297" s="206"/>
      <c r="G297" s="206"/>
      <c r="H297" s="237"/>
      <c r="I297" s="237">
        <v>0.05</v>
      </c>
    </row>
    <row r="298" spans="1:9" x14ac:dyDescent="0.25">
      <c r="A298" s="360"/>
      <c r="B298" s="207" t="s">
        <v>214</v>
      </c>
      <c r="C298" s="208">
        <f ca="1">E296</f>
        <v>35.093499041365931</v>
      </c>
      <c r="D298" s="208">
        <f ca="1">$C$21*$I$297/12</f>
        <v>1.4622291267235719</v>
      </c>
      <c r="E298" s="208">
        <f t="shared" ref="E298:E309" ca="1" si="69">C298-D298</f>
        <v>33.63126991464236</v>
      </c>
      <c r="F298" s="208">
        <f t="shared" ref="F298:F309" ca="1" si="70">AVERAGE(C298,E298)*$C$22/12</f>
        <v>0.31498852438170466</v>
      </c>
      <c r="G298" s="208"/>
      <c r="H298" s="238"/>
      <c r="I298" s="238"/>
    </row>
    <row r="299" spans="1:9" x14ac:dyDescent="0.25">
      <c r="A299" s="360"/>
      <c r="B299" s="207" t="s">
        <v>215</v>
      </c>
      <c r="C299" s="208">
        <f t="shared" ref="C299:C309" ca="1" si="71">E298</f>
        <v>33.63126991464236</v>
      </c>
      <c r="D299" s="208">
        <f t="shared" ref="D299:D309" ca="1" si="72">$C$21*$I$297/12</f>
        <v>1.4622291267235719</v>
      </c>
      <c r="E299" s="208">
        <f t="shared" ca="1" si="69"/>
        <v>32.169040787918789</v>
      </c>
      <c r="F299" s="208">
        <f t="shared" ca="1" si="70"/>
        <v>0.30158475738673857</v>
      </c>
      <c r="G299" s="208"/>
      <c r="H299" s="238"/>
      <c r="I299" s="238"/>
    </row>
    <row r="300" spans="1:9" x14ac:dyDescent="0.25">
      <c r="A300" s="360"/>
      <c r="B300" s="207" t="s">
        <v>216</v>
      </c>
      <c r="C300" s="208">
        <f t="shared" ca="1" si="71"/>
        <v>32.169040787918789</v>
      </c>
      <c r="D300" s="208">
        <f t="shared" ca="1" si="72"/>
        <v>1.4622291267235719</v>
      </c>
      <c r="E300" s="208">
        <f t="shared" ca="1" si="69"/>
        <v>30.706811661195218</v>
      </c>
      <c r="F300" s="208">
        <f t="shared" ca="1" si="70"/>
        <v>0.28818099039177253</v>
      </c>
      <c r="G300" s="208"/>
      <c r="H300" s="238"/>
      <c r="I300" s="238"/>
    </row>
    <row r="301" spans="1:9" x14ac:dyDescent="0.25">
      <c r="A301" s="360"/>
      <c r="B301" s="207" t="s">
        <v>217</v>
      </c>
      <c r="C301" s="208">
        <f t="shared" ca="1" si="71"/>
        <v>30.706811661195218</v>
      </c>
      <c r="D301" s="208">
        <f t="shared" ca="1" si="72"/>
        <v>1.4622291267235719</v>
      </c>
      <c r="E301" s="208">
        <f t="shared" ca="1" si="69"/>
        <v>29.244582534471647</v>
      </c>
      <c r="F301" s="208">
        <f t="shared" ca="1" si="70"/>
        <v>0.27477722339680649</v>
      </c>
      <c r="G301" s="208"/>
      <c r="H301" s="238"/>
      <c r="I301" s="238"/>
    </row>
    <row r="302" spans="1:9" x14ac:dyDescent="0.25">
      <c r="A302" s="360"/>
      <c r="B302" s="207" t="s">
        <v>218</v>
      </c>
      <c r="C302" s="208">
        <f t="shared" ca="1" si="71"/>
        <v>29.244582534471647</v>
      </c>
      <c r="D302" s="208">
        <f t="shared" ca="1" si="72"/>
        <v>1.4622291267235719</v>
      </c>
      <c r="E302" s="208">
        <f t="shared" ca="1" si="69"/>
        <v>27.782353407748076</v>
      </c>
      <c r="F302" s="208">
        <f t="shared" ca="1" si="70"/>
        <v>0.2613734564018404</v>
      </c>
      <c r="G302" s="208"/>
      <c r="H302" s="238"/>
      <c r="I302" s="238"/>
    </row>
    <row r="303" spans="1:9" x14ac:dyDescent="0.25">
      <c r="A303" s="360"/>
      <c r="B303" s="207" t="s">
        <v>219</v>
      </c>
      <c r="C303" s="208">
        <f t="shared" ca="1" si="71"/>
        <v>27.782353407748076</v>
      </c>
      <c r="D303" s="208">
        <f t="shared" ca="1" si="72"/>
        <v>1.4622291267235719</v>
      </c>
      <c r="E303" s="208">
        <f t="shared" ca="1" si="69"/>
        <v>26.320124281024505</v>
      </c>
      <c r="F303" s="208">
        <f t="shared" ca="1" si="70"/>
        <v>0.24796968940687433</v>
      </c>
      <c r="G303" s="208"/>
      <c r="H303" s="238"/>
      <c r="I303" s="238"/>
    </row>
    <row r="304" spans="1:9" x14ac:dyDescent="0.25">
      <c r="A304" s="360"/>
      <c r="B304" s="207" t="s">
        <v>220</v>
      </c>
      <c r="C304" s="208">
        <f t="shared" ca="1" si="71"/>
        <v>26.320124281024505</v>
      </c>
      <c r="D304" s="208">
        <f t="shared" ca="1" si="72"/>
        <v>1.4622291267235719</v>
      </c>
      <c r="E304" s="208">
        <f t="shared" ca="1" si="69"/>
        <v>24.857895154300934</v>
      </c>
      <c r="F304" s="208">
        <f t="shared" ca="1" si="70"/>
        <v>0.23456592241190824</v>
      </c>
      <c r="G304" s="208"/>
      <c r="H304" s="238"/>
      <c r="I304" s="238"/>
    </row>
    <row r="305" spans="1:9" x14ac:dyDescent="0.25">
      <c r="A305" s="360"/>
      <c r="B305" s="207" t="s">
        <v>221</v>
      </c>
      <c r="C305" s="208">
        <f t="shared" ca="1" si="71"/>
        <v>24.857895154300934</v>
      </c>
      <c r="D305" s="208">
        <f t="shared" ca="1" si="72"/>
        <v>1.4622291267235719</v>
      </c>
      <c r="E305" s="208">
        <f t="shared" ca="1" si="69"/>
        <v>23.395666027577363</v>
      </c>
      <c r="F305" s="208">
        <f t="shared" ca="1" si="70"/>
        <v>0.2211621554169422</v>
      </c>
      <c r="G305" s="208"/>
      <c r="H305" s="238"/>
      <c r="I305" s="238"/>
    </row>
    <row r="306" spans="1:9" x14ac:dyDescent="0.25">
      <c r="A306" s="360"/>
      <c r="B306" s="207" t="s">
        <v>222</v>
      </c>
      <c r="C306" s="208">
        <f t="shared" ca="1" si="71"/>
        <v>23.395666027577363</v>
      </c>
      <c r="D306" s="208">
        <f t="shared" ca="1" si="72"/>
        <v>1.4622291267235719</v>
      </c>
      <c r="E306" s="208">
        <f t="shared" ca="1" si="69"/>
        <v>21.933436900853792</v>
      </c>
      <c r="F306" s="208">
        <f t="shared" ca="1" si="70"/>
        <v>0.20775838842197614</v>
      </c>
      <c r="G306" s="208"/>
      <c r="H306" s="238"/>
      <c r="I306" s="238"/>
    </row>
    <row r="307" spans="1:9" x14ac:dyDescent="0.25">
      <c r="A307" s="360"/>
      <c r="B307" s="207" t="s">
        <v>224</v>
      </c>
      <c r="C307" s="208">
        <f t="shared" ca="1" si="71"/>
        <v>21.933436900853792</v>
      </c>
      <c r="D307" s="208">
        <f t="shared" ca="1" si="72"/>
        <v>1.4622291267235719</v>
      </c>
      <c r="E307" s="208">
        <f t="shared" ca="1" si="69"/>
        <v>20.471207774130221</v>
      </c>
      <c r="F307" s="208">
        <f t="shared" ca="1" si="70"/>
        <v>0.19435462142701007</v>
      </c>
      <c r="G307" s="208"/>
      <c r="H307" s="238"/>
      <c r="I307" s="238"/>
    </row>
    <row r="308" spans="1:9" x14ac:dyDescent="0.25">
      <c r="A308" s="360"/>
      <c r="B308" s="207" t="s">
        <v>225</v>
      </c>
      <c r="C308" s="208">
        <f t="shared" ca="1" si="71"/>
        <v>20.471207774130221</v>
      </c>
      <c r="D308" s="208">
        <f t="shared" ca="1" si="72"/>
        <v>1.4622291267235719</v>
      </c>
      <c r="E308" s="208">
        <f t="shared" ca="1" si="69"/>
        <v>19.00897864740665</v>
      </c>
      <c r="F308" s="208">
        <f t="shared" ca="1" si="70"/>
        <v>0.18095085443204398</v>
      </c>
      <c r="G308" s="208"/>
      <c r="H308" s="238"/>
      <c r="I308" s="238"/>
    </row>
    <row r="309" spans="1:9" x14ac:dyDescent="0.25">
      <c r="A309" s="360"/>
      <c r="B309" s="207" t="s">
        <v>226</v>
      </c>
      <c r="C309" s="208">
        <f t="shared" ca="1" si="71"/>
        <v>19.00897864740665</v>
      </c>
      <c r="D309" s="208">
        <f t="shared" ca="1" si="72"/>
        <v>1.4622291267235719</v>
      </c>
      <c r="E309" s="208">
        <f t="shared" ca="1" si="69"/>
        <v>17.546749520683079</v>
      </c>
      <c r="F309" s="208">
        <f t="shared" ca="1" si="70"/>
        <v>0.16754708743707791</v>
      </c>
      <c r="G309" s="208"/>
      <c r="H309" s="238"/>
      <c r="I309" s="238"/>
    </row>
    <row r="310" spans="1:9" x14ac:dyDescent="0.25">
      <c r="A310" s="360">
        <f>A297+1</f>
        <v>20</v>
      </c>
      <c r="B310" s="205" t="s">
        <v>296</v>
      </c>
      <c r="C310" s="206"/>
      <c r="D310" s="205"/>
      <c r="E310" s="206"/>
      <c r="F310" s="206"/>
      <c r="G310" s="206"/>
      <c r="H310" s="237"/>
      <c r="I310" s="237">
        <v>0.05</v>
      </c>
    </row>
    <row r="311" spans="1:9" x14ac:dyDescent="0.25">
      <c r="A311" s="360"/>
      <c r="B311" s="207" t="s">
        <v>214</v>
      </c>
      <c r="C311" s="208">
        <f ca="1">E309</f>
        <v>17.546749520683079</v>
      </c>
      <c r="D311" s="208">
        <f ca="1">$C$21*$I$297/12</f>
        <v>1.4622291267235719</v>
      </c>
      <c r="E311" s="208">
        <f t="shared" ref="E311:E321" ca="1" si="73">C311-D311</f>
        <v>16.084520393959508</v>
      </c>
      <c r="F311" s="208">
        <f t="shared" ref="F311:F322" ca="1" si="74">AVERAGE(C311,E311)*$C$22/12</f>
        <v>0.15414332044211185</v>
      </c>
      <c r="G311" s="208"/>
      <c r="H311" s="238"/>
      <c r="I311" s="238"/>
    </row>
    <row r="312" spans="1:9" x14ac:dyDescent="0.25">
      <c r="A312" s="360"/>
      <c r="B312" s="207" t="s">
        <v>215</v>
      </c>
      <c r="C312" s="208">
        <f t="shared" ref="C312:C322" ca="1" si="75">E311</f>
        <v>16.084520393959508</v>
      </c>
      <c r="D312" s="208">
        <f t="shared" ref="D312:D322" ca="1" si="76">$C$21*$I$297/12</f>
        <v>1.4622291267235719</v>
      </c>
      <c r="E312" s="208">
        <f t="shared" ca="1" si="73"/>
        <v>14.622291267235937</v>
      </c>
      <c r="F312" s="208">
        <f t="shared" ca="1" si="74"/>
        <v>0.14073955344714578</v>
      </c>
      <c r="G312" s="208"/>
      <c r="H312" s="238"/>
      <c r="I312" s="238"/>
    </row>
    <row r="313" spans="1:9" x14ac:dyDescent="0.25">
      <c r="A313" s="360"/>
      <c r="B313" s="207" t="s">
        <v>216</v>
      </c>
      <c r="C313" s="208">
        <f t="shared" ca="1" si="75"/>
        <v>14.622291267235937</v>
      </c>
      <c r="D313" s="208">
        <f t="shared" ca="1" si="76"/>
        <v>1.4622291267235719</v>
      </c>
      <c r="E313" s="208">
        <f t="shared" ca="1" si="73"/>
        <v>13.160062140512366</v>
      </c>
      <c r="F313" s="208">
        <f t="shared" ca="1" si="74"/>
        <v>0.12733578645217972</v>
      </c>
      <c r="G313" s="208"/>
      <c r="H313" s="238"/>
      <c r="I313" s="238"/>
    </row>
    <row r="314" spans="1:9" x14ac:dyDescent="0.25">
      <c r="A314" s="360"/>
      <c r="B314" s="207" t="s">
        <v>217</v>
      </c>
      <c r="C314" s="208">
        <f t="shared" ca="1" si="75"/>
        <v>13.160062140512366</v>
      </c>
      <c r="D314" s="208">
        <f t="shared" ca="1" si="76"/>
        <v>1.4622291267235719</v>
      </c>
      <c r="E314" s="208">
        <f t="shared" ca="1" si="73"/>
        <v>11.697833013788795</v>
      </c>
      <c r="F314" s="208">
        <f t="shared" ca="1" si="74"/>
        <v>0.11393201945721365</v>
      </c>
      <c r="G314" s="208"/>
      <c r="H314" s="238"/>
      <c r="I314" s="238"/>
    </row>
    <row r="315" spans="1:9" x14ac:dyDescent="0.25">
      <c r="A315" s="360"/>
      <c r="B315" s="207" t="s">
        <v>218</v>
      </c>
      <c r="C315" s="208">
        <f t="shared" ca="1" si="75"/>
        <v>11.697833013788795</v>
      </c>
      <c r="D315" s="208">
        <f t="shared" ca="1" si="76"/>
        <v>1.4622291267235719</v>
      </c>
      <c r="E315" s="208">
        <f t="shared" ca="1" si="73"/>
        <v>10.235603887065224</v>
      </c>
      <c r="F315" s="208">
        <f t="shared" ca="1" si="74"/>
        <v>0.1005282524622476</v>
      </c>
      <c r="G315" s="208"/>
      <c r="H315" s="238"/>
      <c r="I315" s="238"/>
    </row>
    <row r="316" spans="1:9" x14ac:dyDescent="0.25">
      <c r="A316" s="360"/>
      <c r="B316" s="207" t="s">
        <v>219</v>
      </c>
      <c r="C316" s="208">
        <f t="shared" ca="1" si="75"/>
        <v>10.235603887065224</v>
      </c>
      <c r="D316" s="208">
        <f t="shared" ca="1" si="76"/>
        <v>1.4622291267235719</v>
      </c>
      <c r="E316" s="208">
        <f t="shared" ca="1" si="73"/>
        <v>8.7733747603416532</v>
      </c>
      <c r="F316" s="208">
        <f t="shared" ca="1" si="74"/>
        <v>8.7124485467281521E-2</v>
      </c>
      <c r="G316" s="208"/>
      <c r="H316" s="238"/>
      <c r="I316" s="238"/>
    </row>
    <row r="317" spans="1:9" x14ac:dyDescent="0.25">
      <c r="A317" s="360"/>
      <c r="B317" s="207" t="s">
        <v>220</v>
      </c>
      <c r="C317" s="208">
        <f t="shared" ca="1" si="75"/>
        <v>8.7733747603416532</v>
      </c>
      <c r="D317" s="208">
        <f t="shared" ca="1" si="76"/>
        <v>1.4622291267235719</v>
      </c>
      <c r="E317" s="208">
        <f t="shared" ca="1" si="73"/>
        <v>7.3111456336180813</v>
      </c>
      <c r="F317" s="208">
        <f t="shared" ca="1" si="74"/>
        <v>7.3720718472315455E-2</v>
      </c>
      <c r="G317" s="208"/>
      <c r="H317" s="238"/>
      <c r="I317" s="238"/>
    </row>
    <row r="318" spans="1:9" x14ac:dyDescent="0.25">
      <c r="A318" s="360"/>
      <c r="B318" s="207" t="s">
        <v>221</v>
      </c>
      <c r="C318" s="208">
        <f t="shared" ca="1" si="75"/>
        <v>7.3111456336180813</v>
      </c>
      <c r="D318" s="208">
        <f t="shared" ca="1" si="76"/>
        <v>1.4622291267235719</v>
      </c>
      <c r="E318" s="208">
        <f t="shared" ca="1" si="73"/>
        <v>5.8489165068945095</v>
      </c>
      <c r="F318" s="208">
        <f t="shared" ca="1" si="74"/>
        <v>6.0316951477349369E-2</v>
      </c>
      <c r="G318" s="208"/>
      <c r="H318" s="238"/>
      <c r="I318" s="238"/>
    </row>
    <row r="319" spans="1:9" x14ac:dyDescent="0.25">
      <c r="A319" s="360"/>
      <c r="B319" s="207" t="s">
        <v>222</v>
      </c>
      <c r="C319" s="208">
        <f t="shared" ca="1" si="75"/>
        <v>5.8489165068945095</v>
      </c>
      <c r="D319" s="208">
        <f t="shared" ca="1" si="76"/>
        <v>1.4622291267235719</v>
      </c>
      <c r="E319" s="208">
        <f t="shared" ca="1" si="73"/>
        <v>4.3866873801709376</v>
      </c>
      <c r="F319" s="208">
        <f t="shared" ca="1" si="74"/>
        <v>4.6913184482383304E-2</v>
      </c>
      <c r="G319" s="208"/>
      <c r="H319" s="238"/>
      <c r="I319" s="238"/>
    </row>
    <row r="320" spans="1:9" x14ac:dyDescent="0.25">
      <c r="A320" s="360"/>
      <c r="B320" s="207" t="s">
        <v>224</v>
      </c>
      <c r="C320" s="208">
        <f t="shared" ca="1" si="75"/>
        <v>4.3866873801709376</v>
      </c>
      <c r="D320" s="208">
        <f t="shared" ca="1" si="76"/>
        <v>1.4622291267235719</v>
      </c>
      <c r="E320" s="208">
        <f t="shared" ca="1" si="73"/>
        <v>2.9244582534473658</v>
      </c>
      <c r="F320" s="208">
        <f t="shared" ca="1" si="74"/>
        <v>3.3509417487417224E-2</v>
      </c>
      <c r="G320" s="208"/>
      <c r="H320" s="238"/>
      <c r="I320" s="238"/>
    </row>
    <row r="321" spans="1:9" x14ac:dyDescent="0.25">
      <c r="A321" s="360"/>
      <c r="B321" s="207" t="s">
        <v>225</v>
      </c>
      <c r="C321" s="208">
        <f t="shared" ca="1" si="75"/>
        <v>2.9244582534473658</v>
      </c>
      <c r="D321" s="208">
        <f t="shared" ca="1" si="76"/>
        <v>1.4622291267235719</v>
      </c>
      <c r="E321" s="208">
        <f t="shared" ca="1" si="73"/>
        <v>1.4622291267237939</v>
      </c>
      <c r="F321" s="208">
        <f t="shared" ca="1" si="74"/>
        <v>2.0105650492451149E-2</v>
      </c>
      <c r="G321" s="208"/>
      <c r="H321" s="238"/>
      <c r="I321" s="238"/>
    </row>
    <row r="322" spans="1:9" x14ac:dyDescent="0.25">
      <c r="A322" s="360"/>
      <c r="B322" s="207" t="s">
        <v>226</v>
      </c>
      <c r="C322" s="208">
        <f t="shared" ca="1" si="75"/>
        <v>1.4622291267237939</v>
      </c>
      <c r="D322" s="208">
        <f t="shared" ca="1" si="76"/>
        <v>1.4622291267235719</v>
      </c>
      <c r="E322" s="208">
        <f ca="1">C322-D322</f>
        <v>2.2204460492503131E-13</v>
      </c>
      <c r="F322" s="208">
        <f t="shared" ca="1" si="74"/>
        <v>6.7018834974850727E-3</v>
      </c>
      <c r="G322" s="208"/>
      <c r="H322" s="238"/>
      <c r="I322" s="238"/>
    </row>
    <row r="323" spans="1:9" s="272" customFormat="1" ht="15.75" thickBot="1" x14ac:dyDescent="0.3">
      <c r="A323" s="299"/>
      <c r="B323" s="300"/>
      <c r="C323" s="301"/>
      <c r="D323" s="301">
        <f ca="1">SUM(D25:D322)</f>
        <v>350.93499041365709</v>
      </c>
      <c r="E323" s="301"/>
      <c r="F323" s="301">
        <f ca="1">SUM(F25:F322)</f>
        <v>447.14966695206846</v>
      </c>
      <c r="G323" s="302"/>
      <c r="H323" s="302">
        <f>SUM(H25:H322)</f>
        <v>1</v>
      </c>
      <c r="I323" s="302">
        <f>SUM(I25:I322)</f>
        <v>1.0000000000000002</v>
      </c>
    </row>
    <row r="324" spans="1:9" ht="15.75" thickTop="1" x14ac:dyDescent="0.25">
      <c r="C324" s="209" t="s">
        <v>251</v>
      </c>
      <c r="D324" s="210">
        <f ca="1">D323-C21</f>
        <v>0</v>
      </c>
      <c r="H324" s="239"/>
      <c r="I324" s="240"/>
    </row>
    <row r="325" spans="1:9" x14ac:dyDescent="0.25">
      <c r="H325" s="239"/>
      <c r="I325" s="240"/>
    </row>
    <row r="326" spans="1:9" x14ac:dyDescent="0.25">
      <c r="H326" s="239"/>
      <c r="I326" s="240"/>
    </row>
    <row r="327" spans="1:9" x14ac:dyDescent="0.25">
      <c r="H327" s="239"/>
      <c r="I327" s="240"/>
    </row>
    <row r="328" spans="1:9" x14ac:dyDescent="0.25">
      <c r="H328" s="239"/>
      <c r="I328" s="240"/>
    </row>
    <row r="329" spans="1:9" x14ac:dyDescent="0.25">
      <c r="H329" s="239"/>
      <c r="I329" s="240"/>
    </row>
    <row r="330" spans="1:9" x14ac:dyDescent="0.25">
      <c r="H330" s="239"/>
      <c r="I330" s="240"/>
    </row>
    <row r="331" spans="1:9" x14ac:dyDescent="0.25">
      <c r="H331" s="239"/>
      <c r="I331" s="240"/>
    </row>
    <row r="332" spans="1:9" x14ac:dyDescent="0.25">
      <c r="H332" s="239"/>
      <c r="I332" s="240"/>
    </row>
    <row r="333" spans="1:9" x14ac:dyDescent="0.25">
      <c r="H333" s="239"/>
      <c r="I333" s="240"/>
    </row>
    <row r="334" spans="1:9" x14ac:dyDescent="0.25">
      <c r="H334" s="211"/>
      <c r="I334" s="212"/>
    </row>
    <row r="335" spans="1:9" x14ac:dyDescent="0.25">
      <c r="H335" s="211"/>
      <c r="I335" s="212"/>
    </row>
    <row r="336" spans="1:9" x14ac:dyDescent="0.25">
      <c r="H336" s="211"/>
      <c r="I336" s="212"/>
    </row>
    <row r="337" spans="8:9" x14ac:dyDescent="0.25">
      <c r="H337" s="211"/>
      <c r="I337" s="212"/>
    </row>
    <row r="338" spans="8:9" x14ac:dyDescent="0.25">
      <c r="H338" s="211"/>
      <c r="I338" s="212"/>
    </row>
    <row r="339" spans="8:9" x14ac:dyDescent="0.25">
      <c r="H339" s="211"/>
      <c r="I339" s="212"/>
    </row>
    <row r="340" spans="8:9" x14ac:dyDescent="0.25">
      <c r="H340" s="211"/>
      <c r="I340" s="212"/>
    </row>
    <row r="341" spans="8:9" x14ac:dyDescent="0.25">
      <c r="H341" s="211"/>
      <c r="I341" s="212"/>
    </row>
    <row r="342" spans="8:9" x14ac:dyDescent="0.25">
      <c r="H342" s="211"/>
      <c r="I342" s="212"/>
    </row>
    <row r="343" spans="8:9" x14ac:dyDescent="0.25">
      <c r="H343" s="211"/>
      <c r="I343" s="212"/>
    </row>
    <row r="344" spans="8:9" x14ac:dyDescent="0.25">
      <c r="H344" s="211"/>
      <c r="I344" s="212"/>
    </row>
    <row r="345" spans="8:9" x14ac:dyDescent="0.25">
      <c r="H345" s="211"/>
      <c r="I345" s="212"/>
    </row>
    <row r="346" spans="8:9" x14ac:dyDescent="0.25">
      <c r="H346" s="211"/>
      <c r="I346" s="212"/>
    </row>
    <row r="347" spans="8:9" x14ac:dyDescent="0.25">
      <c r="H347" s="211"/>
      <c r="I347" s="212"/>
    </row>
    <row r="348" spans="8:9" x14ac:dyDescent="0.25">
      <c r="H348" s="211"/>
      <c r="I348" s="212"/>
    </row>
    <row r="349" spans="8:9" x14ac:dyDescent="0.25">
      <c r="H349" s="211"/>
      <c r="I349" s="212"/>
    </row>
  </sheetData>
  <mergeCells count="21">
    <mergeCell ref="A258:A270"/>
    <mergeCell ref="A271:A283"/>
    <mergeCell ref="A284:A296"/>
    <mergeCell ref="A297:A309"/>
    <mergeCell ref="A310:A322"/>
    <mergeCell ref="D7:E7"/>
    <mergeCell ref="A63:A75"/>
    <mergeCell ref="A76:A88"/>
    <mergeCell ref="A89:A101"/>
    <mergeCell ref="A245:A257"/>
    <mergeCell ref="A102:A114"/>
    <mergeCell ref="A115:A127"/>
    <mergeCell ref="A128:A140"/>
    <mergeCell ref="A141:A153"/>
    <mergeCell ref="A154:A166"/>
    <mergeCell ref="A167:A179"/>
    <mergeCell ref="A180:A192"/>
    <mergeCell ref="A193:A205"/>
    <mergeCell ref="A206:A218"/>
    <mergeCell ref="A219:A231"/>
    <mergeCell ref="A232:A24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66"/>
  <sheetViews>
    <sheetView showGridLines="0" workbookViewId="0">
      <pane xSplit="2" ySplit="8" topLeftCell="C9" activePane="bottomRight" state="frozen"/>
      <selection activeCell="A9" sqref="A9"/>
      <selection pane="topRight" activeCell="A9" sqref="A9"/>
      <selection pane="bottomLeft" activeCell="A9" sqref="A9"/>
      <selection pane="bottomRight"/>
    </sheetView>
  </sheetViews>
  <sheetFormatPr defaultColWidth="13.7109375" defaultRowHeight="15" x14ac:dyDescent="0.25"/>
  <cols>
    <col min="1" max="1" width="3.5703125" style="70" customWidth="1"/>
    <col min="2" max="2" width="64.7109375" style="70" customWidth="1"/>
    <col min="3" max="3" width="5.42578125" style="70" bestFit="1" customWidth="1"/>
    <col min="4" max="4" width="9.7109375" style="70" bestFit="1" customWidth="1"/>
    <col min="5" max="5" width="12.7109375" style="70" customWidth="1"/>
    <col min="6" max="7" width="9.7109375" style="70" bestFit="1" customWidth="1"/>
    <col min="8" max="8" width="9.7109375" style="120" bestFit="1" customWidth="1"/>
    <col min="9" max="31" width="9.7109375" style="70" bestFit="1" customWidth="1"/>
    <col min="32" max="16384" width="13.7109375" style="70"/>
  </cols>
  <sheetData>
    <row r="1" spans="2:31" s="1" customFormat="1" ht="19.899999999999999" customHeight="1" x14ac:dyDescent="0.25">
      <c r="B1" s="105" t="str">
        <f>Company</f>
        <v>M/s. Sai Infinium Limited</v>
      </c>
      <c r="C1" s="105"/>
      <c r="D1" s="105"/>
      <c r="E1" s="105"/>
      <c r="F1" s="105"/>
      <c r="G1" s="105"/>
      <c r="H1" s="105"/>
      <c r="I1" s="105"/>
      <c r="J1" s="105"/>
      <c r="K1" s="105"/>
      <c r="L1" s="105"/>
      <c r="M1" s="105"/>
      <c r="N1" s="105"/>
      <c r="O1" s="105"/>
      <c r="P1" s="105"/>
      <c r="Q1" s="105"/>
      <c r="R1" s="105"/>
      <c r="S1" s="105"/>
      <c r="T1" s="105"/>
      <c r="U1" s="105"/>
      <c r="V1" s="105"/>
      <c r="W1" s="105"/>
      <c r="X1" s="105"/>
      <c r="Y1" s="105"/>
      <c r="Z1" s="105"/>
      <c r="AA1" s="105"/>
      <c r="AB1" s="105"/>
      <c r="AC1" s="105"/>
      <c r="AD1" s="105"/>
      <c r="AE1" s="105"/>
    </row>
    <row r="2" spans="2:31" s="1" customFormat="1" ht="9" customHeight="1" x14ac:dyDescent="0.25">
      <c r="B2" s="2"/>
      <c r="C2" s="2"/>
      <c r="D2" s="2"/>
      <c r="E2" s="2"/>
      <c r="F2" s="2"/>
      <c r="G2" s="2"/>
      <c r="H2" s="2"/>
      <c r="I2" s="2"/>
      <c r="J2" s="2"/>
      <c r="K2" s="2"/>
      <c r="L2" s="2"/>
      <c r="M2" s="2"/>
      <c r="N2" s="2"/>
      <c r="O2" s="2"/>
      <c r="P2" s="2"/>
      <c r="Q2" s="2"/>
      <c r="R2" s="2"/>
      <c r="S2" s="2"/>
      <c r="T2" s="2"/>
      <c r="U2" s="2"/>
      <c r="V2" s="2"/>
      <c r="W2" s="2"/>
      <c r="X2" s="2"/>
      <c r="Y2" s="2"/>
      <c r="Z2" s="2"/>
      <c r="AA2" s="2"/>
      <c r="AB2" s="2"/>
      <c r="AC2" s="2"/>
      <c r="AD2" s="2"/>
      <c r="AE2" s="2"/>
    </row>
    <row r="3" spans="2:31" s="1" customFormat="1" ht="19.899999999999999" customHeight="1" x14ac:dyDescent="0.25">
      <c r="B3" s="106" t="str">
        <f>Project</f>
        <v>Financial Model for Proposed Hybrid Solar Plant (36 MW DC) &amp; Wind Plant (27.30 MW) @ GUJARAT</v>
      </c>
      <c r="C3" s="106"/>
      <c r="D3" s="106"/>
      <c r="E3" s="106"/>
      <c r="F3" s="106"/>
      <c r="G3" s="106"/>
      <c r="H3" s="106"/>
      <c r="I3" s="106"/>
      <c r="J3" s="106"/>
      <c r="K3" s="106"/>
      <c r="L3" s="106"/>
      <c r="M3" s="106"/>
      <c r="N3" s="106"/>
      <c r="O3" s="106"/>
      <c r="P3" s="106"/>
      <c r="Q3" s="106"/>
      <c r="R3" s="106"/>
      <c r="S3" s="106"/>
      <c r="T3" s="106"/>
      <c r="U3" s="106"/>
      <c r="V3" s="106"/>
      <c r="W3" s="106"/>
      <c r="X3" s="106"/>
      <c r="Y3" s="106"/>
      <c r="Z3" s="106"/>
      <c r="AA3" s="106"/>
      <c r="AB3" s="106"/>
      <c r="AC3" s="106"/>
      <c r="AD3" s="106"/>
      <c r="AE3" s="106"/>
    </row>
    <row r="4" spans="2:31" s="1" customFormat="1" ht="9" customHeight="1" x14ac:dyDescent="0.25">
      <c r="B4" s="2"/>
      <c r="C4" s="2"/>
      <c r="D4" s="2"/>
      <c r="E4" s="2"/>
      <c r="F4" s="2"/>
      <c r="G4" s="297"/>
    </row>
    <row r="5" spans="2:31" customFormat="1" ht="15.75" x14ac:dyDescent="0.25">
      <c r="B5" s="71" t="s">
        <v>335</v>
      </c>
      <c r="C5" s="71"/>
      <c r="D5" s="72"/>
      <c r="E5" s="72"/>
      <c r="F5" s="72"/>
      <c r="G5" s="72"/>
      <c r="H5" s="72"/>
      <c r="I5" s="72"/>
      <c r="J5" s="72"/>
      <c r="K5" s="72"/>
      <c r="L5" s="72"/>
      <c r="M5" s="72"/>
      <c r="N5" s="72"/>
      <c r="O5" s="72"/>
      <c r="P5" s="72"/>
      <c r="Q5" s="72"/>
      <c r="R5" s="72"/>
      <c r="S5" s="72"/>
      <c r="T5" s="72"/>
      <c r="U5" s="72"/>
      <c r="V5" s="72"/>
      <c r="W5" s="72"/>
      <c r="X5" s="72"/>
      <c r="Y5" s="72"/>
      <c r="Z5" s="72"/>
      <c r="AA5" s="72"/>
      <c r="AB5" s="72"/>
      <c r="AC5" s="72"/>
      <c r="AD5" s="72"/>
      <c r="AE5" s="72"/>
    </row>
    <row r="6" spans="2:31" customFormat="1" x14ac:dyDescent="0.25">
      <c r="B6" s="298" t="s">
        <v>327</v>
      </c>
      <c r="C6" s="68"/>
      <c r="D6" s="68"/>
      <c r="E6" s="31"/>
      <c r="F6" s="24"/>
      <c r="G6" s="24"/>
      <c r="H6" s="24"/>
      <c r="I6" s="24"/>
      <c r="J6" s="24"/>
      <c r="K6" s="24"/>
      <c r="L6" s="24"/>
      <c r="M6" s="24"/>
      <c r="N6" s="24"/>
      <c r="O6" s="24"/>
      <c r="P6" s="24"/>
      <c r="Q6" s="24"/>
      <c r="R6" s="24"/>
      <c r="S6" s="24"/>
      <c r="T6" s="24"/>
      <c r="U6" s="24"/>
      <c r="V6" s="24"/>
      <c r="W6" s="24"/>
      <c r="X6" s="24"/>
      <c r="Y6" s="24"/>
      <c r="Z6" s="24"/>
      <c r="AA6" s="24"/>
      <c r="AB6" s="24"/>
      <c r="AC6" s="24"/>
      <c r="AD6" s="24"/>
      <c r="AE6" s="24"/>
    </row>
    <row r="7" spans="2:31" s="31" customFormat="1" ht="15.75" x14ac:dyDescent="0.25">
      <c r="C7" s="68"/>
      <c r="D7" s="357" t="s">
        <v>25</v>
      </c>
      <c r="E7" s="357"/>
      <c r="F7" s="358" t="s">
        <v>91</v>
      </c>
      <c r="G7" s="358"/>
      <c r="H7" s="358"/>
      <c r="I7" s="358"/>
      <c r="J7" s="358"/>
      <c r="K7" s="358"/>
      <c r="L7" s="358"/>
      <c r="M7" s="358"/>
      <c r="N7" s="358"/>
      <c r="O7" s="358"/>
      <c r="P7" s="358"/>
      <c r="Q7" s="358"/>
      <c r="R7" s="358"/>
      <c r="S7" s="358"/>
      <c r="T7" s="358"/>
      <c r="U7" s="358"/>
      <c r="V7" s="358"/>
      <c r="W7" s="358"/>
      <c r="X7" s="358"/>
      <c r="Y7" s="358"/>
      <c r="Z7" s="358"/>
      <c r="AA7" s="358"/>
      <c r="AB7" s="358"/>
      <c r="AC7" s="358"/>
      <c r="AD7" s="358"/>
      <c r="AE7" s="358"/>
    </row>
    <row r="8" spans="2:31" s="31" customFormat="1" x14ac:dyDescent="0.25">
      <c r="B8" s="73" t="s">
        <v>326</v>
      </c>
      <c r="C8" s="74" t="s">
        <v>93</v>
      </c>
      <c r="D8" s="75">
        <f>'Revenue &amp; Expenses Modeling'!D8</f>
        <v>45747</v>
      </c>
      <c r="E8" s="75">
        <f>'Revenue &amp; Expenses Modeling'!E8</f>
        <v>46112</v>
      </c>
      <c r="F8" s="75">
        <f>DATE(YEAR(E8)+1,MONTH(E8),DAY(E8))</f>
        <v>46477</v>
      </c>
      <c r="G8" s="75">
        <f>DATE(YEAR(F8)+1,MONTH(F8),DAY(F8))</f>
        <v>46843</v>
      </c>
      <c r="H8" s="75">
        <f t="shared" ref="H8:AE8" si="0">DATE(YEAR(G8)+1,MONTH(G8),DAY(G8))</f>
        <v>47208</v>
      </c>
      <c r="I8" s="75">
        <f t="shared" si="0"/>
        <v>47573</v>
      </c>
      <c r="J8" s="75">
        <f t="shared" si="0"/>
        <v>47938</v>
      </c>
      <c r="K8" s="75">
        <f t="shared" si="0"/>
        <v>48304</v>
      </c>
      <c r="L8" s="75">
        <f t="shared" si="0"/>
        <v>48669</v>
      </c>
      <c r="M8" s="75">
        <f t="shared" si="0"/>
        <v>49034</v>
      </c>
      <c r="N8" s="75">
        <f t="shared" si="0"/>
        <v>49399</v>
      </c>
      <c r="O8" s="75">
        <f t="shared" si="0"/>
        <v>49765</v>
      </c>
      <c r="P8" s="75">
        <f t="shared" si="0"/>
        <v>50130</v>
      </c>
      <c r="Q8" s="75">
        <f t="shared" si="0"/>
        <v>50495</v>
      </c>
      <c r="R8" s="75">
        <f t="shared" si="0"/>
        <v>50860</v>
      </c>
      <c r="S8" s="75">
        <f t="shared" si="0"/>
        <v>51226</v>
      </c>
      <c r="T8" s="75">
        <f t="shared" si="0"/>
        <v>51591</v>
      </c>
      <c r="U8" s="75">
        <f t="shared" si="0"/>
        <v>51956</v>
      </c>
      <c r="V8" s="75">
        <f t="shared" si="0"/>
        <v>52321</v>
      </c>
      <c r="W8" s="75">
        <f t="shared" si="0"/>
        <v>52687</v>
      </c>
      <c r="X8" s="75">
        <f t="shared" si="0"/>
        <v>53052</v>
      </c>
      <c r="Y8" s="75">
        <f t="shared" si="0"/>
        <v>53417</v>
      </c>
      <c r="Z8" s="75">
        <f t="shared" si="0"/>
        <v>53782</v>
      </c>
      <c r="AA8" s="75">
        <f t="shared" si="0"/>
        <v>54148</v>
      </c>
      <c r="AB8" s="75">
        <f t="shared" si="0"/>
        <v>54513</v>
      </c>
      <c r="AC8" s="75">
        <f t="shared" si="0"/>
        <v>54878</v>
      </c>
      <c r="AD8" s="75">
        <f t="shared" si="0"/>
        <v>55243</v>
      </c>
      <c r="AE8" s="75">
        <f t="shared" si="0"/>
        <v>55609</v>
      </c>
    </row>
    <row r="9" spans="2:31" x14ac:dyDescent="0.25">
      <c r="B9" s="76" t="s">
        <v>94</v>
      </c>
      <c r="C9" s="77"/>
      <c r="D9" s="78">
        <v>0</v>
      </c>
      <c r="E9" s="78">
        <v>0</v>
      </c>
      <c r="F9" s="79">
        <v>1</v>
      </c>
      <c r="G9" s="79">
        <f>F9+1</f>
        <v>2</v>
      </c>
      <c r="H9" s="79">
        <f t="shared" ref="H9:AE9" si="1">G9+1</f>
        <v>3</v>
      </c>
      <c r="I9" s="79">
        <f t="shared" si="1"/>
        <v>4</v>
      </c>
      <c r="J9" s="79">
        <f t="shared" si="1"/>
        <v>5</v>
      </c>
      <c r="K9" s="79">
        <f t="shared" si="1"/>
        <v>6</v>
      </c>
      <c r="L9" s="79">
        <f t="shared" si="1"/>
        <v>7</v>
      </c>
      <c r="M9" s="79">
        <f t="shared" si="1"/>
        <v>8</v>
      </c>
      <c r="N9" s="79">
        <f t="shared" si="1"/>
        <v>9</v>
      </c>
      <c r="O9" s="79">
        <f t="shared" si="1"/>
        <v>10</v>
      </c>
      <c r="P9" s="79">
        <f t="shared" si="1"/>
        <v>11</v>
      </c>
      <c r="Q9" s="79">
        <f t="shared" si="1"/>
        <v>12</v>
      </c>
      <c r="R9" s="79">
        <f t="shared" si="1"/>
        <v>13</v>
      </c>
      <c r="S9" s="79">
        <f t="shared" si="1"/>
        <v>14</v>
      </c>
      <c r="T9" s="79">
        <f t="shared" si="1"/>
        <v>15</v>
      </c>
      <c r="U9" s="79">
        <f t="shared" si="1"/>
        <v>16</v>
      </c>
      <c r="V9" s="79">
        <f t="shared" si="1"/>
        <v>17</v>
      </c>
      <c r="W9" s="79">
        <f t="shared" si="1"/>
        <v>18</v>
      </c>
      <c r="X9" s="79">
        <f t="shared" si="1"/>
        <v>19</v>
      </c>
      <c r="Y9" s="79">
        <f t="shared" si="1"/>
        <v>20</v>
      </c>
      <c r="Z9" s="79">
        <f t="shared" si="1"/>
        <v>21</v>
      </c>
      <c r="AA9" s="79">
        <f t="shared" si="1"/>
        <v>22</v>
      </c>
      <c r="AB9" s="79">
        <f t="shared" si="1"/>
        <v>23</v>
      </c>
      <c r="AC9" s="79">
        <f t="shared" si="1"/>
        <v>24</v>
      </c>
      <c r="AD9" s="79">
        <f t="shared" si="1"/>
        <v>25</v>
      </c>
      <c r="AE9" s="79">
        <f t="shared" si="1"/>
        <v>26</v>
      </c>
    </row>
    <row r="10" spans="2:31" x14ac:dyDescent="0.25">
      <c r="B10" s="76" t="s">
        <v>95</v>
      </c>
      <c r="C10" s="77">
        <v>13</v>
      </c>
      <c r="D10" s="78">
        <f>C10-E10</f>
        <v>1</v>
      </c>
      <c r="E10" s="78">
        <f>MONTH(E8-D8)</f>
        <v>12</v>
      </c>
      <c r="F10" s="77">
        <f>MONTH(F8-E8)</f>
        <v>12</v>
      </c>
      <c r="G10" s="77">
        <f t="shared" ref="G10:AE10" si="2">MONTH(G8-F8)</f>
        <v>12</v>
      </c>
      <c r="H10" s="77">
        <f t="shared" si="2"/>
        <v>12</v>
      </c>
      <c r="I10" s="77">
        <f t="shared" si="2"/>
        <v>12</v>
      </c>
      <c r="J10" s="77">
        <f t="shared" si="2"/>
        <v>12</v>
      </c>
      <c r="K10" s="77">
        <f t="shared" si="2"/>
        <v>12</v>
      </c>
      <c r="L10" s="77">
        <f t="shared" si="2"/>
        <v>12</v>
      </c>
      <c r="M10" s="77">
        <f t="shared" si="2"/>
        <v>12</v>
      </c>
      <c r="N10" s="77">
        <f t="shared" si="2"/>
        <v>12</v>
      </c>
      <c r="O10" s="77">
        <f t="shared" si="2"/>
        <v>12</v>
      </c>
      <c r="P10" s="77">
        <f t="shared" si="2"/>
        <v>12</v>
      </c>
      <c r="Q10" s="77">
        <f t="shared" si="2"/>
        <v>12</v>
      </c>
      <c r="R10" s="77">
        <f t="shared" si="2"/>
        <v>12</v>
      </c>
      <c r="S10" s="77">
        <f t="shared" si="2"/>
        <v>12</v>
      </c>
      <c r="T10" s="77">
        <f t="shared" si="2"/>
        <v>12</v>
      </c>
      <c r="U10" s="77">
        <f t="shared" si="2"/>
        <v>12</v>
      </c>
      <c r="V10" s="77">
        <f t="shared" si="2"/>
        <v>12</v>
      </c>
      <c r="W10" s="77">
        <f t="shared" si="2"/>
        <v>12</v>
      </c>
      <c r="X10" s="77">
        <f t="shared" si="2"/>
        <v>12</v>
      </c>
      <c r="Y10" s="77">
        <f t="shared" si="2"/>
        <v>12</v>
      </c>
      <c r="Z10" s="77">
        <f t="shared" si="2"/>
        <v>12</v>
      </c>
      <c r="AA10" s="77">
        <f t="shared" si="2"/>
        <v>12</v>
      </c>
      <c r="AB10" s="77">
        <f t="shared" si="2"/>
        <v>12</v>
      </c>
      <c r="AC10" s="77">
        <f t="shared" si="2"/>
        <v>12</v>
      </c>
      <c r="AD10" s="77">
        <f t="shared" si="2"/>
        <v>12</v>
      </c>
      <c r="AE10" s="77">
        <f t="shared" si="2"/>
        <v>12</v>
      </c>
    </row>
    <row r="11" spans="2:31" x14ac:dyDescent="0.25">
      <c r="H11" s="70"/>
    </row>
    <row r="12" spans="2:31" x14ac:dyDescent="0.25">
      <c r="B12" s="81" t="s">
        <v>96</v>
      </c>
      <c r="C12" s="81"/>
      <c r="D12" s="81"/>
      <c r="E12" s="81"/>
      <c r="F12" s="82">
        <f>F8-E8</f>
        <v>365</v>
      </c>
      <c r="G12" s="82">
        <f>G8-F8</f>
        <v>366</v>
      </c>
      <c r="H12" s="82">
        <f t="shared" ref="H12:AE12" si="3">H8-G8</f>
        <v>365</v>
      </c>
      <c r="I12" s="82">
        <f t="shared" si="3"/>
        <v>365</v>
      </c>
      <c r="J12" s="82">
        <f t="shared" si="3"/>
        <v>365</v>
      </c>
      <c r="K12" s="82">
        <f t="shared" si="3"/>
        <v>366</v>
      </c>
      <c r="L12" s="82">
        <f t="shared" si="3"/>
        <v>365</v>
      </c>
      <c r="M12" s="82">
        <f t="shared" si="3"/>
        <v>365</v>
      </c>
      <c r="N12" s="82">
        <f t="shared" si="3"/>
        <v>365</v>
      </c>
      <c r="O12" s="82">
        <f t="shared" si="3"/>
        <v>366</v>
      </c>
      <c r="P12" s="82">
        <f t="shared" si="3"/>
        <v>365</v>
      </c>
      <c r="Q12" s="82">
        <f t="shared" si="3"/>
        <v>365</v>
      </c>
      <c r="R12" s="82">
        <f t="shared" si="3"/>
        <v>365</v>
      </c>
      <c r="S12" s="82">
        <f t="shared" si="3"/>
        <v>366</v>
      </c>
      <c r="T12" s="82">
        <f t="shared" si="3"/>
        <v>365</v>
      </c>
      <c r="U12" s="82">
        <f t="shared" si="3"/>
        <v>365</v>
      </c>
      <c r="V12" s="82">
        <f t="shared" si="3"/>
        <v>365</v>
      </c>
      <c r="W12" s="82">
        <f t="shared" si="3"/>
        <v>366</v>
      </c>
      <c r="X12" s="82">
        <f t="shared" si="3"/>
        <v>365</v>
      </c>
      <c r="Y12" s="82">
        <f t="shared" si="3"/>
        <v>365</v>
      </c>
      <c r="Z12" s="82">
        <f t="shared" si="3"/>
        <v>365</v>
      </c>
      <c r="AA12" s="82">
        <f t="shared" si="3"/>
        <v>366</v>
      </c>
      <c r="AB12" s="82">
        <f t="shared" si="3"/>
        <v>365</v>
      </c>
      <c r="AC12" s="82">
        <f t="shared" si="3"/>
        <v>365</v>
      </c>
      <c r="AD12" s="82">
        <f t="shared" si="3"/>
        <v>365</v>
      </c>
      <c r="AE12" s="82">
        <f t="shared" si="3"/>
        <v>366</v>
      </c>
    </row>
    <row r="13" spans="2:31" x14ac:dyDescent="0.25">
      <c r="H13" s="70"/>
    </row>
    <row r="14" spans="2:31" x14ac:dyDescent="0.25">
      <c r="B14" s="81" t="s">
        <v>97</v>
      </c>
      <c r="C14" s="81"/>
      <c r="D14" s="81"/>
      <c r="E14" s="81"/>
      <c r="F14" s="82">
        <f>'[1]Common Assumption'!D20</f>
        <v>24</v>
      </c>
      <c r="G14" s="82">
        <f>F14</f>
        <v>24</v>
      </c>
      <c r="H14" s="82">
        <f t="shared" ref="H14:AE14" si="4">G14</f>
        <v>24</v>
      </c>
      <c r="I14" s="82">
        <f t="shared" si="4"/>
        <v>24</v>
      </c>
      <c r="J14" s="82">
        <f t="shared" si="4"/>
        <v>24</v>
      </c>
      <c r="K14" s="82">
        <f t="shared" si="4"/>
        <v>24</v>
      </c>
      <c r="L14" s="82">
        <f t="shared" si="4"/>
        <v>24</v>
      </c>
      <c r="M14" s="82">
        <f t="shared" si="4"/>
        <v>24</v>
      </c>
      <c r="N14" s="82">
        <f t="shared" si="4"/>
        <v>24</v>
      </c>
      <c r="O14" s="82">
        <f t="shared" si="4"/>
        <v>24</v>
      </c>
      <c r="P14" s="82">
        <f t="shared" si="4"/>
        <v>24</v>
      </c>
      <c r="Q14" s="82">
        <f t="shared" si="4"/>
        <v>24</v>
      </c>
      <c r="R14" s="82">
        <f t="shared" si="4"/>
        <v>24</v>
      </c>
      <c r="S14" s="82">
        <f t="shared" si="4"/>
        <v>24</v>
      </c>
      <c r="T14" s="82">
        <f t="shared" si="4"/>
        <v>24</v>
      </c>
      <c r="U14" s="82">
        <f t="shared" si="4"/>
        <v>24</v>
      </c>
      <c r="V14" s="82">
        <f t="shared" si="4"/>
        <v>24</v>
      </c>
      <c r="W14" s="82">
        <f t="shared" si="4"/>
        <v>24</v>
      </c>
      <c r="X14" s="82">
        <f t="shared" si="4"/>
        <v>24</v>
      </c>
      <c r="Y14" s="82">
        <f t="shared" si="4"/>
        <v>24</v>
      </c>
      <c r="Z14" s="82">
        <f t="shared" si="4"/>
        <v>24</v>
      </c>
      <c r="AA14" s="82">
        <f t="shared" si="4"/>
        <v>24</v>
      </c>
      <c r="AB14" s="82">
        <f t="shared" si="4"/>
        <v>24</v>
      </c>
      <c r="AC14" s="82">
        <f t="shared" si="4"/>
        <v>24</v>
      </c>
      <c r="AD14" s="82">
        <f t="shared" si="4"/>
        <v>24</v>
      </c>
      <c r="AE14" s="82">
        <f t="shared" si="4"/>
        <v>24</v>
      </c>
    </row>
    <row r="15" spans="2:31" x14ac:dyDescent="0.25">
      <c r="G15" s="118"/>
      <c r="H15" s="70"/>
    </row>
    <row r="16" spans="2:31" x14ac:dyDescent="0.25">
      <c r="B16" s="73" t="s">
        <v>334</v>
      </c>
      <c r="C16" s="73"/>
      <c r="D16" s="73"/>
      <c r="E16" s="73"/>
      <c r="F16" s="73"/>
      <c r="G16" s="73"/>
      <c r="H16" s="73"/>
      <c r="I16" s="73"/>
      <c r="J16" s="73"/>
      <c r="K16" s="73"/>
      <c r="L16" s="73"/>
      <c r="M16" s="73"/>
      <c r="N16" s="73"/>
      <c r="O16" s="73"/>
      <c r="P16" s="73"/>
      <c r="Q16" s="73"/>
      <c r="R16" s="73"/>
      <c r="S16" s="73"/>
      <c r="T16" s="73"/>
      <c r="U16" s="73"/>
      <c r="V16" s="73"/>
      <c r="W16" s="73"/>
      <c r="X16" s="73"/>
      <c r="Y16" s="73"/>
      <c r="Z16" s="73"/>
      <c r="AA16" s="73"/>
      <c r="AB16" s="73"/>
      <c r="AC16" s="73"/>
      <c r="AD16" s="73"/>
      <c r="AE16" s="73"/>
    </row>
    <row r="17" spans="2:31" x14ac:dyDescent="0.25">
      <c r="B17" s="245" t="s">
        <v>0</v>
      </c>
      <c r="C17" s="246"/>
      <c r="D17" s="247">
        <f t="shared" ref="D17:AE17" si="5">D8</f>
        <v>45747</v>
      </c>
      <c r="E17" s="247">
        <f t="shared" si="5"/>
        <v>46112</v>
      </c>
      <c r="F17" s="248">
        <f t="shared" si="5"/>
        <v>46477</v>
      </c>
      <c r="G17" s="248">
        <f t="shared" si="5"/>
        <v>46843</v>
      </c>
      <c r="H17" s="248">
        <f t="shared" si="5"/>
        <v>47208</v>
      </c>
      <c r="I17" s="248">
        <f t="shared" si="5"/>
        <v>47573</v>
      </c>
      <c r="J17" s="248">
        <f t="shared" si="5"/>
        <v>47938</v>
      </c>
      <c r="K17" s="248">
        <f t="shared" si="5"/>
        <v>48304</v>
      </c>
      <c r="L17" s="248">
        <f t="shared" si="5"/>
        <v>48669</v>
      </c>
      <c r="M17" s="248">
        <f t="shared" si="5"/>
        <v>49034</v>
      </c>
      <c r="N17" s="248">
        <f t="shared" si="5"/>
        <v>49399</v>
      </c>
      <c r="O17" s="248">
        <f t="shared" si="5"/>
        <v>49765</v>
      </c>
      <c r="P17" s="248">
        <f t="shared" si="5"/>
        <v>50130</v>
      </c>
      <c r="Q17" s="248">
        <f t="shared" si="5"/>
        <v>50495</v>
      </c>
      <c r="R17" s="248">
        <f t="shared" si="5"/>
        <v>50860</v>
      </c>
      <c r="S17" s="248">
        <f t="shared" si="5"/>
        <v>51226</v>
      </c>
      <c r="T17" s="248">
        <f t="shared" si="5"/>
        <v>51591</v>
      </c>
      <c r="U17" s="248">
        <f t="shared" si="5"/>
        <v>51956</v>
      </c>
      <c r="V17" s="248">
        <f t="shared" si="5"/>
        <v>52321</v>
      </c>
      <c r="W17" s="248">
        <f t="shared" si="5"/>
        <v>52687</v>
      </c>
      <c r="X17" s="248">
        <f t="shared" si="5"/>
        <v>53052</v>
      </c>
      <c r="Y17" s="248">
        <f t="shared" si="5"/>
        <v>53417</v>
      </c>
      <c r="Z17" s="248">
        <f t="shared" si="5"/>
        <v>53782</v>
      </c>
      <c r="AA17" s="248">
        <f t="shared" si="5"/>
        <v>54148</v>
      </c>
      <c r="AB17" s="248">
        <f t="shared" si="5"/>
        <v>54513</v>
      </c>
      <c r="AC17" s="248">
        <f t="shared" si="5"/>
        <v>54878</v>
      </c>
      <c r="AD17" s="248">
        <f t="shared" si="5"/>
        <v>55243</v>
      </c>
      <c r="AE17" s="248">
        <f t="shared" si="5"/>
        <v>55609</v>
      </c>
    </row>
    <row r="18" spans="2:31" hidden="1" x14ac:dyDescent="0.25">
      <c r="B18" s="31" t="s">
        <v>164</v>
      </c>
      <c r="C18" s="31"/>
      <c r="D18" s="86"/>
      <c r="E18" s="86"/>
      <c r="F18" s="86">
        <f ca="1">'TPC &amp; MoF'!H7</f>
        <v>0</v>
      </c>
      <c r="G18" s="86">
        <f ca="1">F18</f>
        <v>0</v>
      </c>
      <c r="H18" s="86">
        <f t="shared" ref="H18:AE20" ca="1" si="6">G18</f>
        <v>0</v>
      </c>
      <c r="I18" s="86">
        <f t="shared" ca="1" si="6"/>
        <v>0</v>
      </c>
      <c r="J18" s="86">
        <f t="shared" ca="1" si="6"/>
        <v>0</v>
      </c>
      <c r="K18" s="86">
        <f t="shared" ca="1" si="6"/>
        <v>0</v>
      </c>
      <c r="L18" s="86">
        <f t="shared" ca="1" si="6"/>
        <v>0</v>
      </c>
      <c r="M18" s="86">
        <f t="shared" ca="1" si="6"/>
        <v>0</v>
      </c>
      <c r="N18" s="86">
        <f t="shared" ca="1" si="6"/>
        <v>0</v>
      </c>
      <c r="O18" s="86">
        <f t="shared" ca="1" si="6"/>
        <v>0</v>
      </c>
      <c r="P18" s="86">
        <f t="shared" ca="1" si="6"/>
        <v>0</v>
      </c>
      <c r="Q18" s="86">
        <f t="shared" ca="1" si="6"/>
        <v>0</v>
      </c>
      <c r="R18" s="86">
        <f t="shared" ca="1" si="6"/>
        <v>0</v>
      </c>
      <c r="S18" s="86">
        <f t="shared" ca="1" si="6"/>
        <v>0</v>
      </c>
      <c r="T18" s="86">
        <f t="shared" ca="1" si="6"/>
        <v>0</v>
      </c>
      <c r="U18" s="86">
        <f t="shared" ca="1" si="6"/>
        <v>0</v>
      </c>
      <c r="V18" s="86">
        <f t="shared" ca="1" si="6"/>
        <v>0</v>
      </c>
      <c r="W18" s="86">
        <f t="shared" ca="1" si="6"/>
        <v>0</v>
      </c>
      <c r="X18" s="86">
        <f t="shared" ca="1" si="6"/>
        <v>0</v>
      </c>
      <c r="Y18" s="86">
        <f t="shared" ca="1" si="6"/>
        <v>0</v>
      </c>
      <c r="Z18" s="86">
        <f t="shared" ca="1" si="6"/>
        <v>0</v>
      </c>
      <c r="AA18" s="86">
        <f t="shared" ca="1" si="6"/>
        <v>0</v>
      </c>
      <c r="AB18" s="86">
        <f t="shared" ca="1" si="6"/>
        <v>0</v>
      </c>
      <c r="AC18" s="86">
        <f t="shared" ca="1" si="6"/>
        <v>0</v>
      </c>
      <c r="AD18" s="86">
        <f t="shared" ca="1" si="6"/>
        <v>0</v>
      </c>
      <c r="AE18" s="86">
        <f t="shared" ca="1" si="6"/>
        <v>0</v>
      </c>
    </row>
    <row r="19" spans="2:31" hidden="1" x14ac:dyDescent="0.25">
      <c r="B19" s="249" t="s">
        <v>257</v>
      </c>
      <c r="C19" s="249"/>
      <c r="D19" s="250"/>
      <c r="E19" s="250"/>
      <c r="F19" s="250">
        <v>0</v>
      </c>
      <c r="G19" s="250">
        <v>0</v>
      </c>
      <c r="H19" s="250">
        <v>0</v>
      </c>
      <c r="I19" s="250">
        <v>0</v>
      </c>
      <c r="J19" s="250">
        <v>0</v>
      </c>
      <c r="K19" s="250">
        <v>0</v>
      </c>
      <c r="L19" s="250">
        <v>0</v>
      </c>
      <c r="M19" s="250">
        <v>0</v>
      </c>
      <c r="N19" s="250">
        <v>0</v>
      </c>
      <c r="O19" s="250">
        <v>0</v>
      </c>
      <c r="P19" s="250">
        <v>0</v>
      </c>
      <c r="Q19" s="250">
        <v>0</v>
      </c>
      <c r="R19" s="250">
        <v>0</v>
      </c>
      <c r="S19" s="250">
        <v>0</v>
      </c>
      <c r="T19" s="250">
        <v>0</v>
      </c>
      <c r="U19" s="250">
        <v>0</v>
      </c>
      <c r="V19" s="250">
        <v>0</v>
      </c>
      <c r="W19" s="250">
        <v>0</v>
      </c>
      <c r="X19" s="250">
        <v>0</v>
      </c>
      <c r="Y19" s="250">
        <v>0</v>
      </c>
      <c r="Z19" s="250">
        <v>0</v>
      </c>
      <c r="AA19" s="250">
        <v>0</v>
      </c>
      <c r="AB19" s="250">
        <v>0</v>
      </c>
      <c r="AC19" s="250">
        <v>0</v>
      </c>
      <c r="AD19" s="250">
        <v>0</v>
      </c>
      <c r="AE19" s="250">
        <v>0</v>
      </c>
    </row>
    <row r="20" spans="2:31" x14ac:dyDescent="0.25">
      <c r="B20" s="31" t="s">
        <v>2</v>
      </c>
      <c r="C20" s="31"/>
      <c r="D20" s="86"/>
      <c r="E20" s="86"/>
      <c r="F20" s="86">
        <f ca="1">'TPC &amp; MoF'!H8</f>
        <v>23.395666027577153</v>
      </c>
      <c r="G20" s="86">
        <f ca="1">F20</f>
        <v>23.395666027577153</v>
      </c>
      <c r="H20" s="86">
        <f t="shared" ca="1" si="6"/>
        <v>23.395666027577153</v>
      </c>
      <c r="I20" s="86">
        <f t="shared" ca="1" si="6"/>
        <v>23.395666027577153</v>
      </c>
      <c r="J20" s="86">
        <f t="shared" ca="1" si="6"/>
        <v>23.395666027577153</v>
      </c>
      <c r="K20" s="86">
        <f t="shared" ca="1" si="6"/>
        <v>23.395666027577153</v>
      </c>
      <c r="L20" s="86">
        <f t="shared" ca="1" si="6"/>
        <v>23.395666027577153</v>
      </c>
      <c r="M20" s="86">
        <f t="shared" ca="1" si="6"/>
        <v>23.395666027577153</v>
      </c>
      <c r="N20" s="86">
        <f t="shared" ca="1" si="6"/>
        <v>23.395666027577153</v>
      </c>
      <c r="O20" s="86">
        <f t="shared" ca="1" si="6"/>
        <v>23.395666027577153</v>
      </c>
      <c r="P20" s="86">
        <f t="shared" ca="1" si="6"/>
        <v>23.395666027577153</v>
      </c>
      <c r="Q20" s="86">
        <f t="shared" ca="1" si="6"/>
        <v>23.395666027577153</v>
      </c>
      <c r="R20" s="86">
        <f t="shared" ca="1" si="6"/>
        <v>23.395666027577153</v>
      </c>
      <c r="S20" s="86">
        <f t="shared" ca="1" si="6"/>
        <v>23.395666027577153</v>
      </c>
      <c r="T20" s="86">
        <f t="shared" ca="1" si="6"/>
        <v>23.395666027577153</v>
      </c>
      <c r="U20" s="86">
        <f t="shared" ca="1" si="6"/>
        <v>23.395666027577153</v>
      </c>
      <c r="V20" s="86">
        <f t="shared" ca="1" si="6"/>
        <v>23.395666027577153</v>
      </c>
      <c r="W20" s="86">
        <f t="shared" ca="1" si="6"/>
        <v>23.395666027577153</v>
      </c>
      <c r="X20" s="86">
        <f t="shared" ca="1" si="6"/>
        <v>23.395666027577153</v>
      </c>
      <c r="Y20" s="86">
        <f t="shared" ca="1" si="6"/>
        <v>23.395666027577153</v>
      </c>
      <c r="Z20" s="86">
        <f t="shared" ca="1" si="6"/>
        <v>23.395666027577153</v>
      </c>
      <c r="AA20" s="86">
        <f t="shared" ca="1" si="6"/>
        <v>23.395666027577153</v>
      </c>
      <c r="AB20" s="86">
        <f t="shared" ca="1" si="6"/>
        <v>23.395666027577153</v>
      </c>
      <c r="AC20" s="86">
        <f t="shared" ca="1" si="6"/>
        <v>23.395666027577153</v>
      </c>
      <c r="AD20" s="86">
        <f t="shared" ca="1" si="6"/>
        <v>23.395666027577153</v>
      </c>
      <c r="AE20" s="86">
        <f t="shared" ca="1" si="6"/>
        <v>23.395666027577153</v>
      </c>
    </row>
    <row r="21" spans="2:31" x14ac:dyDescent="0.25">
      <c r="B21" s="249" t="str">
        <f>"SLM Depreciation " &amp; B20</f>
        <v>SLM Depreciation Building &amp; Civil Works</v>
      </c>
      <c r="C21" s="249"/>
      <c r="D21" s="250"/>
      <c r="E21" s="250"/>
      <c r="F21" s="251">
        <f ca="1">(F20-F20*5%)*Assumptions!$D$81/365*F12</f>
        <v>0.74086275753994313</v>
      </c>
      <c r="G21" s="251">
        <f ca="1">(G20-G20*5%)*Assumptions!$D$81/365*G12</f>
        <v>0.74289251851950466</v>
      </c>
      <c r="H21" s="251">
        <f ca="1">(H20-H20*5%)*Assumptions!$D$81/365*H12</f>
        <v>0.74086275753994313</v>
      </c>
      <c r="I21" s="251">
        <f ca="1">(I20-I20*5%)*Assumptions!$D$81/365*I12</f>
        <v>0.74086275753994313</v>
      </c>
      <c r="J21" s="251">
        <f ca="1">(J20-J20*5%)*Assumptions!$D$81/365*J12</f>
        <v>0.74086275753994313</v>
      </c>
      <c r="K21" s="251">
        <f ca="1">(K20-K20*5%)*Assumptions!$D$81/365*K12</f>
        <v>0.74289251851950466</v>
      </c>
      <c r="L21" s="251">
        <f ca="1">(L20-L20*5%)*Assumptions!$D$81/365*L12</f>
        <v>0.74086275753994313</v>
      </c>
      <c r="M21" s="251">
        <f ca="1">(M20-M20*5%)*Assumptions!$D$81/365*M12</f>
        <v>0.74086275753994313</v>
      </c>
      <c r="N21" s="251">
        <f ca="1">(N20-N20*5%)*Assumptions!$D$81/365*N12</f>
        <v>0.74086275753994313</v>
      </c>
      <c r="O21" s="251">
        <f ca="1">(O20-O20*5%)*Assumptions!$D$81/365*O12</f>
        <v>0.74289251851950466</v>
      </c>
      <c r="P21" s="251">
        <f ca="1">(P20-P20*5%)*Assumptions!$D$81/365*P12</f>
        <v>0.74086275753994313</v>
      </c>
      <c r="Q21" s="251">
        <f ca="1">(Q20-Q20*5%)*Assumptions!$D$81/365*Q12</f>
        <v>0.74086275753994313</v>
      </c>
      <c r="R21" s="251">
        <f ca="1">(R20-R20*5%)*Assumptions!$D$81/365*R12</f>
        <v>0.74086275753994313</v>
      </c>
      <c r="S21" s="251">
        <f ca="1">(S20-S20*5%)*Assumptions!$D$81/365*S12</f>
        <v>0.74289251851950466</v>
      </c>
      <c r="T21" s="251">
        <f ca="1">(T20-T20*5%)*Assumptions!$D$81/365*T12</f>
        <v>0.74086275753994313</v>
      </c>
      <c r="U21" s="251">
        <f ca="1">(U20-U20*5%)*Assumptions!$D$81/365*U12</f>
        <v>0.74086275753994313</v>
      </c>
      <c r="V21" s="251">
        <f ca="1">(V20-V20*5%)*Assumptions!$D$81/365*V12</f>
        <v>0.74086275753994313</v>
      </c>
      <c r="W21" s="251">
        <f ca="1">(W20-W20*5%)*Assumptions!$D$81/365*W12</f>
        <v>0.74289251851950466</v>
      </c>
      <c r="X21" s="251">
        <f ca="1">(X20-X20*5%)*Assumptions!$D$81/365*X12</f>
        <v>0.74086275753994313</v>
      </c>
      <c r="Y21" s="251">
        <f ca="1">(Y20-Y20*5%)*Assumptions!$D$81/365*Y12</f>
        <v>0.74086275753994313</v>
      </c>
      <c r="Z21" s="251">
        <f ca="1">(Z20-Z20*5%)*Assumptions!$D$81/365*Z12</f>
        <v>0.74086275753994313</v>
      </c>
      <c r="AA21" s="251">
        <f ca="1">(AA20-AA20*5%)*Assumptions!$D$81/365*AA12</f>
        <v>0.74289251851950466</v>
      </c>
      <c r="AB21" s="251">
        <f ca="1">(AB20-AB20*5%)*Assumptions!$D$81/365*AB12</f>
        <v>0.74086275753994313</v>
      </c>
      <c r="AC21" s="251">
        <f ca="1">(AC20-AC20*5%)*Assumptions!$D$81/365*AC12</f>
        <v>0.74086275753994313</v>
      </c>
      <c r="AD21" s="251">
        <f ca="1">(AD20-AD20*5%)*Assumptions!$D$81/365*AD12</f>
        <v>0.74086275753994313</v>
      </c>
      <c r="AE21" s="251">
        <f ca="1">(AE20-AE20*5%)*Assumptions!$D$81/365*AE12</f>
        <v>0.74289251851950466</v>
      </c>
    </row>
    <row r="22" spans="2:31" x14ac:dyDescent="0.25">
      <c r="B22" s="31" t="s">
        <v>166</v>
      </c>
      <c r="C22" s="31"/>
      <c r="D22" s="86"/>
      <c r="E22" s="86"/>
      <c r="F22" s="86">
        <f ca="1">'TPC &amp; MoF'!H9</f>
        <v>444.51765452396586</v>
      </c>
      <c r="G22" s="86">
        <f ca="1">F22</f>
        <v>444.51765452396586</v>
      </c>
      <c r="H22" s="86">
        <f t="shared" ref="H22:AE22" ca="1" si="7">G22</f>
        <v>444.51765452396586</v>
      </c>
      <c r="I22" s="86">
        <f t="shared" ca="1" si="7"/>
        <v>444.51765452396586</v>
      </c>
      <c r="J22" s="86">
        <f t="shared" ca="1" si="7"/>
        <v>444.51765452396586</v>
      </c>
      <c r="K22" s="86">
        <f t="shared" ca="1" si="7"/>
        <v>444.51765452396586</v>
      </c>
      <c r="L22" s="86">
        <f t="shared" ca="1" si="7"/>
        <v>444.51765452396586</v>
      </c>
      <c r="M22" s="86">
        <f t="shared" ca="1" si="7"/>
        <v>444.51765452396586</v>
      </c>
      <c r="N22" s="86">
        <f t="shared" ca="1" si="7"/>
        <v>444.51765452396586</v>
      </c>
      <c r="O22" s="86">
        <f t="shared" ca="1" si="7"/>
        <v>444.51765452396586</v>
      </c>
      <c r="P22" s="86">
        <f t="shared" ca="1" si="7"/>
        <v>444.51765452396586</v>
      </c>
      <c r="Q22" s="86">
        <f t="shared" ca="1" si="7"/>
        <v>444.51765452396586</v>
      </c>
      <c r="R22" s="86">
        <f t="shared" ca="1" si="7"/>
        <v>444.51765452396586</v>
      </c>
      <c r="S22" s="86">
        <f t="shared" ca="1" si="7"/>
        <v>444.51765452396586</v>
      </c>
      <c r="T22" s="86">
        <f t="shared" ca="1" si="7"/>
        <v>444.51765452396586</v>
      </c>
      <c r="U22" s="86">
        <f t="shared" ca="1" si="7"/>
        <v>444.51765452396586</v>
      </c>
      <c r="V22" s="86">
        <f t="shared" ca="1" si="7"/>
        <v>444.51765452396586</v>
      </c>
      <c r="W22" s="86">
        <f t="shared" ca="1" si="7"/>
        <v>444.51765452396586</v>
      </c>
      <c r="X22" s="86">
        <f t="shared" ca="1" si="7"/>
        <v>444.51765452396586</v>
      </c>
      <c r="Y22" s="86">
        <f t="shared" ca="1" si="7"/>
        <v>444.51765452396586</v>
      </c>
      <c r="Z22" s="86">
        <f t="shared" ca="1" si="7"/>
        <v>444.51765452396586</v>
      </c>
      <c r="AA22" s="86">
        <f t="shared" ca="1" si="7"/>
        <v>444.51765452396586</v>
      </c>
      <c r="AB22" s="86">
        <f t="shared" ca="1" si="7"/>
        <v>444.51765452396586</v>
      </c>
      <c r="AC22" s="86">
        <f t="shared" ca="1" si="7"/>
        <v>444.51765452396586</v>
      </c>
      <c r="AD22" s="86">
        <f t="shared" ca="1" si="7"/>
        <v>444.51765452396586</v>
      </c>
      <c r="AE22" s="86">
        <f t="shared" ca="1" si="7"/>
        <v>444.51765452396586</v>
      </c>
    </row>
    <row r="23" spans="2:31" x14ac:dyDescent="0.25">
      <c r="B23" s="249" t="str">
        <f>"SLM Depreciation " &amp; B22</f>
        <v>SLM Depreciation Plant &amp; Machinery</v>
      </c>
      <c r="C23" s="249"/>
      <c r="D23" s="249"/>
      <c r="E23" s="249"/>
      <c r="F23" s="250">
        <f ca="1">(((F22-F22*5%)*Assumptions!$D$82)/365)*F12</f>
        <v>16.891670871910705</v>
      </c>
      <c r="G23" s="250">
        <f ca="1">(((G22-G22*5%)*Assumptions!$D$82)/365)*G12</f>
        <v>16.937949422244706</v>
      </c>
      <c r="H23" s="250">
        <f ca="1">(((H22-H22*5%)*Assumptions!$D$82)/365)*H12</f>
        <v>16.891670871910705</v>
      </c>
      <c r="I23" s="250">
        <f ca="1">(((I22-I22*5%)*Assumptions!$D$82)/365)*I12</f>
        <v>16.891670871910705</v>
      </c>
      <c r="J23" s="250">
        <f ca="1">(((J22-J22*5%)*Assumptions!$D$82)/365)*J12</f>
        <v>16.891670871910705</v>
      </c>
      <c r="K23" s="250">
        <f ca="1">(((K22-K22*5%)*Assumptions!$D$82)/365)*K12</f>
        <v>16.937949422244706</v>
      </c>
      <c r="L23" s="250">
        <f ca="1">(((L22-L22*5%)*Assumptions!$D$82)/365)*L12</f>
        <v>16.891670871910705</v>
      </c>
      <c r="M23" s="250">
        <f ca="1">(((M22-M22*5%)*Assumptions!$D$82)/365)*M12</f>
        <v>16.891670871910705</v>
      </c>
      <c r="N23" s="250">
        <f ca="1">(((N22-N22*5%)*Assumptions!$D$82)/365)*N12</f>
        <v>16.891670871910705</v>
      </c>
      <c r="O23" s="250">
        <f ca="1">(((O22-O22*5%)*Assumptions!$D$82)/365)*O12</f>
        <v>16.937949422244706</v>
      </c>
      <c r="P23" s="250">
        <f ca="1">(((P22-P22*5%)*Assumptions!$D$82)/365)*P12</f>
        <v>16.891670871910705</v>
      </c>
      <c r="Q23" s="250">
        <f ca="1">(((Q22-Q22*5%)*Assumptions!$D$82)/365)*Q12</f>
        <v>16.891670871910705</v>
      </c>
      <c r="R23" s="250">
        <f ca="1">(((R22-R22*5%)*Assumptions!$D$82)/365)*R12</f>
        <v>16.891670871910705</v>
      </c>
      <c r="S23" s="250">
        <f ca="1">(((S22-S22*5%)*Assumptions!$D$82)/365)*S12</f>
        <v>16.937949422244706</v>
      </c>
      <c r="T23" s="250">
        <f ca="1">(((T22-T22*5%)*Assumptions!$D$82)/365)*T12</f>
        <v>16.891670871910705</v>
      </c>
      <c r="U23" s="250">
        <f ca="1">(((U22-U22*5%)*Assumptions!$D$82)/365)*U12</f>
        <v>16.891670871910705</v>
      </c>
      <c r="V23" s="250">
        <f ca="1">(((V22-V22*5%)*Assumptions!$D$82)/365)*V12</f>
        <v>16.891670871910705</v>
      </c>
      <c r="W23" s="250">
        <f ca="1">(((W22-W22*5%)*Assumptions!$D$82)/365)*W12</f>
        <v>16.937949422244706</v>
      </c>
      <c r="X23" s="250">
        <f ca="1">(((X22-X22*5%)*Assumptions!$D$82)/365)*X12</f>
        <v>16.891670871910705</v>
      </c>
      <c r="Y23" s="250">
        <f ca="1">(((Y22-Y22*5%)*Assumptions!$D$82)/365)*Y12</f>
        <v>16.891670871910705</v>
      </c>
      <c r="Z23" s="250">
        <f ca="1">(((Z22-Z22*5%)*Assumptions!$D$82)/365)*Z12</f>
        <v>16.891670871910705</v>
      </c>
      <c r="AA23" s="250">
        <f ca="1">(((AA22-AA22*5%)*Assumptions!$D$82)/365)*AA12</f>
        <v>16.937949422244706</v>
      </c>
      <c r="AB23" s="250">
        <f ca="1">(((AB22-AB22*5%)*Assumptions!$D$82)/365)*AB12</f>
        <v>16.891670871910705</v>
      </c>
      <c r="AC23" s="250">
        <f ca="1">(((AC22-AC22*5%)*Assumptions!$D$82)/365)*AC12</f>
        <v>16.891670871910705</v>
      </c>
      <c r="AD23" s="250">
        <f ca="1">(((AD22-AD22*5%)*Assumptions!$D$82)/365)*AD12</f>
        <v>16.891670871910705</v>
      </c>
      <c r="AE23" s="250">
        <f ca="1">(((AE22-AE22*5%)*Assumptions!$D$82)/365)*AE12</f>
        <v>16.937949422244706</v>
      </c>
    </row>
    <row r="24" spans="2:31" hidden="1" x14ac:dyDescent="0.25">
      <c r="B24" s="31" t="s">
        <v>258</v>
      </c>
      <c r="C24" s="31"/>
      <c r="D24" s="86"/>
      <c r="E24" s="86"/>
      <c r="F24" s="86">
        <f ca="1">'TPC &amp; MoF'!H10</f>
        <v>0</v>
      </c>
      <c r="G24" s="86">
        <f ca="1">F24</f>
        <v>0</v>
      </c>
      <c r="H24" s="86">
        <f t="shared" ref="H24:AE24" ca="1" si="8">G24</f>
        <v>0</v>
      </c>
      <c r="I24" s="86">
        <f t="shared" ca="1" si="8"/>
        <v>0</v>
      </c>
      <c r="J24" s="86">
        <f t="shared" ca="1" si="8"/>
        <v>0</v>
      </c>
      <c r="K24" s="86">
        <f t="shared" ca="1" si="8"/>
        <v>0</v>
      </c>
      <c r="L24" s="86">
        <f t="shared" ca="1" si="8"/>
        <v>0</v>
      </c>
      <c r="M24" s="86">
        <f t="shared" ca="1" si="8"/>
        <v>0</v>
      </c>
      <c r="N24" s="86">
        <f t="shared" ca="1" si="8"/>
        <v>0</v>
      </c>
      <c r="O24" s="86">
        <f t="shared" ca="1" si="8"/>
        <v>0</v>
      </c>
      <c r="P24" s="86">
        <f t="shared" ca="1" si="8"/>
        <v>0</v>
      </c>
      <c r="Q24" s="86">
        <f t="shared" ca="1" si="8"/>
        <v>0</v>
      </c>
      <c r="R24" s="86">
        <f t="shared" ca="1" si="8"/>
        <v>0</v>
      </c>
      <c r="S24" s="86">
        <f t="shared" ca="1" si="8"/>
        <v>0</v>
      </c>
      <c r="T24" s="86">
        <f t="shared" ca="1" si="8"/>
        <v>0</v>
      </c>
      <c r="U24" s="86">
        <f t="shared" ca="1" si="8"/>
        <v>0</v>
      </c>
      <c r="V24" s="86">
        <f t="shared" ca="1" si="8"/>
        <v>0</v>
      </c>
      <c r="W24" s="86">
        <f t="shared" ca="1" si="8"/>
        <v>0</v>
      </c>
      <c r="X24" s="86">
        <f t="shared" ca="1" si="8"/>
        <v>0</v>
      </c>
      <c r="Y24" s="86">
        <f t="shared" ca="1" si="8"/>
        <v>0</v>
      </c>
      <c r="Z24" s="86">
        <f t="shared" ca="1" si="8"/>
        <v>0</v>
      </c>
      <c r="AA24" s="86">
        <f t="shared" ca="1" si="8"/>
        <v>0</v>
      </c>
      <c r="AB24" s="86">
        <f t="shared" ca="1" si="8"/>
        <v>0</v>
      </c>
      <c r="AC24" s="86">
        <f t="shared" ca="1" si="8"/>
        <v>0</v>
      </c>
      <c r="AD24" s="86">
        <f t="shared" ca="1" si="8"/>
        <v>0</v>
      </c>
      <c r="AE24" s="86">
        <f t="shared" ca="1" si="8"/>
        <v>0</v>
      </c>
    </row>
    <row r="25" spans="2:31" hidden="1" x14ac:dyDescent="0.25">
      <c r="B25" s="249" t="str">
        <f>"SLM Depreciation " &amp; B24</f>
        <v>SLM Depreciation Electricity Connection &amp; Infrastructure</v>
      </c>
      <c r="C25" s="249"/>
      <c r="D25" s="249"/>
      <c r="E25" s="249"/>
      <c r="F25" s="250">
        <f ca="1">(F24-F24*5%)*Assumptions!$D$83/365*F12</f>
        <v>0</v>
      </c>
      <c r="G25" s="250">
        <f ca="1">(G24-G24*5%)*Assumptions!$D$83/365*G12</f>
        <v>0</v>
      </c>
      <c r="H25" s="250">
        <f ca="1">(H24-H24*5%)*Assumptions!$D$83/365*H12</f>
        <v>0</v>
      </c>
      <c r="I25" s="250">
        <f ca="1">(I24-I24*5%)*Assumptions!$D$83/365*I12</f>
        <v>0</v>
      </c>
      <c r="J25" s="250">
        <f ca="1">(J24-J24*5%)*Assumptions!$D$83/365*J12</f>
        <v>0</v>
      </c>
      <c r="K25" s="250">
        <f ca="1">(K24-K24*5%)*Assumptions!$D$83/365*K12</f>
        <v>0</v>
      </c>
      <c r="L25" s="250">
        <f ca="1">(L24-L24*5%)*Assumptions!$D$83/365*L12</f>
        <v>0</v>
      </c>
      <c r="M25" s="250">
        <f ca="1">(M24-M24*5%)*Assumptions!$D$83/365*M12</f>
        <v>0</v>
      </c>
      <c r="N25" s="250">
        <f ca="1">(N24-N24*5%)*Assumptions!$D$83/365*N12</f>
        <v>0</v>
      </c>
      <c r="O25" s="250">
        <f ca="1">(O24-O24*5%)*Assumptions!$D$83/365*O12</f>
        <v>0</v>
      </c>
      <c r="P25" s="250">
        <f ca="1">(P24-P24*5%)*Assumptions!$D$83/365*P12</f>
        <v>0</v>
      </c>
      <c r="Q25" s="250">
        <f ca="1">(Q24-Q24*5%)*Assumptions!$D$83/365*Q12</f>
        <v>0</v>
      </c>
      <c r="R25" s="250">
        <f ca="1">(R24-R24*5%)*Assumptions!$D$83/365*R12</f>
        <v>0</v>
      </c>
      <c r="S25" s="250">
        <f ca="1">(S24-S24*5%)*Assumptions!$D$83/365*S12</f>
        <v>0</v>
      </c>
      <c r="T25" s="250">
        <f ca="1">(T24-T24*5%)*Assumptions!$D$83/365*T12</f>
        <v>0</v>
      </c>
      <c r="U25" s="250">
        <f ca="1">(U24-U24*5%)*Assumptions!$D$83/365*U12</f>
        <v>0</v>
      </c>
      <c r="V25" s="250">
        <f ca="1">(V24-V24*5%)*Assumptions!$D$83/365*V12</f>
        <v>0</v>
      </c>
      <c r="W25" s="250">
        <f ca="1">(W24-W24*5%)*Assumptions!$D$83/365*W12</f>
        <v>0</v>
      </c>
      <c r="X25" s="250">
        <f ca="1">(X24-X24*5%)*Assumptions!$D$83/365*X12</f>
        <v>0</v>
      </c>
      <c r="Y25" s="250">
        <f ca="1">(Y24-Y24*5%)*Assumptions!$D$83/365*Y12</f>
        <v>0</v>
      </c>
      <c r="Z25" s="250">
        <f ca="1">(Z24-Z24*5%)*Assumptions!$D$83/365*Z12</f>
        <v>0</v>
      </c>
      <c r="AA25" s="250">
        <f ca="1">(AA24-AA24*5%)*Assumptions!$D$83/365*AA12</f>
        <v>0</v>
      </c>
      <c r="AB25" s="250">
        <f ca="1">(AB24-AB24*5%)*Assumptions!$D$83/365*AB12</f>
        <v>0</v>
      </c>
      <c r="AC25" s="250">
        <f ca="1">(AC24-AC24*5%)*Assumptions!$D$83/365*AC12</f>
        <v>0</v>
      </c>
      <c r="AD25" s="250">
        <f ca="1">(AD24-AD24*5%)*Assumptions!$D$83/365*AD12</f>
        <v>0</v>
      </c>
      <c r="AE25" s="250">
        <f ca="1">(AE24-AE24*5%)*Assumptions!$D$83/365*AE12</f>
        <v>0</v>
      </c>
    </row>
    <row r="26" spans="2:31" hidden="1" x14ac:dyDescent="0.25">
      <c r="B26" s="31" t="s">
        <v>5</v>
      </c>
      <c r="C26" s="31"/>
      <c r="D26" s="86"/>
      <c r="E26" s="86"/>
      <c r="F26" s="86">
        <f ca="1">'TPC &amp; MoF'!H11</f>
        <v>0</v>
      </c>
      <c r="G26" s="86">
        <f ca="1">F26</f>
        <v>0</v>
      </c>
      <c r="H26" s="86">
        <f t="shared" ref="H26:AE26" ca="1" si="9">G26</f>
        <v>0</v>
      </c>
      <c r="I26" s="86">
        <f t="shared" ca="1" si="9"/>
        <v>0</v>
      </c>
      <c r="J26" s="86">
        <f t="shared" ca="1" si="9"/>
        <v>0</v>
      </c>
      <c r="K26" s="86">
        <f t="shared" ca="1" si="9"/>
        <v>0</v>
      </c>
      <c r="L26" s="86">
        <f t="shared" ca="1" si="9"/>
        <v>0</v>
      </c>
      <c r="M26" s="86">
        <f t="shared" ca="1" si="9"/>
        <v>0</v>
      </c>
      <c r="N26" s="86">
        <f t="shared" ca="1" si="9"/>
        <v>0</v>
      </c>
      <c r="O26" s="86">
        <f t="shared" ca="1" si="9"/>
        <v>0</v>
      </c>
      <c r="P26" s="86">
        <f t="shared" ca="1" si="9"/>
        <v>0</v>
      </c>
      <c r="Q26" s="86">
        <f t="shared" ca="1" si="9"/>
        <v>0</v>
      </c>
      <c r="R26" s="86">
        <f t="shared" ca="1" si="9"/>
        <v>0</v>
      </c>
      <c r="S26" s="86">
        <f t="shared" ca="1" si="9"/>
        <v>0</v>
      </c>
      <c r="T26" s="86">
        <f t="shared" ca="1" si="9"/>
        <v>0</v>
      </c>
      <c r="U26" s="86">
        <f t="shared" ca="1" si="9"/>
        <v>0</v>
      </c>
      <c r="V26" s="86">
        <f t="shared" ca="1" si="9"/>
        <v>0</v>
      </c>
      <c r="W26" s="86">
        <f t="shared" ca="1" si="9"/>
        <v>0</v>
      </c>
      <c r="X26" s="86">
        <f t="shared" ca="1" si="9"/>
        <v>0</v>
      </c>
      <c r="Y26" s="86">
        <f t="shared" ca="1" si="9"/>
        <v>0</v>
      </c>
      <c r="Z26" s="86">
        <f t="shared" ca="1" si="9"/>
        <v>0</v>
      </c>
      <c r="AA26" s="86">
        <f t="shared" ca="1" si="9"/>
        <v>0</v>
      </c>
      <c r="AB26" s="86">
        <f t="shared" ca="1" si="9"/>
        <v>0</v>
      </c>
      <c r="AC26" s="86">
        <f t="shared" ca="1" si="9"/>
        <v>0</v>
      </c>
      <c r="AD26" s="86">
        <f t="shared" ca="1" si="9"/>
        <v>0</v>
      </c>
      <c r="AE26" s="86">
        <f t="shared" ca="1" si="9"/>
        <v>0</v>
      </c>
    </row>
    <row r="27" spans="2:31" hidden="1" x14ac:dyDescent="0.25">
      <c r="B27" s="249" t="str">
        <f>"SLM Depreciation " &amp; B26</f>
        <v>SLM Depreciation Vehicles</v>
      </c>
      <c r="C27" s="249"/>
      <c r="D27" s="249"/>
      <c r="E27" s="249"/>
      <c r="F27" s="250">
        <f ca="1">(F26-F26*5%)/Assumptions!$D$84/365*F12</f>
        <v>0</v>
      </c>
      <c r="G27" s="250">
        <f ca="1">(G26-G26*5%)/Assumptions!$D$84/365*G12</f>
        <v>0</v>
      </c>
      <c r="H27" s="250">
        <f ca="1">(H26-H26*5%)/Assumptions!$D$84/365*H12</f>
        <v>0</v>
      </c>
      <c r="I27" s="250">
        <f ca="1">(I26-I26*5%)/Assumptions!$D$84/365*I12</f>
        <v>0</v>
      </c>
      <c r="J27" s="250">
        <f ca="1">(J26-J26*5%)/Assumptions!$D$84/365*J12</f>
        <v>0</v>
      </c>
      <c r="K27" s="250">
        <f ca="1">(K26-K26*5%)/Assumptions!$D$84/365*K12</f>
        <v>0</v>
      </c>
      <c r="L27" s="250">
        <f ca="1">(L26-L26*5%)/Assumptions!$D$84/365*L12</f>
        <v>0</v>
      </c>
      <c r="M27" s="250">
        <f ca="1">(M26-M26*5%)/Assumptions!$D$84/365*M12</f>
        <v>0</v>
      </c>
      <c r="N27" s="250">
        <f ca="1">(N26-N26*5%)/Assumptions!$D$84/365*N12</f>
        <v>0</v>
      </c>
      <c r="O27" s="250">
        <f ca="1">(O26-O26*5%)/Assumptions!$D$84/365*O12</f>
        <v>0</v>
      </c>
      <c r="P27" s="250">
        <f ca="1">(P26-P26*5%)/Assumptions!$D$84/365*P12</f>
        <v>0</v>
      </c>
      <c r="Q27" s="250">
        <f ca="1">(Q26-Q26*5%)/Assumptions!$D$84/365*Q12</f>
        <v>0</v>
      </c>
      <c r="R27" s="250">
        <f ca="1">(R26-R26*5%)/Assumptions!$D$84/365*R12</f>
        <v>0</v>
      </c>
      <c r="S27" s="250">
        <f ca="1">(S26-S26*5%)/Assumptions!$D$84/365*S12</f>
        <v>0</v>
      </c>
      <c r="T27" s="250">
        <f ca="1">(T26-T26*5%)/Assumptions!$D$84/365*T12</f>
        <v>0</v>
      </c>
      <c r="U27" s="250">
        <f ca="1">(U26-U26*5%)/Assumptions!$D$84/365*U12</f>
        <v>0</v>
      </c>
      <c r="V27" s="250">
        <f ca="1">(V26-V26*5%)/Assumptions!$D$84/365*V12</f>
        <v>0</v>
      </c>
      <c r="W27" s="250">
        <f ca="1">(W26-W26*5%)/Assumptions!$D$84/365*W12</f>
        <v>0</v>
      </c>
      <c r="X27" s="250">
        <f ca="1">(X26-X26*5%)/Assumptions!$D$84/365*X12</f>
        <v>0</v>
      </c>
      <c r="Y27" s="250">
        <f ca="1">(Y26-Y26*5%)/Assumptions!$D$84/365*Y12</f>
        <v>0</v>
      </c>
      <c r="Z27" s="250">
        <f ca="1">(Z26-Z26*5%)/Assumptions!$D$84/365*Z12</f>
        <v>0</v>
      </c>
      <c r="AA27" s="250">
        <f ca="1">(AA26-AA26*5%)/Assumptions!$D$84/365*AA12</f>
        <v>0</v>
      </c>
      <c r="AB27" s="250">
        <f ca="1">(AB26-AB26*5%)/Assumptions!$D$84/365*AB12</f>
        <v>0</v>
      </c>
      <c r="AC27" s="250">
        <f ca="1">(AC26-AC26*5%)/Assumptions!$D$84/365*AC12</f>
        <v>0</v>
      </c>
      <c r="AD27" s="250">
        <f ca="1">(AD26-AD26*5%)/Assumptions!$D$84/365*AD12</f>
        <v>0</v>
      </c>
      <c r="AE27" s="250">
        <f ca="1">(AE26-AE26*5%)/Assumptions!$D$84/365*AE12</f>
        <v>0</v>
      </c>
    </row>
    <row r="28" spans="2:31" hidden="1" x14ac:dyDescent="0.25">
      <c r="B28" s="31" t="s">
        <v>259</v>
      </c>
      <c r="C28" s="31"/>
      <c r="D28" s="86"/>
      <c r="E28" s="86"/>
      <c r="F28" s="86">
        <f ca="1">'TPC &amp; MoF'!H12</f>
        <v>0</v>
      </c>
      <c r="G28" s="86">
        <f ca="1">F28</f>
        <v>0</v>
      </c>
      <c r="H28" s="86">
        <f t="shared" ref="H28:AE28" ca="1" si="10">G28</f>
        <v>0</v>
      </c>
      <c r="I28" s="86">
        <f t="shared" ca="1" si="10"/>
        <v>0</v>
      </c>
      <c r="J28" s="86">
        <f t="shared" ca="1" si="10"/>
        <v>0</v>
      </c>
      <c r="K28" s="86">
        <f t="shared" ca="1" si="10"/>
        <v>0</v>
      </c>
      <c r="L28" s="86">
        <f t="shared" ca="1" si="10"/>
        <v>0</v>
      </c>
      <c r="M28" s="86">
        <f t="shared" ca="1" si="10"/>
        <v>0</v>
      </c>
      <c r="N28" s="86">
        <f t="shared" ca="1" si="10"/>
        <v>0</v>
      </c>
      <c r="O28" s="86">
        <f t="shared" ca="1" si="10"/>
        <v>0</v>
      </c>
      <c r="P28" s="86">
        <f t="shared" ca="1" si="10"/>
        <v>0</v>
      </c>
      <c r="Q28" s="86">
        <f t="shared" ca="1" si="10"/>
        <v>0</v>
      </c>
      <c r="R28" s="86">
        <f t="shared" ca="1" si="10"/>
        <v>0</v>
      </c>
      <c r="S28" s="86">
        <f t="shared" ca="1" si="10"/>
        <v>0</v>
      </c>
      <c r="T28" s="86">
        <f t="shared" ca="1" si="10"/>
        <v>0</v>
      </c>
      <c r="U28" s="86">
        <f t="shared" ca="1" si="10"/>
        <v>0</v>
      </c>
      <c r="V28" s="86">
        <f t="shared" ca="1" si="10"/>
        <v>0</v>
      </c>
      <c r="W28" s="86">
        <f t="shared" ca="1" si="10"/>
        <v>0</v>
      </c>
      <c r="X28" s="86">
        <f t="shared" ca="1" si="10"/>
        <v>0</v>
      </c>
      <c r="Y28" s="86">
        <f t="shared" ca="1" si="10"/>
        <v>0</v>
      </c>
      <c r="Z28" s="86">
        <f t="shared" ca="1" si="10"/>
        <v>0</v>
      </c>
      <c r="AA28" s="86">
        <f t="shared" ca="1" si="10"/>
        <v>0</v>
      </c>
      <c r="AB28" s="86">
        <f t="shared" ca="1" si="10"/>
        <v>0</v>
      </c>
      <c r="AC28" s="86">
        <f t="shared" ca="1" si="10"/>
        <v>0</v>
      </c>
      <c r="AD28" s="86">
        <f t="shared" ca="1" si="10"/>
        <v>0</v>
      </c>
      <c r="AE28" s="86">
        <f t="shared" ca="1" si="10"/>
        <v>0</v>
      </c>
    </row>
    <row r="29" spans="2:31" hidden="1" x14ac:dyDescent="0.25">
      <c r="B29" s="249" t="str">
        <f>"SLM Depreciation " &amp; B28</f>
        <v>SLM Depreciation Office equipment</v>
      </c>
      <c r="C29" s="249"/>
      <c r="D29" s="249"/>
      <c r="E29" s="249"/>
      <c r="F29" s="251">
        <f ca="1">(F28-F28*5%)*Assumptions!$D$85/365*F12</f>
        <v>0</v>
      </c>
      <c r="G29" s="251">
        <f ca="1">(G28-G28*5%)*Assumptions!$D$85/365*G12</f>
        <v>0</v>
      </c>
      <c r="H29" s="251">
        <f ca="1">(H28-H28*5%)*Assumptions!$D$85/365*H12</f>
        <v>0</v>
      </c>
      <c r="I29" s="251">
        <f ca="1">(I28-I28*5%)*Assumptions!$D$85/365*I12</f>
        <v>0</v>
      </c>
      <c r="J29" s="251">
        <f ca="1">(J28-J28*5%)*Assumptions!$D$85/365*J12</f>
        <v>0</v>
      </c>
      <c r="K29" s="251">
        <f ca="1">(K28-K28*5%)*Assumptions!$D$85/365*K12</f>
        <v>0</v>
      </c>
      <c r="L29" s="251">
        <f ca="1">(L28-L28*5%)*Assumptions!$D$85/365*L12</f>
        <v>0</v>
      </c>
      <c r="M29" s="251">
        <f ca="1">(M28-M28*5%)*Assumptions!$D$85/365*M12</f>
        <v>0</v>
      </c>
      <c r="N29" s="251">
        <f ca="1">(N28-N28*5%)*Assumptions!$D$85/365*N12</f>
        <v>0</v>
      </c>
      <c r="O29" s="251">
        <f ca="1">(O28-O28*5%)*Assumptions!$D$85/365*O12</f>
        <v>0</v>
      </c>
      <c r="P29" s="251">
        <f ca="1">(P28-P28*5%)*Assumptions!$D$85/365*P12</f>
        <v>0</v>
      </c>
      <c r="Q29" s="251">
        <f ca="1">(Q28-Q28*5%)*Assumptions!$D$85/365*Q12</f>
        <v>0</v>
      </c>
      <c r="R29" s="251">
        <f ca="1">(R28-R28*5%)*Assumptions!$D$85/365*R12</f>
        <v>0</v>
      </c>
      <c r="S29" s="251">
        <f ca="1">(S28-S28*5%)*Assumptions!$D$85/365*S12</f>
        <v>0</v>
      </c>
      <c r="T29" s="251">
        <f ca="1">(T28-T28*5%)*Assumptions!$D$85/365*T12</f>
        <v>0</v>
      </c>
      <c r="U29" s="251">
        <f ca="1">(U28-U28*5%)*Assumptions!$D$85/365*U12</f>
        <v>0</v>
      </c>
      <c r="V29" s="251">
        <f ca="1">(V28-V28*5%)*Assumptions!$D$85/365*V12</f>
        <v>0</v>
      </c>
      <c r="W29" s="251">
        <f ca="1">(W28-W28*5%)*Assumptions!$D$85/365*W12</f>
        <v>0</v>
      </c>
      <c r="X29" s="251">
        <f ca="1">(X28-X28*5%)*Assumptions!$D$85/365*X12</f>
        <v>0</v>
      </c>
      <c r="Y29" s="251">
        <f ca="1">(Y28-Y28*5%)*Assumptions!$D$85/365*Y12</f>
        <v>0</v>
      </c>
      <c r="Z29" s="251">
        <f ca="1">(Z28-Z28*5%)*Assumptions!$D$85/365*Z12</f>
        <v>0</v>
      </c>
      <c r="AA29" s="251">
        <f ca="1">(AA28-AA28*5%)*Assumptions!$D$85/365*AA12</f>
        <v>0</v>
      </c>
      <c r="AB29" s="251">
        <f ca="1">(AB28-AB28*5%)*Assumptions!$D$85/365*AB12</f>
        <v>0</v>
      </c>
      <c r="AC29" s="251">
        <f ca="1">(AC28-AC28*5%)*Assumptions!$D$85/365*AC12</f>
        <v>0</v>
      </c>
      <c r="AD29" s="251">
        <f ca="1">(AD28-AD28*5%)*Assumptions!$D$85/365*AD12</f>
        <v>0</v>
      </c>
      <c r="AE29" s="251">
        <f ca="1">(AE28-AE28*5%)*Assumptions!$D$85/365*AE12</f>
        <v>0</v>
      </c>
    </row>
    <row r="30" spans="2:31" x14ac:dyDescent="0.25">
      <c r="B30" s="100" t="s">
        <v>260</v>
      </c>
      <c r="C30" s="100"/>
      <c r="D30" s="100"/>
      <c r="E30" s="100"/>
      <c r="F30" s="101">
        <f ca="1">F19+F21+F23+F25+F27+F29</f>
        <v>17.632533629450649</v>
      </c>
      <c r="G30" s="101">
        <f t="shared" ref="G30:AE30" ca="1" si="11">G19+G21+G23+G25+G27+G29</f>
        <v>17.680841940764211</v>
      </c>
      <c r="H30" s="101">
        <f t="shared" ca="1" si="11"/>
        <v>17.632533629450649</v>
      </c>
      <c r="I30" s="101">
        <f t="shared" ca="1" si="11"/>
        <v>17.632533629450649</v>
      </c>
      <c r="J30" s="101">
        <f t="shared" ca="1" si="11"/>
        <v>17.632533629450649</v>
      </c>
      <c r="K30" s="101">
        <f t="shared" ca="1" si="11"/>
        <v>17.680841940764211</v>
      </c>
      <c r="L30" s="101">
        <f t="shared" ca="1" si="11"/>
        <v>17.632533629450649</v>
      </c>
      <c r="M30" s="101">
        <f t="shared" ca="1" si="11"/>
        <v>17.632533629450649</v>
      </c>
      <c r="N30" s="101">
        <f t="shared" ca="1" si="11"/>
        <v>17.632533629450649</v>
      </c>
      <c r="O30" s="101">
        <f t="shared" ca="1" si="11"/>
        <v>17.680841940764211</v>
      </c>
      <c r="P30" s="101">
        <f t="shared" ca="1" si="11"/>
        <v>17.632533629450649</v>
      </c>
      <c r="Q30" s="101">
        <f t="shared" ca="1" si="11"/>
        <v>17.632533629450649</v>
      </c>
      <c r="R30" s="101">
        <f t="shared" ca="1" si="11"/>
        <v>17.632533629450649</v>
      </c>
      <c r="S30" s="101">
        <f t="shared" ca="1" si="11"/>
        <v>17.680841940764211</v>
      </c>
      <c r="T30" s="101">
        <f t="shared" ca="1" si="11"/>
        <v>17.632533629450649</v>
      </c>
      <c r="U30" s="101">
        <f t="shared" ca="1" si="11"/>
        <v>17.632533629450649</v>
      </c>
      <c r="V30" s="101">
        <f t="shared" ca="1" si="11"/>
        <v>17.632533629450649</v>
      </c>
      <c r="W30" s="101">
        <f t="shared" ca="1" si="11"/>
        <v>17.680841940764211</v>
      </c>
      <c r="X30" s="101">
        <f t="shared" ca="1" si="11"/>
        <v>17.632533629450649</v>
      </c>
      <c r="Y30" s="101">
        <f t="shared" ca="1" si="11"/>
        <v>17.632533629450649</v>
      </c>
      <c r="Z30" s="101">
        <f t="shared" ca="1" si="11"/>
        <v>17.632533629450649</v>
      </c>
      <c r="AA30" s="101">
        <f t="shared" ca="1" si="11"/>
        <v>17.680841940764211</v>
      </c>
      <c r="AB30" s="101">
        <f t="shared" ca="1" si="11"/>
        <v>17.632533629450649</v>
      </c>
      <c r="AC30" s="101">
        <f t="shared" ca="1" si="11"/>
        <v>17.632533629450649</v>
      </c>
      <c r="AD30" s="101">
        <f t="shared" ca="1" si="11"/>
        <v>17.632533629450649</v>
      </c>
      <c r="AE30" s="101">
        <f t="shared" ca="1" si="11"/>
        <v>17.680841940764211</v>
      </c>
    </row>
    <row r="31" spans="2:31" x14ac:dyDescent="0.25">
      <c r="B31" s="100" t="s">
        <v>319</v>
      </c>
      <c r="C31" s="100"/>
      <c r="D31" s="100"/>
      <c r="E31" s="100"/>
      <c r="F31" s="101">
        <f ca="1">(F18+F20+F22+F24+F26+F28)-($F$30:F30)</f>
        <v>450.28078692209237</v>
      </c>
      <c r="G31" s="101">
        <f ca="1">(G18+G20+G22+G24+G26+G28)-(SUM($F$30:G30))</f>
        <v>432.59994498132812</v>
      </c>
      <c r="H31" s="101">
        <f ca="1">(H18+H20+H22+H24+H26+H28)-(SUM($F$30:H30))</f>
        <v>414.9674113518775</v>
      </c>
      <c r="I31" s="101">
        <f ca="1">(I18+I20+I22+I24+I26+I28)-(SUM($F$30:I30))</f>
        <v>397.33487772242682</v>
      </c>
      <c r="J31" s="101">
        <f ca="1">(J18+J20+J22+J24+J26+J28)-(SUM($F$30:J30))</f>
        <v>379.7023440929762</v>
      </c>
      <c r="K31" s="101">
        <f ca="1">(K18+K20+K22+K24+K26+K28)-(SUM($F$30:K30))</f>
        <v>362.02150215221195</v>
      </c>
      <c r="L31" s="101">
        <f ca="1">(L18+L20+L22+L24+L26+L28)-(SUM($F$30:L30))</f>
        <v>344.38896852276133</v>
      </c>
      <c r="M31" s="101">
        <f ca="1">(M18+M20+M22+M24+M26+M28)-(SUM($F$30:M30))</f>
        <v>326.75643489331071</v>
      </c>
      <c r="N31" s="101">
        <f ca="1">(N18+N20+N22+N24+N26+N28)-(SUM($F$30:N30))</f>
        <v>309.12390126386003</v>
      </c>
      <c r="O31" s="101">
        <f ca="1">(O18+O20+O22+O24+O26+O28)-(SUM($F$30:O30))</f>
        <v>291.44305932309584</v>
      </c>
      <c r="P31" s="101">
        <f ca="1">(P18+P20+P22+P24+P26+P28)-(SUM($F$30:P30))</f>
        <v>273.81052569364522</v>
      </c>
      <c r="Q31" s="101">
        <f ca="1">(Q18+Q20+Q22+Q24+Q26+Q28)-(SUM($F$30:Q30))</f>
        <v>256.17799206419454</v>
      </c>
      <c r="R31" s="101">
        <f ca="1">(R18+R20+R22+R24+R26+R28)-(SUM($F$30:R30))</f>
        <v>238.54545843474389</v>
      </c>
      <c r="S31" s="101">
        <f ca="1">(S18+S20+S22+S24+S26+S28)-(SUM($F$30:S30))</f>
        <v>220.86461649397967</v>
      </c>
      <c r="T31" s="101">
        <f ca="1">(T18+T20+T22+T24+T26+T28)-(SUM($F$30:T30))</f>
        <v>203.23208286452899</v>
      </c>
      <c r="U31" s="101">
        <f ca="1">(U18+U20+U22+U24+U26+U28)-(SUM($F$30:U30))</f>
        <v>185.59954923507831</v>
      </c>
      <c r="V31" s="101">
        <f ca="1">(V18+V20+V22+V24+V26+V28)-(SUM($F$30:V30))</f>
        <v>167.96701560562764</v>
      </c>
      <c r="W31" s="101">
        <f ca="1">(W18+W20+W22+W24+W26+W28)-(SUM($F$30:W30))</f>
        <v>150.28617366486344</v>
      </c>
      <c r="X31" s="101">
        <f ca="1">(X18+X20+X22+X24+X26+X28)-(SUM($F$30:X30))</f>
        <v>132.65364003541282</v>
      </c>
      <c r="Y31" s="101">
        <f ca="1">(Y18+Y20+Y22+Y24+Y26+Y28)-(SUM($F$30:Y30))</f>
        <v>115.02110640596214</v>
      </c>
      <c r="Z31" s="101">
        <f ca="1">(Z18+Z20+Z22+Z24+Z26+Z28)-(SUM($F$30:Z30))</f>
        <v>97.388572776511467</v>
      </c>
      <c r="AA31" s="101">
        <f ca="1">(AA18+AA20+AA22+AA24+AA26+AA28)-(SUM($F$30:AA30))</f>
        <v>79.70773083574727</v>
      </c>
      <c r="AB31" s="101">
        <f ca="1">(AB18+AB20+AB22+AB24+AB26+AB28)-(SUM($F$30:AB30))</f>
        <v>62.07519720629665</v>
      </c>
      <c r="AC31" s="101">
        <f ca="1">(AC18+AC20+AC22+AC24+AC26+AC28)-(SUM($F$30:AC30))</f>
        <v>44.442663576845973</v>
      </c>
      <c r="AD31" s="101">
        <f ca="1">(AD18+AD20+AD22+AD24+AD26+AD28)-(SUM($F$30:AD30))</f>
        <v>26.810129947395296</v>
      </c>
      <c r="AE31" s="101">
        <f ca="1">(AE18+AE20+AE22+AE24+AE26+AE28)-(SUM($F$30:AE30))</f>
        <v>9.1292880066311</v>
      </c>
    </row>
    <row r="32" spans="2:31" x14ac:dyDescent="0.25">
      <c r="H32" s="70"/>
    </row>
    <row r="33" spans="2:31" x14ac:dyDescent="0.25">
      <c r="B33" s="73" t="s">
        <v>333</v>
      </c>
      <c r="C33" s="73"/>
      <c r="D33" s="73"/>
      <c r="E33" s="73"/>
      <c r="F33" s="73"/>
      <c r="G33" s="73"/>
      <c r="H33" s="73"/>
      <c r="I33" s="73"/>
      <c r="J33" s="73"/>
      <c r="K33" s="73"/>
      <c r="L33" s="73"/>
      <c r="M33" s="73"/>
      <c r="N33" s="73"/>
      <c r="O33" s="73"/>
      <c r="P33" s="73"/>
      <c r="Q33" s="73"/>
      <c r="R33" s="73"/>
      <c r="S33" s="73"/>
      <c r="T33" s="73"/>
      <c r="U33" s="73"/>
      <c r="V33" s="73"/>
      <c r="W33" s="73"/>
      <c r="X33" s="73"/>
      <c r="Y33" s="73"/>
      <c r="Z33" s="73"/>
      <c r="AA33" s="73"/>
      <c r="AB33" s="73"/>
      <c r="AC33" s="73"/>
      <c r="AD33" s="73"/>
      <c r="AE33" s="73"/>
    </row>
    <row r="34" spans="2:31" x14ac:dyDescent="0.25">
      <c r="B34" s="245" t="s">
        <v>0</v>
      </c>
      <c r="C34" s="246"/>
      <c r="D34" s="247">
        <f t="shared" ref="D34:AE34" si="12">D8</f>
        <v>45747</v>
      </c>
      <c r="E34" s="247">
        <f t="shared" si="12"/>
        <v>46112</v>
      </c>
      <c r="F34" s="248">
        <f t="shared" si="12"/>
        <v>46477</v>
      </c>
      <c r="G34" s="248">
        <f t="shared" si="12"/>
        <v>46843</v>
      </c>
      <c r="H34" s="248">
        <f t="shared" si="12"/>
        <v>47208</v>
      </c>
      <c r="I34" s="248">
        <f t="shared" si="12"/>
        <v>47573</v>
      </c>
      <c r="J34" s="248">
        <f t="shared" si="12"/>
        <v>47938</v>
      </c>
      <c r="K34" s="248">
        <f t="shared" si="12"/>
        <v>48304</v>
      </c>
      <c r="L34" s="248">
        <f t="shared" si="12"/>
        <v>48669</v>
      </c>
      <c r="M34" s="248">
        <f t="shared" si="12"/>
        <v>49034</v>
      </c>
      <c r="N34" s="248">
        <f t="shared" si="12"/>
        <v>49399</v>
      </c>
      <c r="O34" s="248">
        <f t="shared" si="12"/>
        <v>49765</v>
      </c>
      <c r="P34" s="248">
        <f t="shared" si="12"/>
        <v>50130</v>
      </c>
      <c r="Q34" s="248">
        <f t="shared" si="12"/>
        <v>50495</v>
      </c>
      <c r="R34" s="248">
        <f t="shared" si="12"/>
        <v>50860</v>
      </c>
      <c r="S34" s="248">
        <f t="shared" si="12"/>
        <v>51226</v>
      </c>
      <c r="T34" s="248">
        <f t="shared" si="12"/>
        <v>51591</v>
      </c>
      <c r="U34" s="248">
        <f t="shared" si="12"/>
        <v>51956</v>
      </c>
      <c r="V34" s="248">
        <f t="shared" si="12"/>
        <v>52321</v>
      </c>
      <c r="W34" s="248">
        <f t="shared" si="12"/>
        <v>52687</v>
      </c>
      <c r="X34" s="248">
        <f t="shared" si="12"/>
        <v>53052</v>
      </c>
      <c r="Y34" s="248">
        <f t="shared" si="12"/>
        <v>53417</v>
      </c>
      <c r="Z34" s="248">
        <f t="shared" si="12"/>
        <v>53782</v>
      </c>
      <c r="AA34" s="248">
        <f t="shared" si="12"/>
        <v>54148</v>
      </c>
      <c r="AB34" s="248">
        <f t="shared" si="12"/>
        <v>54513</v>
      </c>
      <c r="AC34" s="248">
        <f t="shared" si="12"/>
        <v>54878</v>
      </c>
      <c r="AD34" s="248">
        <f t="shared" si="12"/>
        <v>55243</v>
      </c>
      <c r="AE34" s="248">
        <f t="shared" si="12"/>
        <v>55609</v>
      </c>
    </row>
    <row r="35" spans="2:31" x14ac:dyDescent="0.25">
      <c r="B35" s="31" t="s">
        <v>164</v>
      </c>
      <c r="C35" s="31"/>
      <c r="D35" s="31"/>
      <c r="E35" s="31"/>
      <c r="F35" s="86">
        <f ca="1">F18</f>
        <v>0</v>
      </c>
      <c r="G35" s="86">
        <f ca="1">F37</f>
        <v>0</v>
      </c>
      <c r="H35" s="86">
        <f t="shared" ref="H35:AE35" ca="1" si="13">G37</f>
        <v>0</v>
      </c>
      <c r="I35" s="86">
        <f t="shared" ca="1" si="13"/>
        <v>0</v>
      </c>
      <c r="J35" s="86">
        <f t="shared" ca="1" si="13"/>
        <v>0</v>
      </c>
      <c r="K35" s="86">
        <f t="shared" ca="1" si="13"/>
        <v>0</v>
      </c>
      <c r="L35" s="86">
        <f t="shared" ca="1" si="13"/>
        <v>0</v>
      </c>
      <c r="M35" s="86">
        <f t="shared" ca="1" si="13"/>
        <v>0</v>
      </c>
      <c r="N35" s="86">
        <f t="shared" ca="1" si="13"/>
        <v>0</v>
      </c>
      <c r="O35" s="86">
        <f t="shared" ca="1" si="13"/>
        <v>0</v>
      </c>
      <c r="P35" s="86">
        <f t="shared" ca="1" si="13"/>
        <v>0</v>
      </c>
      <c r="Q35" s="86">
        <f t="shared" ca="1" si="13"/>
        <v>0</v>
      </c>
      <c r="R35" s="86">
        <f t="shared" ca="1" si="13"/>
        <v>0</v>
      </c>
      <c r="S35" s="86">
        <f t="shared" ca="1" si="13"/>
        <v>0</v>
      </c>
      <c r="T35" s="86">
        <f t="shared" ca="1" si="13"/>
        <v>0</v>
      </c>
      <c r="U35" s="86">
        <f t="shared" ca="1" si="13"/>
        <v>0</v>
      </c>
      <c r="V35" s="86">
        <f t="shared" ca="1" si="13"/>
        <v>0</v>
      </c>
      <c r="W35" s="86">
        <f t="shared" ca="1" si="13"/>
        <v>0</v>
      </c>
      <c r="X35" s="86">
        <f t="shared" ca="1" si="13"/>
        <v>0</v>
      </c>
      <c r="Y35" s="86">
        <f t="shared" ca="1" si="13"/>
        <v>0</v>
      </c>
      <c r="Z35" s="86">
        <f t="shared" ca="1" si="13"/>
        <v>0</v>
      </c>
      <c r="AA35" s="86">
        <f t="shared" ca="1" si="13"/>
        <v>0</v>
      </c>
      <c r="AB35" s="86">
        <f t="shared" ca="1" si="13"/>
        <v>0</v>
      </c>
      <c r="AC35" s="86">
        <f t="shared" ca="1" si="13"/>
        <v>0</v>
      </c>
      <c r="AD35" s="86">
        <f t="shared" ca="1" si="13"/>
        <v>0</v>
      </c>
      <c r="AE35" s="86">
        <f t="shared" ca="1" si="13"/>
        <v>0</v>
      </c>
    </row>
    <row r="36" spans="2:31" x14ac:dyDescent="0.25">
      <c r="B36" s="252" t="str">
        <f>"Depreciation " &amp; B35</f>
        <v>Depreciation Land</v>
      </c>
      <c r="C36" s="252"/>
      <c r="D36" s="252"/>
      <c r="E36" s="252"/>
      <c r="F36" s="253">
        <f ca="1">F35*Assumptions!$E$80/365*F12</f>
        <v>0</v>
      </c>
      <c r="G36" s="253">
        <f ca="1">G35*Assumptions!$E$80/365*G12</f>
        <v>0</v>
      </c>
      <c r="H36" s="253">
        <f ca="1">H35*Assumptions!$E$80/365*H12</f>
        <v>0</v>
      </c>
      <c r="I36" s="253">
        <f ca="1">I35*Assumptions!$E$80/365*I12</f>
        <v>0</v>
      </c>
      <c r="J36" s="253">
        <f ca="1">J35*Assumptions!$E$80/365*J12</f>
        <v>0</v>
      </c>
      <c r="K36" s="253">
        <f ca="1">K35*Assumptions!$E$80/365*K12</f>
        <v>0</v>
      </c>
      <c r="L36" s="253">
        <f ca="1">L35*Assumptions!$E$80/365*L12</f>
        <v>0</v>
      </c>
      <c r="M36" s="253">
        <f ca="1">M35*Assumptions!$E$80/365*M12</f>
        <v>0</v>
      </c>
      <c r="N36" s="253">
        <f ca="1">N35*Assumptions!$E$80/365*N12</f>
        <v>0</v>
      </c>
      <c r="O36" s="253">
        <f ca="1">O35*Assumptions!$E$80/365*O12</f>
        <v>0</v>
      </c>
      <c r="P36" s="253">
        <f ca="1">P35*Assumptions!$E$80/365*P12</f>
        <v>0</v>
      </c>
      <c r="Q36" s="253">
        <f ca="1">Q35*Assumptions!$E$80/365*Q12</f>
        <v>0</v>
      </c>
      <c r="R36" s="253">
        <f ca="1">R35*Assumptions!$E$80/365*R12</f>
        <v>0</v>
      </c>
      <c r="S36" s="253">
        <f ca="1">S35*Assumptions!$E$80/365*S12</f>
        <v>0</v>
      </c>
      <c r="T36" s="253">
        <f ca="1">T35*Assumptions!$E$80/365*T12</f>
        <v>0</v>
      </c>
      <c r="U36" s="253">
        <f ca="1">U35*Assumptions!$E$80/365*U12</f>
        <v>0</v>
      </c>
      <c r="V36" s="253">
        <f ca="1">V35*Assumptions!$E$80/365*V12</f>
        <v>0</v>
      </c>
      <c r="W36" s="253">
        <f ca="1">W35*Assumptions!$E$80/365*W12</f>
        <v>0</v>
      </c>
      <c r="X36" s="253">
        <f ca="1">X35*Assumptions!$E$80/365*X12</f>
        <v>0</v>
      </c>
      <c r="Y36" s="253">
        <f ca="1">Y35*Assumptions!$E$80/365*Y12</f>
        <v>0</v>
      </c>
      <c r="Z36" s="253">
        <f ca="1">Z35*Assumptions!$E$80/365*Z12</f>
        <v>0</v>
      </c>
      <c r="AA36" s="253">
        <f ca="1">AA35*Assumptions!$E$80/365*AA12</f>
        <v>0</v>
      </c>
      <c r="AB36" s="253">
        <f ca="1">AB35*Assumptions!$E$80/365*AB12</f>
        <v>0</v>
      </c>
      <c r="AC36" s="253">
        <f ca="1">AC35*Assumptions!$E$80/365*AC12</f>
        <v>0</v>
      </c>
      <c r="AD36" s="253">
        <f ca="1">AD35*Assumptions!$E$80/365*AD12</f>
        <v>0</v>
      </c>
      <c r="AE36" s="253">
        <f ca="1">AE35*Assumptions!$E$80/365*AE12</f>
        <v>0</v>
      </c>
    </row>
    <row r="37" spans="2:31" s="272" customFormat="1" x14ac:dyDescent="0.25">
      <c r="B37" s="137" t="str">
        <f>"WDV " &amp; "of "&amp; B35</f>
        <v>WDV of Land</v>
      </c>
      <c r="C37" s="137"/>
      <c r="D37" s="137"/>
      <c r="E37" s="137"/>
      <c r="F37" s="271">
        <f ca="1">F35-F36</f>
        <v>0</v>
      </c>
      <c r="G37" s="271">
        <f t="shared" ref="G37:AE37" ca="1" si="14">G35-G36</f>
        <v>0</v>
      </c>
      <c r="H37" s="271">
        <f t="shared" ca="1" si="14"/>
        <v>0</v>
      </c>
      <c r="I37" s="271">
        <f t="shared" ca="1" si="14"/>
        <v>0</v>
      </c>
      <c r="J37" s="271">
        <f t="shared" ca="1" si="14"/>
        <v>0</v>
      </c>
      <c r="K37" s="271">
        <f t="shared" ca="1" si="14"/>
        <v>0</v>
      </c>
      <c r="L37" s="271">
        <f t="shared" ca="1" si="14"/>
        <v>0</v>
      </c>
      <c r="M37" s="271">
        <f t="shared" ca="1" si="14"/>
        <v>0</v>
      </c>
      <c r="N37" s="271">
        <f t="shared" ca="1" si="14"/>
        <v>0</v>
      </c>
      <c r="O37" s="271">
        <f t="shared" ca="1" si="14"/>
        <v>0</v>
      </c>
      <c r="P37" s="271">
        <f t="shared" ca="1" si="14"/>
        <v>0</v>
      </c>
      <c r="Q37" s="271">
        <f t="shared" ca="1" si="14"/>
        <v>0</v>
      </c>
      <c r="R37" s="271">
        <f t="shared" ca="1" si="14"/>
        <v>0</v>
      </c>
      <c r="S37" s="271">
        <f t="shared" ca="1" si="14"/>
        <v>0</v>
      </c>
      <c r="T37" s="271">
        <f t="shared" ca="1" si="14"/>
        <v>0</v>
      </c>
      <c r="U37" s="271">
        <f t="shared" ca="1" si="14"/>
        <v>0</v>
      </c>
      <c r="V37" s="271">
        <f t="shared" ca="1" si="14"/>
        <v>0</v>
      </c>
      <c r="W37" s="271">
        <f t="shared" ca="1" si="14"/>
        <v>0</v>
      </c>
      <c r="X37" s="271">
        <f t="shared" ca="1" si="14"/>
        <v>0</v>
      </c>
      <c r="Y37" s="271">
        <f t="shared" ca="1" si="14"/>
        <v>0</v>
      </c>
      <c r="Z37" s="271">
        <f t="shared" ca="1" si="14"/>
        <v>0</v>
      </c>
      <c r="AA37" s="271">
        <f t="shared" ca="1" si="14"/>
        <v>0</v>
      </c>
      <c r="AB37" s="271">
        <f t="shared" ca="1" si="14"/>
        <v>0</v>
      </c>
      <c r="AC37" s="271">
        <f t="shared" ca="1" si="14"/>
        <v>0</v>
      </c>
      <c r="AD37" s="271">
        <f t="shared" ca="1" si="14"/>
        <v>0</v>
      </c>
      <c r="AE37" s="271">
        <f t="shared" ca="1" si="14"/>
        <v>0</v>
      </c>
    </row>
    <row r="38" spans="2:31" x14ac:dyDescent="0.25">
      <c r="B38" s="31" t="s">
        <v>2</v>
      </c>
      <c r="C38" s="31"/>
      <c r="D38" s="31"/>
      <c r="E38" s="31"/>
      <c r="F38" s="86">
        <f ca="1">F20</f>
        <v>23.395666027577153</v>
      </c>
      <c r="G38" s="86">
        <f ca="1">F40</f>
        <v>21.056099424819436</v>
      </c>
      <c r="H38" s="86">
        <f t="shared" ref="H38:AE38" ca="1" si="15">G40</f>
        <v>18.944720687974527</v>
      </c>
      <c r="I38" s="86">
        <f t="shared" ca="1" si="15"/>
        <v>17.050248619177076</v>
      </c>
      <c r="J38" s="86">
        <f t="shared" ca="1" si="15"/>
        <v>15.345223757259369</v>
      </c>
      <c r="K38" s="86">
        <f t="shared" ca="1" si="15"/>
        <v>13.810701381533432</v>
      </c>
      <c r="L38" s="86">
        <f t="shared" ca="1" si="15"/>
        <v>12.425847489576929</v>
      </c>
      <c r="M38" s="86">
        <f t="shared" ca="1" si="15"/>
        <v>11.183262740619236</v>
      </c>
      <c r="N38" s="86">
        <f t="shared" ca="1" si="15"/>
        <v>10.064936466557313</v>
      </c>
      <c r="O38" s="86">
        <f t="shared" ca="1" si="15"/>
        <v>9.0584428199015825</v>
      </c>
      <c r="P38" s="86">
        <f t="shared" ca="1" si="15"/>
        <v>8.1501167727552861</v>
      </c>
      <c r="Q38" s="86">
        <f t="shared" ca="1" si="15"/>
        <v>7.335105095479757</v>
      </c>
      <c r="R38" s="86">
        <f t="shared" ca="1" si="15"/>
        <v>6.6015945859317817</v>
      </c>
      <c r="S38" s="86">
        <f t="shared" ca="1" si="15"/>
        <v>5.9414351273386039</v>
      </c>
      <c r="T38" s="86">
        <f t="shared" ca="1" si="15"/>
        <v>5.3456638241588976</v>
      </c>
      <c r="U38" s="86">
        <f t="shared" ca="1" si="15"/>
        <v>4.8110974417430077</v>
      </c>
      <c r="V38" s="86">
        <f t="shared" ca="1" si="15"/>
        <v>4.3299876975687068</v>
      </c>
      <c r="W38" s="86">
        <f t="shared" ca="1" si="15"/>
        <v>3.8969889278118361</v>
      </c>
      <c r="X38" s="86">
        <f t="shared" ca="1" si="15"/>
        <v>3.5062223668312518</v>
      </c>
      <c r="Y38" s="86">
        <f t="shared" ca="1" si="15"/>
        <v>3.1556001301481267</v>
      </c>
      <c r="Z38" s="86">
        <f t="shared" ca="1" si="15"/>
        <v>2.8400401171333138</v>
      </c>
      <c r="AA38" s="86">
        <f t="shared" ca="1" si="15"/>
        <v>2.5560361054199823</v>
      </c>
      <c r="AB38" s="86">
        <f t="shared" ca="1" si="15"/>
        <v>2.2997322110134855</v>
      </c>
      <c r="AC38" s="86">
        <f t="shared" ca="1" si="15"/>
        <v>2.0697589899121369</v>
      </c>
      <c r="AD38" s="86">
        <f t="shared" ca="1" si="15"/>
        <v>1.8627830909209231</v>
      </c>
      <c r="AE38" s="86">
        <f t="shared" ca="1" si="15"/>
        <v>1.6765047818288308</v>
      </c>
    </row>
    <row r="39" spans="2:31" x14ac:dyDescent="0.25">
      <c r="B39" s="252" t="str">
        <f>"Depreciation " &amp; B38</f>
        <v>Depreciation Building &amp; Civil Works</v>
      </c>
      <c r="C39" s="252"/>
      <c r="D39" s="252"/>
      <c r="E39" s="252"/>
      <c r="F39" s="253">
        <f ca="1">F38*Assumptions!$E$81/365*F12</f>
        <v>2.3395666027577153</v>
      </c>
      <c r="G39" s="253">
        <f ca="1">G38*Assumptions!$E$81/365*G12</f>
        <v>2.111378736844908</v>
      </c>
      <c r="H39" s="253">
        <f ca="1">H38*Assumptions!$E$81/365*H12</f>
        <v>1.8944720687974528</v>
      </c>
      <c r="I39" s="253">
        <f ca="1">I38*Assumptions!$E$81/365*I12</f>
        <v>1.7050248619177077</v>
      </c>
      <c r="J39" s="253">
        <f ca="1">J38*Assumptions!$E$81/365*J12</f>
        <v>1.5345223757259367</v>
      </c>
      <c r="K39" s="253">
        <f ca="1">K38*Assumptions!$E$81/365*K12</f>
        <v>1.3848538919565032</v>
      </c>
      <c r="L39" s="253">
        <f ca="1">L38*Assumptions!$E$81/365*L12</f>
        <v>1.2425847489576931</v>
      </c>
      <c r="M39" s="253">
        <f ca="1">M38*Assumptions!$E$81/365*M12</f>
        <v>1.1183262740619238</v>
      </c>
      <c r="N39" s="253">
        <f ca="1">N38*Assumptions!$E$81/365*N12</f>
        <v>1.0064936466557313</v>
      </c>
      <c r="O39" s="253">
        <f ca="1">O38*Assumptions!$E$81/365*O12</f>
        <v>0.90832604714629583</v>
      </c>
      <c r="P39" s="253">
        <f ca="1">P38*Assumptions!$E$81/365*P12</f>
        <v>0.81501167727552881</v>
      </c>
      <c r="Q39" s="253">
        <f ca="1">Q38*Assumptions!$E$81/365*Q12</f>
        <v>0.7335105095479757</v>
      </c>
      <c r="R39" s="253">
        <f ca="1">R38*Assumptions!$E$81/365*R12</f>
        <v>0.66015945859317826</v>
      </c>
      <c r="S39" s="253">
        <f ca="1">S38*Assumptions!$E$81/365*S12</f>
        <v>0.59577130317970672</v>
      </c>
      <c r="T39" s="253">
        <f ca="1">T38*Assumptions!$E$81/365*T12</f>
        <v>0.53456638241588983</v>
      </c>
      <c r="U39" s="253">
        <f ca="1">U38*Assumptions!$E$81/365*U12</f>
        <v>0.4811097441743008</v>
      </c>
      <c r="V39" s="253">
        <f ca="1">V38*Assumptions!$E$81/365*V12</f>
        <v>0.43299876975687068</v>
      </c>
      <c r="W39" s="253">
        <f ca="1">W38*Assumptions!$E$81/365*W12</f>
        <v>0.39076656098058415</v>
      </c>
      <c r="X39" s="253">
        <f ca="1">X38*Assumptions!$E$81/365*X12</f>
        <v>0.3506222366831252</v>
      </c>
      <c r="Y39" s="253">
        <f ca="1">Y38*Assumptions!$E$81/365*Y12</f>
        <v>0.31556001301481268</v>
      </c>
      <c r="Z39" s="253">
        <f ca="1">Z38*Assumptions!$E$81/365*Z12</f>
        <v>0.28400401171333139</v>
      </c>
      <c r="AA39" s="253">
        <f ca="1">AA38*Assumptions!$E$81/365*AA12</f>
        <v>0.25630389440649687</v>
      </c>
      <c r="AB39" s="253">
        <f ca="1">AB38*Assumptions!$E$81/365*AB12</f>
        <v>0.22997322110134855</v>
      </c>
      <c r="AC39" s="253">
        <f ca="1">AC38*Assumptions!$E$81/365*AC12</f>
        <v>0.20697589899121371</v>
      </c>
      <c r="AD39" s="253">
        <f ca="1">AD38*Assumptions!$E$81/365*AD12</f>
        <v>0.18627830909209231</v>
      </c>
      <c r="AE39" s="253">
        <f ca="1">AE38*Assumptions!$E$81/365*AE12</f>
        <v>0.16810979456146632</v>
      </c>
    </row>
    <row r="40" spans="2:31" s="272" customFormat="1" x14ac:dyDescent="0.25">
      <c r="B40" s="137" t="str">
        <f>"WDV " &amp; "of "&amp; B38</f>
        <v>WDV of Building &amp; Civil Works</v>
      </c>
      <c r="C40" s="137"/>
      <c r="D40" s="137"/>
      <c r="E40" s="137"/>
      <c r="F40" s="271">
        <f ca="1">F38-F39</f>
        <v>21.056099424819436</v>
      </c>
      <c r="G40" s="271">
        <f t="shared" ref="G40:AE40" ca="1" si="16">G38-G39</f>
        <v>18.944720687974527</v>
      </c>
      <c r="H40" s="271">
        <f t="shared" ca="1" si="16"/>
        <v>17.050248619177076</v>
      </c>
      <c r="I40" s="271">
        <f t="shared" ca="1" si="16"/>
        <v>15.345223757259369</v>
      </c>
      <c r="J40" s="271">
        <f t="shared" ca="1" si="16"/>
        <v>13.810701381533432</v>
      </c>
      <c r="K40" s="271">
        <f t="shared" ca="1" si="16"/>
        <v>12.425847489576929</v>
      </c>
      <c r="L40" s="271">
        <f t="shared" ca="1" si="16"/>
        <v>11.183262740619236</v>
      </c>
      <c r="M40" s="271">
        <f t="shared" ca="1" si="16"/>
        <v>10.064936466557313</v>
      </c>
      <c r="N40" s="271">
        <f t="shared" ca="1" si="16"/>
        <v>9.0584428199015825</v>
      </c>
      <c r="O40" s="271">
        <f t="shared" ca="1" si="16"/>
        <v>8.1501167727552861</v>
      </c>
      <c r="P40" s="271">
        <f t="shared" ca="1" si="16"/>
        <v>7.335105095479757</v>
      </c>
      <c r="Q40" s="271">
        <f t="shared" ca="1" si="16"/>
        <v>6.6015945859317817</v>
      </c>
      <c r="R40" s="271">
        <f t="shared" ca="1" si="16"/>
        <v>5.9414351273386039</v>
      </c>
      <c r="S40" s="271">
        <f t="shared" ca="1" si="16"/>
        <v>5.3456638241588976</v>
      </c>
      <c r="T40" s="271">
        <f t="shared" ca="1" si="16"/>
        <v>4.8110974417430077</v>
      </c>
      <c r="U40" s="271">
        <f t="shared" ca="1" si="16"/>
        <v>4.3299876975687068</v>
      </c>
      <c r="V40" s="271">
        <f t="shared" ca="1" si="16"/>
        <v>3.8969889278118361</v>
      </c>
      <c r="W40" s="271">
        <f t="shared" ca="1" si="16"/>
        <v>3.5062223668312518</v>
      </c>
      <c r="X40" s="271">
        <f t="shared" ca="1" si="16"/>
        <v>3.1556001301481267</v>
      </c>
      <c r="Y40" s="271">
        <f t="shared" ca="1" si="16"/>
        <v>2.8400401171333138</v>
      </c>
      <c r="Z40" s="271">
        <f t="shared" ca="1" si="16"/>
        <v>2.5560361054199823</v>
      </c>
      <c r="AA40" s="271">
        <f t="shared" ca="1" si="16"/>
        <v>2.2997322110134855</v>
      </c>
      <c r="AB40" s="271">
        <f t="shared" ca="1" si="16"/>
        <v>2.0697589899121369</v>
      </c>
      <c r="AC40" s="271">
        <f t="shared" ca="1" si="16"/>
        <v>1.8627830909209231</v>
      </c>
      <c r="AD40" s="271">
        <f t="shared" ca="1" si="16"/>
        <v>1.6765047818288308</v>
      </c>
      <c r="AE40" s="271">
        <f t="shared" ca="1" si="16"/>
        <v>1.5083949872673645</v>
      </c>
    </row>
    <row r="41" spans="2:31" x14ac:dyDescent="0.25">
      <c r="B41" s="31" t="s">
        <v>166</v>
      </c>
      <c r="C41" s="31"/>
      <c r="D41" s="86"/>
      <c r="E41" s="86"/>
      <c r="F41" s="86">
        <f ca="1">F22</f>
        <v>444.51765452396586</v>
      </c>
      <c r="G41" s="86">
        <f ca="1">F43</f>
        <v>377.84000634537097</v>
      </c>
      <c r="H41" s="86">
        <f ca="1">G43</f>
        <v>321.00872867862887</v>
      </c>
      <c r="I41" s="86">
        <f t="shared" ref="I41:AE41" ca="1" si="17">H43</f>
        <v>272.85741937683451</v>
      </c>
      <c r="J41" s="86">
        <f t="shared" ca="1" si="17"/>
        <v>231.92880647030933</v>
      </c>
      <c r="K41" s="86">
        <f t="shared" ca="1" si="17"/>
        <v>197.13948549976294</v>
      </c>
      <c r="L41" s="86">
        <f t="shared" ca="1" si="17"/>
        <v>167.48754644788079</v>
      </c>
      <c r="M41" s="86">
        <f t="shared" ca="1" si="17"/>
        <v>142.36441448069866</v>
      </c>
      <c r="N41" s="86">
        <f t="shared" ca="1" si="17"/>
        <v>121.00975230859386</v>
      </c>
      <c r="O41" s="86">
        <f t="shared" ca="1" si="17"/>
        <v>102.85828946230478</v>
      </c>
      <c r="P41" s="86">
        <f t="shared" ca="1" si="17"/>
        <v>87.387275513043051</v>
      </c>
      <c r="Q41" s="86">
        <f t="shared" ca="1" si="17"/>
        <v>74.279184186086596</v>
      </c>
      <c r="R41" s="86">
        <f t="shared" ca="1" si="17"/>
        <v>63.137306558173606</v>
      </c>
      <c r="S41" s="86">
        <f t="shared" ca="1" si="17"/>
        <v>53.666710574447563</v>
      </c>
      <c r="T41" s="86">
        <f t="shared" ca="1" si="17"/>
        <v>45.594649175715588</v>
      </c>
      <c r="U41" s="86">
        <f t="shared" ca="1" si="17"/>
        <v>38.755451799358248</v>
      </c>
      <c r="V41" s="86">
        <f t="shared" ca="1" si="17"/>
        <v>32.942134029454508</v>
      </c>
      <c r="W41" s="86">
        <f t="shared" ca="1" si="17"/>
        <v>28.000813925036333</v>
      </c>
      <c r="X41" s="86">
        <f t="shared" ca="1" si="17"/>
        <v>23.789184652476074</v>
      </c>
      <c r="Y41" s="86">
        <f t="shared" ca="1" si="17"/>
        <v>20.220806954604662</v>
      </c>
      <c r="Z41" s="86">
        <f t="shared" ca="1" si="17"/>
        <v>17.187685911413961</v>
      </c>
      <c r="AA41" s="86">
        <f t="shared" ca="1" si="17"/>
        <v>14.609533024701868</v>
      </c>
      <c r="AB41" s="86">
        <f t="shared" ca="1" si="17"/>
        <v>12.412099153315204</v>
      </c>
      <c r="AC41" s="86">
        <f t="shared" ca="1" si="17"/>
        <v>10.550284280317923</v>
      </c>
      <c r="AD41" s="86">
        <f t="shared" ca="1" si="17"/>
        <v>8.9677416382702351</v>
      </c>
      <c r="AE41" s="86">
        <f t="shared" ca="1" si="17"/>
        <v>7.6225803925296995</v>
      </c>
    </row>
    <row r="42" spans="2:31" x14ac:dyDescent="0.25">
      <c r="B42" s="252" t="str">
        <f>"Depreciation " &amp; B41</f>
        <v>Depreciation Plant &amp; Machinery</v>
      </c>
      <c r="C42" s="252"/>
      <c r="D42" s="252"/>
      <c r="E42" s="252"/>
      <c r="F42" s="253">
        <f ca="1">F41*Assumptions!$E$82/365*F12</f>
        <v>66.677648178594879</v>
      </c>
      <c r="G42" s="253">
        <f ca="1">G41*Assumptions!$E$82/365*G12</f>
        <v>56.831277666742096</v>
      </c>
      <c r="H42" s="253">
        <f ca="1">H41*Assumptions!$E$82/365*H12</f>
        <v>48.151309301794335</v>
      </c>
      <c r="I42" s="253">
        <f ca="1">I41*Assumptions!$E$82/365*I12</f>
        <v>40.928612906525174</v>
      </c>
      <c r="J42" s="253">
        <f ca="1">J41*Assumptions!$E$82/365*J12</f>
        <v>34.789320970546399</v>
      </c>
      <c r="K42" s="253">
        <f ca="1">K41*Assumptions!$E$82/365*K12</f>
        <v>29.651939051882149</v>
      </c>
      <c r="L42" s="253">
        <f ca="1">L41*Assumptions!$E$82/365*L12</f>
        <v>25.123131967182118</v>
      </c>
      <c r="M42" s="253">
        <f ca="1">M41*Assumptions!$E$82/365*M12</f>
        <v>21.354662172104799</v>
      </c>
      <c r="N42" s="253">
        <f ca="1">N41*Assumptions!$E$82/365*N12</f>
        <v>18.151462846289078</v>
      </c>
      <c r="O42" s="253">
        <f ca="1">O41*Assumptions!$E$82/365*O12</f>
        <v>15.471013949261732</v>
      </c>
      <c r="P42" s="253">
        <f ca="1">P41*Assumptions!$E$82/365*P12</f>
        <v>13.108091326956455</v>
      </c>
      <c r="Q42" s="253">
        <f ca="1">Q41*Assumptions!$E$82/365*Q12</f>
        <v>11.141877627912988</v>
      </c>
      <c r="R42" s="253">
        <f ca="1">R41*Assumptions!$E$82/365*R12</f>
        <v>9.4705959837260405</v>
      </c>
      <c r="S42" s="253">
        <f ca="1">S41*Assumptions!$E$82/365*S12</f>
        <v>8.0720613987319751</v>
      </c>
      <c r="T42" s="253">
        <f ca="1">T41*Assumptions!$E$82/365*T12</f>
        <v>6.8391973763573377</v>
      </c>
      <c r="U42" s="253">
        <f ca="1">U41*Assumptions!$E$82/365*U12</f>
        <v>5.8133177699037368</v>
      </c>
      <c r="V42" s="253">
        <f ca="1">V41*Assumptions!$E$82/365*V12</f>
        <v>4.9413201044181756</v>
      </c>
      <c r="W42" s="253">
        <f ca="1">W41*Assumptions!$E$82/365*W12</f>
        <v>4.2116292725602591</v>
      </c>
      <c r="X42" s="253">
        <f ca="1">X41*Assumptions!$E$82/365*X12</f>
        <v>3.5683776978714108</v>
      </c>
      <c r="Y42" s="253">
        <f ca="1">Y41*Assumptions!$E$82/365*Y12</f>
        <v>3.033121043190699</v>
      </c>
      <c r="Z42" s="253">
        <f ca="1">Z41*Assumptions!$E$82/365*Z12</f>
        <v>2.5781528867120942</v>
      </c>
      <c r="AA42" s="253">
        <f ca="1">AA41*Assumptions!$E$82/365*AA12</f>
        <v>2.1974338713866644</v>
      </c>
      <c r="AB42" s="253">
        <f ca="1">AB41*Assumptions!$E$82/365*AB12</f>
        <v>1.8618148729972805</v>
      </c>
      <c r="AC42" s="253">
        <f ca="1">AC41*Assumptions!$E$82/365*AC12</f>
        <v>1.5825426420476885</v>
      </c>
      <c r="AD42" s="253">
        <f ca="1">AD41*Assumptions!$E$82/365*AD12</f>
        <v>1.3451612457405353</v>
      </c>
      <c r="AE42" s="253">
        <f ca="1">AE41*Assumptions!$E$82/365*AE12</f>
        <v>1.146519626164056</v>
      </c>
    </row>
    <row r="43" spans="2:31" s="272" customFormat="1" x14ac:dyDescent="0.25">
      <c r="B43" s="137" t="str">
        <f>"WDV " &amp; "of "&amp; B41</f>
        <v>WDV of Plant &amp; Machinery</v>
      </c>
      <c r="C43" s="137"/>
      <c r="D43" s="137"/>
      <c r="E43" s="137"/>
      <c r="F43" s="271">
        <f ca="1">F41-F42</f>
        <v>377.84000634537097</v>
      </c>
      <c r="G43" s="271">
        <f ca="1">G41-G42</f>
        <v>321.00872867862887</v>
      </c>
      <c r="H43" s="271">
        <f t="shared" ref="H43:AE43" ca="1" si="18">H41-H42</f>
        <v>272.85741937683451</v>
      </c>
      <c r="I43" s="271">
        <f t="shared" ca="1" si="18"/>
        <v>231.92880647030933</v>
      </c>
      <c r="J43" s="271">
        <f t="shared" ca="1" si="18"/>
        <v>197.13948549976294</v>
      </c>
      <c r="K43" s="271">
        <f t="shared" ca="1" si="18"/>
        <v>167.48754644788079</v>
      </c>
      <c r="L43" s="271">
        <f t="shared" ca="1" si="18"/>
        <v>142.36441448069866</v>
      </c>
      <c r="M43" s="271">
        <f t="shared" ca="1" si="18"/>
        <v>121.00975230859386</v>
      </c>
      <c r="N43" s="271">
        <f t="shared" ca="1" si="18"/>
        <v>102.85828946230478</v>
      </c>
      <c r="O43" s="271">
        <f t="shared" ca="1" si="18"/>
        <v>87.387275513043051</v>
      </c>
      <c r="P43" s="271">
        <f t="shared" ca="1" si="18"/>
        <v>74.279184186086596</v>
      </c>
      <c r="Q43" s="271">
        <f t="shared" ca="1" si="18"/>
        <v>63.137306558173606</v>
      </c>
      <c r="R43" s="271">
        <f t="shared" ca="1" si="18"/>
        <v>53.666710574447563</v>
      </c>
      <c r="S43" s="271">
        <f t="shared" ca="1" si="18"/>
        <v>45.594649175715588</v>
      </c>
      <c r="T43" s="271">
        <f t="shared" ca="1" si="18"/>
        <v>38.755451799358248</v>
      </c>
      <c r="U43" s="271">
        <f t="shared" ca="1" si="18"/>
        <v>32.942134029454508</v>
      </c>
      <c r="V43" s="271">
        <f t="shared" ca="1" si="18"/>
        <v>28.000813925036333</v>
      </c>
      <c r="W43" s="271">
        <f t="shared" ca="1" si="18"/>
        <v>23.789184652476074</v>
      </c>
      <c r="X43" s="271">
        <f t="shared" ca="1" si="18"/>
        <v>20.220806954604662</v>
      </c>
      <c r="Y43" s="271">
        <f t="shared" ca="1" si="18"/>
        <v>17.187685911413961</v>
      </c>
      <c r="Z43" s="271">
        <f t="shared" ca="1" si="18"/>
        <v>14.609533024701868</v>
      </c>
      <c r="AA43" s="271">
        <f t="shared" ca="1" si="18"/>
        <v>12.412099153315204</v>
      </c>
      <c r="AB43" s="271">
        <f t="shared" ca="1" si="18"/>
        <v>10.550284280317923</v>
      </c>
      <c r="AC43" s="271">
        <f t="shared" ca="1" si="18"/>
        <v>8.9677416382702351</v>
      </c>
      <c r="AD43" s="271">
        <f t="shared" ca="1" si="18"/>
        <v>7.6225803925296995</v>
      </c>
      <c r="AE43" s="271">
        <f t="shared" ca="1" si="18"/>
        <v>6.4760607663656433</v>
      </c>
    </row>
    <row r="44" spans="2:31" x14ac:dyDescent="0.25">
      <c r="B44" s="31" t="s">
        <v>258</v>
      </c>
      <c r="C44" s="31"/>
      <c r="D44" s="31"/>
      <c r="E44" s="31"/>
      <c r="F44" s="86">
        <f ca="1">F24</f>
        <v>0</v>
      </c>
      <c r="G44" s="86">
        <f ca="1">F46</f>
        <v>0</v>
      </c>
      <c r="H44" s="86">
        <f t="shared" ref="H44:AE44" ca="1" si="19">G46</f>
        <v>0</v>
      </c>
      <c r="I44" s="86">
        <f t="shared" ca="1" si="19"/>
        <v>0</v>
      </c>
      <c r="J44" s="86">
        <f t="shared" ca="1" si="19"/>
        <v>0</v>
      </c>
      <c r="K44" s="86">
        <f t="shared" ca="1" si="19"/>
        <v>0</v>
      </c>
      <c r="L44" s="86">
        <f t="shared" ca="1" si="19"/>
        <v>0</v>
      </c>
      <c r="M44" s="86">
        <f t="shared" ca="1" si="19"/>
        <v>0</v>
      </c>
      <c r="N44" s="86">
        <f t="shared" ca="1" si="19"/>
        <v>0</v>
      </c>
      <c r="O44" s="86">
        <f t="shared" ca="1" si="19"/>
        <v>0</v>
      </c>
      <c r="P44" s="86">
        <f t="shared" ca="1" si="19"/>
        <v>0</v>
      </c>
      <c r="Q44" s="86">
        <f t="shared" ca="1" si="19"/>
        <v>0</v>
      </c>
      <c r="R44" s="86">
        <f t="shared" ca="1" si="19"/>
        <v>0</v>
      </c>
      <c r="S44" s="86">
        <f t="shared" ca="1" si="19"/>
        <v>0</v>
      </c>
      <c r="T44" s="86">
        <f t="shared" ca="1" si="19"/>
        <v>0</v>
      </c>
      <c r="U44" s="86">
        <f t="shared" ca="1" si="19"/>
        <v>0</v>
      </c>
      <c r="V44" s="86">
        <f t="shared" ca="1" si="19"/>
        <v>0</v>
      </c>
      <c r="W44" s="86">
        <f t="shared" ca="1" si="19"/>
        <v>0</v>
      </c>
      <c r="X44" s="86">
        <f t="shared" ca="1" si="19"/>
        <v>0</v>
      </c>
      <c r="Y44" s="86">
        <f t="shared" ca="1" si="19"/>
        <v>0</v>
      </c>
      <c r="Z44" s="86">
        <f t="shared" ca="1" si="19"/>
        <v>0</v>
      </c>
      <c r="AA44" s="86">
        <f t="shared" ca="1" si="19"/>
        <v>0</v>
      </c>
      <c r="AB44" s="86">
        <f t="shared" ca="1" si="19"/>
        <v>0</v>
      </c>
      <c r="AC44" s="86">
        <f t="shared" ca="1" si="19"/>
        <v>0</v>
      </c>
      <c r="AD44" s="86">
        <f t="shared" ca="1" si="19"/>
        <v>0</v>
      </c>
      <c r="AE44" s="86">
        <f t="shared" ca="1" si="19"/>
        <v>0</v>
      </c>
    </row>
    <row r="45" spans="2:31" x14ac:dyDescent="0.25">
      <c r="B45" s="252" t="str">
        <f>"Depreciation " &amp; B44</f>
        <v>Depreciation Electricity Connection &amp; Infrastructure</v>
      </c>
      <c r="C45" s="252"/>
      <c r="D45" s="252"/>
      <c r="E45" s="252"/>
      <c r="F45" s="253">
        <f ca="1">F44*Assumptions!$E$83/365*F12</f>
        <v>0</v>
      </c>
      <c r="G45" s="253">
        <f ca="1">G44*Assumptions!$E$83/365*G12</f>
        <v>0</v>
      </c>
      <c r="H45" s="253">
        <f ca="1">H44*Assumptions!$E$83/365*H12</f>
        <v>0</v>
      </c>
      <c r="I45" s="253">
        <f ca="1">I44*Assumptions!$E$83/365*I12</f>
        <v>0</v>
      </c>
      <c r="J45" s="253">
        <f ca="1">J44*Assumptions!$E$83/365*J12</f>
        <v>0</v>
      </c>
      <c r="K45" s="253">
        <f ca="1">K44*Assumptions!$E$83/365*K12</f>
        <v>0</v>
      </c>
      <c r="L45" s="253">
        <f ca="1">L44*Assumptions!$E$83/365*L12</f>
        <v>0</v>
      </c>
      <c r="M45" s="253">
        <f ca="1">M44*Assumptions!$E$83/365*M12</f>
        <v>0</v>
      </c>
      <c r="N45" s="253">
        <f ca="1">N44*Assumptions!$E$83/365*N12</f>
        <v>0</v>
      </c>
      <c r="O45" s="253">
        <f ca="1">O44*Assumptions!$E$83/365*O12</f>
        <v>0</v>
      </c>
      <c r="P45" s="253">
        <f ca="1">P44*Assumptions!$E$83/365*P12</f>
        <v>0</v>
      </c>
      <c r="Q45" s="253">
        <f ca="1">Q44*Assumptions!$E$83/365*Q12</f>
        <v>0</v>
      </c>
      <c r="R45" s="253">
        <f ca="1">R44*Assumptions!$E$83/365*R12</f>
        <v>0</v>
      </c>
      <c r="S45" s="253">
        <f ca="1">S44*Assumptions!$E$83/365*S12</f>
        <v>0</v>
      </c>
      <c r="T45" s="253">
        <f ca="1">T44*Assumptions!$E$83/365*T12</f>
        <v>0</v>
      </c>
      <c r="U45" s="253">
        <f ca="1">U44*Assumptions!$E$83/365*U12</f>
        <v>0</v>
      </c>
      <c r="V45" s="253">
        <f ca="1">V44*Assumptions!$E$83/365*V12</f>
        <v>0</v>
      </c>
      <c r="W45" s="253">
        <f ca="1">W44*Assumptions!$E$83/365*W12</f>
        <v>0</v>
      </c>
      <c r="X45" s="253">
        <f ca="1">X44*Assumptions!$E$83/365*X12</f>
        <v>0</v>
      </c>
      <c r="Y45" s="253">
        <f ca="1">Y44*Assumptions!$E$83/365*Y12</f>
        <v>0</v>
      </c>
      <c r="Z45" s="253">
        <f ca="1">Z44*Assumptions!$E$83/365*Z12</f>
        <v>0</v>
      </c>
      <c r="AA45" s="253">
        <f ca="1">AA44*Assumptions!$E$83/365*AA12</f>
        <v>0</v>
      </c>
      <c r="AB45" s="253">
        <f ca="1">AB44*Assumptions!$E$83/365*AB12</f>
        <v>0</v>
      </c>
      <c r="AC45" s="253">
        <f ca="1">AC44*Assumptions!$E$83/365*AC12</f>
        <v>0</v>
      </c>
      <c r="AD45" s="253">
        <f ca="1">AD44*Assumptions!$E$83/365*AD12</f>
        <v>0</v>
      </c>
      <c r="AE45" s="253">
        <f ca="1">AE44*Assumptions!$E$83/365*AE12</f>
        <v>0</v>
      </c>
    </row>
    <row r="46" spans="2:31" s="272" customFormat="1" x14ac:dyDescent="0.25">
      <c r="B46" s="137" t="str">
        <f>"WDV " &amp; "of "&amp; B44</f>
        <v>WDV of Electricity Connection &amp; Infrastructure</v>
      </c>
      <c r="C46" s="137"/>
      <c r="D46" s="137"/>
      <c r="E46" s="137"/>
      <c r="F46" s="271">
        <f ca="1">F44-F45</f>
        <v>0</v>
      </c>
      <c r="G46" s="271">
        <f t="shared" ref="G46:AE46" ca="1" si="20">G44-G45</f>
        <v>0</v>
      </c>
      <c r="H46" s="271">
        <f t="shared" ca="1" si="20"/>
        <v>0</v>
      </c>
      <c r="I46" s="271">
        <f t="shared" ca="1" si="20"/>
        <v>0</v>
      </c>
      <c r="J46" s="271">
        <f t="shared" ca="1" si="20"/>
        <v>0</v>
      </c>
      <c r="K46" s="271">
        <f t="shared" ca="1" si="20"/>
        <v>0</v>
      </c>
      <c r="L46" s="271">
        <f t="shared" ca="1" si="20"/>
        <v>0</v>
      </c>
      <c r="M46" s="271">
        <f t="shared" ca="1" si="20"/>
        <v>0</v>
      </c>
      <c r="N46" s="271">
        <f t="shared" ca="1" si="20"/>
        <v>0</v>
      </c>
      <c r="O46" s="271">
        <f t="shared" ca="1" si="20"/>
        <v>0</v>
      </c>
      <c r="P46" s="271">
        <f t="shared" ca="1" si="20"/>
        <v>0</v>
      </c>
      <c r="Q46" s="271">
        <f t="shared" ca="1" si="20"/>
        <v>0</v>
      </c>
      <c r="R46" s="271">
        <f t="shared" ca="1" si="20"/>
        <v>0</v>
      </c>
      <c r="S46" s="271">
        <f t="shared" ca="1" si="20"/>
        <v>0</v>
      </c>
      <c r="T46" s="271">
        <f t="shared" ca="1" si="20"/>
        <v>0</v>
      </c>
      <c r="U46" s="271">
        <f t="shared" ca="1" si="20"/>
        <v>0</v>
      </c>
      <c r="V46" s="271">
        <f t="shared" ca="1" si="20"/>
        <v>0</v>
      </c>
      <c r="W46" s="271">
        <f t="shared" ca="1" si="20"/>
        <v>0</v>
      </c>
      <c r="X46" s="271">
        <f t="shared" ca="1" si="20"/>
        <v>0</v>
      </c>
      <c r="Y46" s="271">
        <f t="shared" ca="1" si="20"/>
        <v>0</v>
      </c>
      <c r="Z46" s="271">
        <f t="shared" ca="1" si="20"/>
        <v>0</v>
      </c>
      <c r="AA46" s="271">
        <f t="shared" ca="1" si="20"/>
        <v>0</v>
      </c>
      <c r="AB46" s="271">
        <f t="shared" ca="1" si="20"/>
        <v>0</v>
      </c>
      <c r="AC46" s="271">
        <f t="shared" ca="1" si="20"/>
        <v>0</v>
      </c>
      <c r="AD46" s="271">
        <f t="shared" ca="1" si="20"/>
        <v>0</v>
      </c>
      <c r="AE46" s="271">
        <f t="shared" ca="1" si="20"/>
        <v>0</v>
      </c>
    </row>
    <row r="47" spans="2:31" x14ac:dyDescent="0.25">
      <c r="B47" s="31" t="s">
        <v>5</v>
      </c>
      <c r="C47" s="31"/>
      <c r="D47" s="31"/>
      <c r="E47" s="31"/>
      <c r="F47" s="86">
        <f ca="1">F26</f>
        <v>0</v>
      </c>
      <c r="G47" s="86">
        <f ca="1">F49</f>
        <v>0</v>
      </c>
      <c r="H47" s="86">
        <f t="shared" ref="H47:AE47" ca="1" si="21">G49</f>
        <v>0</v>
      </c>
      <c r="I47" s="86">
        <f t="shared" ca="1" si="21"/>
        <v>0</v>
      </c>
      <c r="J47" s="86">
        <f t="shared" ca="1" si="21"/>
        <v>0</v>
      </c>
      <c r="K47" s="86">
        <f t="shared" ca="1" si="21"/>
        <v>0</v>
      </c>
      <c r="L47" s="86">
        <f t="shared" ca="1" si="21"/>
        <v>0</v>
      </c>
      <c r="M47" s="86">
        <f t="shared" ca="1" si="21"/>
        <v>0</v>
      </c>
      <c r="N47" s="86">
        <f t="shared" ca="1" si="21"/>
        <v>0</v>
      </c>
      <c r="O47" s="86">
        <f t="shared" ca="1" si="21"/>
        <v>0</v>
      </c>
      <c r="P47" s="86">
        <f t="shared" ca="1" si="21"/>
        <v>0</v>
      </c>
      <c r="Q47" s="86">
        <f t="shared" ca="1" si="21"/>
        <v>0</v>
      </c>
      <c r="R47" s="86">
        <f t="shared" ca="1" si="21"/>
        <v>0</v>
      </c>
      <c r="S47" s="86">
        <f t="shared" ca="1" si="21"/>
        <v>0</v>
      </c>
      <c r="T47" s="86">
        <f t="shared" ca="1" si="21"/>
        <v>0</v>
      </c>
      <c r="U47" s="86">
        <f t="shared" ca="1" si="21"/>
        <v>0</v>
      </c>
      <c r="V47" s="86">
        <f t="shared" ca="1" si="21"/>
        <v>0</v>
      </c>
      <c r="W47" s="86">
        <f t="shared" ca="1" si="21"/>
        <v>0</v>
      </c>
      <c r="X47" s="86">
        <f t="shared" ca="1" si="21"/>
        <v>0</v>
      </c>
      <c r="Y47" s="86">
        <f t="shared" ca="1" si="21"/>
        <v>0</v>
      </c>
      <c r="Z47" s="86">
        <f t="shared" ca="1" si="21"/>
        <v>0</v>
      </c>
      <c r="AA47" s="86">
        <f t="shared" ca="1" si="21"/>
        <v>0</v>
      </c>
      <c r="AB47" s="86">
        <f t="shared" ca="1" si="21"/>
        <v>0</v>
      </c>
      <c r="AC47" s="86">
        <f t="shared" ca="1" si="21"/>
        <v>0</v>
      </c>
      <c r="AD47" s="86">
        <f t="shared" ca="1" si="21"/>
        <v>0</v>
      </c>
      <c r="AE47" s="86">
        <f t="shared" ca="1" si="21"/>
        <v>0</v>
      </c>
    </row>
    <row r="48" spans="2:31" x14ac:dyDescent="0.25">
      <c r="B48" s="252" t="str">
        <f>"Depreciation " &amp; B47</f>
        <v>Depreciation Vehicles</v>
      </c>
      <c r="C48" s="252"/>
      <c r="D48" s="252"/>
      <c r="E48" s="252"/>
      <c r="F48" s="253">
        <f ca="1">F47*Assumptions!$E$84/365*F12</f>
        <v>0</v>
      </c>
      <c r="G48" s="253">
        <f ca="1">G47*Assumptions!$E$84/365*G12</f>
        <v>0</v>
      </c>
      <c r="H48" s="253">
        <f ca="1">H47*Assumptions!$E$84/365*H12</f>
        <v>0</v>
      </c>
      <c r="I48" s="253">
        <f ca="1">I47*Assumptions!$E$84/365*I12</f>
        <v>0</v>
      </c>
      <c r="J48" s="253">
        <f ca="1">J47*Assumptions!$E$84/365*J12</f>
        <v>0</v>
      </c>
      <c r="K48" s="253">
        <f ca="1">K47*Assumptions!$E$84/365*K12</f>
        <v>0</v>
      </c>
      <c r="L48" s="253">
        <f ca="1">L47*Assumptions!$E$84/365*L12</f>
        <v>0</v>
      </c>
      <c r="M48" s="253">
        <f ca="1">M47*Assumptions!$E$84/365*M12</f>
        <v>0</v>
      </c>
      <c r="N48" s="253">
        <f ca="1">N47*Assumptions!$E$84/365*N12</f>
        <v>0</v>
      </c>
      <c r="O48" s="253">
        <f ca="1">O47*Assumptions!$E$84/365*O12</f>
        <v>0</v>
      </c>
      <c r="P48" s="253">
        <f ca="1">P47*Assumptions!$E$84/365*P12</f>
        <v>0</v>
      </c>
      <c r="Q48" s="253">
        <f ca="1">Q47*Assumptions!$E$84/365*Q12</f>
        <v>0</v>
      </c>
      <c r="R48" s="253">
        <f ca="1">R47*Assumptions!$E$84/365*R12</f>
        <v>0</v>
      </c>
      <c r="S48" s="253">
        <f ca="1">S47*Assumptions!$E$84/365*S12</f>
        <v>0</v>
      </c>
      <c r="T48" s="253">
        <f ca="1">T47*Assumptions!$E$84/365*T12</f>
        <v>0</v>
      </c>
      <c r="U48" s="253">
        <f ca="1">U47*Assumptions!$E$84/365*U12</f>
        <v>0</v>
      </c>
      <c r="V48" s="253">
        <f ca="1">V47*Assumptions!$E$84/365*V12</f>
        <v>0</v>
      </c>
      <c r="W48" s="253">
        <f ca="1">W47*Assumptions!$E$84/365*W12</f>
        <v>0</v>
      </c>
      <c r="X48" s="253">
        <f ca="1">X47*Assumptions!$E$84/365*X12</f>
        <v>0</v>
      </c>
      <c r="Y48" s="253">
        <f ca="1">Y47*Assumptions!$E$84/365*Y12</f>
        <v>0</v>
      </c>
      <c r="Z48" s="253">
        <f ca="1">Z47*Assumptions!$E$84/365*Z12</f>
        <v>0</v>
      </c>
      <c r="AA48" s="253">
        <f ca="1">AA47*Assumptions!$E$84/365*AA12</f>
        <v>0</v>
      </c>
      <c r="AB48" s="253">
        <f ca="1">AB47*Assumptions!$E$84/365*AB12</f>
        <v>0</v>
      </c>
      <c r="AC48" s="253">
        <f ca="1">AC47*Assumptions!$E$84/365*AC12</f>
        <v>0</v>
      </c>
      <c r="AD48" s="253">
        <f ca="1">AD47*Assumptions!$E$84/365*AD12</f>
        <v>0</v>
      </c>
      <c r="AE48" s="253">
        <f ca="1">AE47*Assumptions!$E$84/365*AE12</f>
        <v>0</v>
      </c>
    </row>
    <row r="49" spans="2:31" s="272" customFormat="1" x14ac:dyDescent="0.25">
      <c r="B49" s="137" t="str">
        <f>"WDV " &amp; "of "&amp; B47</f>
        <v>WDV of Vehicles</v>
      </c>
      <c r="C49" s="137"/>
      <c r="D49" s="137"/>
      <c r="E49" s="137"/>
      <c r="F49" s="271">
        <f ca="1">F47-F48</f>
        <v>0</v>
      </c>
      <c r="G49" s="271">
        <f t="shared" ref="G49:AE49" ca="1" si="22">G47-G48</f>
        <v>0</v>
      </c>
      <c r="H49" s="271">
        <f t="shared" ca="1" si="22"/>
        <v>0</v>
      </c>
      <c r="I49" s="271">
        <f t="shared" ca="1" si="22"/>
        <v>0</v>
      </c>
      <c r="J49" s="271">
        <f t="shared" ca="1" si="22"/>
        <v>0</v>
      </c>
      <c r="K49" s="271">
        <f t="shared" ca="1" si="22"/>
        <v>0</v>
      </c>
      <c r="L49" s="271">
        <f t="shared" ca="1" si="22"/>
        <v>0</v>
      </c>
      <c r="M49" s="271">
        <f t="shared" ca="1" si="22"/>
        <v>0</v>
      </c>
      <c r="N49" s="271">
        <f t="shared" ca="1" si="22"/>
        <v>0</v>
      </c>
      <c r="O49" s="271">
        <f t="shared" ca="1" si="22"/>
        <v>0</v>
      </c>
      <c r="P49" s="271">
        <f t="shared" ca="1" si="22"/>
        <v>0</v>
      </c>
      <c r="Q49" s="271">
        <f t="shared" ca="1" si="22"/>
        <v>0</v>
      </c>
      <c r="R49" s="271">
        <f t="shared" ca="1" si="22"/>
        <v>0</v>
      </c>
      <c r="S49" s="271">
        <f t="shared" ca="1" si="22"/>
        <v>0</v>
      </c>
      <c r="T49" s="271">
        <f t="shared" ca="1" si="22"/>
        <v>0</v>
      </c>
      <c r="U49" s="271">
        <f t="shared" ca="1" si="22"/>
        <v>0</v>
      </c>
      <c r="V49" s="271">
        <f t="shared" ca="1" si="22"/>
        <v>0</v>
      </c>
      <c r="W49" s="271">
        <f t="shared" ca="1" si="22"/>
        <v>0</v>
      </c>
      <c r="X49" s="271">
        <f t="shared" ca="1" si="22"/>
        <v>0</v>
      </c>
      <c r="Y49" s="271">
        <f t="shared" ca="1" si="22"/>
        <v>0</v>
      </c>
      <c r="Z49" s="271">
        <f t="shared" ca="1" si="22"/>
        <v>0</v>
      </c>
      <c r="AA49" s="271">
        <f t="shared" ca="1" si="22"/>
        <v>0</v>
      </c>
      <c r="AB49" s="271">
        <f t="shared" ca="1" si="22"/>
        <v>0</v>
      </c>
      <c r="AC49" s="271">
        <f t="shared" ca="1" si="22"/>
        <v>0</v>
      </c>
      <c r="AD49" s="271">
        <f t="shared" ca="1" si="22"/>
        <v>0</v>
      </c>
      <c r="AE49" s="271">
        <f t="shared" ca="1" si="22"/>
        <v>0</v>
      </c>
    </row>
    <row r="50" spans="2:31" x14ac:dyDescent="0.25">
      <c r="B50" s="31" t="s">
        <v>259</v>
      </c>
      <c r="C50" s="31"/>
      <c r="D50" s="31"/>
      <c r="E50" s="31"/>
      <c r="F50" s="86">
        <f ca="1">F28</f>
        <v>0</v>
      </c>
      <c r="G50" s="86">
        <f ca="1">F52</f>
        <v>0</v>
      </c>
      <c r="H50" s="86">
        <f t="shared" ref="H50:AE50" ca="1" si="23">G52</f>
        <v>0</v>
      </c>
      <c r="I50" s="86">
        <f t="shared" ca="1" si="23"/>
        <v>0</v>
      </c>
      <c r="J50" s="86">
        <f t="shared" ca="1" si="23"/>
        <v>0</v>
      </c>
      <c r="K50" s="86">
        <f t="shared" ca="1" si="23"/>
        <v>0</v>
      </c>
      <c r="L50" s="86">
        <f t="shared" ca="1" si="23"/>
        <v>0</v>
      </c>
      <c r="M50" s="86">
        <f t="shared" ca="1" si="23"/>
        <v>0</v>
      </c>
      <c r="N50" s="86">
        <f t="shared" ca="1" si="23"/>
        <v>0</v>
      </c>
      <c r="O50" s="86">
        <f t="shared" ca="1" si="23"/>
        <v>0</v>
      </c>
      <c r="P50" s="86">
        <f t="shared" ca="1" si="23"/>
        <v>0</v>
      </c>
      <c r="Q50" s="86">
        <f t="shared" ca="1" si="23"/>
        <v>0</v>
      </c>
      <c r="R50" s="86">
        <f t="shared" ca="1" si="23"/>
        <v>0</v>
      </c>
      <c r="S50" s="86">
        <f t="shared" ca="1" si="23"/>
        <v>0</v>
      </c>
      <c r="T50" s="86">
        <f t="shared" ca="1" si="23"/>
        <v>0</v>
      </c>
      <c r="U50" s="86">
        <f t="shared" ca="1" si="23"/>
        <v>0</v>
      </c>
      <c r="V50" s="86">
        <f t="shared" ca="1" si="23"/>
        <v>0</v>
      </c>
      <c r="W50" s="86">
        <f t="shared" ca="1" si="23"/>
        <v>0</v>
      </c>
      <c r="X50" s="86">
        <f t="shared" ca="1" si="23"/>
        <v>0</v>
      </c>
      <c r="Y50" s="86">
        <f t="shared" ca="1" si="23"/>
        <v>0</v>
      </c>
      <c r="Z50" s="86">
        <f t="shared" ca="1" si="23"/>
        <v>0</v>
      </c>
      <c r="AA50" s="86">
        <f t="shared" ca="1" si="23"/>
        <v>0</v>
      </c>
      <c r="AB50" s="86">
        <f t="shared" ca="1" si="23"/>
        <v>0</v>
      </c>
      <c r="AC50" s="86">
        <f t="shared" ca="1" si="23"/>
        <v>0</v>
      </c>
      <c r="AD50" s="86">
        <f t="shared" ca="1" si="23"/>
        <v>0</v>
      </c>
      <c r="AE50" s="86">
        <f t="shared" ca="1" si="23"/>
        <v>0</v>
      </c>
    </row>
    <row r="51" spans="2:31" x14ac:dyDescent="0.25">
      <c r="B51" s="252" t="str">
        <f>"Depreciation " &amp; B50</f>
        <v>Depreciation Office equipment</v>
      </c>
      <c r="C51" s="252"/>
      <c r="D51" s="252"/>
      <c r="E51" s="252"/>
      <c r="F51" s="253">
        <f ca="1">F50*Assumptions!$E$85/365*F12</f>
        <v>0</v>
      </c>
      <c r="G51" s="253">
        <f ca="1">G50*Assumptions!$E$85/365*G12</f>
        <v>0</v>
      </c>
      <c r="H51" s="253">
        <f ca="1">H50*Assumptions!$E$85/365*H12</f>
        <v>0</v>
      </c>
      <c r="I51" s="253">
        <f ca="1">I50*Assumptions!$E$85/365*I12</f>
        <v>0</v>
      </c>
      <c r="J51" s="253">
        <f ca="1">J50*Assumptions!$E$85/365*J12</f>
        <v>0</v>
      </c>
      <c r="K51" s="253">
        <f ca="1">K50*Assumptions!$E$85/365*K12</f>
        <v>0</v>
      </c>
      <c r="L51" s="253">
        <f ca="1">L50*Assumptions!$E$85/365*L12</f>
        <v>0</v>
      </c>
      <c r="M51" s="253">
        <f ca="1">M50*Assumptions!$E$85/365*M12</f>
        <v>0</v>
      </c>
      <c r="N51" s="253">
        <f ca="1">N50*Assumptions!$E$85/365*N12</f>
        <v>0</v>
      </c>
      <c r="O51" s="253">
        <f ca="1">O50*Assumptions!$E$85/365*O12</f>
        <v>0</v>
      </c>
      <c r="P51" s="253">
        <f ca="1">P50*Assumptions!$E$85/365*P12</f>
        <v>0</v>
      </c>
      <c r="Q51" s="253">
        <f ca="1">Q50*Assumptions!$E$85/365*Q12</f>
        <v>0</v>
      </c>
      <c r="R51" s="253">
        <f ca="1">R50*Assumptions!$E$85/365*R12</f>
        <v>0</v>
      </c>
      <c r="S51" s="253">
        <f ca="1">S50*Assumptions!$E$85/365*S12</f>
        <v>0</v>
      </c>
      <c r="T51" s="253">
        <f ca="1">T50*Assumptions!$E$85/365*T12</f>
        <v>0</v>
      </c>
      <c r="U51" s="253">
        <f ca="1">U50*Assumptions!$E$85/365*U12</f>
        <v>0</v>
      </c>
      <c r="V51" s="253">
        <f ca="1">V50*Assumptions!$E$85/365*V12</f>
        <v>0</v>
      </c>
      <c r="W51" s="253">
        <f ca="1">W50*Assumptions!$E$85/365*W12</f>
        <v>0</v>
      </c>
      <c r="X51" s="253">
        <f ca="1">X50*Assumptions!$E$85/365*X12</f>
        <v>0</v>
      </c>
      <c r="Y51" s="253">
        <f ca="1">Y50*Assumptions!$E$85/365*Y12</f>
        <v>0</v>
      </c>
      <c r="Z51" s="253">
        <f ca="1">Z50*Assumptions!$E$85/365*Z12</f>
        <v>0</v>
      </c>
      <c r="AA51" s="253">
        <f ca="1">AA50*Assumptions!$E$85/365*AA12</f>
        <v>0</v>
      </c>
      <c r="AB51" s="253">
        <f ca="1">AB50*Assumptions!$E$85/365*AB12</f>
        <v>0</v>
      </c>
      <c r="AC51" s="253">
        <f ca="1">AC50*Assumptions!$E$85/365*AC12</f>
        <v>0</v>
      </c>
      <c r="AD51" s="253">
        <f ca="1">AD50*Assumptions!$E$85/365*AD12</f>
        <v>0</v>
      </c>
      <c r="AE51" s="253">
        <f ca="1">AE50*Assumptions!$E$85/365*AE12</f>
        <v>0</v>
      </c>
    </row>
    <row r="52" spans="2:31" s="272" customFormat="1" x14ac:dyDescent="0.25">
      <c r="B52" s="137" t="str">
        <f>"WDV " &amp; "of "&amp; B50</f>
        <v>WDV of Office equipment</v>
      </c>
      <c r="C52" s="137"/>
      <c r="D52" s="137"/>
      <c r="E52" s="137"/>
      <c r="F52" s="271">
        <f ca="1">F50-F51</f>
        <v>0</v>
      </c>
      <c r="G52" s="271">
        <f t="shared" ref="G52:AE52" ca="1" si="24">G50-G51</f>
        <v>0</v>
      </c>
      <c r="H52" s="271">
        <f t="shared" ca="1" si="24"/>
        <v>0</v>
      </c>
      <c r="I52" s="271">
        <f t="shared" ca="1" si="24"/>
        <v>0</v>
      </c>
      <c r="J52" s="271">
        <f t="shared" ca="1" si="24"/>
        <v>0</v>
      </c>
      <c r="K52" s="271">
        <f t="shared" ca="1" si="24"/>
        <v>0</v>
      </c>
      <c r="L52" s="271">
        <f t="shared" ca="1" si="24"/>
        <v>0</v>
      </c>
      <c r="M52" s="271">
        <f t="shared" ca="1" si="24"/>
        <v>0</v>
      </c>
      <c r="N52" s="271">
        <f t="shared" ca="1" si="24"/>
        <v>0</v>
      </c>
      <c r="O52" s="271">
        <f t="shared" ca="1" si="24"/>
        <v>0</v>
      </c>
      <c r="P52" s="271">
        <f t="shared" ca="1" si="24"/>
        <v>0</v>
      </c>
      <c r="Q52" s="271">
        <f t="shared" ca="1" si="24"/>
        <v>0</v>
      </c>
      <c r="R52" s="271">
        <f t="shared" ca="1" si="24"/>
        <v>0</v>
      </c>
      <c r="S52" s="271">
        <f t="shared" ca="1" si="24"/>
        <v>0</v>
      </c>
      <c r="T52" s="271">
        <f t="shared" ca="1" si="24"/>
        <v>0</v>
      </c>
      <c r="U52" s="271">
        <f t="shared" ca="1" si="24"/>
        <v>0</v>
      </c>
      <c r="V52" s="271">
        <f t="shared" ca="1" si="24"/>
        <v>0</v>
      </c>
      <c r="W52" s="271">
        <f t="shared" ca="1" si="24"/>
        <v>0</v>
      </c>
      <c r="X52" s="271">
        <f t="shared" ca="1" si="24"/>
        <v>0</v>
      </c>
      <c r="Y52" s="271">
        <f t="shared" ca="1" si="24"/>
        <v>0</v>
      </c>
      <c r="Z52" s="271">
        <f t="shared" ca="1" si="24"/>
        <v>0</v>
      </c>
      <c r="AA52" s="271">
        <f t="shared" ca="1" si="24"/>
        <v>0</v>
      </c>
      <c r="AB52" s="271">
        <f t="shared" ca="1" si="24"/>
        <v>0</v>
      </c>
      <c r="AC52" s="271">
        <f t="shared" ca="1" si="24"/>
        <v>0</v>
      </c>
      <c r="AD52" s="271">
        <f t="shared" ca="1" si="24"/>
        <v>0</v>
      </c>
      <c r="AE52" s="271">
        <f t="shared" ca="1" si="24"/>
        <v>0</v>
      </c>
    </row>
    <row r="53" spans="2:31" x14ac:dyDescent="0.25">
      <c r="B53" s="249" t="s">
        <v>261</v>
      </c>
      <c r="C53" s="249"/>
      <c r="D53" s="249"/>
      <c r="E53" s="249"/>
      <c r="F53" s="250">
        <f ca="1">F37+F40+F43+F46+F49+F52</f>
        <v>398.89610577019039</v>
      </c>
      <c r="G53" s="250">
        <f t="shared" ref="G53:AE53" ca="1" si="25">G37+G40+G43+G46+G49+G52</f>
        <v>339.95344936660342</v>
      </c>
      <c r="H53" s="250">
        <f t="shared" ca="1" si="25"/>
        <v>289.90766799601158</v>
      </c>
      <c r="I53" s="250">
        <f t="shared" ca="1" si="25"/>
        <v>247.27403022756869</v>
      </c>
      <c r="J53" s="250">
        <f t="shared" ca="1" si="25"/>
        <v>210.95018688129636</v>
      </c>
      <c r="K53" s="250">
        <f t="shared" ca="1" si="25"/>
        <v>179.91339393745773</v>
      </c>
      <c r="L53" s="250">
        <f t="shared" ca="1" si="25"/>
        <v>153.54767722131788</v>
      </c>
      <c r="M53" s="250">
        <f t="shared" ca="1" si="25"/>
        <v>131.07468877515117</v>
      </c>
      <c r="N53" s="250">
        <f t="shared" ca="1" si="25"/>
        <v>111.91673228220637</v>
      </c>
      <c r="O53" s="250">
        <f t="shared" ca="1" si="25"/>
        <v>95.537392285798333</v>
      </c>
      <c r="P53" s="250">
        <f t="shared" ca="1" si="25"/>
        <v>81.614289281566357</v>
      </c>
      <c r="Q53" s="250">
        <f t="shared" ca="1" si="25"/>
        <v>69.738901144105384</v>
      </c>
      <c r="R53" s="250">
        <f t="shared" ca="1" si="25"/>
        <v>59.608145701786171</v>
      </c>
      <c r="S53" s="250">
        <f t="shared" ca="1" si="25"/>
        <v>50.940312999874486</v>
      </c>
      <c r="T53" s="250">
        <f t="shared" ca="1" si="25"/>
        <v>43.566549241101256</v>
      </c>
      <c r="U53" s="250">
        <f t="shared" ca="1" si="25"/>
        <v>37.272121727023212</v>
      </c>
      <c r="V53" s="250">
        <f t="shared" ca="1" si="25"/>
        <v>31.897802852848169</v>
      </c>
      <c r="W53" s="250">
        <f t="shared" ca="1" si="25"/>
        <v>27.295407019307326</v>
      </c>
      <c r="X53" s="250">
        <f t="shared" ca="1" si="25"/>
        <v>23.376407084752788</v>
      </c>
      <c r="Y53" s="250">
        <f t="shared" ca="1" si="25"/>
        <v>20.027726028547274</v>
      </c>
      <c r="Z53" s="250">
        <f t="shared" ca="1" si="25"/>
        <v>17.165569130121849</v>
      </c>
      <c r="AA53" s="250">
        <f t="shared" ca="1" si="25"/>
        <v>14.711831364328688</v>
      </c>
      <c r="AB53" s="250">
        <f t="shared" ca="1" si="25"/>
        <v>12.62004327023006</v>
      </c>
      <c r="AC53" s="250">
        <f t="shared" ca="1" si="25"/>
        <v>10.830524729191158</v>
      </c>
      <c r="AD53" s="250">
        <f t="shared" ca="1" si="25"/>
        <v>9.299085174358531</v>
      </c>
      <c r="AE53" s="250">
        <f t="shared" ca="1" si="25"/>
        <v>7.9844557536330081</v>
      </c>
    </row>
    <row r="54" spans="2:31" x14ac:dyDescent="0.25">
      <c r="B54" s="100" t="s">
        <v>262</v>
      </c>
      <c r="C54" s="100"/>
      <c r="D54" s="100"/>
      <c r="E54" s="100"/>
      <c r="F54" s="101">
        <f ca="1">F36+F39+F42+F45+F48+F51</f>
        <v>69.017214781352592</v>
      </c>
      <c r="G54" s="101">
        <f t="shared" ref="G54:AE54" ca="1" si="26">G36+G39+G42+G45+G48+G51</f>
        <v>58.942656403587002</v>
      </c>
      <c r="H54" s="101">
        <f t="shared" ca="1" si="26"/>
        <v>50.04578137059179</v>
      </c>
      <c r="I54" s="101">
        <f t="shared" ca="1" si="26"/>
        <v>42.633637768442881</v>
      </c>
      <c r="J54" s="101">
        <f t="shared" ca="1" si="26"/>
        <v>36.323843346272334</v>
      </c>
      <c r="K54" s="101">
        <f t="shared" ca="1" si="26"/>
        <v>31.036792943838652</v>
      </c>
      <c r="L54" s="101">
        <f t="shared" ca="1" si="26"/>
        <v>26.365716716139811</v>
      </c>
      <c r="M54" s="101">
        <f t="shared" ca="1" si="26"/>
        <v>22.472988446166724</v>
      </c>
      <c r="N54" s="101">
        <f t="shared" ca="1" si="26"/>
        <v>19.157956492944809</v>
      </c>
      <c r="O54" s="101">
        <f t="shared" ca="1" si="26"/>
        <v>16.379339996408028</v>
      </c>
      <c r="P54" s="101">
        <f t="shared" ca="1" si="26"/>
        <v>13.923103004231983</v>
      </c>
      <c r="Q54" s="101">
        <f t="shared" ca="1" si="26"/>
        <v>11.875388137460964</v>
      </c>
      <c r="R54" s="101">
        <f t="shared" ca="1" si="26"/>
        <v>10.130755442319218</v>
      </c>
      <c r="S54" s="101">
        <f t="shared" ca="1" si="26"/>
        <v>8.6678327019116814</v>
      </c>
      <c r="T54" s="101">
        <f t="shared" ca="1" si="26"/>
        <v>7.3737637587732277</v>
      </c>
      <c r="U54" s="101">
        <f t="shared" ca="1" si="26"/>
        <v>6.2944275140780377</v>
      </c>
      <c r="V54" s="101">
        <f t="shared" ca="1" si="26"/>
        <v>5.3743188741750458</v>
      </c>
      <c r="W54" s="101">
        <f t="shared" ca="1" si="26"/>
        <v>4.602395833540843</v>
      </c>
      <c r="X54" s="101">
        <f t="shared" ca="1" si="26"/>
        <v>3.9189999345545359</v>
      </c>
      <c r="Y54" s="101">
        <f t="shared" ca="1" si="26"/>
        <v>3.3486810562055118</v>
      </c>
      <c r="Z54" s="101">
        <f t="shared" ca="1" si="26"/>
        <v>2.8621568984254258</v>
      </c>
      <c r="AA54" s="101">
        <f t="shared" ca="1" si="26"/>
        <v>2.4537377657931612</v>
      </c>
      <c r="AB54" s="101">
        <f t="shared" ca="1" si="26"/>
        <v>2.0917880940986291</v>
      </c>
      <c r="AC54" s="101">
        <f t="shared" ca="1" si="26"/>
        <v>1.7895185410389023</v>
      </c>
      <c r="AD54" s="101">
        <f t="shared" ca="1" si="26"/>
        <v>1.5314395548326276</v>
      </c>
      <c r="AE54" s="101">
        <f t="shared" ca="1" si="26"/>
        <v>1.3146294207255222</v>
      </c>
    </row>
    <row r="55" spans="2:31" x14ac:dyDescent="0.25">
      <c r="H55" s="70"/>
    </row>
    <row r="56" spans="2:31" x14ac:dyDescent="0.25">
      <c r="H56" s="70"/>
    </row>
    <row r="57" spans="2:31" x14ac:dyDescent="0.25">
      <c r="H57" s="70"/>
    </row>
    <row r="58" spans="2:31" x14ac:dyDescent="0.25">
      <c r="H58" s="70"/>
    </row>
    <row r="59" spans="2:31" x14ac:dyDescent="0.25">
      <c r="H59" s="70"/>
    </row>
    <row r="60" spans="2:31" x14ac:dyDescent="0.25">
      <c r="H60" s="70"/>
    </row>
    <row r="61" spans="2:31" x14ac:dyDescent="0.25">
      <c r="H61" s="70"/>
    </row>
    <row r="62" spans="2:31" x14ac:dyDescent="0.25">
      <c r="H62" s="70"/>
    </row>
    <row r="63" spans="2:31" x14ac:dyDescent="0.25">
      <c r="H63" s="70"/>
    </row>
    <row r="64" spans="2:31" x14ac:dyDescent="0.25">
      <c r="H64" s="70"/>
    </row>
    <row r="65" spans="8:8" x14ac:dyDescent="0.25">
      <c r="H65" s="70"/>
    </row>
    <row r="66" spans="8:8" x14ac:dyDescent="0.25">
      <c r="H66" s="70"/>
    </row>
    <row r="67" spans="8:8" x14ac:dyDescent="0.25">
      <c r="H67" s="70"/>
    </row>
    <row r="68" spans="8:8" x14ac:dyDescent="0.25">
      <c r="H68" s="70"/>
    </row>
    <row r="69" spans="8:8" x14ac:dyDescent="0.25">
      <c r="H69" s="70"/>
    </row>
    <row r="70" spans="8:8" x14ac:dyDescent="0.25">
      <c r="H70" s="70"/>
    </row>
    <row r="71" spans="8:8" x14ac:dyDescent="0.25">
      <c r="H71" s="70"/>
    </row>
    <row r="72" spans="8:8" x14ac:dyDescent="0.25">
      <c r="H72" s="70"/>
    </row>
    <row r="73" spans="8:8" x14ac:dyDescent="0.25">
      <c r="H73" s="70"/>
    </row>
    <row r="74" spans="8:8" x14ac:dyDescent="0.25">
      <c r="H74" s="70"/>
    </row>
    <row r="75" spans="8:8" x14ac:dyDescent="0.25">
      <c r="H75" s="70"/>
    </row>
    <row r="76" spans="8:8" x14ac:dyDescent="0.25">
      <c r="H76" s="70"/>
    </row>
    <row r="77" spans="8:8" x14ac:dyDescent="0.25">
      <c r="H77" s="70"/>
    </row>
    <row r="78" spans="8:8" x14ac:dyDescent="0.25">
      <c r="H78" s="70"/>
    </row>
    <row r="79" spans="8:8" x14ac:dyDescent="0.25">
      <c r="H79" s="70"/>
    </row>
    <row r="80" spans="8:8" x14ac:dyDescent="0.25">
      <c r="H80" s="70"/>
    </row>
    <row r="81" spans="8:8" x14ac:dyDescent="0.25">
      <c r="H81" s="70"/>
    </row>
    <row r="82" spans="8:8" x14ac:dyDescent="0.25">
      <c r="H82" s="70"/>
    </row>
    <row r="83" spans="8:8" x14ac:dyDescent="0.25">
      <c r="H83" s="70"/>
    </row>
    <row r="84" spans="8:8" x14ac:dyDescent="0.25">
      <c r="H84" s="70"/>
    </row>
    <row r="85" spans="8:8" x14ac:dyDescent="0.25">
      <c r="H85" s="70"/>
    </row>
    <row r="86" spans="8:8" x14ac:dyDescent="0.25">
      <c r="H86" s="70"/>
    </row>
    <row r="87" spans="8:8" x14ac:dyDescent="0.25">
      <c r="H87" s="70"/>
    </row>
    <row r="88" spans="8:8" x14ac:dyDescent="0.25">
      <c r="H88" s="70"/>
    </row>
    <row r="89" spans="8:8" x14ac:dyDescent="0.25">
      <c r="H89" s="70"/>
    </row>
    <row r="90" spans="8:8" x14ac:dyDescent="0.25">
      <c r="H90" s="70"/>
    </row>
    <row r="91" spans="8:8" x14ac:dyDescent="0.25">
      <c r="H91" s="70"/>
    </row>
    <row r="92" spans="8:8" x14ac:dyDescent="0.25">
      <c r="H92" s="70"/>
    </row>
    <row r="93" spans="8:8" x14ac:dyDescent="0.25">
      <c r="H93" s="70"/>
    </row>
    <row r="94" spans="8:8" x14ac:dyDescent="0.25">
      <c r="H94" s="70"/>
    </row>
    <row r="95" spans="8:8" x14ac:dyDescent="0.25">
      <c r="H95" s="70"/>
    </row>
    <row r="96" spans="8:8" x14ac:dyDescent="0.25">
      <c r="H96" s="70"/>
    </row>
    <row r="97" spans="8:8" x14ac:dyDescent="0.25">
      <c r="H97" s="70"/>
    </row>
    <row r="98" spans="8:8" x14ac:dyDescent="0.25">
      <c r="H98" s="70"/>
    </row>
    <row r="99" spans="8:8" x14ac:dyDescent="0.25">
      <c r="H99" s="70"/>
    </row>
    <row r="100" spans="8:8" x14ac:dyDescent="0.25">
      <c r="H100" s="70"/>
    </row>
    <row r="101" spans="8:8" x14ac:dyDescent="0.25">
      <c r="H101" s="70"/>
    </row>
    <row r="102" spans="8:8" x14ac:dyDescent="0.25">
      <c r="H102" s="70"/>
    </row>
    <row r="103" spans="8:8" x14ac:dyDescent="0.25">
      <c r="H103" s="70"/>
    </row>
    <row r="104" spans="8:8" x14ac:dyDescent="0.25">
      <c r="H104" s="70"/>
    </row>
    <row r="105" spans="8:8" x14ac:dyDescent="0.25">
      <c r="H105" s="70"/>
    </row>
    <row r="106" spans="8:8" x14ac:dyDescent="0.25">
      <c r="H106" s="70"/>
    </row>
    <row r="107" spans="8:8" x14ac:dyDescent="0.25">
      <c r="H107" s="70"/>
    </row>
    <row r="108" spans="8:8" x14ac:dyDescent="0.25">
      <c r="H108" s="70"/>
    </row>
    <row r="109" spans="8:8" x14ac:dyDescent="0.25">
      <c r="H109" s="70"/>
    </row>
    <row r="110" spans="8:8" x14ac:dyDescent="0.25">
      <c r="H110" s="70"/>
    </row>
    <row r="111" spans="8:8" x14ac:dyDescent="0.25">
      <c r="H111" s="70"/>
    </row>
    <row r="112" spans="8:8" x14ac:dyDescent="0.25">
      <c r="H112" s="70"/>
    </row>
    <row r="113" spans="8:8" x14ac:dyDescent="0.25">
      <c r="H113" s="70"/>
    </row>
    <row r="114" spans="8:8" x14ac:dyDescent="0.25">
      <c r="H114" s="70"/>
    </row>
    <row r="115" spans="8:8" x14ac:dyDescent="0.25">
      <c r="H115" s="70"/>
    </row>
    <row r="116" spans="8:8" x14ac:dyDescent="0.25">
      <c r="H116" s="70"/>
    </row>
    <row r="117" spans="8:8" x14ac:dyDescent="0.25">
      <c r="H117" s="70"/>
    </row>
    <row r="118" spans="8:8" x14ac:dyDescent="0.25">
      <c r="H118" s="70"/>
    </row>
    <row r="119" spans="8:8" x14ac:dyDescent="0.25">
      <c r="H119" s="70"/>
    </row>
    <row r="120" spans="8:8" x14ac:dyDescent="0.25">
      <c r="H120" s="70"/>
    </row>
    <row r="121" spans="8:8" x14ac:dyDescent="0.25">
      <c r="H121" s="70"/>
    </row>
    <row r="122" spans="8:8" x14ac:dyDescent="0.25">
      <c r="H122" s="70"/>
    </row>
    <row r="123" spans="8:8" x14ac:dyDescent="0.25">
      <c r="H123" s="70"/>
    </row>
    <row r="124" spans="8:8" x14ac:dyDescent="0.25">
      <c r="H124" s="70"/>
    </row>
    <row r="125" spans="8:8" x14ac:dyDescent="0.25">
      <c r="H125" s="70"/>
    </row>
    <row r="126" spans="8:8" x14ac:dyDescent="0.25">
      <c r="H126" s="70"/>
    </row>
    <row r="127" spans="8:8" x14ac:dyDescent="0.25">
      <c r="H127" s="70"/>
    </row>
    <row r="128" spans="8:8" x14ac:dyDescent="0.25">
      <c r="H128" s="70"/>
    </row>
    <row r="129" spans="8:8" x14ac:dyDescent="0.25">
      <c r="H129" s="70"/>
    </row>
    <row r="130" spans="8:8" x14ac:dyDescent="0.25">
      <c r="H130" s="70"/>
    </row>
    <row r="131" spans="8:8" x14ac:dyDescent="0.25">
      <c r="H131" s="70"/>
    </row>
    <row r="132" spans="8:8" x14ac:dyDescent="0.25">
      <c r="H132" s="70"/>
    </row>
    <row r="133" spans="8:8" x14ac:dyDescent="0.25">
      <c r="H133" s="70"/>
    </row>
    <row r="134" spans="8:8" x14ac:dyDescent="0.25">
      <c r="H134" s="70"/>
    </row>
    <row r="135" spans="8:8" x14ac:dyDescent="0.25">
      <c r="H135" s="70"/>
    </row>
    <row r="136" spans="8:8" x14ac:dyDescent="0.25">
      <c r="H136" s="70"/>
    </row>
    <row r="137" spans="8:8" x14ac:dyDescent="0.25">
      <c r="H137" s="70"/>
    </row>
    <row r="138" spans="8:8" x14ac:dyDescent="0.25">
      <c r="H138" s="70"/>
    </row>
    <row r="139" spans="8:8" x14ac:dyDescent="0.25">
      <c r="H139" s="70"/>
    </row>
    <row r="140" spans="8:8" x14ac:dyDescent="0.25">
      <c r="H140" s="70"/>
    </row>
    <row r="141" spans="8:8" x14ac:dyDescent="0.25">
      <c r="H141" s="70"/>
    </row>
    <row r="142" spans="8:8" x14ac:dyDescent="0.25">
      <c r="H142" s="70"/>
    </row>
    <row r="143" spans="8:8" x14ac:dyDescent="0.25">
      <c r="H143" s="70"/>
    </row>
    <row r="144" spans="8:8" x14ac:dyDescent="0.25">
      <c r="H144" s="70"/>
    </row>
    <row r="145" spans="8:8" x14ac:dyDescent="0.25">
      <c r="H145" s="70"/>
    </row>
    <row r="146" spans="8:8" x14ac:dyDescent="0.25">
      <c r="H146" s="70"/>
    </row>
    <row r="147" spans="8:8" x14ac:dyDescent="0.25">
      <c r="H147" s="70"/>
    </row>
    <row r="148" spans="8:8" x14ac:dyDescent="0.25">
      <c r="H148" s="70"/>
    </row>
    <row r="149" spans="8:8" x14ac:dyDescent="0.25">
      <c r="H149" s="70"/>
    </row>
    <row r="150" spans="8:8" x14ac:dyDescent="0.25">
      <c r="H150" s="70"/>
    </row>
    <row r="151" spans="8:8" x14ac:dyDescent="0.25">
      <c r="H151" s="70"/>
    </row>
    <row r="152" spans="8:8" x14ac:dyDescent="0.25">
      <c r="H152" s="70"/>
    </row>
    <row r="153" spans="8:8" x14ac:dyDescent="0.25">
      <c r="H153" s="70"/>
    </row>
    <row r="154" spans="8:8" x14ac:dyDescent="0.25">
      <c r="H154" s="70"/>
    </row>
    <row r="155" spans="8:8" x14ac:dyDescent="0.25">
      <c r="H155" s="70"/>
    </row>
    <row r="156" spans="8:8" x14ac:dyDescent="0.25">
      <c r="H156" s="70"/>
    </row>
    <row r="157" spans="8:8" x14ac:dyDescent="0.25">
      <c r="H157" s="70"/>
    </row>
    <row r="158" spans="8:8" x14ac:dyDescent="0.25">
      <c r="H158" s="70"/>
    </row>
    <row r="159" spans="8:8" x14ac:dyDescent="0.25">
      <c r="H159" s="70"/>
    </row>
    <row r="160" spans="8:8" x14ac:dyDescent="0.25">
      <c r="H160" s="70"/>
    </row>
    <row r="161" spans="8:8" x14ac:dyDescent="0.25">
      <c r="H161" s="70"/>
    </row>
    <row r="162" spans="8:8" x14ac:dyDescent="0.25">
      <c r="H162" s="70"/>
    </row>
    <row r="163" spans="8:8" x14ac:dyDescent="0.25">
      <c r="H163" s="70"/>
    </row>
    <row r="164" spans="8:8" x14ac:dyDescent="0.25">
      <c r="H164" s="70"/>
    </row>
    <row r="165" spans="8:8" x14ac:dyDescent="0.25">
      <c r="H165" s="70"/>
    </row>
    <row r="166" spans="8:8" x14ac:dyDescent="0.25">
      <c r="H166" s="70"/>
    </row>
  </sheetData>
  <mergeCells count="2">
    <mergeCell ref="D7:E7"/>
    <mergeCell ref="F7:AE7"/>
  </mergeCells>
  <pageMargins left="0.7" right="0.7" top="0.75" bottom="0.75" header="0.3" footer="0.3"/>
  <ignoredErrors>
    <ignoredError sqref="G22:AE22 G24:AE24 G26:AE26 G28:AE28 G30:AE30"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vt:i4>
      </vt:variant>
    </vt:vector>
  </HeadingPairs>
  <TitlesOfParts>
    <vt:vector size="14" baseType="lpstr">
      <vt:lpstr>TPC &amp; MoF</vt:lpstr>
      <vt:lpstr>Assumptions</vt:lpstr>
      <vt:lpstr>Sheet2</vt:lpstr>
      <vt:lpstr>Revenue &amp; Expenses Modeling</vt:lpstr>
      <vt:lpstr>IS</vt:lpstr>
      <vt:lpstr>BS</vt:lpstr>
      <vt:lpstr>CFS</vt:lpstr>
      <vt:lpstr>Loan Schedule</vt:lpstr>
      <vt:lpstr>Dep Schedule</vt:lpstr>
      <vt:lpstr>Tax Schedule</vt:lpstr>
      <vt:lpstr>Ratio</vt:lpstr>
      <vt:lpstr>Sheet1</vt:lpstr>
      <vt:lpstr>Company</vt:lpstr>
      <vt:lpstr>Project</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krunal kansara</dc:creator>
  <cp:lastModifiedBy>Gaurav Kumar</cp:lastModifiedBy>
  <dcterms:created xsi:type="dcterms:W3CDTF">2024-10-04T06:45:08Z</dcterms:created>
  <dcterms:modified xsi:type="dcterms:W3CDTF">2025-01-21T12:53:45Z</dcterms:modified>
</cp:coreProperties>
</file>