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Aneesh Mallick\OneDrive - JC Bhalla &amp; Co\Desktop\Other assignments\TEV_Somptueux Stays Pvt Ltd\Financial Model\"/>
    </mc:Choice>
  </mc:AlternateContent>
  <xr:revisionPtr revIDLastSave="0" documentId="13_ncr:1_{10018EF9-B185-4182-BCFF-ACD4053C7C1C}" xr6:coauthVersionLast="47" xr6:coauthVersionMax="47" xr10:uidLastSave="{00000000-0000-0000-0000-000000000000}"/>
  <bookViews>
    <workbookView xWindow="-110" yWindow="-110" windowWidth="19420" windowHeight="10300" tabRatio="951" firstSheet="1" activeTab="7" xr2:uid="{00000000-000D-0000-FFFF-FFFF00000000}"/>
  </bookViews>
  <sheets>
    <sheet name="Det CoP_MOF" sheetId="1" state="hidden" r:id="rId1"/>
    <sheet name="Sheet3" sheetId="31" r:id="rId2"/>
    <sheet name="CoP-MoF" sheetId="2" r:id="rId3"/>
    <sheet name="Det Assump" sheetId="3" state="hidden" r:id="rId4"/>
    <sheet name="Assump" sheetId="4" r:id="rId5"/>
    <sheet name="Sheet2" sheetId="27" state="hidden" r:id="rId6"/>
    <sheet name="P &amp; L" sheetId="5" r:id="rId7"/>
    <sheet name="BS" sheetId="6" r:id="rId8"/>
    <sheet name="Cash Flow" sheetId="7" r:id="rId9"/>
    <sheet name="BEP" sheetId="25" r:id="rId10"/>
    <sheet name="IRR" sheetId="24" r:id="rId11"/>
    <sheet name="DSCR" sheetId="8" r:id="rId12"/>
    <sheet name="Loan Assumptions" sheetId="23" r:id="rId13"/>
    <sheet name="TL Schd" sheetId="22" r:id="rId14"/>
    <sheet name="Ratio" sheetId="10" r:id="rId15"/>
    <sheet name="WC" sheetId="11" r:id="rId16"/>
    <sheet name="PBP-IRR" sheetId="12" state="hidden" r:id="rId17"/>
    <sheet name="NPV" sheetId="13" state="hidden" r:id="rId18"/>
    <sheet name="P E" sheetId="15" state="hidden" r:id="rId19"/>
    <sheet name="PE" sheetId="16" state="hidden" r:id="rId20"/>
    <sheet name="Tax" sheetId="26" state="hidden" r:id="rId21"/>
    <sheet name="Depr" sheetId="19" r:id="rId22"/>
    <sheet name="Sheet1" sheetId="18" state="hidden" r:id="rId23"/>
  </sheets>
  <definedNames>
    <definedName name="A">'P &amp; L'!$B$1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2475485_DA09_46DB_978D_BB94CE1E5597_.wvu.Cols" localSheetId="11" hidden="1">DSCR!#REF!,DSCR!$IW:$IW,DSCR!$SS:$SS,DSCR!$ACO:$ACO,DSCR!$AMK:$AMK,DSCR!$AWG:$AWG,DSCR!$BGC:$BGC,DSCR!$BPY:$BPY,DSCR!$BZU:$BZU,DSCR!$CJQ:$CJQ,DSCR!$CTM:$CTM,DSCR!$DDI:$DDI,DSCR!$DNE:$DNE,DSCR!$DXA:$DXA,DSCR!$EGW:$EGW,DSCR!$EQS:$EQS,DSCR!$FAO:$FAO,DSCR!$FKK:$FKK,DSCR!$FUG:$FUG,DSCR!$GEC:$GEC,DSCR!$GNY:$GNY,DSCR!$GXU:$GXU,DSCR!$HHQ:$HHQ,DSCR!$HRM:$HRM,DSCR!$IBI:$IBI,DSCR!$ILE:$ILE,DSCR!$IVA:$IVA,DSCR!$JEW:$JEW,DSCR!$JOS:$JOS,DSCR!$JYO:$JYO,DSCR!$KIK:$KIK,DSCR!$KSG:$KSG,DSCR!$LCC:$LCC,DSCR!$LLY:$LLY,DSCR!$LVU:$LVU,DSCR!$MFQ:$MFQ,DSCR!$MPM:$MPM,DSCR!$MZI:$MZI,DSCR!$NJE:$NJE,DSCR!$NTA:$NTA,DSCR!$OCW:$OCW,DSCR!$OMS:$OMS,DSCR!$OWO:$OWO,DSCR!$PGK:$PGK,DSCR!$PQG:$PQG,DSCR!$QAC:$QAC,DSCR!$QJY:$QJY,DSCR!$QTU:$QTU,DSCR!$RDQ:$RDQ,DSCR!$RNM:$RNM,DSCR!$RXI:$RXI,DSCR!$SHE:$SHE,DSCR!$SRA:$SRA,DSCR!$TAW:$TAW,DSCR!$TKS:$TKS,DSCR!$TUO:$TUO,DSCR!$UEK:$UEK,DSCR!$UOG:$UOG,DSCR!$UYC:$UYC,DSCR!$VHY:$VHY,DSCR!$VRU:$VRU,DSCR!$WBQ:$WBQ,DSCR!$WLM:$WLM,DSCR!$WVI:$WVI</definedName>
    <definedName name="Z_22475485_DA09_46DB_978D_BB94CE1E5597_.wvu.Rows" localSheetId="0" hidden="1">'Det CoP_MOF'!$6:$8,'Det CoP_MOF'!$182:$188</definedName>
    <definedName name="Z_22475485_DA09_46DB_978D_BB94CE1E5597_.wvu.Rows" localSheetId="6" hidden="1">'P &amp; L'!$1:$1</definedName>
    <definedName name="Z_22475485_DA09_46DB_978D_BB94CE1E5597_.wvu.Rows" localSheetId="16" hidden="1">'PBP-IRR'!$15:$21</definedName>
    <definedName name="Z_22475485_DA09_46DB_978D_BB94CE1E5597_.wvu.Rows" localSheetId="14" hidden="1">Ratio!$44:$49</definedName>
  </definedNames>
  <calcPr calcId="191029"/>
  <customWorkbookViews>
    <customWorkbookView name="DELL - Personal View" guid="{22475485-DA09-46DB-978D-BB94CE1E5597}" mergeInterval="0" personalView="1" maximized="1" xWindow="1" yWindow="1" windowWidth="1122" windowHeight="538"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 l="1"/>
  <c r="D15" i="5"/>
  <c r="F19" i="5"/>
  <c r="G19" i="5" s="1"/>
  <c r="H19" i="5" s="1"/>
  <c r="I19" i="5" s="1"/>
  <c r="J19" i="5" s="1"/>
  <c r="K19" i="5" s="1"/>
  <c r="L19" i="5" s="1"/>
  <c r="M19" i="5" s="1"/>
  <c r="N19" i="5" s="1"/>
  <c r="O19" i="5" s="1"/>
  <c r="P19" i="5" s="1"/>
  <c r="K5" i="10"/>
  <c r="L5" i="10"/>
  <c r="M5" i="10"/>
  <c r="N5" i="10"/>
  <c r="O5" i="10"/>
  <c r="K7" i="8"/>
  <c r="L7" i="8"/>
  <c r="M7" i="8"/>
  <c r="N7" i="8"/>
  <c r="O7" i="8"/>
  <c r="G12" i="4"/>
  <c r="O14" i="4"/>
  <c r="O13" i="4"/>
  <c r="G13" i="4"/>
  <c r="G14" i="4"/>
  <c r="H37" i="4"/>
  <c r="E37" i="4"/>
  <c r="G37" i="4" s="1"/>
  <c r="H36" i="4"/>
  <c r="E36" i="4"/>
  <c r="G36" i="4" s="1"/>
  <c r="G35" i="4"/>
  <c r="H35" i="4"/>
  <c r="G34" i="4"/>
  <c r="H34" i="4"/>
  <c r="H33" i="4"/>
  <c r="E33" i="4"/>
  <c r="G33" i="4" s="1"/>
  <c r="G32" i="4"/>
  <c r="G40" i="4" s="1"/>
  <c r="H32" i="4"/>
  <c r="H40" i="4" s="1"/>
  <c r="H31" i="4"/>
  <c r="H41" i="4" s="1"/>
  <c r="G31" i="4"/>
  <c r="G41" i="4" s="1"/>
  <c r="B9" i="22"/>
  <c r="M12" i="2"/>
  <c r="G10" i="2"/>
  <c r="G9" i="2"/>
  <c r="G7" i="2"/>
  <c r="G6" i="2"/>
  <c r="F20" i="5"/>
  <c r="G38" i="4" l="1"/>
  <c r="G39" i="4" s="1"/>
  <c r="H38" i="4"/>
  <c r="H39" i="4" s="1"/>
  <c r="E55" i="24" l="1"/>
  <c r="E61" i="24"/>
  <c r="D62" i="24" s="1"/>
  <c r="C27" i="19"/>
  <c r="F29" i="19"/>
  <c r="F30" i="19"/>
  <c r="E8" i="7"/>
  <c r="F8" i="7"/>
  <c r="G8" i="7"/>
  <c r="H8" i="7"/>
  <c r="I8" i="7"/>
  <c r="J8" i="7"/>
  <c r="K8" i="7"/>
  <c r="L8" i="7"/>
  <c r="M8" i="7"/>
  <c r="N8" i="7"/>
  <c r="O8" i="7"/>
  <c r="H27" i="19"/>
  <c r="E27" i="19"/>
  <c r="C17" i="6" s="1"/>
  <c r="D17" i="6" s="1"/>
  <c r="C31" i="19"/>
  <c r="F28" i="19"/>
  <c r="C28" i="19"/>
  <c r="E6" i="22"/>
  <c r="D8" i="7" s="1"/>
  <c r="P7" i="22"/>
  <c r="O7" i="22"/>
  <c r="N7" i="22"/>
  <c r="O4" i="22"/>
  <c r="P4" i="22"/>
  <c r="L5" i="11"/>
  <c r="M5" i="11" s="1"/>
  <c r="N5" i="11" s="1"/>
  <c r="O5" i="11" s="1"/>
  <c r="P5" i="11" s="1"/>
  <c r="L15" i="11"/>
  <c r="M15" i="11" s="1"/>
  <c r="N15" i="11" s="1"/>
  <c r="O15" i="11" s="1"/>
  <c r="P15" i="11" s="1"/>
  <c r="L20" i="11"/>
  <c r="M20" i="11" s="1"/>
  <c r="N20" i="11" s="1"/>
  <c r="L22" i="11"/>
  <c r="M22" i="11" s="1"/>
  <c r="L24" i="11"/>
  <c r="M24" i="11" s="1"/>
  <c r="L30" i="11"/>
  <c r="M30" i="11"/>
  <c r="N30" i="11" s="1"/>
  <c r="M12" i="6" l="1"/>
  <c r="N11" i="8"/>
  <c r="O22" i="7"/>
  <c r="O11" i="8"/>
  <c r="M22" i="7"/>
  <c r="M11" i="8"/>
  <c r="N12" i="6"/>
  <c r="N22" i="7"/>
  <c r="F31" i="19"/>
  <c r="N22" i="11"/>
  <c r="O20" i="11"/>
  <c r="O30" i="11"/>
  <c r="N24" i="11"/>
  <c r="P20" i="11" l="1"/>
  <c r="O24" i="11"/>
  <c r="P30" i="11"/>
  <c r="O22" i="11"/>
  <c r="I5" i="2"/>
  <c r="J5" i="2" s="1"/>
  <c r="E184" i="22"/>
  <c r="E145" i="22"/>
  <c r="E146" i="22" s="1"/>
  <c r="E147" i="22" s="1"/>
  <c r="E148" i="22" s="1"/>
  <c r="E149" i="22" s="1"/>
  <c r="E150" i="22" s="1"/>
  <c r="E152" i="22" s="1"/>
  <c r="E153" i="22" s="1"/>
  <c r="E154" i="22" s="1"/>
  <c r="E155" i="22" s="1"/>
  <c r="E156" i="22" s="1"/>
  <c r="E157" i="22" s="1"/>
  <c r="E158" i="22" s="1"/>
  <c r="E159" i="22" s="1"/>
  <c r="E160" i="22" s="1"/>
  <c r="E161" i="22" s="1"/>
  <c r="E162" i="22" s="1"/>
  <c r="E163" i="22" s="1"/>
  <c r="E165" i="22" s="1"/>
  <c r="E166" i="22" s="1"/>
  <c r="E167" i="22" s="1"/>
  <c r="E168" i="22" s="1"/>
  <c r="E169" i="22" s="1"/>
  <c r="E170" i="22" s="1"/>
  <c r="E171" i="22" s="1"/>
  <c r="E172" i="22" s="1"/>
  <c r="E173" i="22" s="1"/>
  <c r="E174" i="22" s="1"/>
  <c r="E175" i="22" s="1"/>
  <c r="E176" i="22" s="1"/>
  <c r="E178" i="22" s="1"/>
  <c r="E179" i="22" s="1"/>
  <c r="E180" i="22" s="1"/>
  <c r="E181" i="22" s="1"/>
  <c r="E182" i="22" s="1"/>
  <c r="E185" i="22" s="1"/>
  <c r="E186" i="22" s="1"/>
  <c r="E187" i="22" s="1"/>
  <c r="E188" i="22" s="1"/>
  <c r="E189" i="22" s="1"/>
  <c r="E139" i="22"/>
  <c r="E133" i="22"/>
  <c r="E134" i="22" s="1"/>
  <c r="E135" i="22" s="1"/>
  <c r="E136" i="22" s="1"/>
  <c r="I45" i="22"/>
  <c r="I46" i="22"/>
  <c r="I44" i="22"/>
  <c r="I42" i="22"/>
  <c r="I43" i="22"/>
  <c r="I41" i="22"/>
  <c r="I40" i="22"/>
  <c r="I38" i="22"/>
  <c r="I39" i="22"/>
  <c r="I36" i="22"/>
  <c r="I37" i="22"/>
  <c r="I35" i="22"/>
  <c r="E36" i="22"/>
  <c r="E38" i="22" s="1"/>
  <c r="E40" i="22" s="1"/>
  <c r="E42" i="22" s="1"/>
  <c r="E44" i="22" s="1"/>
  <c r="E46" i="22" s="1"/>
  <c r="E48" i="22" s="1"/>
  <c r="I32" i="22"/>
  <c r="I33" i="22"/>
  <c r="I31" i="22"/>
  <c r="I29" i="22"/>
  <c r="I30" i="22"/>
  <c r="I28" i="22"/>
  <c r="I27" i="22"/>
  <c r="D6" i="22" s="1"/>
  <c r="C14" i="23"/>
  <c r="C5" i="23"/>
  <c r="F3" i="24"/>
  <c r="G3" i="24" s="1"/>
  <c r="H3" i="24" s="1"/>
  <c r="I3" i="24" s="1"/>
  <c r="J3" i="24" s="1"/>
  <c r="K3" i="24" s="1"/>
  <c r="L3" i="24" s="1"/>
  <c r="M3" i="24" s="1"/>
  <c r="N3" i="24" s="1"/>
  <c r="O3" i="24" s="1"/>
  <c r="P3" i="24" s="1"/>
  <c r="E3" i="24"/>
  <c r="K75" i="24"/>
  <c r="L75" i="24"/>
  <c r="M75" i="24"/>
  <c r="N75" i="24"/>
  <c r="O75" i="24"/>
  <c r="P75" i="24"/>
  <c r="P4" i="24"/>
  <c r="P5" i="24"/>
  <c r="K4" i="24"/>
  <c r="L4" i="24" s="1"/>
  <c r="M4" i="24" s="1"/>
  <c r="N4" i="24" s="1"/>
  <c r="O4" i="24" s="1"/>
  <c r="K5" i="24"/>
  <c r="L5" i="24"/>
  <c r="M5" i="24"/>
  <c r="N5" i="24" s="1"/>
  <c r="O5" i="24" s="1"/>
  <c r="K13" i="7"/>
  <c r="L13" i="7"/>
  <c r="M13" i="7"/>
  <c r="N13" i="7"/>
  <c r="O13" i="7"/>
  <c r="N34" i="5"/>
  <c r="F22" i="11"/>
  <c r="G22" i="11" s="1"/>
  <c r="H22" i="11" s="1"/>
  <c r="I22" i="11" s="1"/>
  <c r="J22" i="11" s="1"/>
  <c r="K22" i="11" s="1"/>
  <c r="E22" i="11"/>
  <c r="F20" i="11"/>
  <c r="G20" i="11" s="1"/>
  <c r="H20" i="11" s="1"/>
  <c r="I20" i="11" s="1"/>
  <c r="J20" i="11" s="1"/>
  <c r="K20" i="11" s="1"/>
  <c r="E20" i="11"/>
  <c r="F15" i="11"/>
  <c r="G15" i="11" s="1"/>
  <c r="H15" i="11" s="1"/>
  <c r="I15" i="11" s="1"/>
  <c r="J15" i="11" s="1"/>
  <c r="K15" i="11" s="1"/>
  <c r="E15" i="11"/>
  <c r="L12" i="6"/>
  <c r="D21" i="2"/>
  <c r="D19" i="2"/>
  <c r="D13" i="2"/>
  <c r="E27" i="5" s="1"/>
  <c r="D11" i="2"/>
  <c r="D10" i="2"/>
  <c r="D9" i="2"/>
  <c r="C5" i="19" s="1"/>
  <c r="D8" i="2"/>
  <c r="D7" i="2"/>
  <c r="D6" i="2"/>
  <c r="D5" i="2"/>
  <c r="F7" i="19" s="1"/>
  <c r="G6" i="5"/>
  <c r="G11" i="4"/>
  <c r="H14" i="4"/>
  <c r="F9" i="5" s="1"/>
  <c r="G10" i="4"/>
  <c r="G9" i="4"/>
  <c r="G8" i="4"/>
  <c r="G7" i="4"/>
  <c r="C4" i="19" l="1"/>
  <c r="C3" i="19"/>
  <c r="H6" i="5"/>
  <c r="H9" i="5" s="1"/>
  <c r="G20" i="5"/>
  <c r="H12" i="4"/>
  <c r="F8" i="5" s="1"/>
  <c r="C8" i="7"/>
  <c r="Q6" i="22"/>
  <c r="F27" i="5"/>
  <c r="D27" i="5"/>
  <c r="C28" i="6" s="1"/>
  <c r="C21" i="7"/>
  <c r="E140" i="22"/>
  <c r="E141" i="22" s="1"/>
  <c r="E142" i="22" s="1"/>
  <c r="E143" i="22" s="1"/>
  <c r="M7" i="22"/>
  <c r="P22" i="11"/>
  <c r="P24" i="11"/>
  <c r="H9" i="4"/>
  <c r="F7" i="5" s="1"/>
  <c r="G7" i="5" s="1"/>
  <c r="G15" i="4"/>
  <c r="G9" i="5"/>
  <c r="L22" i="7" l="1"/>
  <c r="L11" i="8"/>
  <c r="I6" i="5"/>
  <c r="I8" i="5" s="1"/>
  <c r="H20" i="5"/>
  <c r="G8" i="5"/>
  <c r="H8" i="5"/>
  <c r="M34" i="5"/>
  <c r="K12" i="6"/>
  <c r="H7" i="5"/>
  <c r="H15" i="4"/>
  <c r="J6" i="5" l="1"/>
  <c r="I20" i="5"/>
  <c r="I9" i="5"/>
  <c r="I7" i="5"/>
  <c r="J20" i="5" l="1"/>
  <c r="K6" i="5"/>
  <c r="J9" i="5"/>
  <c r="J8" i="5"/>
  <c r="J7" i="5"/>
  <c r="L6" i="5" l="1"/>
  <c r="K20" i="5"/>
  <c r="K8" i="5"/>
  <c r="K7" i="5"/>
  <c r="K9" i="5"/>
  <c r="L20" i="5" l="1"/>
  <c r="L8" i="5"/>
  <c r="L9" i="5"/>
  <c r="L7" i="5"/>
  <c r="M6" i="5"/>
  <c r="L10" i="5" l="1"/>
  <c r="L18" i="5" s="1"/>
  <c r="M20" i="5"/>
  <c r="M7" i="5"/>
  <c r="M8" i="5"/>
  <c r="M9" i="5"/>
  <c r="N6" i="5"/>
  <c r="L43" i="5" l="1"/>
  <c r="K17" i="10"/>
  <c r="K5" i="25"/>
  <c r="K37" i="10"/>
  <c r="L17" i="5"/>
  <c r="L21" i="5" s="1"/>
  <c r="K40" i="10" s="1"/>
  <c r="L6" i="11"/>
  <c r="L29" i="11" s="1"/>
  <c r="K25" i="6" s="1"/>
  <c r="L13" i="5"/>
  <c r="L8" i="11" s="1"/>
  <c r="L21" i="11" s="1"/>
  <c r="L12" i="5"/>
  <c r="N20" i="5"/>
  <c r="N8" i="5"/>
  <c r="O6" i="5"/>
  <c r="N9" i="5"/>
  <c r="N7" i="5"/>
  <c r="M10" i="5"/>
  <c r="L7" i="11" l="1"/>
  <c r="L16" i="11" s="1"/>
  <c r="L14" i="11" s="1"/>
  <c r="L17" i="10"/>
  <c r="L5" i="25"/>
  <c r="L37" i="10"/>
  <c r="L13" i="11"/>
  <c r="L19" i="11" s="1"/>
  <c r="N10" i="5"/>
  <c r="N43" i="5" s="1"/>
  <c r="L31" i="11"/>
  <c r="M12" i="11"/>
  <c r="O20" i="5"/>
  <c r="O9" i="5"/>
  <c r="O8" i="5"/>
  <c r="O7" i="5"/>
  <c r="P6" i="5"/>
  <c r="M6" i="11"/>
  <c r="M29" i="11" s="1"/>
  <c r="M18" i="5"/>
  <c r="M13" i="5"/>
  <c r="M8" i="11" s="1"/>
  <c r="M21" i="11" s="1"/>
  <c r="M17" i="5"/>
  <c r="M12" i="5"/>
  <c r="M43" i="5"/>
  <c r="M54" i="5" s="1"/>
  <c r="E30" i="11"/>
  <c r="F30" i="11" s="1"/>
  <c r="G30" i="11" s="1"/>
  <c r="H30" i="11" s="1"/>
  <c r="I30" i="11" s="1"/>
  <c r="J30" i="11" s="1"/>
  <c r="K30" i="11" s="1"/>
  <c r="M7" i="11" l="1"/>
  <c r="N6" i="11"/>
  <c r="N29" i="11" s="1"/>
  <c r="M25" i="6" s="1"/>
  <c r="M37" i="10"/>
  <c r="M17" i="10"/>
  <c r="M5" i="25"/>
  <c r="N17" i="5"/>
  <c r="N13" i="5"/>
  <c r="N8" i="11" s="1"/>
  <c r="N21" i="11" s="1"/>
  <c r="N18" i="5"/>
  <c r="O10" i="5"/>
  <c r="O13" i="5" s="1"/>
  <c r="O8" i="11" s="1"/>
  <c r="O21" i="11" s="1"/>
  <c r="N12" i="5"/>
  <c r="M21" i="5"/>
  <c r="L40" i="10" s="1"/>
  <c r="L25" i="6"/>
  <c r="L24" i="7" s="1"/>
  <c r="P20" i="5"/>
  <c r="P8" i="5"/>
  <c r="P9" i="5"/>
  <c r="P7" i="5"/>
  <c r="M16" i="11"/>
  <c r="M14" i="11" s="1"/>
  <c r="M13" i="11"/>
  <c r="M19" i="11" s="1"/>
  <c r="K26" i="6"/>
  <c r="L33" i="11"/>
  <c r="N54" i="5"/>
  <c r="E49" i="22"/>
  <c r="E22" i="22"/>
  <c r="E23" i="22" s="1"/>
  <c r="E24" i="22" s="1"/>
  <c r="E25" i="22" s="1"/>
  <c r="E26" i="22" s="1"/>
  <c r="N7" i="11" l="1"/>
  <c r="N13" i="11" s="1"/>
  <c r="N19" i="11" s="1"/>
  <c r="N21" i="5"/>
  <c r="M40" i="10" s="1"/>
  <c r="O6" i="11"/>
  <c r="O29" i="11" s="1"/>
  <c r="N25" i="6" s="1"/>
  <c r="N24" i="7" s="1"/>
  <c r="M24" i="7"/>
  <c r="O43" i="5"/>
  <c r="O54" i="5" s="1"/>
  <c r="N16" i="11"/>
  <c r="N14" i="11" s="1"/>
  <c r="N31" i="11" s="1"/>
  <c r="O12" i="5"/>
  <c r="N37" i="10"/>
  <c r="N17" i="10"/>
  <c r="N5" i="25"/>
  <c r="O17" i="5"/>
  <c r="O18" i="5"/>
  <c r="P10" i="5"/>
  <c r="N12" i="11"/>
  <c r="M31" i="11"/>
  <c r="E67" i="22"/>
  <c r="E68" i="22" s="1"/>
  <c r="E50" i="22"/>
  <c r="E51" i="22" s="1"/>
  <c r="E52" i="22" s="1"/>
  <c r="E54" i="22" s="1"/>
  <c r="E55" i="22" s="1"/>
  <c r="E56" i="22" s="1"/>
  <c r="E57" i="22" s="1"/>
  <c r="E58" i="22" s="1"/>
  <c r="E59" i="22" s="1"/>
  <c r="E61" i="22" s="1"/>
  <c r="E27" i="22"/>
  <c r="E28" i="22" s="1"/>
  <c r="E29" i="22" s="1"/>
  <c r="E30" i="22" s="1"/>
  <c r="E31" i="22" s="1"/>
  <c r="E32" i="22" s="1"/>
  <c r="E33" i="22" s="1"/>
  <c r="E35" i="22" s="1"/>
  <c r="O7" i="11" l="1"/>
  <c r="O16" i="11" s="1"/>
  <c r="O14" i="11" s="1"/>
  <c r="O13" i="11"/>
  <c r="O19" i="11" s="1"/>
  <c r="O5" i="25"/>
  <c r="O37" i="10"/>
  <c r="O17" i="10"/>
  <c r="P12" i="5"/>
  <c r="O21" i="5"/>
  <c r="N40" i="10" s="1"/>
  <c r="P13" i="5"/>
  <c r="P8" i="11" s="1"/>
  <c r="P21" i="11" s="1"/>
  <c r="O12" i="11"/>
  <c r="P43" i="5"/>
  <c r="P54" i="5" s="1"/>
  <c r="P18" i="5"/>
  <c r="P17" i="5"/>
  <c r="P6" i="11"/>
  <c r="P29" i="11" s="1"/>
  <c r="O25" i="6" s="1"/>
  <c r="O24" i="7" s="1"/>
  <c r="O31" i="11"/>
  <c r="P12" i="11"/>
  <c r="N33" i="11"/>
  <c r="M26" i="6"/>
  <c r="L26" i="6"/>
  <c r="L26" i="7" s="1"/>
  <c r="L28" i="7" s="1"/>
  <c r="M33" i="11"/>
  <c r="E37" i="22"/>
  <c r="E39" i="22" s="1"/>
  <c r="E41" i="22" s="1"/>
  <c r="E43" i="22" s="1"/>
  <c r="E45" i="22" s="1"/>
  <c r="E69" i="22"/>
  <c r="E70" i="22" s="1"/>
  <c r="E71" i="22" s="1"/>
  <c r="E72" i="22" s="1"/>
  <c r="E74" i="22" s="1"/>
  <c r="E63" i="22"/>
  <c r="E65" i="22" s="1"/>
  <c r="E62" i="22"/>
  <c r="E64" i="22" s="1"/>
  <c r="F7" i="22"/>
  <c r="D7" i="22"/>
  <c r="E5" i="5"/>
  <c r="F5" i="5" s="1"/>
  <c r="G5" i="5" s="1"/>
  <c r="H5" i="5" s="1"/>
  <c r="I5" i="5" s="1"/>
  <c r="J5" i="5" s="1"/>
  <c r="K5" i="5" s="1"/>
  <c r="L5" i="5" s="1"/>
  <c r="M5" i="5" s="1"/>
  <c r="N5" i="5" s="1"/>
  <c r="O5" i="5" s="1"/>
  <c r="P5" i="5" s="1"/>
  <c r="D22" i="24"/>
  <c r="E23" i="24"/>
  <c r="F23" i="24" s="1"/>
  <c r="D27" i="24"/>
  <c r="P7" i="11" l="1"/>
  <c r="P13" i="11" s="1"/>
  <c r="P19" i="11" s="1"/>
  <c r="P16" i="11"/>
  <c r="P14" i="11" s="1"/>
  <c r="P31" i="11" s="1"/>
  <c r="O26" i="6" s="1"/>
  <c r="P21" i="5"/>
  <c r="O40" i="10" s="1"/>
  <c r="M26" i="7"/>
  <c r="M28" i="7" s="1"/>
  <c r="N26" i="6"/>
  <c r="N26" i="7" s="1"/>
  <c r="O33" i="11"/>
  <c r="P33" i="11"/>
  <c r="E75" i="22"/>
  <c r="E76" i="22" s="1"/>
  <c r="E77" i="22" s="1"/>
  <c r="E78" i="22" s="1"/>
  <c r="E81" i="22" s="1"/>
  <c r="E82" i="22" s="1"/>
  <c r="E83" i="22" s="1"/>
  <c r="E84" i="22" s="1"/>
  <c r="E85" i="22" s="1"/>
  <c r="E87" i="22" s="1"/>
  <c r="G7" i="22"/>
  <c r="E7" i="22"/>
  <c r="G23" i="24"/>
  <c r="F27" i="24"/>
  <c r="F28" i="24" s="1"/>
  <c r="E27" i="24"/>
  <c r="O26" i="7" l="1"/>
  <c r="H7" i="22"/>
  <c r="G22" i="7" s="1"/>
  <c r="E88" i="22"/>
  <c r="E89" i="22" s="1"/>
  <c r="E90" i="22" s="1"/>
  <c r="E91" i="22" s="1"/>
  <c r="E93" i="22" s="1"/>
  <c r="E94" i="22" s="1"/>
  <c r="E95" i="22" s="1"/>
  <c r="E96" i="22" s="1"/>
  <c r="E97" i="22" s="1"/>
  <c r="E98" i="22" s="1"/>
  <c r="E100" i="22" s="1"/>
  <c r="G27" i="24"/>
  <c r="G28" i="24" s="1"/>
  <c r="H23" i="24"/>
  <c r="I23" i="24" s="1"/>
  <c r="I7" i="22" l="1"/>
  <c r="H22" i="7" s="1"/>
  <c r="E101" i="22"/>
  <c r="E102" i="22" s="1"/>
  <c r="E103" i="22" s="1"/>
  <c r="E104" i="22" s="1"/>
  <c r="E107" i="22" s="1"/>
  <c r="E108" i="22" s="1"/>
  <c r="E109" i="22" s="1"/>
  <c r="E110" i="22" s="1"/>
  <c r="E111" i="22" s="1"/>
  <c r="E113" i="22" s="1"/>
  <c r="I27" i="24"/>
  <c r="J23" i="24"/>
  <c r="J27" i="24" s="1"/>
  <c r="H27" i="24"/>
  <c r="H28" i="24" s="1"/>
  <c r="J7" i="22" l="1"/>
  <c r="I22" i="7" s="1"/>
  <c r="E114" i="22"/>
  <c r="E115" i="22" s="1"/>
  <c r="E116" i="22" s="1"/>
  <c r="E117" i="22" s="1"/>
  <c r="E119" i="22" s="1"/>
  <c r="E120" i="22" s="1"/>
  <c r="E121" i="22" s="1"/>
  <c r="E122" i="22" s="1"/>
  <c r="E123" i="22" s="1"/>
  <c r="E124" i="22" s="1"/>
  <c r="E126" i="22" s="1"/>
  <c r="I28" i="24"/>
  <c r="J28" i="24" s="1"/>
  <c r="E127" i="22" l="1"/>
  <c r="E128" i="22" s="1"/>
  <c r="E129" i="22" s="1"/>
  <c r="E130" i="22" s="1"/>
  <c r="L7" i="22" s="1"/>
  <c r="K11" i="8" s="1"/>
  <c r="K7" i="22"/>
  <c r="J22" i="7" s="1"/>
  <c r="D7" i="8"/>
  <c r="K22" i="7" l="1"/>
  <c r="L34" i="5" s="1"/>
  <c r="Q7" i="22"/>
  <c r="J12" i="6"/>
  <c r="G27" i="5"/>
  <c r="E7" i="8"/>
  <c r="D17" i="22"/>
  <c r="D22" i="22" l="1"/>
  <c r="F22" i="22" s="1"/>
  <c r="D23" i="22" s="1"/>
  <c r="H28" i="22"/>
  <c r="H27" i="22"/>
  <c r="H36" i="22"/>
  <c r="H46" i="22"/>
  <c r="H33" i="22"/>
  <c r="H42" i="22"/>
  <c r="H30" i="22"/>
  <c r="H41" i="22"/>
  <c r="H45" i="22"/>
  <c r="H35" i="22"/>
  <c r="H40" i="22"/>
  <c r="H32" i="22"/>
  <c r="H39" i="22"/>
  <c r="H43" i="22"/>
  <c r="H38" i="22"/>
  <c r="H29" i="22"/>
  <c r="H37" i="22"/>
  <c r="H44" i="22"/>
  <c r="H31" i="22"/>
  <c r="H27" i="5"/>
  <c r="F7" i="8"/>
  <c r="E17" i="6"/>
  <c r="F17" i="6" s="1"/>
  <c r="G17" i="6" s="1"/>
  <c r="H17" i="6" s="1"/>
  <c r="B6" i="2"/>
  <c r="B7" i="2" s="1"/>
  <c r="B8" i="2" s="1"/>
  <c r="B9" i="2" s="1"/>
  <c r="B10" i="2" s="1"/>
  <c r="B11" i="2" s="1"/>
  <c r="B12" i="2" s="1"/>
  <c r="B13" i="2" s="1"/>
  <c r="B14" i="2" s="1"/>
  <c r="H47" i="22" l="1"/>
  <c r="I27" i="5"/>
  <c r="J27" i="5" s="1"/>
  <c r="G7" i="8"/>
  <c r="G22" i="22"/>
  <c r="F23" i="22"/>
  <c r="D24" i="22" s="1"/>
  <c r="I17" i="6"/>
  <c r="E49" i="24"/>
  <c r="D43" i="24"/>
  <c r="E58" i="24"/>
  <c r="I7" i="8" l="1"/>
  <c r="I13" i="7"/>
  <c r="H13" i="7"/>
  <c r="H7" i="8"/>
  <c r="I11" i="8"/>
  <c r="H12" i="6"/>
  <c r="G23" i="22"/>
  <c r="F24" i="22"/>
  <c r="D25" i="22" s="1"/>
  <c r="J34" i="5"/>
  <c r="I34" i="5"/>
  <c r="H11" i="8"/>
  <c r="J17" i="6"/>
  <c r="K17" i="6" s="1"/>
  <c r="L17" i="6" s="1"/>
  <c r="C22" i="7"/>
  <c r="E45" i="24"/>
  <c r="E57" i="24"/>
  <c r="J7" i="8" l="1"/>
  <c r="J13" i="7"/>
  <c r="G24" i="22"/>
  <c r="M17" i="6"/>
  <c r="F25" i="22"/>
  <c r="D26" i="22" s="1"/>
  <c r="D28" i="6"/>
  <c r="C7" i="8"/>
  <c r="D13" i="7"/>
  <c r="C13" i="7"/>
  <c r="E51" i="24"/>
  <c r="E53" i="24" s="1"/>
  <c r="E59" i="24" s="1"/>
  <c r="E60" i="24" s="1"/>
  <c r="D19" i="24" s="1"/>
  <c r="G25" i="22" l="1"/>
  <c r="N17" i="6"/>
  <c r="F26" i="22"/>
  <c r="D27" i="22" s="1"/>
  <c r="G26" i="22"/>
  <c r="E28" i="6"/>
  <c r="F28" i="6" s="1"/>
  <c r="G28" i="6" s="1"/>
  <c r="H28" i="6" s="1"/>
  <c r="I28" i="6" s="1"/>
  <c r="J28" i="6" s="1"/>
  <c r="E13" i="7"/>
  <c r="C11" i="8"/>
  <c r="D55" i="3"/>
  <c r="D13" i="3"/>
  <c r="D10" i="3"/>
  <c r="O17" i="6" l="1"/>
  <c r="F27" i="22"/>
  <c r="D28" i="22" s="1"/>
  <c r="G13" i="7"/>
  <c r="F13" i="7"/>
  <c r="G27" i="22" l="1"/>
  <c r="F28" i="22"/>
  <c r="D29" i="22" s="1"/>
  <c r="K28" i="6"/>
  <c r="L28" i="6" s="1"/>
  <c r="M28" i="6" s="1"/>
  <c r="N28" i="6" s="1"/>
  <c r="O28" i="6" s="1"/>
  <c r="H16" i="3"/>
  <c r="H17" i="3" s="1"/>
  <c r="G28" i="22" l="1"/>
  <c r="F29" i="22"/>
  <c r="D30" i="22" s="1"/>
  <c r="J21" i="1"/>
  <c r="J22" i="1"/>
  <c r="J19" i="1"/>
  <c r="G29" i="22" l="1"/>
  <c r="F30" i="22"/>
  <c r="D31" i="22" s="1"/>
  <c r="E32" i="27"/>
  <c r="E33" i="27" s="1"/>
  <c r="G30" i="22" l="1"/>
  <c r="F31" i="22"/>
  <c r="D32" i="22" s="1"/>
  <c r="K34" i="5"/>
  <c r="J11" i="8"/>
  <c r="I12" i="6"/>
  <c r="O18" i="27"/>
  <c r="Q18" i="27" s="1"/>
  <c r="O15" i="27"/>
  <c r="Q15" i="27" s="1"/>
  <c r="Q12" i="27"/>
  <c r="O12" i="27"/>
  <c r="O9" i="27"/>
  <c r="Q9" i="27" s="1"/>
  <c r="I174" i="1"/>
  <c r="G31" i="22" l="1"/>
  <c r="F32" i="22"/>
  <c r="D33" i="22" s="1"/>
  <c r="I35" i="3"/>
  <c r="J35" i="3" s="1"/>
  <c r="F35" i="3"/>
  <c r="H36" i="3"/>
  <c r="H37" i="3" s="1"/>
  <c r="D75" i="24"/>
  <c r="E62" i="24"/>
  <c r="E5" i="24"/>
  <c r="F5" i="24" s="1"/>
  <c r="G5" i="24" s="1"/>
  <c r="H5" i="24" s="1"/>
  <c r="G32" i="22" l="1"/>
  <c r="F33" i="22"/>
  <c r="D35" i="22" s="1"/>
  <c r="I5" i="24"/>
  <c r="J5" i="24" s="1"/>
  <c r="E64" i="24"/>
  <c r="F77" i="24"/>
  <c r="G77" i="24" s="1"/>
  <c r="H77" i="24" s="1"/>
  <c r="D64" i="24"/>
  <c r="D49" i="3"/>
  <c r="I54" i="3"/>
  <c r="G54" i="3"/>
  <c r="G33" i="22" l="1"/>
  <c r="D12" i="22" s="1"/>
  <c r="F35" i="22"/>
  <c r="D36" i="22" s="1"/>
  <c r="I77" i="24"/>
  <c r="J77" i="24" s="1"/>
  <c r="K77" i="24" s="1"/>
  <c r="L77" i="24" s="1"/>
  <c r="M77" i="24" s="1"/>
  <c r="N77" i="24" s="1"/>
  <c r="O77" i="24" s="1"/>
  <c r="P77" i="24" s="1"/>
  <c r="F62" i="24"/>
  <c r="G62" i="24" s="1"/>
  <c r="F11" i="26"/>
  <c r="G5" i="26"/>
  <c r="H5" i="26" s="1"/>
  <c r="I5" i="26" s="1"/>
  <c r="J5" i="26" s="1"/>
  <c r="K5" i="26" s="1"/>
  <c r="L5" i="26" s="1"/>
  <c r="M5" i="26" s="1"/>
  <c r="N5" i="26" s="1"/>
  <c r="O5" i="26" s="1"/>
  <c r="P5" i="26" s="1"/>
  <c r="Q5" i="26" s="1"/>
  <c r="D10" i="22" l="1"/>
  <c r="D31" i="19" s="1"/>
  <c r="D9" i="22"/>
  <c r="G35" i="22"/>
  <c r="F36" i="22"/>
  <c r="D37" i="22" s="1"/>
  <c r="F64" i="24"/>
  <c r="H62" i="24"/>
  <c r="I62" i="24" s="1"/>
  <c r="G64" i="24"/>
  <c r="G153" i="1"/>
  <c r="G101" i="1"/>
  <c r="G19" i="1"/>
  <c r="C22" i="25"/>
  <c r="D18" i="25"/>
  <c r="D22" i="25" s="1"/>
  <c r="C17" i="25"/>
  <c r="D4" i="25"/>
  <c r="D17" i="25" s="1"/>
  <c r="D29" i="19" l="1"/>
  <c r="E29" i="19" s="1"/>
  <c r="C19" i="6" s="1"/>
  <c r="D30" i="19"/>
  <c r="E30" i="19" s="1"/>
  <c r="C20" i="6" s="1"/>
  <c r="D28" i="19"/>
  <c r="E28" i="19" s="1"/>
  <c r="C18" i="6" s="1"/>
  <c r="E31" i="19"/>
  <c r="G36" i="22"/>
  <c r="F37" i="22"/>
  <c r="D38" i="22" s="1"/>
  <c r="J62" i="24"/>
  <c r="K62" i="24" s="1"/>
  <c r="I64" i="24"/>
  <c r="E18" i="25"/>
  <c r="E22" i="25" s="1"/>
  <c r="E23" i="25" s="1"/>
  <c r="H64" i="24"/>
  <c r="E4" i="25"/>
  <c r="L62" i="24" l="1"/>
  <c r="K64" i="24"/>
  <c r="G37" i="22"/>
  <c r="F38" i="22"/>
  <c r="D39" i="22" s="1"/>
  <c r="J64" i="24"/>
  <c r="F18" i="25"/>
  <c r="G18" i="25" s="1"/>
  <c r="H18" i="25" s="1"/>
  <c r="F4" i="25"/>
  <c r="E17" i="25"/>
  <c r="L64" i="24" l="1"/>
  <c r="M62" i="24"/>
  <c r="G38" i="22"/>
  <c r="F39" i="22"/>
  <c r="D40" i="22" s="1"/>
  <c r="H22" i="25"/>
  <c r="I18" i="25"/>
  <c r="I22" i="25" s="1"/>
  <c r="F22" i="25"/>
  <c r="F23" i="25" s="1"/>
  <c r="G4" i="25"/>
  <c r="H4" i="25" s="1"/>
  <c r="F17" i="25"/>
  <c r="G22" i="25"/>
  <c r="N62" i="24" l="1"/>
  <c r="M64" i="24"/>
  <c r="G39" i="22"/>
  <c r="F40" i="22"/>
  <c r="D41" i="22" s="1"/>
  <c r="I4" i="25"/>
  <c r="H17" i="25"/>
  <c r="G23" i="25"/>
  <c r="H23" i="25" s="1"/>
  <c r="I23" i="25" s="1"/>
  <c r="G17" i="25"/>
  <c r="N64" i="24" l="1"/>
  <c r="O62" i="24"/>
  <c r="G40" i="22"/>
  <c r="F41" i="22"/>
  <c r="D42" i="22" s="1"/>
  <c r="I17" i="25"/>
  <c r="J4" i="25"/>
  <c r="K4" i="25" s="1"/>
  <c r="L4" i="25" s="1"/>
  <c r="M4" i="25" s="1"/>
  <c r="N4" i="25" s="1"/>
  <c r="O4" i="25" s="1"/>
  <c r="J18" i="25"/>
  <c r="J22" i="25" s="1"/>
  <c r="O64" i="24" l="1"/>
  <c r="P62" i="24"/>
  <c r="P64" i="24" s="1"/>
  <c r="G41" i="22"/>
  <c r="F42" i="22"/>
  <c r="D43" i="22" s="1"/>
  <c r="J23" i="25"/>
  <c r="G42" i="22" l="1"/>
  <c r="F43" i="22"/>
  <c r="D44" i="22" s="1"/>
  <c r="J17" i="25"/>
  <c r="G43" i="22" l="1"/>
  <c r="F44" i="22"/>
  <c r="D45" i="22" s="1"/>
  <c r="E4" i="24"/>
  <c r="E22" i="24" s="1"/>
  <c r="G44" i="22" l="1"/>
  <c r="F45" i="22"/>
  <c r="D46" i="22" s="1"/>
  <c r="F4" i="24"/>
  <c r="E75" i="24"/>
  <c r="G45" i="22" l="1"/>
  <c r="F46" i="22"/>
  <c r="D48" i="22" s="1"/>
  <c r="F75" i="24"/>
  <c r="F22" i="24"/>
  <c r="G4" i="24"/>
  <c r="G46" i="22" l="1"/>
  <c r="F48" i="22"/>
  <c r="D49" i="22" s="1"/>
  <c r="G75" i="24"/>
  <c r="G22" i="24"/>
  <c r="H4" i="24"/>
  <c r="I4" i="24" s="1"/>
  <c r="E9" i="22" l="1"/>
  <c r="E10" i="22"/>
  <c r="E12" i="22"/>
  <c r="G48" i="22"/>
  <c r="F49" i="22"/>
  <c r="D50" i="22" s="1"/>
  <c r="I22" i="24"/>
  <c r="I75" i="24"/>
  <c r="J4" i="24"/>
  <c r="H75" i="24"/>
  <c r="H22" i="24"/>
  <c r="G31" i="19" l="1"/>
  <c r="Q10" i="22"/>
  <c r="G49" i="22"/>
  <c r="F50" i="22"/>
  <c r="D51" i="22" s="1"/>
  <c r="J75" i="24"/>
  <c r="J22" i="24"/>
  <c r="G30" i="19" l="1"/>
  <c r="H30" i="19" s="1"/>
  <c r="D20" i="6" s="1"/>
  <c r="G29" i="19"/>
  <c r="H29" i="19" s="1"/>
  <c r="D19" i="6" s="1"/>
  <c r="G28" i="19"/>
  <c r="H28" i="19" s="1"/>
  <c r="H31" i="19"/>
  <c r="G50" i="22"/>
  <c r="F51" i="22"/>
  <c r="D52" i="22" s="1"/>
  <c r="J28" i="19" l="1"/>
  <c r="J27" i="19" s="1"/>
  <c r="D18" i="6"/>
  <c r="G51" i="22"/>
  <c r="F52" i="22"/>
  <c r="D53" i="22" s="1"/>
  <c r="E26" i="8"/>
  <c r="E25" i="8"/>
  <c r="D27" i="8"/>
  <c r="D5" i="10"/>
  <c r="E5" i="10" s="1"/>
  <c r="F5" i="10" s="1"/>
  <c r="G5" i="10" s="1"/>
  <c r="H5" i="10" s="1"/>
  <c r="I5" i="10" s="1"/>
  <c r="J5" i="10" s="1"/>
  <c r="G30" i="1"/>
  <c r="G27" i="1"/>
  <c r="F7" i="12"/>
  <c r="D5" i="11"/>
  <c r="E5" i="11" s="1"/>
  <c r="F5" i="11" s="1"/>
  <c r="G5" i="11" s="1"/>
  <c r="H5" i="11" s="1"/>
  <c r="I5" i="11" s="1"/>
  <c r="J5" i="11" s="1"/>
  <c r="K5" i="11" s="1"/>
  <c r="D11" i="19"/>
  <c r="E11" i="19" s="1"/>
  <c r="F11" i="19" s="1"/>
  <c r="G11" i="19" s="1"/>
  <c r="H11" i="19" s="1"/>
  <c r="I11" i="19" s="1"/>
  <c r="J11" i="19" s="1"/>
  <c r="K11" i="19" s="1"/>
  <c r="L11" i="19" s="1"/>
  <c r="M11" i="19" s="1"/>
  <c r="D3" i="6"/>
  <c r="E3" i="6" s="1"/>
  <c r="F3" i="6" s="1"/>
  <c r="G3" i="6" s="1"/>
  <c r="H3" i="6" s="1"/>
  <c r="I3" i="6" s="1"/>
  <c r="J3" i="6" s="1"/>
  <c r="K3" i="6" s="1"/>
  <c r="L3" i="6" s="1"/>
  <c r="M3" i="6" s="1"/>
  <c r="N3" i="6" s="1"/>
  <c r="O3" i="6" s="1"/>
  <c r="D3" i="7"/>
  <c r="E3" i="7" s="1"/>
  <c r="F3" i="7" s="1"/>
  <c r="G3" i="7" s="1"/>
  <c r="H3" i="7" s="1"/>
  <c r="I3" i="7" s="1"/>
  <c r="J3" i="7" s="1"/>
  <c r="K3" i="7" s="1"/>
  <c r="L3" i="7" s="1"/>
  <c r="M3" i="7" s="1"/>
  <c r="N3" i="7" s="1"/>
  <c r="O3" i="7" s="1"/>
  <c r="D4" i="8"/>
  <c r="E4" i="8" s="1"/>
  <c r="F4" i="8" s="1"/>
  <c r="G4" i="8" s="1"/>
  <c r="H4" i="8" s="1"/>
  <c r="I4" i="8" s="1"/>
  <c r="J4" i="8" s="1"/>
  <c r="K4" i="8" s="1"/>
  <c r="L4" i="8" s="1"/>
  <c r="M4" i="8" s="1"/>
  <c r="N4" i="8" s="1"/>
  <c r="O4" i="8" s="1"/>
  <c r="E4" i="22"/>
  <c r="G159" i="1"/>
  <c r="G124" i="1"/>
  <c r="G86" i="1"/>
  <c r="G92" i="1" s="1"/>
  <c r="G84" i="1"/>
  <c r="G67" i="1"/>
  <c r="F179" i="1"/>
  <c r="G179" i="1" s="1"/>
  <c r="G21" i="1"/>
  <c r="D50" i="3"/>
  <c r="G59" i="1"/>
  <c r="G57" i="1"/>
  <c r="H14" i="12"/>
  <c r="C21" i="16"/>
  <c r="C27" i="16"/>
  <c r="C26" i="16"/>
  <c r="C31" i="16"/>
  <c r="C24" i="16"/>
  <c r="C23" i="16"/>
  <c r="C22" i="16"/>
  <c r="E24" i="11"/>
  <c r="F24" i="11" s="1"/>
  <c r="G24" i="11" s="1"/>
  <c r="H24" i="11" s="1"/>
  <c r="I24" i="11" s="1"/>
  <c r="J24" i="11" s="1"/>
  <c r="K24" i="11" s="1"/>
  <c r="D51" i="3"/>
  <c r="D45" i="3"/>
  <c r="D30" i="3"/>
  <c r="D56" i="3" s="1"/>
  <c r="G58" i="1"/>
  <c r="G156" i="1"/>
  <c r="B7" i="12"/>
  <c r="C7" i="12"/>
  <c r="C4" i="16"/>
  <c r="C15" i="16" s="1"/>
  <c r="C20" i="16"/>
  <c r="D7" i="12"/>
  <c r="C13" i="18"/>
  <c r="B13" i="18"/>
  <c r="E11" i="18"/>
  <c r="E10" i="18"/>
  <c r="E9" i="18"/>
  <c r="E8" i="18"/>
  <c r="E7" i="18"/>
  <c r="E6" i="18"/>
  <c r="D6" i="18"/>
  <c r="E5" i="18"/>
  <c r="E4" i="18"/>
  <c r="D4" i="18"/>
  <c r="E3" i="18"/>
  <c r="E2" i="18"/>
  <c r="E13" i="18" s="1"/>
  <c r="C25" i="13"/>
  <c r="E25" i="13" s="1"/>
  <c r="C26" i="13"/>
  <c r="C27" i="13" s="1"/>
  <c r="E24" i="13"/>
  <c r="E7" i="12"/>
  <c r="C6" i="13"/>
  <c r="E6" i="13" s="1"/>
  <c r="E5" i="13"/>
  <c r="G7" i="12"/>
  <c r="C7" i="16"/>
  <c r="C17" i="16" s="1"/>
  <c r="C6" i="16"/>
  <c r="C16" i="16" s="1"/>
  <c r="C5" i="16"/>
  <c r="C21" i="15"/>
  <c r="C20" i="15"/>
  <c r="C19" i="15"/>
  <c r="C18" i="15"/>
  <c r="C17" i="15"/>
  <c r="C16" i="15"/>
  <c r="H7" i="12"/>
  <c r="D54" i="3"/>
  <c r="C12" i="16" s="1"/>
  <c r="D53" i="3"/>
  <c r="C11" i="16" s="1"/>
  <c r="D48" i="3"/>
  <c r="C13" i="16"/>
  <c r="C14" i="15"/>
  <c r="C8" i="16"/>
  <c r="C18" i="16" s="1"/>
  <c r="G173" i="1"/>
  <c r="G172" i="1"/>
  <c r="G171" i="1"/>
  <c r="G170" i="1"/>
  <c r="G169" i="1"/>
  <c r="G168" i="1"/>
  <c r="G167" i="1"/>
  <c r="G158" i="1"/>
  <c r="G157" i="1"/>
  <c r="G152" i="1"/>
  <c r="G151" i="1"/>
  <c r="G129" i="1"/>
  <c r="G130" i="1" s="1"/>
  <c r="G53" i="1"/>
  <c r="G55" i="1" s="1"/>
  <c r="G46" i="1"/>
  <c r="G45" i="1"/>
  <c r="G41" i="1"/>
  <c r="G40" i="1"/>
  <c r="G39" i="1"/>
  <c r="G38" i="1"/>
  <c r="G37" i="1"/>
  <c r="G36" i="1"/>
  <c r="G35" i="1"/>
  <c r="G34" i="1"/>
  <c r="G31" i="1"/>
  <c r="G26" i="1"/>
  <c r="G29" i="1"/>
  <c r="G28" i="1"/>
  <c r="G25" i="1"/>
  <c r="G24" i="1"/>
  <c r="G23" i="1"/>
  <c r="G22" i="1"/>
  <c r="G20" i="1"/>
  <c r="G18" i="1"/>
  <c r="G17" i="1"/>
  <c r="G16" i="1"/>
  <c r="G15" i="1"/>
  <c r="G14" i="1"/>
  <c r="G13" i="1"/>
  <c r="G12" i="1"/>
  <c r="C42" i="16"/>
  <c r="C46" i="16" s="1"/>
  <c r="D12" i="11"/>
  <c r="I6" i="12"/>
  <c r="I12" i="12" s="1"/>
  <c r="I13" i="12" s="1"/>
  <c r="J6" i="12"/>
  <c r="J12" i="12" s="1"/>
  <c r="J13" i="12" s="1"/>
  <c r="K6" i="12"/>
  <c r="K12" i="12" s="1"/>
  <c r="K13" i="12" s="1"/>
  <c r="C37" i="16"/>
  <c r="G178" i="1"/>
  <c r="C41" i="16"/>
  <c r="C5" i="12"/>
  <c r="D34" i="5"/>
  <c r="B6" i="12"/>
  <c r="G52" i="22" l="1"/>
  <c r="F12" i="22" s="1"/>
  <c r="Q12" i="22" s="1"/>
  <c r="D10" i="5"/>
  <c r="F53" i="22"/>
  <c r="D54" i="22" s="1"/>
  <c r="F10" i="5"/>
  <c r="E10" i="5"/>
  <c r="H10" i="5"/>
  <c r="I10" i="5"/>
  <c r="J10" i="5"/>
  <c r="K10" i="5"/>
  <c r="C52" i="16"/>
  <c r="F4" i="22"/>
  <c r="B12" i="12"/>
  <c r="C12" i="15"/>
  <c r="C51" i="16"/>
  <c r="C28" i="13"/>
  <c r="E27" i="13"/>
  <c r="E26" i="13"/>
  <c r="C13" i="15"/>
  <c r="G160" i="1"/>
  <c r="C7" i="13"/>
  <c r="G42" i="1"/>
  <c r="G154" i="1"/>
  <c r="E27" i="8"/>
  <c r="B8" i="12"/>
  <c r="C50" i="16"/>
  <c r="C49" i="16"/>
  <c r="G181" i="1"/>
  <c r="C15" i="15"/>
  <c r="C14" i="16"/>
  <c r="G174" i="1"/>
  <c r="G60" i="1"/>
  <c r="G162" i="1" s="1"/>
  <c r="G47" i="1"/>
  <c r="G32" i="1"/>
  <c r="G53" i="22" l="1"/>
  <c r="E18" i="5"/>
  <c r="E13" i="5"/>
  <c r="E8" i="11" s="1"/>
  <c r="E21" i="11" s="1"/>
  <c r="E17" i="5"/>
  <c r="F18" i="5"/>
  <c r="F13" i="5"/>
  <c r="F8" i="11" s="1"/>
  <c r="F21" i="11" s="1"/>
  <c r="F17" i="5"/>
  <c r="E21" i="4" s="1"/>
  <c r="G21" i="4" s="1"/>
  <c r="H17" i="5"/>
  <c r="H18" i="5"/>
  <c r="H13" i="5"/>
  <c r="H8" i="11" s="1"/>
  <c r="I17" i="5"/>
  <c r="I18" i="5"/>
  <c r="I13" i="5"/>
  <c r="I8" i="11" s="1"/>
  <c r="K13" i="5"/>
  <c r="K8" i="11" s="1"/>
  <c r="K17" i="5"/>
  <c r="K18" i="5"/>
  <c r="D12" i="5"/>
  <c r="D17" i="5"/>
  <c r="D18" i="5"/>
  <c r="D13" i="5"/>
  <c r="D8" i="11" s="1"/>
  <c r="D21" i="11" s="1"/>
  <c r="J17" i="5"/>
  <c r="J18" i="5"/>
  <c r="J13" i="5"/>
  <c r="J8" i="11" s="1"/>
  <c r="I12" i="5"/>
  <c r="E12" i="5"/>
  <c r="F12" i="5"/>
  <c r="H12" i="5"/>
  <c r="K12" i="5"/>
  <c r="J12" i="5"/>
  <c r="F54" i="22"/>
  <c r="D55" i="22" s="1"/>
  <c r="J5" i="25"/>
  <c r="K43" i="5"/>
  <c r="L54" i="5" s="1"/>
  <c r="J43" i="5"/>
  <c r="I5" i="25"/>
  <c r="I43" i="5"/>
  <c r="H5" i="25"/>
  <c r="J17" i="10"/>
  <c r="J37" i="10"/>
  <c r="G4" i="22"/>
  <c r="C17" i="10"/>
  <c r="E7" i="13"/>
  <c r="C8" i="13"/>
  <c r="E28" i="13"/>
  <c r="C29" i="13"/>
  <c r="C35" i="16"/>
  <c r="I173" i="1"/>
  <c r="G163" i="1"/>
  <c r="G164" i="1" s="1"/>
  <c r="C34" i="16"/>
  <c r="F49" i="1"/>
  <c r="E21" i="5" l="1"/>
  <c r="H21" i="5"/>
  <c r="I21" i="5"/>
  <c r="K21" i="5"/>
  <c r="F21" i="5"/>
  <c r="J21" i="5"/>
  <c r="D21" i="5"/>
  <c r="G54" i="22"/>
  <c r="F55" i="22"/>
  <c r="D56" i="22" s="1"/>
  <c r="J54" i="5"/>
  <c r="E43" i="5"/>
  <c r="D37" i="10"/>
  <c r="D17" i="10"/>
  <c r="F43" i="5"/>
  <c r="E37" i="10"/>
  <c r="E17" i="10"/>
  <c r="H4" i="22"/>
  <c r="C5" i="25"/>
  <c r="D6" i="11"/>
  <c r="D29" i="11" s="1"/>
  <c r="C37" i="10"/>
  <c r="D43" i="5"/>
  <c r="D7" i="11"/>
  <c r="D13" i="11" s="1"/>
  <c r="D19" i="11" s="1"/>
  <c r="E29" i="13"/>
  <c r="C30" i="13"/>
  <c r="E30" i="13" s="1"/>
  <c r="C9" i="13"/>
  <c r="E8" i="13"/>
  <c r="H21" i="11"/>
  <c r="D5" i="25"/>
  <c r="E6" i="11"/>
  <c r="E29" i="11" s="1"/>
  <c r="G49" i="1"/>
  <c r="G50" i="1" s="1"/>
  <c r="I46" i="1"/>
  <c r="E5" i="25"/>
  <c r="F6" i="11"/>
  <c r="G175" i="1"/>
  <c r="I172" i="1" s="1"/>
  <c r="I175" i="1" s="1"/>
  <c r="C32" i="16"/>
  <c r="D22" i="5" l="1"/>
  <c r="D23" i="5" s="1"/>
  <c r="G55" i="22"/>
  <c r="F56" i="22"/>
  <c r="D57" i="22" s="1"/>
  <c r="E22" i="5"/>
  <c r="E23" i="5" s="1"/>
  <c r="F7" i="11"/>
  <c r="F13" i="11" s="1"/>
  <c r="F19" i="11" s="1"/>
  <c r="E54" i="5"/>
  <c r="F54" i="5"/>
  <c r="I4" i="22"/>
  <c r="F29" i="11"/>
  <c r="E25" i="6" s="1"/>
  <c r="C25" i="6"/>
  <c r="C24" i="7" s="1"/>
  <c r="I7" i="11"/>
  <c r="D16" i="11"/>
  <c r="I21" i="11"/>
  <c r="H7" i="11"/>
  <c r="C10" i="13"/>
  <c r="E9" i="13"/>
  <c r="E7" i="11"/>
  <c r="C33" i="16"/>
  <c r="D25" i="6"/>
  <c r="C6" i="19"/>
  <c r="F17" i="13"/>
  <c r="F36" i="13" s="1"/>
  <c r="D8" i="22"/>
  <c r="G56" i="22" l="1"/>
  <c r="D38" i="10"/>
  <c r="D39" i="10" s="1"/>
  <c r="D51" i="10" s="1"/>
  <c r="F57" i="22"/>
  <c r="D58" i="22" s="1"/>
  <c r="F16" i="11"/>
  <c r="F14" i="11" s="1"/>
  <c r="G12" i="11" s="1"/>
  <c r="C6" i="25"/>
  <c r="C7" i="25" s="1"/>
  <c r="C10" i="25" s="1"/>
  <c r="G37" i="10"/>
  <c r="G17" i="10"/>
  <c r="J4" i="22"/>
  <c r="D14" i="11"/>
  <c r="E12" i="11" s="1"/>
  <c r="D24" i="7"/>
  <c r="E5" i="22"/>
  <c r="I13" i="11"/>
  <c r="I16" i="11"/>
  <c r="E13" i="11"/>
  <c r="E16" i="11"/>
  <c r="H13" i="11"/>
  <c r="H16" i="11"/>
  <c r="E24" i="7"/>
  <c r="J21" i="11"/>
  <c r="D6" i="25"/>
  <c r="D7" i="25" s="1"/>
  <c r="D10" i="25" s="1"/>
  <c r="H6" i="11"/>
  <c r="H29" i="11" s="1"/>
  <c r="H43" i="5"/>
  <c r="G5" i="25"/>
  <c r="E10" i="13"/>
  <c r="C11" i="13"/>
  <c r="G57" i="22" l="1"/>
  <c r="F58" i="22"/>
  <c r="D59" i="22" s="1"/>
  <c r="C38" i="10"/>
  <c r="C39" i="10" s="1"/>
  <c r="C51" i="10" s="1"/>
  <c r="I54" i="5"/>
  <c r="H37" i="10"/>
  <c r="H17" i="10"/>
  <c r="I19" i="11"/>
  <c r="E19" i="11"/>
  <c r="H19" i="11"/>
  <c r="E22" i="7"/>
  <c r="F34" i="5" s="1"/>
  <c r="E12" i="6"/>
  <c r="F12" i="6"/>
  <c r="G12" i="6"/>
  <c r="K4" i="22"/>
  <c r="D31" i="11"/>
  <c r="C26" i="6" s="1"/>
  <c r="C26" i="7" s="1"/>
  <c r="F31" i="11"/>
  <c r="E26" i="6" s="1"/>
  <c r="H14" i="11"/>
  <c r="I12" i="11" s="1"/>
  <c r="E14" i="11"/>
  <c r="F12" i="11" s="1"/>
  <c r="I14" i="11"/>
  <c r="I31" i="11" s="1"/>
  <c r="H26" i="6" s="1"/>
  <c r="D11" i="22"/>
  <c r="D24" i="5" s="1"/>
  <c r="G25" i="6"/>
  <c r="I6" i="11"/>
  <c r="I29" i="11" s="1"/>
  <c r="H25" i="6" s="1"/>
  <c r="C12" i="13"/>
  <c r="E11" i="13"/>
  <c r="J7" i="11"/>
  <c r="K21" i="11"/>
  <c r="C8" i="25" l="1"/>
  <c r="D28" i="5"/>
  <c r="G58" i="22"/>
  <c r="F59" i="22"/>
  <c r="D61" i="22" s="1"/>
  <c r="H24" i="7"/>
  <c r="I17" i="10"/>
  <c r="I37" i="10"/>
  <c r="D11" i="8"/>
  <c r="C12" i="6"/>
  <c r="C8" i="6" s="1"/>
  <c r="E11" i="8"/>
  <c r="D12" i="6"/>
  <c r="L4" i="22"/>
  <c r="M4" i="22" s="1"/>
  <c r="D33" i="11"/>
  <c r="F33" i="11"/>
  <c r="E31" i="11"/>
  <c r="D26" i="6" s="1"/>
  <c r="H31" i="11"/>
  <c r="H33" i="11" s="1"/>
  <c r="J12" i="11"/>
  <c r="F22" i="7"/>
  <c r="G34" i="5" s="1"/>
  <c r="F11" i="8"/>
  <c r="H34" i="5"/>
  <c r="G11" i="8"/>
  <c r="D22" i="7"/>
  <c r="E34" i="5" s="1"/>
  <c r="J13" i="11"/>
  <c r="J16" i="11"/>
  <c r="K6" i="11"/>
  <c r="K29" i="11" s="1"/>
  <c r="J25" i="6" s="1"/>
  <c r="K24" i="7" s="1"/>
  <c r="I33" i="11"/>
  <c r="J6" i="11"/>
  <c r="J29" i="11" s="1"/>
  <c r="I25" i="6" s="1"/>
  <c r="K7" i="11"/>
  <c r="E12" i="13"/>
  <c r="C13" i="13"/>
  <c r="D6" i="24" l="1"/>
  <c r="C7" i="10"/>
  <c r="G59" i="22"/>
  <c r="F9" i="22" s="1"/>
  <c r="F61" i="22"/>
  <c r="D62" i="22" s="1"/>
  <c r="J24" i="7"/>
  <c r="I24" i="7"/>
  <c r="N4" i="22"/>
  <c r="K54" i="5"/>
  <c r="C20" i="10"/>
  <c r="C14" i="10"/>
  <c r="J19" i="11"/>
  <c r="G26" i="6"/>
  <c r="H26" i="7" s="1"/>
  <c r="H28" i="7" s="1"/>
  <c r="E33" i="11"/>
  <c r="J14" i="11"/>
  <c r="K12" i="11" s="1"/>
  <c r="D27" i="2"/>
  <c r="K13" i="11"/>
  <c r="K16" i="11"/>
  <c r="D26" i="7"/>
  <c r="E26" i="7"/>
  <c r="C14" i="13"/>
  <c r="E14" i="13" s="1"/>
  <c r="E13" i="13"/>
  <c r="C19" i="10" l="1"/>
  <c r="G61" i="22"/>
  <c r="F62" i="22"/>
  <c r="D63" i="22" s="1"/>
  <c r="K19" i="11"/>
  <c r="J31" i="11"/>
  <c r="K14" i="11"/>
  <c r="L12" i="11" s="1"/>
  <c r="C40" i="16"/>
  <c r="C43" i="16" s="1"/>
  <c r="L9" i="11" l="1"/>
  <c r="L23" i="11" s="1"/>
  <c r="L26" i="11" s="1"/>
  <c r="K31" i="11"/>
  <c r="J26" i="6" s="1"/>
  <c r="K26" i="7" s="1"/>
  <c r="K28" i="7" s="1"/>
  <c r="G62" i="22"/>
  <c r="F63" i="22"/>
  <c r="D64" i="22" s="1"/>
  <c r="J33" i="11"/>
  <c r="I26" i="6"/>
  <c r="C54" i="16"/>
  <c r="C53" i="16"/>
  <c r="M9" i="11" l="1"/>
  <c r="M23" i="11" s="1"/>
  <c r="M26" i="11" s="1"/>
  <c r="K11" i="6"/>
  <c r="K24" i="10" s="1"/>
  <c r="L35" i="11"/>
  <c r="L36" i="11" s="1"/>
  <c r="L37" i="11" s="1"/>
  <c r="K33" i="11"/>
  <c r="G63" i="22"/>
  <c r="F64" i="22"/>
  <c r="D65" i="22" s="1"/>
  <c r="I26" i="7"/>
  <c r="I28" i="7" s="1"/>
  <c r="J26" i="7"/>
  <c r="J28" i="7" s="1"/>
  <c r="D9" i="11"/>
  <c r="D23" i="11" s="1"/>
  <c r="D26" i="11" s="1"/>
  <c r="D40" i="10"/>
  <c r="D52" i="10" s="1"/>
  <c r="D53" i="10" s="1"/>
  <c r="C55" i="16"/>
  <c r="N9" i="11" l="1"/>
  <c r="N23" i="11" s="1"/>
  <c r="N26" i="11" s="1"/>
  <c r="L11" i="6"/>
  <c r="M35" i="11"/>
  <c r="G64" i="22"/>
  <c r="F65" i="22"/>
  <c r="D66" i="22" s="1"/>
  <c r="C11" i="6"/>
  <c r="D35" i="11"/>
  <c r="D39" i="11" s="1"/>
  <c r="E9" i="11"/>
  <c r="E23" i="11" s="1"/>
  <c r="E26" i="11" s="1"/>
  <c r="D6" i="10"/>
  <c r="C40" i="10"/>
  <c r="C52" i="10" s="1"/>
  <c r="C53" i="10" s="1"/>
  <c r="J40" i="10"/>
  <c r="K9" i="11"/>
  <c r="K23" i="11" s="1"/>
  <c r="G40" i="10"/>
  <c r="I9" i="11"/>
  <c r="I23" i="11" s="1"/>
  <c r="H40" i="10"/>
  <c r="E40" i="10"/>
  <c r="H9" i="11"/>
  <c r="H23" i="11" s="1"/>
  <c r="H26" i="11" s="1"/>
  <c r="J9" i="11"/>
  <c r="J23" i="11" s="1"/>
  <c r="I40" i="10"/>
  <c r="F9" i="11"/>
  <c r="F23" i="11" s="1"/>
  <c r="F26" i="11" s="1"/>
  <c r="L14" i="7" l="1"/>
  <c r="L24" i="10"/>
  <c r="O9" i="11"/>
  <c r="O23" i="11" s="1"/>
  <c r="O26" i="11" s="1"/>
  <c r="P9" i="11"/>
  <c r="P23" i="11" s="1"/>
  <c r="P26" i="11" s="1"/>
  <c r="M39" i="11"/>
  <c r="M10" i="24"/>
  <c r="M36" i="11"/>
  <c r="M37" i="11" s="1"/>
  <c r="M11" i="6"/>
  <c r="N35" i="11"/>
  <c r="C14" i="7"/>
  <c r="C15" i="10"/>
  <c r="G65" i="22"/>
  <c r="J26" i="11"/>
  <c r="J35" i="11" s="1"/>
  <c r="K26" i="11"/>
  <c r="J11" i="6" s="1"/>
  <c r="I26" i="11"/>
  <c r="I35" i="11" s="1"/>
  <c r="F66" i="22"/>
  <c r="D67" i="22" s="1"/>
  <c r="D44" i="5"/>
  <c r="D48" i="5" s="1"/>
  <c r="D11" i="6"/>
  <c r="E35" i="11"/>
  <c r="E39" i="11" s="1"/>
  <c r="G11" i="6"/>
  <c r="H35" i="11"/>
  <c r="D36" i="11"/>
  <c r="D37" i="11" s="1"/>
  <c r="D10" i="24"/>
  <c r="E11" i="6"/>
  <c r="F35" i="11"/>
  <c r="E38" i="5"/>
  <c r="E44" i="5"/>
  <c r="E48" i="5" s="1"/>
  <c r="C6" i="10"/>
  <c r="D38" i="5"/>
  <c r="M14" i="7" l="1"/>
  <c r="M24" i="10"/>
  <c r="I11" i="6"/>
  <c r="J14" i="7" s="1"/>
  <c r="O11" i="6"/>
  <c r="O24" i="10" s="1"/>
  <c r="P35" i="11"/>
  <c r="N11" i="6"/>
  <c r="O35" i="11"/>
  <c r="N36" i="11"/>
  <c r="N37" i="11" s="1"/>
  <c r="N39" i="11"/>
  <c r="N10" i="24"/>
  <c r="H11" i="6"/>
  <c r="H14" i="7" s="1"/>
  <c r="K35" i="11"/>
  <c r="K39" i="11" s="1"/>
  <c r="K14" i="7"/>
  <c r="G66" i="22"/>
  <c r="F67" i="22"/>
  <c r="D68" i="22" s="1"/>
  <c r="I10" i="24"/>
  <c r="J10" i="24"/>
  <c r="F39" i="11"/>
  <c r="J39" i="11"/>
  <c r="I39" i="11"/>
  <c r="I36" i="11"/>
  <c r="I37" i="11" s="1"/>
  <c r="F36" i="11"/>
  <c r="F37" i="11" s="1"/>
  <c r="F10" i="24"/>
  <c r="E14" i="7"/>
  <c r="E24" i="10"/>
  <c r="J36" i="11"/>
  <c r="J37" i="11" s="1"/>
  <c r="J24" i="10"/>
  <c r="H36" i="11"/>
  <c r="H37" i="11" s="1"/>
  <c r="E36" i="11"/>
  <c r="E37" i="11" s="1"/>
  <c r="E10" i="24"/>
  <c r="G24" i="10"/>
  <c r="D14" i="7"/>
  <c r="D24" i="10"/>
  <c r="E8" i="22"/>
  <c r="N14" i="7" l="1"/>
  <c r="N24" i="10"/>
  <c r="I24" i="10"/>
  <c r="K36" i="11"/>
  <c r="K37" i="11" s="1"/>
  <c r="H24" i="10"/>
  <c r="I14" i="7"/>
  <c r="O36" i="11"/>
  <c r="O37" i="11" s="1"/>
  <c r="O10" i="24"/>
  <c r="O39" i="11"/>
  <c r="P10" i="24"/>
  <c r="P36" i="11"/>
  <c r="P37" i="11" s="1"/>
  <c r="P39" i="11"/>
  <c r="O14" i="7"/>
  <c r="K10" i="24"/>
  <c r="L39" i="11"/>
  <c r="L10" i="24"/>
  <c r="D12" i="2"/>
  <c r="D6" i="19"/>
  <c r="G67" i="22"/>
  <c r="F68" i="22"/>
  <c r="D69" i="22" s="1"/>
  <c r="F5" i="22"/>
  <c r="F8" i="22" s="1"/>
  <c r="G5" i="22" s="1"/>
  <c r="G186" i="1"/>
  <c r="D5" i="19" l="1"/>
  <c r="F5" i="19" s="1"/>
  <c r="D4" i="19"/>
  <c r="D3" i="19"/>
  <c r="G68" i="22"/>
  <c r="F69" i="22"/>
  <c r="D70" i="22" s="1"/>
  <c r="G8" i="22"/>
  <c r="H5" i="22" s="1"/>
  <c r="D8" i="6"/>
  <c r="E11" i="22"/>
  <c r="E24" i="5" s="1"/>
  <c r="G187" i="1"/>
  <c r="G188" i="1" s="1"/>
  <c r="E8" i="6" l="1"/>
  <c r="E20" i="6"/>
  <c r="F20" i="6" s="1"/>
  <c r="G20" i="6" s="1"/>
  <c r="H20" i="6" s="1"/>
  <c r="I20" i="6" s="1"/>
  <c r="J20" i="6" s="1"/>
  <c r="K20" i="6" s="1"/>
  <c r="L20" i="6" s="1"/>
  <c r="M20" i="6" s="1"/>
  <c r="N20" i="6" s="1"/>
  <c r="O20" i="6" s="1"/>
  <c r="C18" i="19"/>
  <c r="G69" i="22"/>
  <c r="F70" i="22"/>
  <c r="D71" i="22" s="1"/>
  <c r="H8" i="22"/>
  <c r="I5" i="22" s="1"/>
  <c r="D20" i="10"/>
  <c r="D14" i="10"/>
  <c r="C24" i="10"/>
  <c r="C19" i="19" l="1"/>
  <c r="C20" i="19" s="1"/>
  <c r="D18" i="19" s="1"/>
  <c r="D19" i="19" s="1"/>
  <c r="D20" i="19" s="1"/>
  <c r="E18" i="19" s="1"/>
  <c r="E19" i="19" s="1"/>
  <c r="E20" i="19" s="1"/>
  <c r="F18" i="19" s="1"/>
  <c r="F19" i="19" s="1"/>
  <c r="F20" i="19" s="1"/>
  <c r="G18" i="19" s="1"/>
  <c r="G19" i="19" s="1"/>
  <c r="G20" i="19" s="1"/>
  <c r="H18" i="19" s="1"/>
  <c r="H19" i="19" s="1"/>
  <c r="H20" i="19" s="1"/>
  <c r="I18" i="19" s="1"/>
  <c r="I19" i="19" s="1"/>
  <c r="I20" i="19" s="1"/>
  <c r="J18" i="19" s="1"/>
  <c r="J19" i="19" s="1"/>
  <c r="J20" i="19" s="1"/>
  <c r="K18" i="19" s="1"/>
  <c r="K19" i="19" s="1"/>
  <c r="K20" i="19" s="1"/>
  <c r="L18" i="19" s="1"/>
  <c r="L19" i="19" s="1"/>
  <c r="L20" i="19" s="1"/>
  <c r="M18" i="19" s="1"/>
  <c r="D19" i="10"/>
  <c r="D15" i="10"/>
  <c r="G70" i="22"/>
  <c r="F71" i="22"/>
  <c r="D72" i="22" s="1"/>
  <c r="I8" i="22"/>
  <c r="J5" i="22" s="1"/>
  <c r="F4" i="19"/>
  <c r="C10" i="10"/>
  <c r="C32" i="10" s="1"/>
  <c r="C41" i="10"/>
  <c r="C8" i="8"/>
  <c r="C10" i="8" s="1"/>
  <c r="C12" i="8" s="1"/>
  <c r="F3" i="19"/>
  <c r="C36" i="16"/>
  <c r="C38" i="16" s="1"/>
  <c r="C45" i="16" s="1"/>
  <c r="C47" i="16" s="1"/>
  <c r="G189" i="1"/>
  <c r="G190" i="1" s="1"/>
  <c r="M19" i="19" l="1"/>
  <c r="M20" i="19" s="1"/>
  <c r="P34" i="5"/>
  <c r="O28" i="7"/>
  <c r="G71" i="22"/>
  <c r="F72" i="22"/>
  <c r="D74" i="22" s="1"/>
  <c r="F6" i="19"/>
  <c r="J8" i="22"/>
  <c r="K5" i="22" s="1"/>
  <c r="C15" i="19"/>
  <c r="C16" i="19" s="1"/>
  <c r="E28" i="7"/>
  <c r="C12" i="19"/>
  <c r="C13" i="19" s="1"/>
  <c r="J29" i="19" l="1"/>
  <c r="F8" i="19"/>
  <c r="F74" i="22"/>
  <c r="D75" i="22" s="1"/>
  <c r="G72" i="22"/>
  <c r="G9" i="22" s="1"/>
  <c r="C21" i="6"/>
  <c r="C20" i="7" s="1"/>
  <c r="K8" i="22"/>
  <c r="L5" i="22" s="1"/>
  <c r="E19" i="6"/>
  <c r="F19" i="6" s="1"/>
  <c r="G19" i="6" s="1"/>
  <c r="H19" i="6" s="1"/>
  <c r="I19" i="6" s="1"/>
  <c r="J19" i="6" s="1"/>
  <c r="K19" i="6" s="1"/>
  <c r="L19" i="6" s="1"/>
  <c r="M19" i="6" s="1"/>
  <c r="N19" i="6" s="1"/>
  <c r="O19" i="6" s="1"/>
  <c r="C21" i="19"/>
  <c r="F26" i="5" s="1"/>
  <c r="G74" i="22" l="1"/>
  <c r="D29" i="5"/>
  <c r="F75" i="22"/>
  <c r="D76" i="22" s="1"/>
  <c r="C28" i="7"/>
  <c r="D11" i="24"/>
  <c r="L8" i="22"/>
  <c r="M5" i="22" s="1"/>
  <c r="F8" i="26"/>
  <c r="C17" i="19"/>
  <c r="D15" i="19" s="1"/>
  <c r="D16" i="19" s="1"/>
  <c r="D17" i="19" s="1"/>
  <c r="E15" i="19" s="1"/>
  <c r="E16" i="19" s="1"/>
  <c r="E17" i="19" s="1"/>
  <c r="F15" i="19" s="1"/>
  <c r="F16" i="19" s="1"/>
  <c r="F17" i="19" s="1"/>
  <c r="G15" i="19" s="1"/>
  <c r="G16" i="19" s="1"/>
  <c r="G17" i="19" s="1"/>
  <c r="H15" i="19" s="1"/>
  <c r="H16" i="19" s="1"/>
  <c r="H17" i="19" s="1"/>
  <c r="I15" i="19" s="1"/>
  <c r="I16" i="19" s="1"/>
  <c r="I17" i="19" s="1"/>
  <c r="J15" i="19" s="1"/>
  <c r="J16" i="19" s="1"/>
  <c r="J17" i="19" s="1"/>
  <c r="K15" i="19" s="1"/>
  <c r="F7" i="26"/>
  <c r="C14" i="19"/>
  <c r="D21" i="6"/>
  <c r="D20" i="7" s="1"/>
  <c r="D28" i="7" s="1"/>
  <c r="K16" i="19" l="1"/>
  <c r="K17" i="19" s="1"/>
  <c r="L15" i="19" s="1"/>
  <c r="L16" i="19" s="1"/>
  <c r="L17" i="19" s="1"/>
  <c r="M15" i="19" s="1"/>
  <c r="M16" i="19" s="1"/>
  <c r="M17" i="19" s="1"/>
  <c r="G75" i="22"/>
  <c r="E28" i="5"/>
  <c r="D8" i="25"/>
  <c r="F76" i="22"/>
  <c r="D77" i="22" s="1"/>
  <c r="C22" i="19"/>
  <c r="D45" i="5"/>
  <c r="D50" i="5" s="1"/>
  <c r="M8" i="22"/>
  <c r="N5" i="22" s="1"/>
  <c r="N8" i="22" s="1"/>
  <c r="G7" i="26"/>
  <c r="C6" i="8"/>
  <c r="C22" i="6"/>
  <c r="C23" i="6" s="1"/>
  <c r="D12" i="19"/>
  <c r="D13" i="19" s="1"/>
  <c r="D21" i="19" s="1"/>
  <c r="G26" i="5" s="1"/>
  <c r="D8" i="24"/>
  <c r="C42" i="10"/>
  <c r="C43" i="10" s="1"/>
  <c r="C50" i="10" s="1"/>
  <c r="D32" i="5"/>
  <c r="C12" i="7" s="1"/>
  <c r="E18" i="6"/>
  <c r="E21" i="6" s="1"/>
  <c r="F14" i="5" s="1"/>
  <c r="F15" i="5" s="1"/>
  <c r="E11" i="24"/>
  <c r="K14" i="5" l="1"/>
  <c r="K15" i="5" s="1"/>
  <c r="L14" i="5"/>
  <c r="L15" i="5" s="1"/>
  <c r="N14" i="5"/>
  <c r="N15" i="5" s="1"/>
  <c r="I14" i="5"/>
  <c r="I15" i="5" s="1"/>
  <c r="J14" i="5"/>
  <c r="J15" i="5" s="1"/>
  <c r="M14" i="5"/>
  <c r="M15" i="5" s="1"/>
  <c r="O14" i="5"/>
  <c r="O15" i="5" s="1"/>
  <c r="H14" i="5"/>
  <c r="H15" i="5" s="1"/>
  <c r="P14" i="5"/>
  <c r="P15" i="5" s="1"/>
  <c r="G14" i="5"/>
  <c r="O5" i="22"/>
  <c r="E6" i="24"/>
  <c r="D7" i="10"/>
  <c r="G76" i="22"/>
  <c r="E29" i="5"/>
  <c r="E30" i="5" s="1"/>
  <c r="F77" i="22"/>
  <c r="D78" i="22" s="1"/>
  <c r="C11" i="25"/>
  <c r="C12" i="25" s="1"/>
  <c r="C9" i="25"/>
  <c r="F6" i="26"/>
  <c r="F9" i="26" s="1"/>
  <c r="F12" i="26" s="1"/>
  <c r="F13" i="26" s="1"/>
  <c r="G8" i="26"/>
  <c r="H7" i="26"/>
  <c r="D14" i="19"/>
  <c r="D22" i="19" s="1"/>
  <c r="F18" i="6"/>
  <c r="F21" i="6" s="1"/>
  <c r="F11" i="24"/>
  <c r="C18" i="10"/>
  <c r="C31" i="10" s="1"/>
  <c r="C8" i="10"/>
  <c r="M22" i="5" l="1"/>
  <c r="M23" i="5" s="1"/>
  <c r="L6" i="10" s="1"/>
  <c r="L38" i="10"/>
  <c r="L39" i="10" s="1"/>
  <c r="L6" i="25"/>
  <c r="L7" i="25" s="1"/>
  <c r="N22" i="5"/>
  <c r="N23" i="5" s="1"/>
  <c r="M6" i="10" s="1"/>
  <c r="M6" i="25"/>
  <c r="M7" i="25" s="1"/>
  <c r="M38" i="10"/>
  <c r="M39" i="10" s="1"/>
  <c r="L22" i="5"/>
  <c r="L23" i="5" s="1"/>
  <c r="K6" i="10" s="1"/>
  <c r="K38" i="10"/>
  <c r="K39" i="10" s="1"/>
  <c r="K6" i="25"/>
  <c r="K7" i="25" s="1"/>
  <c r="O22" i="5"/>
  <c r="O23" i="5" s="1"/>
  <c r="N6" i="10" s="1"/>
  <c r="N6" i="25"/>
  <c r="N7" i="25" s="1"/>
  <c r="N38" i="10"/>
  <c r="N39" i="10" s="1"/>
  <c r="P22" i="5"/>
  <c r="P23" i="5" s="1"/>
  <c r="O6" i="10" s="1"/>
  <c r="O38" i="10"/>
  <c r="O39" i="10" s="1"/>
  <c r="O6" i="25"/>
  <c r="O7" i="25" s="1"/>
  <c r="I6" i="25"/>
  <c r="I7" i="25" s="1"/>
  <c r="I10" i="25" s="1"/>
  <c r="I38" i="10"/>
  <c r="I39" i="10" s="1"/>
  <c r="J22" i="5"/>
  <c r="J23" i="5" s="1"/>
  <c r="H6" i="25"/>
  <c r="H7" i="25" s="1"/>
  <c r="H10" i="25" s="1"/>
  <c r="H38" i="10"/>
  <c r="H39" i="10" s="1"/>
  <c r="I22" i="5"/>
  <c r="I23" i="5" s="1"/>
  <c r="E38" i="10"/>
  <c r="E39" i="10" s="1"/>
  <c r="E6" i="25"/>
  <c r="E7" i="25" s="1"/>
  <c r="E10" i="25" s="1"/>
  <c r="F22" i="5"/>
  <c r="F23" i="5" s="1"/>
  <c r="G38" i="10"/>
  <c r="G39" i="10" s="1"/>
  <c r="G6" i="25"/>
  <c r="G7" i="25" s="1"/>
  <c r="G10" i="25" s="1"/>
  <c r="H22" i="5"/>
  <c r="H23" i="5" s="1"/>
  <c r="J6" i="25"/>
  <c r="J7" i="25" s="1"/>
  <c r="J10" i="25" s="1"/>
  <c r="J38" i="10"/>
  <c r="J39" i="10" s="1"/>
  <c r="K22" i="5"/>
  <c r="K23" i="5" s="1"/>
  <c r="O8" i="22"/>
  <c r="P5" i="22" s="1"/>
  <c r="G77" i="22"/>
  <c r="F78" i="22"/>
  <c r="D79" i="22" s="1"/>
  <c r="D42" i="10"/>
  <c r="F10" i="26"/>
  <c r="D22" i="6"/>
  <c r="D23" i="6" s="1"/>
  <c r="D18" i="10" s="1"/>
  <c r="D31" i="10" s="1"/>
  <c r="E12" i="19"/>
  <c r="E13" i="19" s="1"/>
  <c r="E21" i="19" s="1"/>
  <c r="H26" i="5" s="1"/>
  <c r="D6" i="8"/>
  <c r="E45" i="5"/>
  <c r="E50" i="5" s="1"/>
  <c r="F14" i="26"/>
  <c r="F15" i="26" s="1"/>
  <c r="I7" i="26"/>
  <c r="G11" i="26"/>
  <c r="G11" i="24"/>
  <c r="G18" i="6"/>
  <c r="E32" i="5"/>
  <c r="D12" i="7" s="1"/>
  <c r="E8" i="24"/>
  <c r="M44" i="5" l="1"/>
  <c r="M48" i="5" s="1"/>
  <c r="N44" i="5"/>
  <c r="N48" i="5" s="1"/>
  <c r="O44" i="5"/>
  <c r="O48" i="5" s="1"/>
  <c r="O38" i="5"/>
  <c r="M38" i="5"/>
  <c r="L44" i="5"/>
  <c r="L48" i="5" s="1"/>
  <c r="L38" i="5"/>
  <c r="P44" i="5"/>
  <c r="P48" i="5" s="1"/>
  <c r="N38" i="5"/>
  <c r="O10" i="25"/>
  <c r="P38" i="5"/>
  <c r="N10" i="25"/>
  <c r="L10" i="25"/>
  <c r="K52" i="10"/>
  <c r="K53" i="10" s="1"/>
  <c r="K51" i="10"/>
  <c r="M51" i="10"/>
  <c r="M52" i="10"/>
  <c r="M53" i="10" s="1"/>
  <c r="N51" i="10"/>
  <c r="N52" i="10"/>
  <c r="N53" i="10" s="1"/>
  <c r="L51" i="10"/>
  <c r="L52" i="10"/>
  <c r="L53" i="10" s="1"/>
  <c r="O52" i="10"/>
  <c r="O53" i="10" s="1"/>
  <c r="O51" i="10"/>
  <c r="M10" i="25"/>
  <c r="K10" i="25"/>
  <c r="J51" i="10"/>
  <c r="J52" i="10"/>
  <c r="J53" i="10" s="1"/>
  <c r="H51" i="10"/>
  <c r="H52" i="10"/>
  <c r="H53" i="10" s="1"/>
  <c r="E6" i="10"/>
  <c r="F38" i="5"/>
  <c r="F44" i="5"/>
  <c r="F48" i="5" s="1"/>
  <c r="J38" i="5"/>
  <c r="J44" i="5"/>
  <c r="J48" i="5" s="1"/>
  <c r="I6" i="10"/>
  <c r="G6" i="10"/>
  <c r="H44" i="5"/>
  <c r="H48" i="5" s="1"/>
  <c r="H38" i="5"/>
  <c r="I51" i="10"/>
  <c r="I52" i="10"/>
  <c r="I53" i="10" s="1"/>
  <c r="E51" i="10"/>
  <c r="E52" i="10"/>
  <c r="E53" i="10" s="1"/>
  <c r="G51" i="10"/>
  <c r="G52" i="10"/>
  <c r="G53" i="10" s="1"/>
  <c r="I38" i="5"/>
  <c r="I44" i="5"/>
  <c r="I48" i="5" s="1"/>
  <c r="H6" i="10"/>
  <c r="K38" i="5"/>
  <c r="K44" i="5"/>
  <c r="K48" i="5" s="1"/>
  <c r="J6" i="10"/>
  <c r="P8" i="22"/>
  <c r="G78" i="22"/>
  <c r="F79" i="22"/>
  <c r="D80" i="22" s="1"/>
  <c r="G21" i="6"/>
  <c r="H11" i="24" s="1"/>
  <c r="H18" i="6"/>
  <c r="J7" i="26"/>
  <c r="H8" i="26"/>
  <c r="E42" i="10"/>
  <c r="D7" i="24"/>
  <c r="D9" i="24" s="1"/>
  <c r="E14" i="19"/>
  <c r="E22" i="19" s="1"/>
  <c r="G79" i="22" l="1"/>
  <c r="F80" i="22"/>
  <c r="D81" i="22" s="1"/>
  <c r="I18" i="6"/>
  <c r="H21" i="6"/>
  <c r="D12" i="24"/>
  <c r="D66" i="24" s="1"/>
  <c r="D69" i="24" s="1"/>
  <c r="E6" i="8"/>
  <c r="F45" i="5"/>
  <c r="F50" i="5" s="1"/>
  <c r="K7" i="26"/>
  <c r="F8" i="24"/>
  <c r="F32" i="5"/>
  <c r="E12" i="7" s="1"/>
  <c r="E22" i="6"/>
  <c r="F12" i="19"/>
  <c r="G80" i="22" l="1"/>
  <c r="F81" i="22"/>
  <c r="D82" i="22" s="1"/>
  <c r="I11" i="24"/>
  <c r="J18" i="6"/>
  <c r="K18" i="6" s="1"/>
  <c r="I21" i="6"/>
  <c r="D14" i="24"/>
  <c r="L7" i="26"/>
  <c r="D30" i="5"/>
  <c r="F13" i="19"/>
  <c r="F21" i="19" s="1"/>
  <c r="I26" i="5" s="1"/>
  <c r="E23" i="6"/>
  <c r="E18" i="10" s="1"/>
  <c r="K21" i="6" l="1"/>
  <c r="L18" i="6"/>
  <c r="G81" i="22"/>
  <c r="D16" i="24"/>
  <c r="F82" i="22"/>
  <c r="D83" i="22" s="1"/>
  <c r="J11" i="24"/>
  <c r="J21" i="6"/>
  <c r="K11" i="24" s="1"/>
  <c r="I8" i="26"/>
  <c r="F42" i="10"/>
  <c r="C7" i="6"/>
  <c r="C6" i="7"/>
  <c r="D39" i="5"/>
  <c r="D46" i="5"/>
  <c r="D52" i="5" s="1"/>
  <c r="M7" i="26"/>
  <c r="C6" i="12"/>
  <c r="C12" i="12" s="1"/>
  <c r="C13" i="12" s="1"/>
  <c r="C9" i="10"/>
  <c r="D33" i="5"/>
  <c r="D35" i="5" s="1"/>
  <c r="D36" i="5" s="1"/>
  <c r="D14" i="2" s="1"/>
  <c r="D16" i="2" s="1"/>
  <c r="D20" i="2" s="1"/>
  <c r="C5" i="8"/>
  <c r="D78" i="24" s="1"/>
  <c r="D79" i="24" s="1"/>
  <c r="F14" i="19"/>
  <c r="F22" i="19" s="1"/>
  <c r="F24" i="2" l="1"/>
  <c r="D9" i="6"/>
  <c r="L11" i="24"/>
  <c r="M18" i="6"/>
  <c r="L21" i="6"/>
  <c r="M11" i="24" s="1"/>
  <c r="G82" i="22"/>
  <c r="F83" i="22"/>
  <c r="D84" i="22" s="1"/>
  <c r="F6" i="8"/>
  <c r="C9" i="8"/>
  <c r="N7" i="26"/>
  <c r="C8" i="12"/>
  <c r="F11" i="22"/>
  <c r="F24" i="5" s="1"/>
  <c r="C26" i="10"/>
  <c r="G8" i="24"/>
  <c r="G32" i="5"/>
  <c r="F12" i="7" s="1"/>
  <c r="F22" i="6"/>
  <c r="G12" i="19"/>
  <c r="E8" i="25" l="1"/>
  <c r="F28" i="5"/>
  <c r="N18" i="6"/>
  <c r="M21" i="6"/>
  <c r="N11" i="24" s="1"/>
  <c r="G83" i="22"/>
  <c r="F84" i="22"/>
  <c r="D85" i="22" s="1"/>
  <c r="C13" i="8"/>
  <c r="C30" i="10" s="1"/>
  <c r="D80" i="24"/>
  <c r="O7" i="26"/>
  <c r="F23" i="6"/>
  <c r="F18" i="10" s="1"/>
  <c r="G13" i="19"/>
  <c r="G21" i="19" s="1"/>
  <c r="J26" i="5" s="1"/>
  <c r="F6" i="24" l="1"/>
  <c r="E7" i="10"/>
  <c r="F29" i="5"/>
  <c r="F30" i="5" s="1"/>
  <c r="O18" i="6"/>
  <c r="O21" i="6" s="1"/>
  <c r="N21" i="6"/>
  <c r="O11" i="24" s="1"/>
  <c r="G84" i="22"/>
  <c r="F85" i="22"/>
  <c r="D87" i="22" s="1"/>
  <c r="C6" i="6"/>
  <c r="D10" i="10"/>
  <c r="D32" i="10" s="1"/>
  <c r="D8" i="8"/>
  <c r="D10" i="8" s="1"/>
  <c r="D12" i="8" s="1"/>
  <c r="D41" i="10"/>
  <c r="D43" i="10" s="1"/>
  <c r="D50" i="10" s="1"/>
  <c r="J8" i="26"/>
  <c r="G42" i="10"/>
  <c r="Q7" i="26"/>
  <c r="P7" i="26"/>
  <c r="G14" i="19"/>
  <c r="G22" i="19" s="1"/>
  <c r="C7" i="7" l="1"/>
  <c r="C12" i="10"/>
  <c r="C28" i="10" s="1"/>
  <c r="P11" i="24"/>
  <c r="G85" i="22"/>
  <c r="H9" i="22" s="1"/>
  <c r="F87" i="22"/>
  <c r="D88" i="22" s="1"/>
  <c r="C13" i="10"/>
  <c r="C21" i="10"/>
  <c r="C35" i="10" s="1"/>
  <c r="D6" i="6"/>
  <c r="D12" i="10" s="1"/>
  <c r="D11" i="25"/>
  <c r="D12" i="25" s="1"/>
  <c r="D9" i="25"/>
  <c r="G6" i="26"/>
  <c r="G9" i="26" s="1"/>
  <c r="G10" i="26" s="1"/>
  <c r="D8" i="10"/>
  <c r="G6" i="8"/>
  <c r="H45" i="5"/>
  <c r="H50" i="5" s="1"/>
  <c r="H12" i="19"/>
  <c r="H13" i="19" s="1"/>
  <c r="H21" i="19" s="1"/>
  <c r="K26" i="5" s="1"/>
  <c r="H8" i="24"/>
  <c r="H32" i="5"/>
  <c r="G12" i="7" s="1"/>
  <c r="G22" i="6"/>
  <c r="C29" i="10" l="1"/>
  <c r="G87" i="22"/>
  <c r="F88" i="22"/>
  <c r="D89" i="22" s="1"/>
  <c r="H22" i="6"/>
  <c r="H23" i="6" s="1"/>
  <c r="H6" i="8"/>
  <c r="I32" i="5"/>
  <c r="H12" i="7" s="1"/>
  <c r="I8" i="24"/>
  <c r="I45" i="5"/>
  <c r="I50" i="5" s="1"/>
  <c r="D7" i="7"/>
  <c r="E6" i="6"/>
  <c r="E12" i="10" s="1"/>
  <c r="D21" i="10"/>
  <c r="D35" i="10" s="1"/>
  <c r="G12" i="26"/>
  <c r="G14" i="26" s="1"/>
  <c r="K8" i="26"/>
  <c r="H42" i="10"/>
  <c r="G11" i="22"/>
  <c r="G24" i="5" s="1"/>
  <c r="G23" i="6"/>
  <c r="G18" i="10" s="1"/>
  <c r="H14" i="19"/>
  <c r="H22" i="19" s="1"/>
  <c r="G88" i="22" l="1"/>
  <c r="F89" i="22"/>
  <c r="D90" i="22" s="1"/>
  <c r="F6" i="6"/>
  <c r="F7" i="7" s="1"/>
  <c r="E7" i="7"/>
  <c r="E21" i="10"/>
  <c r="G13" i="26"/>
  <c r="G15" i="26" s="1"/>
  <c r="H11" i="26"/>
  <c r="I12" i="19"/>
  <c r="G89" i="22" l="1"/>
  <c r="F90" i="22"/>
  <c r="D91" i="22" s="1"/>
  <c r="G6" i="6"/>
  <c r="F21" i="10"/>
  <c r="E8" i="8"/>
  <c r="E10" i="8" s="1"/>
  <c r="E12" i="8" s="1"/>
  <c r="E10" i="10"/>
  <c r="E32" i="10" s="1"/>
  <c r="E41" i="10"/>
  <c r="E43" i="10" s="1"/>
  <c r="E50" i="10" s="1"/>
  <c r="E7" i="24"/>
  <c r="E9" i="24" s="1"/>
  <c r="E12" i="24" s="1"/>
  <c r="I13" i="19"/>
  <c r="I21" i="19" s="1"/>
  <c r="L26" i="5" s="1"/>
  <c r="H18" i="10"/>
  <c r="K42" i="10" l="1"/>
  <c r="K6" i="8"/>
  <c r="K8" i="24"/>
  <c r="G90" i="22"/>
  <c r="F91" i="22"/>
  <c r="D92" i="22" s="1"/>
  <c r="I6" i="8"/>
  <c r="J32" i="5"/>
  <c r="I12" i="7" s="1"/>
  <c r="J8" i="24"/>
  <c r="J45" i="5"/>
  <c r="J50" i="5" s="1"/>
  <c r="I22" i="6"/>
  <c r="H6" i="6"/>
  <c r="H7" i="7" s="1"/>
  <c r="E66" i="24"/>
  <c r="E69" i="24" s="1"/>
  <c r="E14" i="24"/>
  <c r="G7" i="7"/>
  <c r="G21" i="10"/>
  <c r="E9" i="25"/>
  <c r="E11" i="25"/>
  <c r="E12" i="25" s="1"/>
  <c r="E8" i="10"/>
  <c r="L8" i="26"/>
  <c r="I42" i="10"/>
  <c r="H6" i="26"/>
  <c r="H9" i="26" s="1"/>
  <c r="H10" i="26" s="1"/>
  <c r="D9" i="10"/>
  <c r="I14" i="19"/>
  <c r="I22" i="19" s="1"/>
  <c r="G91" i="22" l="1"/>
  <c r="F92" i="22"/>
  <c r="D93" i="22" s="1"/>
  <c r="I23" i="6"/>
  <c r="I6" i="6"/>
  <c r="E16" i="24"/>
  <c r="H21" i="10"/>
  <c r="D26" i="10"/>
  <c r="D28" i="10"/>
  <c r="J12" i="19"/>
  <c r="J13" i="19" s="1"/>
  <c r="H12" i="26"/>
  <c r="I11" i="26" s="1"/>
  <c r="D7" i="6"/>
  <c r="D6" i="7"/>
  <c r="D5" i="8"/>
  <c r="E78" i="24" s="1"/>
  <c r="E79" i="24" s="1"/>
  <c r="E46" i="5"/>
  <c r="E52" i="5" s="1"/>
  <c r="D6" i="12"/>
  <c r="D8" i="12" s="1"/>
  <c r="E33" i="5"/>
  <c r="E35" i="5" s="1"/>
  <c r="E36" i="5" s="1"/>
  <c r="E39" i="5"/>
  <c r="D13" i="10" l="1"/>
  <c r="G92" i="22"/>
  <c r="F93" i="22"/>
  <c r="D94" i="22" s="1"/>
  <c r="J6" i="6"/>
  <c r="K6" i="6" s="1"/>
  <c r="I7" i="7"/>
  <c r="I21" i="10"/>
  <c r="J21" i="19"/>
  <c r="D9" i="8"/>
  <c r="H14" i="26"/>
  <c r="H13" i="26"/>
  <c r="D12" i="12"/>
  <c r="D13" i="12" s="1"/>
  <c r="J14" i="19"/>
  <c r="K12" i="19" s="1"/>
  <c r="I18" i="10"/>
  <c r="K21" i="10" l="1"/>
  <c r="L8" i="24"/>
  <c r="M26" i="5"/>
  <c r="K13" i="19"/>
  <c r="K21" i="19" s="1"/>
  <c r="N26" i="5" s="1"/>
  <c r="L6" i="6"/>
  <c r="K7" i="7"/>
  <c r="L32" i="5"/>
  <c r="K12" i="7" s="1"/>
  <c r="L45" i="5"/>
  <c r="L50" i="5" s="1"/>
  <c r="G93" i="22"/>
  <c r="J22" i="19"/>
  <c r="F94" i="22"/>
  <c r="D95" i="22" s="1"/>
  <c r="J21" i="10"/>
  <c r="J6" i="8"/>
  <c r="K32" i="5"/>
  <c r="J12" i="7" s="1"/>
  <c r="K45" i="5"/>
  <c r="K50" i="5" s="1"/>
  <c r="J22" i="6"/>
  <c r="K22" i="6" s="1"/>
  <c r="J7" i="7"/>
  <c r="D13" i="8"/>
  <c r="M8" i="26"/>
  <c r="J42" i="10"/>
  <c r="D29" i="10"/>
  <c r="H15" i="26"/>
  <c r="F7" i="24" s="1"/>
  <c r="F9" i="24" s="1"/>
  <c r="F12" i="24" s="1"/>
  <c r="E9" i="10"/>
  <c r="L21" i="10" l="1"/>
  <c r="M42" i="10"/>
  <c r="M6" i="8"/>
  <c r="L42" i="10"/>
  <c r="L6" i="8"/>
  <c r="K14" i="19"/>
  <c r="L12" i="19" s="1"/>
  <c r="N32" i="5"/>
  <c r="M12" i="7" s="1"/>
  <c r="N8" i="24"/>
  <c r="N45" i="5"/>
  <c r="N50" i="5" s="1"/>
  <c r="M32" i="5"/>
  <c r="L12" i="7" s="1"/>
  <c r="M8" i="24"/>
  <c r="M45" i="5"/>
  <c r="M50" i="5" s="1"/>
  <c r="L22" i="6"/>
  <c r="K23" i="6"/>
  <c r="K18" i="10" s="1"/>
  <c r="M6" i="6"/>
  <c r="L7" i="7"/>
  <c r="G94" i="22"/>
  <c r="F95" i="22"/>
  <c r="D96" i="22" s="1"/>
  <c r="J23" i="6"/>
  <c r="J18" i="10" s="1"/>
  <c r="F66" i="24"/>
  <c r="F69" i="24" s="1"/>
  <c r="F14" i="24"/>
  <c r="D30" i="10"/>
  <c r="E26" i="10"/>
  <c r="E28" i="10"/>
  <c r="E6" i="7"/>
  <c r="E7" i="6"/>
  <c r="F33" i="5"/>
  <c r="F35" i="5" s="1"/>
  <c r="F36" i="5" s="1"/>
  <c r="F46" i="5"/>
  <c r="F52" i="5" s="1"/>
  <c r="E5" i="8"/>
  <c r="F78" i="24" s="1"/>
  <c r="F79" i="24" s="1"/>
  <c r="E6" i="12"/>
  <c r="C9" i="12" s="1"/>
  <c r="F39" i="5"/>
  <c r="M21" i="10" l="1"/>
  <c r="K22" i="19"/>
  <c r="L13" i="19"/>
  <c r="L21" i="19" s="1"/>
  <c r="O26" i="5" s="1"/>
  <c r="E13" i="10"/>
  <c r="M7" i="7"/>
  <c r="N6" i="6"/>
  <c r="M22" i="6"/>
  <c r="L23" i="6"/>
  <c r="L18" i="10" s="1"/>
  <c r="G95" i="22"/>
  <c r="F96" i="22"/>
  <c r="D97" i="22" s="1"/>
  <c r="F16" i="24"/>
  <c r="H11" i="22"/>
  <c r="H24" i="5" s="1"/>
  <c r="N8" i="26"/>
  <c r="E9" i="8"/>
  <c r="E8" i="12"/>
  <c r="E12" i="12"/>
  <c r="E13" i="12" s="1"/>
  <c r="N21" i="10" l="1"/>
  <c r="N6" i="8"/>
  <c r="N42" i="10"/>
  <c r="L14" i="19"/>
  <c r="M12" i="19" s="1"/>
  <c r="O32" i="5"/>
  <c r="N12" i="7" s="1"/>
  <c r="O8" i="24"/>
  <c r="O45" i="5"/>
  <c r="O50" i="5" s="1"/>
  <c r="G96" i="22"/>
  <c r="G8" i="25"/>
  <c r="H28" i="5"/>
  <c r="N22" i="6"/>
  <c r="M23" i="6"/>
  <c r="M18" i="10" s="1"/>
  <c r="N7" i="7"/>
  <c r="O6" i="6"/>
  <c r="F97" i="22"/>
  <c r="D98" i="22" s="1"/>
  <c r="E13" i="8"/>
  <c r="F8" i="8"/>
  <c r="F10" i="8" s="1"/>
  <c r="F12" i="8" s="1"/>
  <c r="F41" i="10"/>
  <c r="F10" i="10"/>
  <c r="E29" i="10"/>
  <c r="O7" i="7" l="1"/>
  <c r="O21" i="10"/>
  <c r="L22" i="19"/>
  <c r="M13" i="19"/>
  <c r="M21" i="19" s="1"/>
  <c r="P26" i="5" s="1"/>
  <c r="H6" i="24"/>
  <c r="G7" i="10"/>
  <c r="N23" i="6"/>
  <c r="N18" i="10" s="1"/>
  <c r="G97" i="22"/>
  <c r="F98" i="22"/>
  <c r="D100" i="22" s="1"/>
  <c r="E30" i="10"/>
  <c r="O22" i="6" l="1"/>
  <c r="O23" i="6" s="1"/>
  <c r="O18" i="10" s="1"/>
  <c r="O6" i="8"/>
  <c r="O42" i="10"/>
  <c r="M14" i="19"/>
  <c r="M22" i="19" s="1"/>
  <c r="P8" i="24"/>
  <c r="P32" i="5"/>
  <c r="O12" i="7" s="1"/>
  <c r="P45" i="5"/>
  <c r="P50" i="5" s="1"/>
  <c r="G98" i="22"/>
  <c r="I9" i="22" s="1"/>
  <c r="F100" i="22"/>
  <c r="D101" i="22" s="1"/>
  <c r="P8" i="26"/>
  <c r="G100" i="22" l="1"/>
  <c r="F101" i="22"/>
  <c r="D102" i="22" s="1"/>
  <c r="O8" i="26"/>
  <c r="G101" i="22" l="1"/>
  <c r="F102" i="22"/>
  <c r="D103" i="22" s="1"/>
  <c r="G102" i="22" l="1"/>
  <c r="F103" i="22"/>
  <c r="D104" i="22" s="1"/>
  <c r="Q8" i="26"/>
  <c r="G103" i="22" l="1"/>
  <c r="F104" i="22"/>
  <c r="D105" i="22" s="1"/>
  <c r="G104" i="22" l="1"/>
  <c r="F105" i="22"/>
  <c r="D106" i="22" s="1"/>
  <c r="G105" i="22" l="1"/>
  <c r="F106" i="22"/>
  <c r="D107" i="22" s="1"/>
  <c r="G106" i="22" l="1"/>
  <c r="F107" i="22"/>
  <c r="D108" i="22" s="1"/>
  <c r="G107" i="22" l="1"/>
  <c r="F108" i="22"/>
  <c r="D109" i="22" s="1"/>
  <c r="G108" i="22" l="1"/>
  <c r="F109" i="22"/>
  <c r="D110" i="22" s="1"/>
  <c r="I11" i="22"/>
  <c r="I24" i="5" s="1"/>
  <c r="G109" i="22" l="1"/>
  <c r="F110" i="22"/>
  <c r="D111" i="22" s="1"/>
  <c r="G8" i="8"/>
  <c r="G10" i="8" s="1"/>
  <c r="G10" i="10"/>
  <c r="G32" i="10" s="1"/>
  <c r="G41" i="10"/>
  <c r="G43" i="10" s="1"/>
  <c r="G50" i="10" s="1"/>
  <c r="H8" i="25" l="1"/>
  <c r="H11" i="25" s="1"/>
  <c r="H12" i="25" s="1"/>
  <c r="I28" i="5"/>
  <c r="G110" i="22"/>
  <c r="H8" i="8"/>
  <c r="H10" i="8" s="1"/>
  <c r="H12" i="8" s="1"/>
  <c r="F111" i="22"/>
  <c r="D113" i="22" s="1"/>
  <c r="I6" i="24" l="1"/>
  <c r="H7" i="10"/>
  <c r="I29" i="5"/>
  <c r="I7" i="24" s="1"/>
  <c r="H9" i="25"/>
  <c r="G111" i="22"/>
  <c r="J9" i="22" s="1"/>
  <c r="F113" i="22"/>
  <c r="D114" i="22" s="1"/>
  <c r="I9" i="24" l="1"/>
  <c r="I12" i="24" s="1"/>
  <c r="I14" i="24" s="1"/>
  <c r="I16" i="24" s="1"/>
  <c r="I30" i="5"/>
  <c r="H5" i="8" s="1"/>
  <c r="G113" i="22"/>
  <c r="F114" i="22"/>
  <c r="D115" i="22" s="1"/>
  <c r="I66" i="24" l="1"/>
  <c r="I69" i="24" s="1"/>
  <c r="I46" i="5"/>
  <c r="I52" i="5" s="1"/>
  <c r="I39" i="5"/>
  <c r="I33" i="5"/>
  <c r="I35" i="5" s="1"/>
  <c r="H6" i="7"/>
  <c r="G114" i="22"/>
  <c r="F115" i="22"/>
  <c r="D116" i="22" s="1"/>
  <c r="I78" i="24"/>
  <c r="H9" i="8"/>
  <c r="H13" i="8" s="1"/>
  <c r="N6" i="26"/>
  <c r="N9" i="26" s="1"/>
  <c r="G115" i="22" l="1"/>
  <c r="F116" i="22"/>
  <c r="D117" i="22" s="1"/>
  <c r="G116" i="22" l="1"/>
  <c r="F117" i="22"/>
  <c r="D118" i="22" s="1"/>
  <c r="G117" i="22" l="1"/>
  <c r="F118" i="22"/>
  <c r="D119" i="22" s="1"/>
  <c r="G118" i="22" l="1"/>
  <c r="F119" i="22"/>
  <c r="D120" i="22" s="1"/>
  <c r="G119" i="22" l="1"/>
  <c r="F120" i="22"/>
  <c r="D121" i="22" s="1"/>
  <c r="G120" i="22" l="1"/>
  <c r="F121" i="22"/>
  <c r="D122" i="22" s="1"/>
  <c r="P6" i="26"/>
  <c r="P9" i="26" s="1"/>
  <c r="G121" i="22" l="1"/>
  <c r="F122" i="22"/>
  <c r="D123" i="22" s="1"/>
  <c r="J11" i="22"/>
  <c r="J24" i="5" l="1"/>
  <c r="G122" i="22"/>
  <c r="O34" i="5"/>
  <c r="N28" i="7"/>
  <c r="F123" i="22"/>
  <c r="D124" i="22" s="1"/>
  <c r="F124" i="22" s="1"/>
  <c r="H41" i="10"/>
  <c r="H43" i="10" s="1"/>
  <c r="H50" i="10" s="1"/>
  <c r="H10" i="10"/>
  <c r="H32" i="10" s="1"/>
  <c r="G124" i="22" l="1"/>
  <c r="D126" i="22"/>
  <c r="I8" i="25"/>
  <c r="I11" i="25" s="1"/>
  <c r="I12" i="25" s="1"/>
  <c r="J28" i="5"/>
  <c r="G123" i="22"/>
  <c r="I8" i="8"/>
  <c r="I10" i="8" s="1"/>
  <c r="I12" i="8" s="1"/>
  <c r="H8" i="10"/>
  <c r="K6" i="26"/>
  <c r="K9" i="26" s="1"/>
  <c r="K9" i="22" l="1"/>
  <c r="J6" i="24"/>
  <c r="I7" i="10"/>
  <c r="F126" i="22"/>
  <c r="D127" i="22" s="1"/>
  <c r="J29" i="5"/>
  <c r="J7" i="24" s="1"/>
  <c r="I9" i="25"/>
  <c r="Q6" i="26"/>
  <c r="J9" i="24" l="1"/>
  <c r="J12" i="24" s="1"/>
  <c r="J66" i="24" s="1"/>
  <c r="J69" i="24" s="1"/>
  <c r="G126" i="22"/>
  <c r="F127" i="22"/>
  <c r="D128" i="22" s="1"/>
  <c r="J30" i="5"/>
  <c r="I5" i="8" s="1"/>
  <c r="H6" i="12"/>
  <c r="H9" i="10"/>
  <c r="O6" i="26"/>
  <c r="Q9" i="26"/>
  <c r="J14" i="24" l="1"/>
  <c r="J16" i="24" s="1"/>
  <c r="G127" i="22"/>
  <c r="F128" i="22"/>
  <c r="D129" i="22" s="1"/>
  <c r="J33" i="5"/>
  <c r="J35" i="5" s="1"/>
  <c r="J46" i="5"/>
  <c r="J52" i="5" s="1"/>
  <c r="J39" i="5"/>
  <c r="I6" i="7"/>
  <c r="I9" i="8"/>
  <c r="I13" i="8" s="1"/>
  <c r="J78" i="24"/>
  <c r="H26" i="10"/>
  <c r="H12" i="12"/>
  <c r="O9" i="26"/>
  <c r="G128" i="22" l="1"/>
  <c r="F129" i="22"/>
  <c r="D130" i="22" s="1"/>
  <c r="H13" i="12"/>
  <c r="Q14" i="26"/>
  <c r="F130" i="22" l="1"/>
  <c r="D131" i="22" s="1"/>
  <c r="G129" i="22"/>
  <c r="H30" i="10"/>
  <c r="G130" i="22" l="1"/>
  <c r="F131" i="22"/>
  <c r="D132" i="22" s="1"/>
  <c r="P14" i="26"/>
  <c r="G131" i="22" l="1"/>
  <c r="F132" i="22"/>
  <c r="D133" i="22" s="1"/>
  <c r="G132" i="22" l="1"/>
  <c r="F133" i="22"/>
  <c r="D134" i="22" s="1"/>
  <c r="K11" i="22"/>
  <c r="K24" i="5" l="1"/>
  <c r="G133" i="22"/>
  <c r="F134" i="22"/>
  <c r="D135" i="22" s="1"/>
  <c r="I10" i="10"/>
  <c r="I32" i="10" s="1"/>
  <c r="I41" i="10"/>
  <c r="I43" i="10" s="1"/>
  <c r="I50" i="10" s="1"/>
  <c r="G134" i="22" l="1"/>
  <c r="F135" i="22"/>
  <c r="D136" i="22" s="1"/>
  <c r="J8" i="25"/>
  <c r="J11" i="25" s="1"/>
  <c r="J12" i="25" s="1"/>
  <c r="K28" i="5"/>
  <c r="J8" i="8"/>
  <c r="J10" i="8" s="1"/>
  <c r="J12" i="8" s="1"/>
  <c r="I8" i="10"/>
  <c r="L6" i="26"/>
  <c r="L9" i="26" s="1"/>
  <c r="J10" i="10"/>
  <c r="J32" i="10" s="1"/>
  <c r="J41" i="10"/>
  <c r="J43" i="10" s="1"/>
  <c r="J50" i="10" s="1"/>
  <c r="K6" i="24" l="1"/>
  <c r="J7" i="10"/>
  <c r="G135" i="22"/>
  <c r="F136" i="22"/>
  <c r="D137" i="22" s="1"/>
  <c r="K29" i="5"/>
  <c r="K7" i="24" s="1"/>
  <c r="J9" i="25"/>
  <c r="J8" i="10"/>
  <c r="M6" i="26"/>
  <c r="G136" i="22" l="1"/>
  <c r="K9" i="24"/>
  <c r="K12" i="24" s="1"/>
  <c r="K14" i="24" s="1"/>
  <c r="K16" i="24" s="1"/>
  <c r="F137" i="22"/>
  <c r="D139" i="22" s="1"/>
  <c r="K30" i="5"/>
  <c r="K46" i="5" s="1"/>
  <c r="I9" i="10"/>
  <c r="M9" i="26"/>
  <c r="K66" i="24" l="1"/>
  <c r="K69" i="24" s="1"/>
  <c r="G137" i="22"/>
  <c r="L9" i="22" s="1"/>
  <c r="L11" i="22" s="1"/>
  <c r="F139" i="22"/>
  <c r="D140" i="22" s="1"/>
  <c r="G139" i="22"/>
  <c r="K33" i="5"/>
  <c r="K35" i="5" s="1"/>
  <c r="J5" i="8"/>
  <c r="J9" i="8" s="1"/>
  <c r="J13" i="8" s="1"/>
  <c r="J6" i="7"/>
  <c r="K39" i="5"/>
  <c r="I26" i="10"/>
  <c r="J9" i="10"/>
  <c r="K52" i="5"/>
  <c r="L24" i="5" l="1"/>
  <c r="K78" i="24"/>
  <c r="F140" i="22"/>
  <c r="D141" i="22" s="1"/>
  <c r="I30" i="10"/>
  <c r="J26" i="10"/>
  <c r="L28" i="5" l="1"/>
  <c r="L29" i="5" s="1"/>
  <c r="K8" i="8"/>
  <c r="K10" i="8" s="1"/>
  <c r="K12" i="8" s="1"/>
  <c r="K41" i="10"/>
  <c r="K43" i="10" s="1"/>
  <c r="K50" i="10" s="1"/>
  <c r="K10" i="10"/>
  <c r="K32" i="10" s="1"/>
  <c r="K8" i="25"/>
  <c r="F141" i="22"/>
  <c r="D142" i="22" s="1"/>
  <c r="G140" i="22"/>
  <c r="O14" i="26"/>
  <c r="J30" i="10"/>
  <c r="L6" i="24" l="1"/>
  <c r="K11" i="25"/>
  <c r="K12" i="25" s="1"/>
  <c r="K9" i="25"/>
  <c r="K8" i="10"/>
  <c r="K7" i="10"/>
  <c r="L30" i="5"/>
  <c r="L7" i="24"/>
  <c r="G141" i="22"/>
  <c r="F142" i="22"/>
  <c r="D143" i="22" s="1"/>
  <c r="D24" i="2"/>
  <c r="L9" i="24" l="1"/>
  <c r="L12" i="24" s="1"/>
  <c r="L14" i="24" s="1"/>
  <c r="L16" i="24" s="1"/>
  <c r="K9" i="10"/>
  <c r="K5" i="8"/>
  <c r="B5" i="12"/>
  <c r="B11" i="12" s="1"/>
  <c r="B13" i="12" s="1"/>
  <c r="K14" i="12" s="1"/>
  <c r="K6" i="7"/>
  <c r="L46" i="5"/>
  <c r="L52" i="5" s="1"/>
  <c r="L33" i="5"/>
  <c r="L35" i="5" s="1"/>
  <c r="L39" i="5"/>
  <c r="C11" i="10"/>
  <c r="C27" i="10" s="1"/>
  <c r="C16" i="10"/>
  <c r="C34" i="10" s="1"/>
  <c r="G142" i="22"/>
  <c r="F143" i="22"/>
  <c r="D144" i="22" s="1"/>
  <c r="C9" i="7"/>
  <c r="C17" i="7" s="1"/>
  <c r="C30" i="7" s="1"/>
  <c r="C31" i="7" s="1"/>
  <c r="C13" i="6"/>
  <c r="L66" i="24" l="1"/>
  <c r="L69" i="24" s="1"/>
  <c r="D9" i="12"/>
  <c r="K9" i="8"/>
  <c r="K13" i="8" s="1"/>
  <c r="K30" i="10" s="1"/>
  <c r="L78" i="24"/>
  <c r="K26" i="10"/>
  <c r="D11" i="10"/>
  <c r="D27" i="10" s="1"/>
  <c r="D16" i="10"/>
  <c r="D34" i="10" s="1"/>
  <c r="G143" i="22"/>
  <c r="F144" i="22"/>
  <c r="D145" i="22" s="1"/>
  <c r="C27" i="6"/>
  <c r="D29" i="7"/>
  <c r="E9" i="6"/>
  <c r="E9" i="7" s="1"/>
  <c r="D13" i="6"/>
  <c r="D9" i="7"/>
  <c r="D17" i="7" s="1"/>
  <c r="D30" i="7" s="1"/>
  <c r="E11" i="10" l="1"/>
  <c r="E16" i="10"/>
  <c r="G144" i="22"/>
  <c r="F145" i="22"/>
  <c r="D146" i="22" s="1"/>
  <c r="E17" i="7"/>
  <c r="E30" i="7" s="1"/>
  <c r="F9" i="6"/>
  <c r="F9" i="7" s="1"/>
  <c r="D31" i="7"/>
  <c r="C23" i="10"/>
  <c r="C33" i="10" s="1"/>
  <c r="C24" i="6"/>
  <c r="C29" i="6" s="1"/>
  <c r="C31" i="6" s="1"/>
  <c r="G145" i="22" l="1"/>
  <c r="F146" i="22"/>
  <c r="D147" i="22" s="1"/>
  <c r="G9" i="6"/>
  <c r="G9" i="7" s="1"/>
  <c r="D27" i="6"/>
  <c r="E29" i="7"/>
  <c r="E31" i="7" s="1"/>
  <c r="G146" i="22" l="1"/>
  <c r="F147" i="22"/>
  <c r="D148" i="22" s="1"/>
  <c r="E27" i="6"/>
  <c r="F29" i="7"/>
  <c r="H9" i="6"/>
  <c r="H9" i="7" s="1"/>
  <c r="D23" i="10"/>
  <c r="D33" i="10" s="1"/>
  <c r="D24" i="6"/>
  <c r="D29" i="6" s="1"/>
  <c r="D31" i="6" s="1"/>
  <c r="G147" i="22" l="1"/>
  <c r="F148" i="22"/>
  <c r="D149" i="22" s="1"/>
  <c r="H17" i="7"/>
  <c r="H30" i="7" s="1"/>
  <c r="I9" i="6"/>
  <c r="I9" i="7" s="1"/>
  <c r="E24" i="6"/>
  <c r="E29" i="6" s="1"/>
  <c r="E23" i="10"/>
  <c r="E33" i="10" s="1"/>
  <c r="G148" i="22" l="1"/>
  <c r="F149" i="22"/>
  <c r="D150" i="22" s="1"/>
  <c r="I17" i="7"/>
  <c r="I30" i="7" s="1"/>
  <c r="J9" i="6"/>
  <c r="K9" i="6" l="1"/>
  <c r="K9" i="7" s="1"/>
  <c r="K17" i="7" s="1"/>
  <c r="K30" i="7" s="1"/>
  <c r="J9" i="7"/>
  <c r="J17" i="7" s="1"/>
  <c r="J30" i="7" s="1"/>
  <c r="G149" i="22"/>
  <c r="F150" i="22"/>
  <c r="D152" i="22" s="1"/>
  <c r="L9" i="6" l="1"/>
  <c r="L9" i="7" s="1"/>
  <c r="G150" i="22"/>
  <c r="M9" i="22" s="1"/>
  <c r="M11" i="22" s="1"/>
  <c r="F152" i="22"/>
  <c r="D153" i="22" s="1"/>
  <c r="F8" i="6"/>
  <c r="E13" i="6"/>
  <c r="E31" i="6" s="1"/>
  <c r="E27" i="10"/>
  <c r="E14" i="10"/>
  <c r="E20" i="10"/>
  <c r="E35" i="10" s="1"/>
  <c r="M9" i="6" l="1"/>
  <c r="M9" i="7" s="1"/>
  <c r="M24" i="5"/>
  <c r="E19" i="10"/>
  <c r="E31" i="10" s="1"/>
  <c r="E15" i="10"/>
  <c r="E34" i="10" s="1"/>
  <c r="F14" i="10"/>
  <c r="F12" i="10"/>
  <c r="G152" i="22"/>
  <c r="F153" i="22"/>
  <c r="D154" i="22" s="1"/>
  <c r="N9" i="6"/>
  <c r="N9" i="7" s="1"/>
  <c r="G8" i="6"/>
  <c r="G12" i="10" s="1"/>
  <c r="F20" i="10"/>
  <c r="F35" i="10" s="1"/>
  <c r="M28" i="5" l="1"/>
  <c r="M29" i="5" s="1"/>
  <c r="M7" i="24" s="1"/>
  <c r="L8" i="8"/>
  <c r="L10" i="8" s="1"/>
  <c r="L12" i="8" s="1"/>
  <c r="L41" i="10"/>
  <c r="L43" i="10" s="1"/>
  <c r="L50" i="10" s="1"/>
  <c r="L10" i="10"/>
  <c r="L32" i="10" s="1"/>
  <c r="L8" i="25"/>
  <c r="F19" i="10"/>
  <c r="F31" i="10" s="1"/>
  <c r="G153" i="22"/>
  <c r="F154" i="22"/>
  <c r="D155" i="22" s="1"/>
  <c r="O9" i="6"/>
  <c r="H8" i="6"/>
  <c r="H12" i="10" s="1"/>
  <c r="H28" i="10" s="1"/>
  <c r="G14" i="10"/>
  <c r="G20" i="10"/>
  <c r="G35" i="10" s="1"/>
  <c r="M6" i="24" l="1"/>
  <c r="M9" i="24" s="1"/>
  <c r="M12" i="24" s="1"/>
  <c r="L11" i="25"/>
  <c r="L12" i="25" s="1"/>
  <c r="L9" i="25"/>
  <c r="L8" i="10"/>
  <c r="L7" i="10"/>
  <c r="M30" i="5"/>
  <c r="O9" i="7"/>
  <c r="G15" i="10"/>
  <c r="G19" i="10"/>
  <c r="G31" i="10" s="1"/>
  <c r="G154" i="22"/>
  <c r="F155" i="22"/>
  <c r="D156" i="22" s="1"/>
  <c r="H20" i="10"/>
  <c r="H35" i="10" s="1"/>
  <c r="H14" i="10"/>
  <c r="I8" i="6"/>
  <c r="I12" i="10" s="1"/>
  <c r="I28" i="10" s="1"/>
  <c r="L6" i="7" l="1"/>
  <c r="L17" i="7" s="1"/>
  <c r="L30" i="7" s="1"/>
  <c r="L5" i="8"/>
  <c r="L9" i="10"/>
  <c r="M39" i="5"/>
  <c r="M46" i="5"/>
  <c r="M52" i="5" s="1"/>
  <c r="M33" i="5"/>
  <c r="M35" i="5" s="1"/>
  <c r="M14" i="24"/>
  <c r="M16" i="24" s="1"/>
  <c r="M66" i="24"/>
  <c r="M69" i="24" s="1"/>
  <c r="H15" i="10"/>
  <c r="H19" i="10"/>
  <c r="H31" i="10" s="1"/>
  <c r="G155" i="22"/>
  <c r="F156" i="22"/>
  <c r="D157" i="22" s="1"/>
  <c r="I20" i="10"/>
  <c r="I35" i="10" s="1"/>
  <c r="I14" i="10"/>
  <c r="J8" i="6"/>
  <c r="L9" i="8" l="1"/>
  <c r="L13" i="8" s="1"/>
  <c r="L30" i="10" s="1"/>
  <c r="M78" i="24"/>
  <c r="L26" i="10"/>
  <c r="I15" i="10"/>
  <c r="I19" i="10"/>
  <c r="I31" i="10" s="1"/>
  <c r="K8" i="6"/>
  <c r="J12" i="10"/>
  <c r="J28" i="10" s="1"/>
  <c r="G156" i="22"/>
  <c r="F157" i="22"/>
  <c r="D158" i="22" s="1"/>
  <c r="J14" i="10"/>
  <c r="J20" i="10"/>
  <c r="J35" i="10" s="1"/>
  <c r="K20" i="10" l="1"/>
  <c r="K35" i="10" s="1"/>
  <c r="K14" i="10"/>
  <c r="K12" i="10"/>
  <c r="K28" i="10" s="1"/>
  <c r="L8" i="6"/>
  <c r="J15" i="10"/>
  <c r="J19" i="10"/>
  <c r="J31" i="10" s="1"/>
  <c r="G157" i="22"/>
  <c r="F158" i="22"/>
  <c r="D159" i="22" s="1"/>
  <c r="M8" i="6"/>
  <c r="K15" i="10" l="1"/>
  <c r="K19" i="10"/>
  <c r="K31" i="10" s="1"/>
  <c r="M20" i="10"/>
  <c r="M35" i="10" s="1"/>
  <c r="M14" i="10"/>
  <c r="M12" i="10"/>
  <c r="L14" i="10"/>
  <c r="L20" i="10"/>
  <c r="L35" i="10" s="1"/>
  <c r="L12" i="10"/>
  <c r="L28" i="10" s="1"/>
  <c r="G158" i="22"/>
  <c r="F159" i="22"/>
  <c r="D160" i="22" s="1"/>
  <c r="N8" i="6"/>
  <c r="N14" i="26"/>
  <c r="G10" i="5"/>
  <c r="L15" i="10" l="1"/>
  <c r="L19" i="10"/>
  <c r="L31" i="10" s="1"/>
  <c r="M19" i="10"/>
  <c r="M31" i="10" s="1"/>
  <c r="M15" i="10"/>
  <c r="N14" i="10"/>
  <c r="N20" i="10"/>
  <c r="N35" i="10" s="1"/>
  <c r="N12" i="10"/>
  <c r="G159" i="22"/>
  <c r="F160" i="22"/>
  <c r="D161" i="22" s="1"/>
  <c r="O8" i="6"/>
  <c r="G18" i="5"/>
  <c r="G17" i="5"/>
  <c r="G13" i="5"/>
  <c r="G8" i="11" s="1"/>
  <c r="G21" i="11" s="1"/>
  <c r="G12" i="5"/>
  <c r="G15" i="5" s="1"/>
  <c r="G6" i="11"/>
  <c r="G29" i="11" s="1"/>
  <c r="F25" i="6" s="1"/>
  <c r="G24" i="7" s="1"/>
  <c r="F37" i="10"/>
  <c r="F17" i="10"/>
  <c r="G43" i="5"/>
  <c r="F5" i="25"/>
  <c r="O14" i="10" l="1"/>
  <c r="O20" i="10"/>
  <c r="O35" i="10" s="1"/>
  <c r="O12" i="10"/>
  <c r="N15" i="10"/>
  <c r="N19" i="10"/>
  <c r="N31" i="10" s="1"/>
  <c r="G21" i="5"/>
  <c r="F40" i="10" s="1"/>
  <c r="F43" i="10" s="1"/>
  <c r="G160" i="22"/>
  <c r="F161" i="22"/>
  <c r="D162" i="22" s="1"/>
  <c r="G7" i="11"/>
  <c r="F24" i="7"/>
  <c r="G54" i="5"/>
  <c r="H54" i="5"/>
  <c r="O15" i="10" l="1"/>
  <c r="O19" i="10"/>
  <c r="O31" i="10" s="1"/>
  <c r="G9" i="11"/>
  <c r="G23" i="11" s="1"/>
  <c r="F8" i="25"/>
  <c r="D55" i="5"/>
  <c r="F162" i="22"/>
  <c r="D163" i="22" s="1"/>
  <c r="F163" i="22" s="1"/>
  <c r="G161" i="22"/>
  <c r="F38" i="10"/>
  <c r="F39" i="10" s="1"/>
  <c r="F6" i="25"/>
  <c r="F7" i="25" s="1"/>
  <c r="G22" i="5"/>
  <c r="G23" i="5" s="1"/>
  <c r="G28" i="5" s="1"/>
  <c r="G13" i="11"/>
  <c r="G19" i="11" s="1"/>
  <c r="G16" i="11"/>
  <c r="G14" i="11" s="1"/>
  <c r="G6" i="24" l="1"/>
  <c r="F7" i="10"/>
  <c r="G162" i="22"/>
  <c r="G163" i="22"/>
  <c r="D165" i="22"/>
  <c r="G26" i="11"/>
  <c r="F11" i="6" s="1"/>
  <c r="F15" i="10" s="1"/>
  <c r="G31" i="11"/>
  <c r="H12" i="11"/>
  <c r="F6" i="10"/>
  <c r="F32" i="10" s="1"/>
  <c r="G44" i="5"/>
  <c r="G38" i="5"/>
  <c r="F9" i="25"/>
  <c r="F10" i="25"/>
  <c r="F11" i="25"/>
  <c r="F12" i="25" s="1"/>
  <c r="F52" i="10"/>
  <c r="F53" i="10" s="1"/>
  <c r="F50" i="10"/>
  <c r="F51" i="10"/>
  <c r="N9" i="22" l="1"/>
  <c r="N11" i="22" s="1"/>
  <c r="N24" i="5" s="1"/>
  <c r="N28" i="5" s="1"/>
  <c r="N6" i="24" s="1"/>
  <c r="F165" i="22"/>
  <c r="D166" i="22" s="1"/>
  <c r="F24" i="10"/>
  <c r="F14" i="7"/>
  <c r="G14" i="7"/>
  <c r="G45" i="5"/>
  <c r="G50" i="5" s="1"/>
  <c r="D51" i="5" s="1"/>
  <c r="G48" i="5"/>
  <c r="G29" i="5"/>
  <c r="G7" i="24" s="1"/>
  <c r="F8" i="10"/>
  <c r="I6" i="26"/>
  <c r="F26" i="6"/>
  <c r="G33" i="11"/>
  <c r="G35" i="11" s="1"/>
  <c r="M8" i="25" l="1"/>
  <c r="M8" i="8"/>
  <c r="M10" i="8" s="1"/>
  <c r="M12" i="8" s="1"/>
  <c r="M10" i="10"/>
  <c r="M32" i="10" s="1"/>
  <c r="M41" i="10"/>
  <c r="M43" i="10" s="1"/>
  <c r="M50" i="10" s="1"/>
  <c r="N29" i="5"/>
  <c r="N7" i="24" s="1"/>
  <c r="N9" i="24" s="1"/>
  <c r="N12" i="24" s="1"/>
  <c r="M11" i="25"/>
  <c r="M12" i="25" s="1"/>
  <c r="M9" i="25"/>
  <c r="M7" i="10"/>
  <c r="M8" i="10"/>
  <c r="D49" i="5"/>
  <c r="G42" i="4"/>
  <c r="G165" i="22"/>
  <c r="F166" i="22"/>
  <c r="D167" i="22" s="1"/>
  <c r="G30" i="5"/>
  <c r="F5" i="8" s="1"/>
  <c r="G9" i="24"/>
  <c r="I9" i="26"/>
  <c r="G39" i="11"/>
  <c r="G36" i="11"/>
  <c r="G37" i="11" s="1"/>
  <c r="H39" i="11"/>
  <c r="G10" i="24"/>
  <c r="H10" i="24"/>
  <c r="F26" i="7"/>
  <c r="F28" i="7" s="1"/>
  <c r="G26" i="7"/>
  <c r="G28" i="7" s="1"/>
  <c r="N30" i="5" l="1"/>
  <c r="N46" i="5" s="1"/>
  <c r="N52" i="5" s="1"/>
  <c r="N14" i="24"/>
  <c r="N16" i="24" s="1"/>
  <c r="N66" i="24"/>
  <c r="N69" i="24" s="1"/>
  <c r="G166" i="22"/>
  <c r="F167" i="22"/>
  <c r="D168" i="22" s="1"/>
  <c r="G39" i="5"/>
  <c r="G33" i="5"/>
  <c r="G35" i="5" s="1"/>
  <c r="G36" i="5" s="1"/>
  <c r="F6" i="12"/>
  <c r="F12" i="12" s="1"/>
  <c r="F13" i="12" s="1"/>
  <c r="F6" i="7"/>
  <c r="F9" i="10"/>
  <c r="F26" i="10" s="1"/>
  <c r="G46" i="5"/>
  <c r="G52" i="5" s="1"/>
  <c r="F7" i="6"/>
  <c r="I12" i="26"/>
  <c r="I14" i="26" s="1"/>
  <c r="I10" i="26"/>
  <c r="F9" i="8"/>
  <c r="G78" i="24"/>
  <c r="G79" i="24" s="1"/>
  <c r="G12" i="24"/>
  <c r="M6" i="7" l="1"/>
  <c r="M17" i="7" s="1"/>
  <c r="M30" i="7" s="1"/>
  <c r="N39" i="5"/>
  <c r="M9" i="10"/>
  <c r="M28" i="10" s="1"/>
  <c r="N33" i="5"/>
  <c r="N35" i="5" s="1"/>
  <c r="M5" i="8"/>
  <c r="M9" i="8" s="1"/>
  <c r="M13" i="8" s="1"/>
  <c r="M30" i="10" s="1"/>
  <c r="F11" i="10"/>
  <c r="F27" i="10" s="1"/>
  <c r="F13" i="10"/>
  <c r="F16" i="10" s="1"/>
  <c r="G167" i="22"/>
  <c r="F8" i="12"/>
  <c r="F168" i="22"/>
  <c r="D169" i="22" s="1"/>
  <c r="F28" i="10"/>
  <c r="F13" i="8"/>
  <c r="F13" i="6"/>
  <c r="G14" i="24"/>
  <c r="G66" i="24"/>
  <c r="G69" i="24" s="1"/>
  <c r="J11" i="26"/>
  <c r="I13" i="26"/>
  <c r="I15" i="26" s="1"/>
  <c r="G12" i="8"/>
  <c r="F17" i="7"/>
  <c r="F30" i="7" s="1"/>
  <c r="F31" i="7" s="1"/>
  <c r="F27" i="6" s="1"/>
  <c r="M26" i="10" l="1"/>
  <c r="N78" i="24"/>
  <c r="F29" i="10"/>
  <c r="G168" i="22"/>
  <c r="F169" i="22"/>
  <c r="D170" i="22" s="1"/>
  <c r="F30" i="10"/>
  <c r="G16" i="24"/>
  <c r="G29" i="7"/>
  <c r="G9" i="25"/>
  <c r="G11" i="25"/>
  <c r="G12" i="25" s="1"/>
  <c r="J6" i="26"/>
  <c r="G8" i="10"/>
  <c r="H29" i="5"/>
  <c r="H7" i="24" s="1"/>
  <c r="F34" i="10"/>
  <c r="F23" i="10"/>
  <c r="F33" i="10" s="1"/>
  <c r="F24" i="6"/>
  <c r="F29" i="6" s="1"/>
  <c r="F31" i="6" s="1"/>
  <c r="G169" i="22" l="1"/>
  <c r="F170" i="22"/>
  <c r="D171" i="22" s="1"/>
  <c r="H30" i="5"/>
  <c r="H9" i="24"/>
  <c r="H12" i="24" s="1"/>
  <c r="J9" i="26"/>
  <c r="G170" i="22" l="1"/>
  <c r="F171" i="22"/>
  <c r="D172" i="22" s="1"/>
  <c r="J12" i="26"/>
  <c r="J14" i="26" s="1"/>
  <c r="J10" i="26"/>
  <c r="K10" i="26" s="1"/>
  <c r="L10" i="26" s="1"/>
  <c r="M10" i="26" s="1"/>
  <c r="N10" i="26" s="1"/>
  <c r="O10" i="26" s="1"/>
  <c r="P10" i="26" s="1"/>
  <c r="Q10" i="26" s="1"/>
  <c r="H14" i="24"/>
  <c r="H66" i="24"/>
  <c r="H69" i="24" s="1"/>
  <c r="H39" i="5"/>
  <c r="G6" i="7"/>
  <c r="G17" i="7" s="1"/>
  <c r="G30" i="7" s="1"/>
  <c r="G31" i="7" s="1"/>
  <c r="G6" i="12"/>
  <c r="G5" i="8"/>
  <c r="G7" i="6"/>
  <c r="H33" i="5"/>
  <c r="H35" i="5" s="1"/>
  <c r="H36" i="5" s="1"/>
  <c r="I36" i="5" s="1"/>
  <c r="J36" i="5" s="1"/>
  <c r="K36" i="5" s="1"/>
  <c r="L36" i="5" s="1"/>
  <c r="M36" i="5" s="1"/>
  <c r="N36" i="5" s="1"/>
  <c r="H46" i="5"/>
  <c r="H52" i="5" s="1"/>
  <c r="G9" i="10"/>
  <c r="G11" i="10" l="1"/>
  <c r="G27" i="10" s="1"/>
  <c r="G13" i="10"/>
  <c r="G16" i="10" s="1"/>
  <c r="G34" i="10" s="1"/>
  <c r="G171" i="22"/>
  <c r="F172" i="22"/>
  <c r="D173" i="22" s="1"/>
  <c r="H16" i="24"/>
  <c r="G12" i="12"/>
  <c r="G8" i="12"/>
  <c r="H8" i="12" s="1"/>
  <c r="I8" i="12" s="1"/>
  <c r="J8" i="12" s="1"/>
  <c r="K8" i="12" s="1"/>
  <c r="G26" i="10"/>
  <c r="G28" i="10"/>
  <c r="G9" i="8"/>
  <c r="G13" i="8" s="1"/>
  <c r="H78" i="24"/>
  <c r="H79" i="24" s="1"/>
  <c r="H29" i="7"/>
  <c r="H31" i="7" s="1"/>
  <c r="G27" i="6"/>
  <c r="G13" i="6"/>
  <c r="H7" i="6"/>
  <c r="K11" i="26"/>
  <c r="K12" i="26" s="1"/>
  <c r="K14" i="26" s="1"/>
  <c r="J13" i="26"/>
  <c r="J15" i="26" s="1"/>
  <c r="H11" i="10" l="1"/>
  <c r="H27" i="10" s="1"/>
  <c r="H13" i="10"/>
  <c r="H16" i="10" s="1"/>
  <c r="G172" i="22"/>
  <c r="F173" i="22"/>
  <c r="D174" i="22" s="1"/>
  <c r="G23" i="10"/>
  <c r="G33" i="10" s="1"/>
  <c r="G24" i="6"/>
  <c r="G29" i="6" s="1"/>
  <c r="G31" i="6" s="1"/>
  <c r="H27" i="6"/>
  <c r="I29" i="7"/>
  <c r="I31" i="7" s="1"/>
  <c r="G29" i="10"/>
  <c r="I79" i="24"/>
  <c r="J79" i="24" s="1"/>
  <c r="L11" i="26"/>
  <c r="L12" i="26" s="1"/>
  <c r="L14" i="26" s="1"/>
  <c r="K13" i="26"/>
  <c r="K15" i="26" s="1"/>
  <c r="H13" i="6"/>
  <c r="I7" i="6"/>
  <c r="D5" i="13" a="1"/>
  <c r="G13" i="12"/>
  <c r="K79" i="24" l="1"/>
  <c r="I13" i="10"/>
  <c r="I16" i="10" s="1"/>
  <c r="I11" i="10"/>
  <c r="I27" i="10" s="1"/>
  <c r="G173" i="22"/>
  <c r="F174" i="22"/>
  <c r="D175" i="22" s="1"/>
  <c r="G30" i="10"/>
  <c r="M11" i="26"/>
  <c r="M12" i="26" s="1"/>
  <c r="M14" i="26" s="1"/>
  <c r="L13" i="26"/>
  <c r="L15" i="26" s="1"/>
  <c r="H29" i="10"/>
  <c r="H34" i="10"/>
  <c r="I27" i="6"/>
  <c r="J29" i="7"/>
  <c r="J31" i="7" s="1"/>
  <c r="D14" i="13"/>
  <c r="F14" i="13" s="1"/>
  <c r="D11" i="13"/>
  <c r="D8" i="13"/>
  <c r="D7" i="13"/>
  <c r="D5" i="13"/>
  <c r="D6" i="13"/>
  <c r="D12" i="13"/>
  <c r="F12" i="13" s="1"/>
  <c r="D10" i="13"/>
  <c r="D13" i="13"/>
  <c r="F13" i="13" s="1"/>
  <c r="D9" i="13"/>
  <c r="I13" i="6"/>
  <c r="J7" i="6"/>
  <c r="H23" i="10"/>
  <c r="H33" i="10" s="1"/>
  <c r="H24" i="6"/>
  <c r="H29" i="6" s="1"/>
  <c r="H31" i="6" s="1"/>
  <c r="L79" i="24" l="1"/>
  <c r="M79" i="24" s="1"/>
  <c r="N79" i="24" s="1"/>
  <c r="D81" i="24"/>
  <c r="K7" i="6"/>
  <c r="J13" i="10"/>
  <c r="J16" i="10" s="1"/>
  <c r="J11" i="10"/>
  <c r="J27" i="10" s="1"/>
  <c r="G174" i="22"/>
  <c r="F175" i="22"/>
  <c r="D176" i="22" s="1"/>
  <c r="F176" i="22" s="1"/>
  <c r="J27" i="6"/>
  <c r="J24" i="6" s="1"/>
  <c r="J29" i="6" s="1"/>
  <c r="K29" i="7"/>
  <c r="K31" i="7" s="1"/>
  <c r="F10" i="13"/>
  <c r="D29" i="13"/>
  <c r="F29" i="13" s="1"/>
  <c r="I23" i="10"/>
  <c r="I33" i="10" s="1"/>
  <c r="I24" i="6"/>
  <c r="I29" i="6" s="1"/>
  <c r="I31" i="6" s="1"/>
  <c r="J13" i="6"/>
  <c r="D24" i="13"/>
  <c r="F24" i="13" s="1"/>
  <c r="F35" i="13" s="1"/>
  <c r="F37" i="13" s="1"/>
  <c r="F5" i="13"/>
  <c r="F16" i="13" s="1"/>
  <c r="F18" i="13" s="1"/>
  <c r="D26" i="13"/>
  <c r="F26" i="13" s="1"/>
  <c r="F7" i="13"/>
  <c r="F9" i="13"/>
  <c r="D28" i="13"/>
  <c r="F28" i="13" s="1"/>
  <c r="F11" i="13"/>
  <c r="D30" i="13"/>
  <c r="F30" i="13" s="1"/>
  <c r="D25" i="13"/>
  <c r="F25" i="13" s="1"/>
  <c r="F6" i="13"/>
  <c r="I29" i="10"/>
  <c r="I34" i="10"/>
  <c r="F8" i="13"/>
  <c r="D27" i="13"/>
  <c r="F27" i="13" s="1"/>
  <c r="M13" i="26"/>
  <c r="M15" i="26" s="1"/>
  <c r="N11" i="26"/>
  <c r="N12" i="26" s="1"/>
  <c r="L7" i="6" l="1"/>
  <c r="M7" i="6" s="1"/>
  <c r="K13" i="10"/>
  <c r="K11" i="10"/>
  <c r="K27" i="10" s="1"/>
  <c r="K13" i="6"/>
  <c r="G176" i="22"/>
  <c r="D178" i="22"/>
  <c r="G175" i="22"/>
  <c r="J31" i="6"/>
  <c r="J23" i="10"/>
  <c r="J33" i="10" s="1"/>
  <c r="L29" i="7"/>
  <c r="L31" i="7" s="1"/>
  <c r="K27" i="6"/>
  <c r="N13" i="26"/>
  <c r="N15" i="26" s="1"/>
  <c r="O11" i="26"/>
  <c r="O12" i="26" s="1"/>
  <c r="J34" i="10"/>
  <c r="J29" i="10"/>
  <c r="L13" i="6" l="1"/>
  <c r="M11" i="10"/>
  <c r="M27" i="10" s="1"/>
  <c r="M13" i="10"/>
  <c r="K24" i="6"/>
  <c r="K29" i="6" s="1"/>
  <c r="K31" i="6" s="1"/>
  <c r="K23" i="10"/>
  <c r="K33" i="10" s="1"/>
  <c r="K16" i="10"/>
  <c r="K34" i="10" s="1"/>
  <c r="K29" i="10"/>
  <c r="L11" i="10"/>
  <c r="L27" i="10" s="1"/>
  <c r="L13" i="10"/>
  <c r="O9" i="22"/>
  <c r="O11" i="22" s="1"/>
  <c r="O24" i="5" s="1"/>
  <c r="F178" i="22"/>
  <c r="D179" i="22" s="1"/>
  <c r="M13" i="6"/>
  <c r="M29" i="7"/>
  <c r="M31" i="7" s="1"/>
  <c r="L27" i="6"/>
  <c r="O13" i="26"/>
  <c r="O15" i="26" s="1"/>
  <c r="P11" i="26"/>
  <c r="P12" i="26" s="1"/>
  <c r="L24" i="6" l="1"/>
  <c r="L29" i="6" s="1"/>
  <c r="L31" i="6" s="1"/>
  <c r="L23" i="10"/>
  <c r="L33" i="10" s="1"/>
  <c r="M16" i="10"/>
  <c r="M34" i="10" s="1"/>
  <c r="M29" i="10"/>
  <c r="L16" i="10"/>
  <c r="L34" i="10" s="1"/>
  <c r="L29" i="10"/>
  <c r="O28" i="5"/>
  <c r="N41" i="10"/>
  <c r="N43" i="10" s="1"/>
  <c r="N50" i="10" s="1"/>
  <c r="N8" i="8"/>
  <c r="N10" i="8" s="1"/>
  <c r="N12" i="8" s="1"/>
  <c r="N8" i="25"/>
  <c r="N10" i="10"/>
  <c r="N32" i="10" s="1"/>
  <c r="G178" i="22"/>
  <c r="F179" i="22"/>
  <c r="D180" i="22" s="1"/>
  <c r="M27" i="6"/>
  <c r="N29" i="7"/>
  <c r="Q11" i="26"/>
  <c r="Q12" i="26" s="1"/>
  <c r="Q13" i="26" s="1"/>
  <c r="Q15" i="26" s="1"/>
  <c r="P13" i="26"/>
  <c r="P15" i="26" s="1"/>
  <c r="M24" i="6" l="1"/>
  <c r="M29" i="6" s="1"/>
  <c r="M31" i="6" s="1"/>
  <c r="M23" i="10"/>
  <c r="M33" i="10" s="1"/>
  <c r="N8" i="10"/>
  <c r="N7" i="10"/>
  <c r="O29" i="5"/>
  <c r="O30" i="5" s="1"/>
  <c r="O6" i="24"/>
  <c r="N11" i="25"/>
  <c r="N12" i="25" s="1"/>
  <c r="N9" i="25"/>
  <c r="F180" i="22"/>
  <c r="D181" i="22" s="1"/>
  <c r="G179" i="22"/>
  <c r="N9" i="10" l="1"/>
  <c r="N5" i="8"/>
  <c r="O7" i="24"/>
  <c r="O9" i="24" s="1"/>
  <c r="O12" i="24" s="1"/>
  <c r="O14" i="24" s="1"/>
  <c r="O39" i="5"/>
  <c r="O33" i="5"/>
  <c r="O35" i="5" s="1"/>
  <c r="O36" i="5" s="1"/>
  <c r="N6" i="7"/>
  <c r="N17" i="7" s="1"/>
  <c r="N30" i="7" s="1"/>
  <c r="N31" i="7" s="1"/>
  <c r="O46" i="5"/>
  <c r="O52" i="5" s="1"/>
  <c r="N7" i="6"/>
  <c r="G180" i="22"/>
  <c r="F181" i="22"/>
  <c r="D182" i="22" s="1"/>
  <c r="O66" i="24" l="1"/>
  <c r="O69" i="24" s="1"/>
  <c r="N11" i="10"/>
  <c r="N27" i="10" s="1"/>
  <c r="N13" i="10"/>
  <c r="N16" i="10" s="1"/>
  <c r="N34" i="10" s="1"/>
  <c r="N9" i="8"/>
  <c r="N13" i="8" s="1"/>
  <c r="N30" i="10" s="1"/>
  <c r="O78" i="24"/>
  <c r="O79" i="24" s="1"/>
  <c r="N28" i="10"/>
  <c r="N26" i="10"/>
  <c r="N13" i="6"/>
  <c r="O29" i="7"/>
  <c r="N27" i="6"/>
  <c r="O16" i="24"/>
  <c r="G181" i="22"/>
  <c r="F182" i="22"/>
  <c r="D183" i="22" s="1"/>
  <c r="N29" i="10" l="1"/>
  <c r="N24" i="6"/>
  <c r="N29" i="6" s="1"/>
  <c r="N31" i="6" s="1"/>
  <c r="N23" i="10"/>
  <c r="N33" i="10" s="1"/>
  <c r="G182" i="22"/>
  <c r="F183" i="22"/>
  <c r="D184" i="22" s="1"/>
  <c r="G183" i="22" l="1"/>
  <c r="F184" i="22"/>
  <c r="D185" i="22" s="1"/>
  <c r="F185" i="22" l="1"/>
  <c r="D186" i="22" s="1"/>
  <c r="G184" i="22"/>
  <c r="F186" i="22" l="1"/>
  <c r="D187" i="22" s="1"/>
  <c r="G185" i="22"/>
  <c r="G186" i="22" l="1"/>
  <c r="F187" i="22"/>
  <c r="D188" i="22" s="1"/>
  <c r="G187" i="22" l="1"/>
  <c r="F188" i="22"/>
  <c r="D189" i="22" s="1"/>
  <c r="F189" i="22" l="1"/>
  <c r="G188" i="22"/>
  <c r="G189" i="22" l="1"/>
  <c r="P9" i="22" s="1"/>
  <c r="P11" i="22" l="1"/>
  <c r="Q9" i="22"/>
  <c r="P24" i="5" l="1"/>
  <c r="Q11" i="22"/>
  <c r="P28" i="5" l="1"/>
  <c r="P6" i="24" s="1"/>
  <c r="O8" i="25"/>
  <c r="O8" i="8"/>
  <c r="O10" i="8" s="1"/>
  <c r="O12" i="8" s="1"/>
  <c r="O41" i="10"/>
  <c r="O43" i="10" s="1"/>
  <c r="O50" i="10" s="1"/>
  <c r="O10" i="10"/>
  <c r="O32" i="10" s="1"/>
  <c r="P29" i="5" l="1"/>
  <c r="P30" i="5" s="1"/>
  <c r="O11" i="25"/>
  <c r="O12" i="25" s="1"/>
  <c r="O9" i="25"/>
  <c r="O8" i="10"/>
  <c r="O7" i="10"/>
  <c r="P7" i="24" l="1"/>
  <c r="P9" i="24" s="1"/>
  <c r="P12" i="24" s="1"/>
  <c r="O5" i="8"/>
  <c r="O9" i="10"/>
  <c r="O6" i="7"/>
  <c r="O17" i="7" s="1"/>
  <c r="O30" i="7" s="1"/>
  <c r="O31" i="7" s="1"/>
  <c r="O27" i="6" s="1"/>
  <c r="P39" i="5"/>
  <c r="P46" i="5"/>
  <c r="P52" i="5" s="1"/>
  <c r="P33" i="5"/>
  <c r="P35" i="5" s="1"/>
  <c r="P36" i="5" s="1"/>
  <c r="O7" i="6"/>
  <c r="P13" i="24" l="1"/>
  <c r="P67" i="24" s="1"/>
  <c r="P68" i="24" s="1"/>
  <c r="O24" i="6"/>
  <c r="O29" i="6" s="1"/>
  <c r="O23" i="10"/>
  <c r="O33" i="10" s="1"/>
  <c r="O13" i="6"/>
  <c r="O13" i="10"/>
  <c r="O11" i="10"/>
  <c r="O27" i="10" s="1"/>
  <c r="O26" i="10"/>
  <c r="O28" i="10"/>
  <c r="P78" i="24"/>
  <c r="P79" i="24" s="1"/>
  <c r="O9" i="8"/>
  <c r="D53" i="5"/>
  <c r="H42" i="4"/>
  <c r="P66" i="24"/>
  <c r="P14" i="24"/>
  <c r="O31" i="6" l="1"/>
  <c r="P69" i="24"/>
  <c r="D71" i="24" s="1"/>
  <c r="O29" i="10"/>
  <c r="O16" i="10"/>
  <c r="O34" i="10" s="1"/>
  <c r="O13" i="8"/>
  <c r="C14" i="8"/>
  <c r="P16" i="24"/>
  <c r="D15" i="24"/>
  <c r="O30" i="10" l="1"/>
  <c r="C15" i="8"/>
  <c r="C17" i="24"/>
  <c r="C73" i="24"/>
</calcChain>
</file>

<file path=xl/sharedStrings.xml><?xml version="1.0" encoding="utf-8"?>
<sst xmlns="http://schemas.openxmlformats.org/spreadsheetml/2006/main" count="1720" uniqueCount="926">
  <si>
    <t>Sr. No.</t>
  </si>
  <si>
    <t xml:space="preserve">CAPITAL COST HEAD </t>
  </si>
  <si>
    <t>QTY.</t>
  </si>
  <si>
    <t xml:space="preserve">UNITS </t>
  </si>
  <si>
    <t>UNIT RATE (INR)</t>
  </si>
  <si>
    <t xml:space="preserve">SUB TOTAL </t>
  </si>
  <si>
    <t xml:space="preserve">DETAILED PROJECT COST </t>
  </si>
  <si>
    <t>INR (LAKH)</t>
  </si>
  <si>
    <t>%</t>
  </si>
  <si>
    <t xml:space="preserve">PROJECT COST AND MEANS OF FINANCE </t>
  </si>
  <si>
    <t xml:space="preserve">DETAILED ASSUMPTION </t>
  </si>
  <si>
    <t xml:space="preserve">YEAR </t>
  </si>
  <si>
    <t xml:space="preserve">1ST </t>
  </si>
  <si>
    <t xml:space="preserve">FINANCIAL RATIOS </t>
  </si>
  <si>
    <t xml:space="preserve">INVESTMENT INDICATION </t>
  </si>
  <si>
    <t xml:space="preserve">A. PAY BACK PERIOD </t>
  </si>
  <si>
    <t xml:space="preserve">1. PAYBACK PERIOD WITHOUT SUBSIDY </t>
  </si>
  <si>
    <t xml:space="preserve">TOTAL PROJECT COST </t>
  </si>
  <si>
    <t xml:space="preserve">B. INTERNAL RATE OF RETURN </t>
  </si>
  <si>
    <t xml:space="preserve">OPERATIONAL CASH INFLOW </t>
  </si>
  <si>
    <t>NET CASH FLOW</t>
  </si>
  <si>
    <t xml:space="preserve">NET PRESENT VALUE </t>
  </si>
  <si>
    <t>INTERNAL RATE OF RETURN (%)</t>
  </si>
  <si>
    <t xml:space="preserve">2. EQUITY IRR WITHOUT SUBSIDY </t>
  </si>
  <si>
    <t xml:space="preserve">INITIAL EQUITY OUTFLOW </t>
  </si>
  <si>
    <t>TOTAL SALES</t>
  </si>
  <si>
    <t>LESS ; VARIABLE COST</t>
  </si>
  <si>
    <t xml:space="preserve">CONTRIBUTION </t>
  </si>
  <si>
    <t>FIXED COST</t>
  </si>
  <si>
    <t xml:space="preserve">INTEREST </t>
  </si>
  <si>
    <t xml:space="preserve">DEPRECIATION </t>
  </si>
  <si>
    <t>TOTAL FIXED COST</t>
  </si>
  <si>
    <t>OPERATION BREAK EVEN (%)</t>
  </si>
  <si>
    <t>CASH BREAKEVEN (%)</t>
  </si>
  <si>
    <t>AVERAGE OPERATION BREAKEVEN (%)</t>
  </si>
  <si>
    <t>AVERAGE CASH BREAKEVEN (%)</t>
  </si>
  <si>
    <t>PROJECTED LIST PRICE @ 15 PE RATIO</t>
  </si>
  <si>
    <t xml:space="preserve">ANNUALIZED GROWTH RATE </t>
  </si>
  <si>
    <t xml:space="preserve">LIABILITIES </t>
  </si>
  <si>
    <t xml:space="preserve">TOTAL </t>
  </si>
  <si>
    <t xml:space="preserve">A. SOURCE OF FUND </t>
  </si>
  <si>
    <t>TOTAL</t>
  </si>
  <si>
    <t xml:space="preserve">B. APPLICATION OF FUNDS </t>
  </si>
  <si>
    <t>Net Surplus/ Deficit</t>
  </si>
  <si>
    <t xml:space="preserve">Cumulative Balance </t>
  </si>
  <si>
    <t xml:space="preserve">PBT </t>
  </si>
  <si>
    <t>Sale of Bio-CNG</t>
  </si>
  <si>
    <t>Sale of CERs</t>
  </si>
  <si>
    <t>Gross Annual Sale</t>
  </si>
  <si>
    <t>Total Variable Cost</t>
  </si>
  <si>
    <t xml:space="preserve">FIXED EXPENSES </t>
  </si>
  <si>
    <t>Total Fixed Cost</t>
  </si>
  <si>
    <t>EBIDTA</t>
  </si>
  <si>
    <t>Interest on Term Loan</t>
  </si>
  <si>
    <t xml:space="preserve">Depreciation </t>
  </si>
  <si>
    <t>PBT</t>
  </si>
  <si>
    <t>PAT</t>
  </si>
  <si>
    <t xml:space="preserve">Add : Depreciation </t>
  </si>
  <si>
    <t xml:space="preserve">Repayment Obligations </t>
  </si>
  <si>
    <t xml:space="preserve">Cumulative Internal Accruals  </t>
  </si>
  <si>
    <t xml:space="preserve">Building </t>
  </si>
  <si>
    <t xml:space="preserve">WDV of Building </t>
  </si>
  <si>
    <t xml:space="preserve">Plant &amp; Machinery </t>
  </si>
  <si>
    <t xml:space="preserve">Gross Annual Sale </t>
  </si>
  <si>
    <t xml:space="preserve">Value </t>
  </si>
  <si>
    <t xml:space="preserve">Unit </t>
  </si>
  <si>
    <t xml:space="preserve">PARTICUALR </t>
  </si>
  <si>
    <t>I</t>
  </si>
  <si>
    <t>II</t>
  </si>
  <si>
    <t>PLANT UTILIZATION FACTOR</t>
  </si>
  <si>
    <t>III</t>
  </si>
  <si>
    <t xml:space="preserve">ESTIMATION OF PRODUCTION </t>
  </si>
  <si>
    <t>A</t>
  </si>
  <si>
    <t>B</t>
  </si>
  <si>
    <t>C</t>
  </si>
  <si>
    <t>IV</t>
  </si>
  <si>
    <t xml:space="preserve">PLANT CAPACITY </t>
  </si>
  <si>
    <t>V</t>
  </si>
  <si>
    <t>VI</t>
  </si>
  <si>
    <t>VII</t>
  </si>
  <si>
    <t>VIII</t>
  </si>
  <si>
    <t>D</t>
  </si>
  <si>
    <t>E</t>
  </si>
  <si>
    <t>F</t>
  </si>
  <si>
    <t>G</t>
  </si>
  <si>
    <t>H</t>
  </si>
  <si>
    <t>J</t>
  </si>
  <si>
    <t xml:space="preserve">PROJECT COST </t>
  </si>
  <si>
    <t>Subsidy from MNRE</t>
  </si>
  <si>
    <t xml:space="preserve">Miscellaneous Assets </t>
  </si>
  <si>
    <t xml:space="preserve">Working Capital Margin </t>
  </si>
  <si>
    <t>SUB TOTAL</t>
  </si>
  <si>
    <t xml:space="preserve">CIVIL WORK </t>
  </si>
  <si>
    <t xml:space="preserve">BUILDING </t>
  </si>
  <si>
    <t xml:space="preserve">BUILDING SERVICE </t>
  </si>
  <si>
    <t xml:space="preserve">PLANT &amp; MACHINERY </t>
  </si>
  <si>
    <t>ORGANIC FERTILIZER PLANT</t>
  </si>
  <si>
    <t xml:space="preserve">MISCELLANEOUS ASSETS </t>
  </si>
  <si>
    <t xml:space="preserve">PRELIMINARY &amp; PRE-OPERATIVE EXPENSES </t>
  </si>
  <si>
    <t xml:space="preserve">PRE-OPERATIVE EXPENSES </t>
  </si>
  <si>
    <t xml:space="preserve">OFFICE EQUIPMENTS &amp; FURNITURE </t>
  </si>
  <si>
    <t>AC for factory 1.5 Ton</t>
  </si>
  <si>
    <t xml:space="preserve">PRELIMINARY EXPENSES </t>
  </si>
  <si>
    <t>TOTAL FOR PRELIMINARY &amp; PRE-OPERATIVE EXPENSES</t>
  </si>
  <si>
    <t>TOTAL PROJECT COST</t>
  </si>
  <si>
    <t xml:space="preserve">2ND </t>
  </si>
  <si>
    <t xml:space="preserve">3RD </t>
  </si>
  <si>
    <t>4TH</t>
  </si>
  <si>
    <t>5TH</t>
  </si>
  <si>
    <t>6TH</t>
  </si>
  <si>
    <t>7TH</t>
  </si>
  <si>
    <t>8TH</t>
  </si>
  <si>
    <t>9TH</t>
  </si>
  <si>
    <t>10TH</t>
  </si>
  <si>
    <t>No. of daily Operation Hours</t>
  </si>
  <si>
    <t>No. of days per Annum</t>
  </si>
  <si>
    <t xml:space="preserve">Daily Volume of Bio-CNG Generated </t>
  </si>
  <si>
    <t xml:space="preserve">Mass of Bio-CNG Generated </t>
  </si>
  <si>
    <t>SOLID BIO FERTILIZER PRODUCTION</t>
  </si>
  <si>
    <t xml:space="preserve">LIQUID FERTILIZER CONCENTRATE GENERATION </t>
  </si>
  <si>
    <t>Quantity of Phosphorus liquid fertilizer concentrate</t>
  </si>
  <si>
    <t xml:space="preserve">Total quantity of liquid fertilizer concentrate </t>
  </si>
  <si>
    <t xml:space="preserve">Total water requirement </t>
  </si>
  <si>
    <t xml:space="preserve">Bio-CNG Plant Capacity </t>
  </si>
  <si>
    <t xml:space="preserve">Compost Plant Capacity </t>
  </si>
  <si>
    <t xml:space="preserve">Liquid Fertilizer Concentrate Capacity </t>
  </si>
  <si>
    <t>ANNUAL OUTPUT ON 100% BASIS</t>
  </si>
  <si>
    <t>ANNUAL INPUT ON 100% BASIS</t>
  </si>
  <si>
    <t>UNIT PRICE</t>
  </si>
  <si>
    <t>PARASITIC CONSUMPTION OF POWER</t>
  </si>
  <si>
    <t xml:space="preserve">Load of Biogas Section </t>
  </si>
  <si>
    <t xml:space="preserve">Total Carbon Credit </t>
  </si>
  <si>
    <t>HHV of LPG</t>
  </si>
  <si>
    <t>HHV of Bio-CNG</t>
  </si>
  <si>
    <t xml:space="preserve">Selling price of solid organic fertilizer </t>
  </si>
  <si>
    <t xml:space="preserve">Selling price of liquid fertilizer concentrate </t>
  </si>
  <si>
    <t>No.</t>
  </si>
  <si>
    <t>Capacity Utilization Factor</t>
  </si>
  <si>
    <t>Kg</t>
  </si>
  <si>
    <t>M3</t>
  </si>
  <si>
    <t xml:space="preserve">Hour </t>
  </si>
  <si>
    <t>Days</t>
  </si>
  <si>
    <t>Ton</t>
  </si>
  <si>
    <t>M3/Day</t>
  </si>
  <si>
    <t>Kg/day</t>
  </si>
  <si>
    <t>INR/Kg</t>
  </si>
  <si>
    <t>INR</t>
  </si>
  <si>
    <t xml:space="preserve">Kg </t>
  </si>
  <si>
    <t>L/day</t>
  </si>
  <si>
    <t xml:space="preserve">Initial water for dilution of first charge </t>
  </si>
  <si>
    <t>KWe</t>
  </si>
  <si>
    <t>CERs</t>
  </si>
  <si>
    <t>m3/year</t>
  </si>
  <si>
    <t>Kcal/Kg</t>
  </si>
  <si>
    <t>ratio</t>
  </si>
  <si>
    <t>1.08/1</t>
  </si>
  <si>
    <t>INR/L</t>
  </si>
  <si>
    <t>KL</t>
  </si>
  <si>
    <t>INR/CER</t>
  </si>
  <si>
    <t>INR/MT</t>
  </si>
  <si>
    <t>Mtr.</t>
  </si>
  <si>
    <t>SET</t>
  </si>
  <si>
    <t>Ltr.</t>
  </si>
  <si>
    <t xml:space="preserve">SUB TOTAL FOR P. &amp; MACHINERY </t>
  </si>
  <si>
    <t>LOT</t>
  </si>
  <si>
    <t xml:space="preserve">TOTAL FOR P. &amp; MACHINERY </t>
  </si>
  <si>
    <t xml:space="preserve">Computer at factory </t>
  </si>
  <si>
    <t>Table chair set</t>
  </si>
  <si>
    <t>Conference chair and table set</t>
  </si>
  <si>
    <t xml:space="preserve">Provision for others </t>
  </si>
  <si>
    <t>Interest during construction period</t>
  </si>
  <si>
    <t xml:space="preserve">TOTAL PROJECT EXPENDITURE </t>
  </si>
  <si>
    <t xml:space="preserve">Bore well with Motor, Piping and Pump </t>
  </si>
  <si>
    <t>Multifunction laser printer at factory</t>
  </si>
  <si>
    <t xml:space="preserve">TOTAL FOR MISC. ASSETS </t>
  </si>
  <si>
    <t xml:space="preserve">Loss of Biogas by Leakage/ Seepage to Atmosphere </t>
  </si>
  <si>
    <t xml:space="preserve">Daily Volume of Biogas available for conversion into Bio-CNG </t>
  </si>
  <si>
    <t xml:space="preserve">Methane Slip or Loss during up-gradation </t>
  </si>
  <si>
    <t xml:space="preserve">Quantity of potassium &amp; nitrogen liquid fertilizer concentrate </t>
  </si>
  <si>
    <t>KW.e</t>
  </si>
  <si>
    <t>Load of auxiliaries at Bio-CNG Unit</t>
  </si>
  <si>
    <t xml:space="preserve">Bio-CNG to LPG energy equivalence </t>
  </si>
  <si>
    <t xml:space="preserve">WDV of Plant &amp; Machinery </t>
  </si>
  <si>
    <t xml:space="preserve">Provision for unforeseen expenses </t>
  </si>
  <si>
    <t>PROFITIBLITY PROJECTIONS  (INR Lakh)</t>
  </si>
  <si>
    <t xml:space="preserve">Solid/ Liquid Fertilizer Separator Unit </t>
  </si>
  <si>
    <t xml:space="preserve">TOTAL FOR CIVIL WORKS </t>
  </si>
  <si>
    <t xml:space="preserve">SUMMARY OF BIO-CNG PROJECT ECONOMICS </t>
  </si>
  <si>
    <t>PARAMETERS</t>
  </si>
  <si>
    <t xml:space="preserve">Capacities </t>
  </si>
  <si>
    <t>Biogas Plant Capacity</t>
  </si>
  <si>
    <t>Bio-CNG Plant Capacity</t>
  </si>
  <si>
    <t>Carbon dioxide Plant Capacity</t>
  </si>
  <si>
    <t xml:space="preserve">Captive Power Plant Capacity </t>
  </si>
  <si>
    <t>Consumption &amp; Output @ 100% Capacity</t>
  </si>
  <si>
    <t xml:space="preserve">Annual Consumption of Cattle Dung as received </t>
  </si>
  <si>
    <t xml:space="preserve">Annual Consumption of Sugar Cane Press Mud </t>
  </si>
  <si>
    <t>Annual Consumption of other bio-degradable stuff</t>
  </si>
  <si>
    <t xml:space="preserve">Parasitic Consumption of Electricity for Factory Use </t>
  </si>
  <si>
    <t xml:space="preserve">Maximum Quantity of Biogas Generated </t>
  </si>
  <si>
    <t xml:space="preserve">Maximum Quantity of Bio-CNG Exported </t>
  </si>
  <si>
    <t xml:space="preserve">Maximum Quantity of Carbon dioxide Gas Generated </t>
  </si>
  <si>
    <t xml:space="preserve">Maximum Quantity of Compost  Generated </t>
  </si>
  <si>
    <t xml:space="preserve">Maximum Quantity of Liquid Fertilizer Generated </t>
  </si>
  <si>
    <t xml:space="preserve">Selling Price and Cost </t>
  </si>
  <si>
    <t xml:space="preserve">Selling Price of Bio-CNG @ 90% of current market Price of Commercial LPG </t>
  </si>
  <si>
    <t xml:space="preserve">Selling Price of CERs @ USD 5 </t>
  </si>
  <si>
    <t>Cost of Cattle Dung including Transportation cost</t>
  </si>
  <si>
    <t>Cost of food Waste including Transportation cost</t>
  </si>
  <si>
    <t xml:space="preserve">Cost of Iron Fillings </t>
  </si>
  <si>
    <t xml:space="preserve">Cost of Water </t>
  </si>
  <si>
    <t xml:space="preserve">Cost of Electricity  </t>
  </si>
  <si>
    <t xml:space="preserve">Investment Summary </t>
  </si>
  <si>
    <t>Land</t>
  </si>
  <si>
    <t xml:space="preserve">Preliminary and Pre-Operative Expenses </t>
  </si>
  <si>
    <t xml:space="preserve">working Capital Margin </t>
  </si>
  <si>
    <t xml:space="preserve">MEANS OF FINANCE </t>
  </si>
  <si>
    <t>Equity and Preference Share Capital @ 30%</t>
  </si>
  <si>
    <t xml:space="preserve">Loan from Banks </t>
  </si>
  <si>
    <t xml:space="preserve">Total </t>
  </si>
  <si>
    <t>Financial Indicators @ 85% CUF</t>
  </si>
  <si>
    <t xml:space="preserve">Total Project Cost </t>
  </si>
  <si>
    <t>Less : Capital subsidy from MNRE</t>
  </si>
  <si>
    <t>Less : IT saving on accelerated Depreciation</t>
  </si>
  <si>
    <t>Net Project Cost</t>
  </si>
  <si>
    <t>Project Profitability</t>
  </si>
  <si>
    <t>Sale of Carbon-di-oxide</t>
  </si>
  <si>
    <t>Sale of Compost</t>
  </si>
  <si>
    <t>sale of Liquid Fertilizer</t>
  </si>
  <si>
    <t xml:space="preserve">Total Interest </t>
  </si>
  <si>
    <t>Depreciation</t>
  </si>
  <si>
    <t>Average operation Break Even (%)</t>
  </si>
  <si>
    <t>Average Cash Break Even (%)</t>
  </si>
  <si>
    <t>Average DSCR</t>
  </si>
  <si>
    <t xml:space="preserve">Payback Period without Capital Subsidy </t>
  </si>
  <si>
    <t xml:space="preserve">Payback Period with Capital Subsidy </t>
  </si>
  <si>
    <t xml:space="preserve">IRR on Project Cost without Subsidy </t>
  </si>
  <si>
    <t xml:space="preserve">IRR on Equity Capital without Subsidy </t>
  </si>
  <si>
    <t xml:space="preserve">Total  </t>
  </si>
  <si>
    <t>Kg/Day</t>
  </si>
  <si>
    <t>Ltr/Day</t>
  </si>
  <si>
    <t>TON</t>
  </si>
  <si>
    <t>INR/TON</t>
  </si>
  <si>
    <t xml:space="preserve">Cost of sugarcane press mud </t>
  </si>
  <si>
    <t>Sum</t>
  </si>
  <si>
    <t>Year</t>
  </si>
  <si>
    <t>Interest</t>
  </si>
  <si>
    <t>Cash Flow</t>
  </si>
  <si>
    <t>PAYBACK PERIOD (Years)</t>
  </si>
  <si>
    <t>K =</t>
  </si>
  <si>
    <t>PVCF</t>
  </si>
  <si>
    <t>PVCI</t>
  </si>
  <si>
    <t>Investment</t>
  </si>
  <si>
    <t>Less</t>
  </si>
  <si>
    <t>NPV</t>
  </si>
  <si>
    <t>IRR</t>
  </si>
  <si>
    <t xml:space="preserve">Maximum Quantity of Bio-CNG Generated  </t>
  </si>
  <si>
    <t>INR/KW.h</t>
  </si>
  <si>
    <t>Financial Indicators @ 100% CUF</t>
  </si>
  <si>
    <t xml:space="preserve">Fertilizer Unit bagging system and accessories    </t>
  </si>
  <si>
    <t xml:space="preserve">No. of Working days Per Annum </t>
  </si>
  <si>
    <t xml:space="preserve">GROSS TOTAL  </t>
  </si>
  <si>
    <t xml:space="preserve">CCTV Camera system </t>
  </si>
  <si>
    <t xml:space="preserve">GST on Plant and Machinery </t>
  </si>
  <si>
    <t>L</t>
  </si>
  <si>
    <t>GST</t>
  </si>
  <si>
    <t xml:space="preserve">Way Bridge cum Security Room </t>
  </si>
  <si>
    <t xml:space="preserve">Gate </t>
  </si>
  <si>
    <t xml:space="preserve">Admin Office </t>
  </si>
  <si>
    <t>K</t>
  </si>
  <si>
    <t>M</t>
  </si>
  <si>
    <t>N</t>
  </si>
  <si>
    <t>O</t>
  </si>
  <si>
    <t>P</t>
  </si>
  <si>
    <t>Q</t>
  </si>
  <si>
    <t>R</t>
  </si>
  <si>
    <t xml:space="preserve">SQMT </t>
  </si>
  <si>
    <t xml:space="preserve">CUMT </t>
  </si>
  <si>
    <t xml:space="preserve">Equipment Foundations </t>
  </si>
  <si>
    <t>Heating System</t>
  </si>
  <si>
    <t>SS Bar Grill</t>
  </si>
  <si>
    <t>Platform mixing tank</t>
  </si>
  <si>
    <t>Auto Valves</t>
  </si>
  <si>
    <t>Flanges</t>
  </si>
  <si>
    <t>Wall mounting Flanges</t>
  </si>
  <si>
    <t>Fitting Material of Flanges</t>
  </si>
  <si>
    <t>Pump for slurry Transfer</t>
  </si>
  <si>
    <t>Manual Valves</t>
  </si>
  <si>
    <t>Spider Ring</t>
  </si>
  <si>
    <t>Nylon Belts</t>
  </si>
  <si>
    <t>Nylon Rope Net</t>
  </si>
  <si>
    <t>Wall Flanges</t>
  </si>
  <si>
    <t>Pipes</t>
  </si>
  <si>
    <t>Pipe fittings</t>
  </si>
  <si>
    <t>Inspection Window</t>
  </si>
  <si>
    <t xml:space="preserve">Other Fitting &amp; Fixtures </t>
  </si>
  <si>
    <t>Electrical &amp; Electronics Requirements</t>
  </si>
  <si>
    <t>Electrical Control panel</t>
  </si>
  <si>
    <t>Earthings</t>
  </si>
  <si>
    <t>BIO-CNG STORAGE</t>
  </si>
  <si>
    <t>Clearing Forwarding, Handling &amp; Freight Cost</t>
  </si>
  <si>
    <t xml:space="preserve">Annual Operational Spares </t>
  </si>
  <si>
    <t xml:space="preserve">Laboratory and Analytical Equipments </t>
  </si>
  <si>
    <t>OTHER IMPORTANT ITEMS</t>
  </si>
  <si>
    <t xml:space="preserve">Cash Margin </t>
  </si>
  <si>
    <t>Potable Water day Storage (1500 L)</t>
  </si>
  <si>
    <t xml:space="preserve">load point </t>
  </si>
  <si>
    <t>operatin time</t>
  </si>
  <si>
    <t>3X 15 hp screw pump</t>
  </si>
  <si>
    <t>grinder 5 hp X 2</t>
  </si>
  <si>
    <t>agitator mixing pit 15 hp x 2</t>
  </si>
  <si>
    <t>digestor agitator 5 x 15 hp</t>
  </si>
  <si>
    <t>digestor agitator 4 x 10 hp</t>
  </si>
  <si>
    <t>air blower for balloon 2 x 2 hp</t>
  </si>
  <si>
    <t xml:space="preserve">solid liquid seperator 7.5 hp </t>
  </si>
  <si>
    <t>filling compressor 100 hp</t>
  </si>
  <si>
    <t xml:space="preserve">shreder 60 hp x 2 </t>
  </si>
  <si>
    <t>utility load 10 kw</t>
  </si>
  <si>
    <t>Power KW</t>
  </si>
  <si>
    <t>purification plant load 100 hp</t>
  </si>
  <si>
    <t>Equipments/ Machinery For Digester Tank Equipments</t>
  </si>
  <si>
    <t>Equipments/ Machinery For Fertilizer Tank</t>
  </si>
  <si>
    <t>Equipments/ Machinery For Feed Mixing Tank</t>
  </si>
  <si>
    <t>N/A</t>
  </si>
  <si>
    <t>WATER CONSUMPTION</t>
  </si>
  <si>
    <t>Month</t>
  </si>
  <si>
    <t>Selling Price of Organic Fertilizer</t>
  </si>
  <si>
    <t>Annual Consumption of Water</t>
  </si>
  <si>
    <t xml:space="preserve">Annual Consumption of Cattle Dung as Received </t>
  </si>
  <si>
    <t>Solid Liquid Separator Platform</t>
  </si>
  <si>
    <t>Drawing, Design, Architectural, Work</t>
  </si>
  <si>
    <t xml:space="preserve">Maximum Quantity of bio-CNG Generated </t>
  </si>
  <si>
    <t>Maximum Quantity of Compost Produced</t>
  </si>
  <si>
    <t xml:space="preserve">Maximum Quantity of liquid fertilizer concentrate generated </t>
  </si>
  <si>
    <t xml:space="preserve">PROJECT SITE &amp; LAND DEVELOPMENT </t>
  </si>
  <si>
    <t xml:space="preserve">Weighbridge &amp; other equip. </t>
  </si>
  <si>
    <t>HP</t>
  </si>
  <si>
    <t>Side Entry Agitators For mixing and circulation</t>
  </si>
  <si>
    <t>Double Membrane Digester Roof/Balloon</t>
  </si>
  <si>
    <t>Lum</t>
  </si>
  <si>
    <t>Top Entry Agitator</t>
  </si>
  <si>
    <t>Roots Blower</t>
  </si>
  <si>
    <t>Vacuum Pump with FLP Motor</t>
  </si>
  <si>
    <t xml:space="preserve">BioCNG Surge tank </t>
  </si>
  <si>
    <t>BIOCNG Storge Tank</t>
  </si>
  <si>
    <t xml:space="preserve">High Pressure line upto Compressor to Cascade </t>
  </si>
  <si>
    <t>PLC Control panel, Power panel, Cable for all these from field to panel room</t>
  </si>
  <si>
    <t>Automation Elements</t>
  </si>
  <si>
    <t>Electrical Wiring, Bus Bar, Joints, Protectors,Eathing etc.</t>
  </si>
  <si>
    <t>Electrical distribution panel</t>
  </si>
  <si>
    <t xml:space="preserve">Grid Transformer/LBS/HTMC for Plant </t>
  </si>
  <si>
    <t>Other High pressure accessories</t>
  </si>
  <si>
    <t>Product Gas Analysers
Online gas Monitoring system with Analyser for H2S,CH4,O2,Co2
Online dew point meter (Optional)</t>
  </si>
  <si>
    <t xml:space="preserve">Pumping Equipments &amp; Grinder </t>
  </si>
  <si>
    <t xml:space="preserve">Screw Pump for Slurry transfer </t>
  </si>
  <si>
    <t xml:space="preserve">Grinder </t>
  </si>
  <si>
    <t xml:space="preserve">Piping &amp; Valves </t>
  </si>
  <si>
    <t xml:space="preserve">Daily Recycled Water </t>
  </si>
  <si>
    <t xml:space="preserve">Load of Biogas Up-gradation Section &amp; Recovery </t>
  </si>
  <si>
    <t xml:space="preserve">Load of Bio-CNG Compression Unit  </t>
  </si>
  <si>
    <t>KW.h</t>
  </si>
  <si>
    <t>Running Load</t>
  </si>
  <si>
    <t xml:space="preserve">Annual Consumption of Power </t>
  </si>
  <si>
    <t>KG</t>
  </si>
  <si>
    <t>Cost of Other Bio-degradable Dry(Agro) Biomass Poultry Droppings etc.</t>
  </si>
  <si>
    <t xml:space="preserve">Civil Work </t>
  </si>
  <si>
    <t>Particulars</t>
  </si>
  <si>
    <t>Subtotal</t>
  </si>
  <si>
    <t>DSCR</t>
  </si>
  <si>
    <t>DSCR Calculation</t>
  </si>
  <si>
    <t>PAT (Proft After Tax)</t>
  </si>
  <si>
    <t>Opening Stock</t>
  </si>
  <si>
    <t>Add - Purchase During the year</t>
  </si>
  <si>
    <t>Less - Closing Stock</t>
  </si>
  <si>
    <t>COGS</t>
  </si>
  <si>
    <t>(days)</t>
  </si>
  <si>
    <t>Trade Receivables</t>
  </si>
  <si>
    <t>Inventories</t>
  </si>
  <si>
    <t>Overheads</t>
  </si>
  <si>
    <t>Current Assets</t>
  </si>
  <si>
    <t>Current Liabilities</t>
  </si>
  <si>
    <t xml:space="preserve">Amt </t>
  </si>
  <si>
    <t>Total CoP</t>
  </si>
  <si>
    <t>WDV rate</t>
  </si>
  <si>
    <t>Civil Work / Construction</t>
  </si>
  <si>
    <t>Plant &amp; Machinery</t>
  </si>
  <si>
    <t>Tax Calulation</t>
  </si>
  <si>
    <t>Add : SLM</t>
  </si>
  <si>
    <t>Less : WDV</t>
  </si>
  <si>
    <t>Taxable Income / Proft</t>
  </si>
  <si>
    <t>Carry forward of loss</t>
  </si>
  <si>
    <t>Set off of loss</t>
  </si>
  <si>
    <t>Net taxable income</t>
  </si>
  <si>
    <t>Tax on Income @ 33.99%</t>
  </si>
  <si>
    <t>MAT</t>
  </si>
  <si>
    <t>Actual Tax</t>
  </si>
  <si>
    <t xml:space="preserve">Total WDV Depreciation </t>
  </si>
  <si>
    <t xml:space="preserve">Less : Depreciation </t>
  </si>
  <si>
    <t>Gross Assets</t>
  </si>
  <si>
    <t>Preliminary Expense</t>
  </si>
  <si>
    <t>Total Gross Block</t>
  </si>
  <si>
    <t>CURRENT ASSETS</t>
  </si>
  <si>
    <t>Secured Loan</t>
  </si>
  <si>
    <t>Reserve &amp; Surplus</t>
  </si>
  <si>
    <t>Trade Receivable</t>
  </si>
  <si>
    <t xml:space="preserve">Inventory </t>
  </si>
  <si>
    <t>PRELIMINARY EXPENSES W/off</t>
  </si>
  <si>
    <t xml:space="preserve">Capital Expenses </t>
  </si>
  <si>
    <t xml:space="preserve">Net Profit </t>
  </si>
  <si>
    <t xml:space="preserve">Decrease in Term Loan </t>
  </si>
  <si>
    <t>Opening Balance</t>
  </si>
  <si>
    <t>Diff</t>
  </si>
  <si>
    <t>CASH FLOW STATEMENT (INR Lakh)</t>
  </si>
  <si>
    <t>CIVIL WORK</t>
  </si>
  <si>
    <t>NET BLOCK</t>
  </si>
  <si>
    <t>CASH &amp; BANK</t>
  </si>
  <si>
    <t>Cash accrual</t>
  </si>
  <si>
    <t>Net cash accrual</t>
  </si>
  <si>
    <t>CASH ACCRUAL</t>
  </si>
  <si>
    <t>CUMULATIVE CASH ACCRUAL</t>
  </si>
  <si>
    <t>Net Flow</t>
  </si>
  <si>
    <t>Subsidy Inflow</t>
  </si>
  <si>
    <t>Net WC</t>
  </si>
  <si>
    <t>Working Cap Margin</t>
  </si>
  <si>
    <t>NET PROFIT BEFORE INT. &amp; DEP.</t>
  </si>
  <si>
    <t>PROFIT BEFORE INT &amp; TAX</t>
  </si>
  <si>
    <t xml:space="preserve">TERM LOAN INTEREST </t>
  </si>
  <si>
    <t xml:space="preserve">CAPITAL EMPLOYED </t>
  </si>
  <si>
    <t xml:space="preserve">CAPITAL INVESTMENT </t>
  </si>
  <si>
    <t xml:space="preserve">NET WORTH </t>
  </si>
  <si>
    <t>SALES REVENUE</t>
  </si>
  <si>
    <t>RETURN ON SALE (%)</t>
  </si>
  <si>
    <t>RETURN ON CAPITAL (%)</t>
  </si>
  <si>
    <t>RETURN ON INVESTMENT</t>
  </si>
  <si>
    <t xml:space="preserve">RETURN ON NET WORTH </t>
  </si>
  <si>
    <t xml:space="preserve">AVERAGE DSCR </t>
  </si>
  <si>
    <t xml:space="preserve">FIXED ASSETS COVERAGE </t>
  </si>
  <si>
    <t>TERM LOAN</t>
  </si>
  <si>
    <t xml:space="preserve">BREAK EVEN POINT </t>
  </si>
  <si>
    <t>Profit / PBT</t>
  </si>
  <si>
    <t xml:space="preserve">PV RATIO </t>
  </si>
  <si>
    <t xml:space="preserve">BEP  Sales </t>
  </si>
  <si>
    <t xml:space="preserve">BEP% </t>
  </si>
  <si>
    <t xml:space="preserve">WORKING CAPITAL </t>
  </si>
  <si>
    <t>Land Lease Registration</t>
  </si>
  <si>
    <t xml:space="preserve">Sales </t>
  </si>
  <si>
    <t>CC Loan</t>
  </si>
  <si>
    <t>Total Loan</t>
  </si>
  <si>
    <t>Cost of Pddy/ Wheat Straw, /Nappier Grass/ Other Agro-Waste</t>
  </si>
  <si>
    <t>Annual Consumption of Pddy/ Wheat Straw, /Nappier Grass/ Other Agro-Waste</t>
  </si>
  <si>
    <t>GST on Bio-Gas plant</t>
  </si>
  <si>
    <t>INTEREST COVERAGE RATIO</t>
  </si>
  <si>
    <t>CURRENT LIABILITIES</t>
  </si>
  <si>
    <t>CURRENT RATIO</t>
  </si>
  <si>
    <t>Total</t>
  </si>
  <si>
    <t>Repayment</t>
  </si>
  <si>
    <t>Closing Principal o/s</t>
  </si>
  <si>
    <t>IDC</t>
  </si>
  <si>
    <t>TL Interest</t>
  </si>
  <si>
    <t>SECURED LOAN</t>
  </si>
  <si>
    <t>DEBT - EQUITY RATIO</t>
  </si>
  <si>
    <t>Increase in TL</t>
  </si>
  <si>
    <t>Valves</t>
  </si>
  <si>
    <t>Heating System Valves</t>
  </si>
  <si>
    <t>Tractor and trolley</t>
  </si>
  <si>
    <t>Tractor with loader</t>
  </si>
  <si>
    <t xml:space="preserve">Agitator </t>
  </si>
  <si>
    <t xml:space="preserve">Technical Room </t>
  </si>
  <si>
    <t xml:space="preserve">Feeding Pump </t>
  </si>
  <si>
    <t xml:space="preserve">Ladder </t>
  </si>
  <si>
    <t xml:space="preserve">Solid Liquid Seperator </t>
  </si>
  <si>
    <t>Gas Purification &amp; Compressor Unit</t>
  </si>
  <si>
    <t xml:space="preserve">Underground Water/ Slurry Storage </t>
  </si>
  <si>
    <t>Machinery Shed (Purification and Compressor)</t>
  </si>
  <si>
    <t>Fertilizer Shed with Packing</t>
  </si>
  <si>
    <t xml:space="preserve">Digested Slurry Tank </t>
  </si>
  <si>
    <t>CUMT</t>
  </si>
  <si>
    <t>S</t>
  </si>
  <si>
    <t>CNG Transport vehicle</t>
  </si>
  <si>
    <t>H2S Removal System</t>
  </si>
  <si>
    <t>Accessories</t>
  </si>
  <si>
    <t>NA</t>
  </si>
  <si>
    <t xml:space="preserve">BIOCNG Filling header </t>
  </si>
  <si>
    <t>CNG cylinder Filling Header</t>
  </si>
  <si>
    <t>Electrical ,Instrumentation &amp; Control Panel etc.</t>
  </si>
  <si>
    <t>Pressure &amp; temperature measuring system</t>
  </si>
  <si>
    <t>Flow measuring system</t>
  </si>
  <si>
    <t>Automatic valves for Biogas line and slurry line</t>
  </si>
  <si>
    <t xml:space="preserve">PH sensor ,Level sensor,Ammonia sensor
</t>
  </si>
  <si>
    <t>Methane leak detection and alarm system</t>
  </si>
  <si>
    <t>kg/Day</t>
  </si>
  <si>
    <t>Equivalent price of CNG</t>
  </si>
  <si>
    <t>Disbursement</t>
  </si>
  <si>
    <t>Opening Bal</t>
  </si>
  <si>
    <t>Interest During Construction (IDC)</t>
  </si>
  <si>
    <t>WCM, IDC &amp; Cont</t>
  </si>
  <si>
    <t xml:space="preserve">Biomass Handling Facility </t>
  </si>
  <si>
    <t>15 X 2</t>
  </si>
  <si>
    <t xml:space="preserve">350 M3/hr Recovery System - 2 Tower Based System
</t>
  </si>
  <si>
    <t>350 m3 per hr Methane   Recovery System</t>
  </si>
  <si>
    <t>High pressure Fittings</t>
  </si>
  <si>
    <t xml:space="preserve">Quantity of Compost produced from dry Sludge </t>
  </si>
  <si>
    <t>Main Digester (Dia 32 Mtr.)</t>
  </si>
  <si>
    <t xml:space="preserve">Top Entry Type Agitator 15 HP/Variable RPM  </t>
  </si>
  <si>
    <t>Annual Input of chicken (poultry) manure</t>
  </si>
  <si>
    <t xml:space="preserve">40 Cylinder Cascade </t>
  </si>
  <si>
    <t xml:space="preserve">Shed for  Filling header with cylinder cascade </t>
  </si>
  <si>
    <t>Nos.</t>
  </si>
  <si>
    <t>Cables</t>
  </si>
  <si>
    <t xml:space="preserve">Both side PVC coated fabric/Balloon -2 Set </t>
  </si>
  <si>
    <t xml:space="preserve">Under Pressure protection &amp; over pressure Valve-2 Set </t>
  </si>
  <si>
    <t>CONTINGENCIES EXPENSES</t>
  </si>
  <si>
    <t>12 M</t>
  </si>
  <si>
    <t>Particulars / YEAR</t>
  </si>
  <si>
    <t>12M</t>
  </si>
  <si>
    <t>Feed Mixing Tank (2 x300 CUM)</t>
  </si>
  <si>
    <t>700 m3/hr Catalyst Tower based H2S Removal system (H2S &lt;= 1500 ppm)</t>
  </si>
  <si>
    <t>700 M3 /hr Biogas Up gradation Plant  as per given scope of supply 4 Tower Based systems</t>
  </si>
  <si>
    <t>700 m3/hr Biogas Moisture removal system 
Heat exchanger with moisture separator</t>
  </si>
  <si>
    <t>700 m3/hr Four Towers (Composite bed) VPSA Unit for removal of H2O, CO2 with Surge vessel and inter connected piping and valves &amp; Instruments for safe operation of the plant</t>
  </si>
  <si>
    <t xml:space="preserve">Single memerane Balloon/Biogas Tank </t>
  </si>
  <si>
    <t xml:space="preserve">Daily Input of Sugar Cane Press Mud  </t>
  </si>
  <si>
    <t>Assumptions</t>
  </si>
  <si>
    <t>1st Disbursement</t>
  </si>
  <si>
    <t>IDC Start &amp; End Month</t>
  </si>
  <si>
    <t>Commencement /Operation Start</t>
  </si>
  <si>
    <t>Repayment of Loan</t>
  </si>
  <si>
    <t>Repayment Start</t>
  </si>
  <si>
    <t>Repayment End</t>
  </si>
  <si>
    <t>Repayment Period</t>
  </si>
  <si>
    <t>Rate of Interest</t>
  </si>
  <si>
    <t>Subsidy  (To be Adjusted in Loan Account after Project is Commissioned)</t>
  </si>
  <si>
    <t>Feed Preparation Platform with Pump</t>
  </si>
  <si>
    <t>Technical room/panel room + Lab Area + Security Office</t>
  </si>
  <si>
    <t>Staff Room with Kitchen, Bathroom (3 BHK House)</t>
  </si>
  <si>
    <t>T</t>
  </si>
  <si>
    <t>Labours Rooms</t>
  </si>
  <si>
    <t>Lagoon</t>
  </si>
  <si>
    <t xml:space="preserve">Toilet Block + parcking </t>
  </si>
  <si>
    <t xml:space="preserve">350-400 m3/hr Biogas Booster compressors for Providing 250 bar pressure at outlet. </t>
  </si>
  <si>
    <t>Waste  and BioCNG handling Equipments</t>
  </si>
  <si>
    <t xml:space="preserve">350-400 m3/hr BioCNG Booster compressor </t>
  </si>
  <si>
    <t>Power</t>
  </si>
  <si>
    <t xml:space="preserve">Power </t>
  </si>
  <si>
    <t xml:space="preserve">Term liabilities payable within one year </t>
  </si>
  <si>
    <t>Equity</t>
  </si>
  <si>
    <t xml:space="preserve">Bio-CNG Plant Design Capacity </t>
  </si>
  <si>
    <t>Biogas Plant Generation  (Design Capcity x 90 %)</t>
  </si>
  <si>
    <t>Increase in Equity / Share Capital</t>
  </si>
  <si>
    <t>AMOUNT (INR)</t>
  </si>
  <si>
    <t xml:space="preserve">ELECTRICITY CONNECTION </t>
  </si>
  <si>
    <t>ToL / TNW</t>
  </si>
  <si>
    <t>ToL</t>
  </si>
  <si>
    <t>TNW</t>
  </si>
  <si>
    <t>Electricty Connection</t>
  </si>
  <si>
    <t>IDC Period (construction period)</t>
  </si>
  <si>
    <t>Moratorium Period after COD</t>
  </si>
  <si>
    <t>EBIT</t>
  </si>
  <si>
    <t>Less: Taxes</t>
  </si>
  <si>
    <t>Add: Depreciation &amp; Amortisation</t>
  </si>
  <si>
    <t>Gross Cash Flow</t>
  </si>
  <si>
    <t>Increase/(Decrease) in working capital</t>
  </si>
  <si>
    <t>Free Cash Flow to Firm (FCFF)</t>
  </si>
  <si>
    <t>Project IRR (Post-tax)</t>
  </si>
  <si>
    <t>INR in lacs</t>
  </si>
  <si>
    <t>WACC Calculation</t>
  </si>
  <si>
    <t>Incremental Cost of Debt</t>
  </si>
  <si>
    <t>Cost of Equity</t>
  </si>
  <si>
    <t>Proportion of Debt</t>
  </si>
  <si>
    <t>Tax</t>
  </si>
  <si>
    <t>WACC</t>
  </si>
  <si>
    <t>Discounting factor</t>
  </si>
  <si>
    <t xml:space="preserve">Project IRR </t>
  </si>
  <si>
    <t>Break Even</t>
  </si>
  <si>
    <t>Sales</t>
  </si>
  <si>
    <t>Variable Expenses</t>
  </si>
  <si>
    <t>Contribution</t>
  </si>
  <si>
    <t>PV RATIO (Contr / Sales)</t>
  </si>
  <si>
    <t>BEP  Sales (Fix Exps / Contr * Sales)</t>
  </si>
  <si>
    <t>BEP% (BEP Sales / sales)</t>
  </si>
  <si>
    <t>Boundary (Total Length 700Mtr.)</t>
  </si>
  <si>
    <t>Internal Road 6 + 2 (Open Space) Mtr Wide) Length-625 Mtr</t>
  </si>
  <si>
    <t xml:space="preserve">Fire Fitting Equipment </t>
  </si>
  <si>
    <t xml:space="preserve">Liquid Fertiliser Filling System </t>
  </si>
  <si>
    <t>Other professional fees of project cost</t>
  </si>
  <si>
    <t xml:space="preserve">Loan processing fee of loan </t>
  </si>
  <si>
    <t>DG Set FOR Backup Power 10 kVA</t>
  </si>
  <si>
    <t xml:space="preserve"> </t>
  </si>
  <si>
    <t>DEBT</t>
  </si>
  <si>
    <t>EQUITY</t>
  </si>
  <si>
    <t>S. No.</t>
  </si>
  <si>
    <t>Net Production of Bio-CNG with 96% CH4</t>
  </si>
  <si>
    <t>Particulars (Rs in lacs)</t>
  </si>
  <si>
    <t>DEBT REPAYMENT SCHEDULE</t>
  </si>
  <si>
    <t>FY  Rs in Lakhs</t>
  </si>
  <si>
    <t>Ratio Analysis</t>
  </si>
  <si>
    <t>Particulars (Rs in Lakh)</t>
  </si>
  <si>
    <t>YEAR (Rs in Lakhs)</t>
  </si>
  <si>
    <t>DEPRECIATION DSCHEDULE AS PER INCOME TAX ACT  (Lakh INR)</t>
  </si>
  <si>
    <t xml:space="preserve">YEAR/ASSET HEAD </t>
  </si>
  <si>
    <t>Interest on term loan</t>
  </si>
  <si>
    <t>Discount rate</t>
  </si>
  <si>
    <t>Expected growth rate(Terminal)</t>
  </si>
  <si>
    <t>Period (Months)</t>
  </si>
  <si>
    <t>Discount period</t>
  </si>
  <si>
    <t>Discount Factor</t>
  </si>
  <si>
    <t>PV of FCF</t>
  </si>
  <si>
    <t>Terminal Value</t>
  </si>
  <si>
    <t>PV of Terminal Value</t>
  </si>
  <si>
    <t>PV of FCF+ PV of Terminal Value</t>
  </si>
  <si>
    <t>No. Of Years</t>
  </si>
  <si>
    <t>Cash Accrual</t>
  </si>
  <si>
    <t>Accumulated Cash Accrual</t>
  </si>
  <si>
    <t>TPC</t>
  </si>
  <si>
    <t>Payback Period</t>
  </si>
  <si>
    <t>Years</t>
  </si>
  <si>
    <t>EBITDA</t>
  </si>
  <si>
    <t xml:space="preserve">Revenue </t>
  </si>
  <si>
    <t>EBITDA Margin %</t>
  </si>
  <si>
    <t>EBIT Margin %</t>
  </si>
  <si>
    <t>PAT Margin %</t>
  </si>
  <si>
    <t>Revenue Growth Rate %</t>
  </si>
  <si>
    <t xml:space="preserve">Average </t>
  </si>
  <si>
    <t>Khasra Number 917, First Floor Ahmedpur Kadach Railway Road, Jwalapur, Haridwar, Uttarakhand, 249407</t>
  </si>
  <si>
    <t xml:space="preserve">5,000 Kg per day Bio CNG generating plant along with 30 Ton/Day of solid organic fertilizer, and 90,000 Litre/day of liquid fertilizer.  </t>
  </si>
  <si>
    <t>KHASRA NO 740, VILLAGE TUGALPUR, PARAGNA GORDHANPUR</t>
  </si>
  <si>
    <t>KHASRA NO 740, Village - Tughalpur, Paragna Goverdhanpur, Tehsil - Laksar, District-Haridwar, Uttarakhand -247663</t>
  </si>
  <si>
    <t>Bio CNG generating plant along with solid and liquid fertilizers</t>
  </si>
  <si>
    <t>Renewable Energy</t>
  </si>
  <si>
    <t>Bio CNG, Solid organic fertilizer and liquid fertilizer</t>
  </si>
  <si>
    <t>Total project cost estimations</t>
  </si>
  <si>
    <t>Land assessment</t>
  </si>
  <si>
    <t>Area</t>
  </si>
  <si>
    <t>Sq. Mtr.</t>
  </si>
  <si>
    <t>DPR</t>
  </si>
  <si>
    <t>Sale Deed</t>
  </si>
  <si>
    <t>Capcity</t>
  </si>
  <si>
    <t>tpd</t>
  </si>
  <si>
    <t>References</t>
  </si>
  <si>
    <t>Required Area</t>
  </si>
  <si>
    <t>Capacity</t>
  </si>
  <si>
    <t>Maximum DSCR</t>
  </si>
  <si>
    <t>compressed biogas plant</t>
  </si>
  <si>
    <t>Khasra No. 740, Village Tughalpur, Paragna Goverdhanpur, Tehsil - Laksar, District-Haridwar, Uttarakhand -247663</t>
  </si>
  <si>
    <t>5,000 Kg (7000 M3)/ Day of Bio-CNG</t>
  </si>
  <si>
    <t>m3</t>
  </si>
  <si>
    <t>https://www.downtoearth.org.in/blog/energy/budget-kick-keep-these-factors-in-mind-while-setting-up-a-bio-cng-plant-87471#:~:text=Feedstock%20storage,compartments%20and%20other%20auxiliary%20machinery.</t>
  </si>
  <si>
    <t>30 Ton/day of fermented solid organic fertilizer &amp; 90 KL/ Day of fermented Liquid Fertilizer which will be sold as value added by products.</t>
  </si>
  <si>
    <t>Mr. VANSHAJ GUPTA and Mr. RISHABH GUPTA</t>
  </si>
  <si>
    <t>fermented solid organic fertilizer</t>
  </si>
  <si>
    <t>The CSTR Mesophilic bio-methanation technology</t>
  </si>
  <si>
    <t>80% is mechanical and 20% is manual.</t>
  </si>
  <si>
    <t>JOG WASTE TO ENERGY PVT LTD , Ahmadabad based solution provider,</t>
  </si>
  <si>
    <t>As per the sale deed shared by the client or company, promoters have purchased 2.2540 hectares (22,540 sq. m.) of land at Khata Number 193, Khasra No. 740, Village Tughalpur, Paragna Goverdhanpur, Tehsil-LLaksar, District Haridwar, Uttarakhand, -247663. This land has been leased out by the promoters in the name of the company for 29 years as per the shared lease deed. A change of land use (CLU) certificate has been obtained by the company as of August 23, 2023, from the respective authority.</t>
  </si>
  <si>
    <t>The plant needs about 1, 00,000 Litre/ day of water and 500 Kwh of power to meet process energy requirement.</t>
  </si>
  <si>
    <t>have already secured a purchase agreement/ LOI (Ref No.)IndianOil/SATAT/01/3646., DATE: 02.01.2024</t>
  </si>
  <si>
    <t>under SATAT initiative to promote Compressed Bio-Gas as an alternative, green transport fuel.</t>
  </si>
  <si>
    <t>Mr. VANSHAJ GUPTA</t>
  </si>
  <si>
    <t>Memorandum of Association</t>
  </si>
  <si>
    <t>To carry on the business to produce, market, sell, supply, distribute and dealing in all kinds of bio-gas, Bio-CNG likes or containing a mixture of H2S, CH4, hydrocarbon, and CO2 from agricultural residue, Ethanol and manure as well as dealing its byproducts like biomass pellets and organic fertilizers.</t>
  </si>
  <si>
    <t>M/s Naruma Industries Pvt Ltd</t>
  </si>
  <si>
    <t>The Corporate Identification Number (CIN) of the company is U27101DL2021PTC391084. The registered office is Flat No-19, G/F, Block -D-1, Vasant Kunj, Pkt-E-2, Near Sultangarhi CNG Pump, Delhi-110070. INDIA. The company has Two directors names Mr. Rama Nand Modi (DIN: 09431445) and Mr. Rakesh Kumar Modi (DIN: 09431446). The company is registered as MSME shown below:</t>
  </si>
  <si>
    <t>Mr. Vanshaj Gupta and Mr. Rishabh Gupta are the promoters and Directors of Naruma Industries Private Limited.</t>
  </si>
  <si>
    <t xml:space="preserve">The promoters of the company are Mr. VANSHAJ GUPTA (DIN: 09626875) and Mr. RISHABH GUPTA (DIN: 09626874) are also the Directors of the company and are the major shareholders of the company who are holding more than 50%-50% share of the company in total.       </t>
  </si>
  <si>
    <t>UDYAM REGISTRATION NUMBER UDYAM-UK-06-0035781</t>
  </si>
  <si>
    <t>In this company, promoters has proposed Ferro Alloys manufacturing unit to manufacture Ferro Silicon, Silico Manganese, Ferro Chrome, Ferro Manganese, Pig Iron and Calcium Carbide etc.</t>
  </si>
  <si>
    <t>As per Memorandum of Association shared by the client/company, Both the Promoters/Directors is having 50-50% shareholding in the company as listed in the table below:</t>
  </si>
  <si>
    <t>Currently Mr. Vanshaj Gupta and Mr. Rishabh Gupta are looking after their Family business, which is Gupta Ji Jewellers and Mahadev Mine Minerals</t>
  </si>
  <si>
    <t>H.NO – 46, Vishnu Garden, Gandhi Ashram, Kankhal, Haridwar, Haridwar, Uttarakhand -249408</t>
  </si>
  <si>
    <t>Mr. Vanshaj Gupta is an alumnus of Institute of Hotel Management Aurangabad (Taj Group). He started his early career working in Taj Hotels Resorts and Palaces and later on in Marriott Hotels and Resorts.</t>
  </si>
  <si>
    <t>Mr. Rishabh Gupta is an alumnus of Amity University Noida and EMDI Institute of Media Communication India. He started his early career as a freelancer and has done most of the successful events with PERCEPT Media, VIACOM, Lakshya Media, Tiger Productions, Mudrush event, FIFA India, Indian Premier League, Youtube fan fest and many more.</t>
  </si>
  <si>
    <t>Mr. Vanshaj Gupta and Mr. Rishabh Gupta are also the Co-owners of Gupta Ji Jewellers, Haridwar. They have the biggest jewellery store in the city and they deal in the production and assortment of Silver, Gemstone, Diamond and Gold Jewellery.</t>
  </si>
  <si>
    <t xml:space="preserve">As a young entrepreneur, Mr. Vanshaj Gupta and Mr. Rishabh Gupta proposed the plan to enter into the </t>
  </si>
  <si>
    <t>Ministry of Petroleum And Natural Gas</t>
  </si>
  <si>
    <t>as per the lease deed provided to us by the company.</t>
  </si>
  <si>
    <t>Sugar mill is approximately 14 Km away from the site  Nearest Sugar Mill is Laksar sugar mill  Muzzafarnagar Sugar Mill ( Approximately 50-55km away )  Uttam sugar mill ( approximately 45km away )</t>
  </si>
  <si>
    <t>R. B. N. S. Sugar Mill Laksar, P2WH+WHW, Shekhpuri, Laksar, Uttarakhand 247663</t>
  </si>
  <si>
    <t>Rohana Sugar Mill, Shop No- 12, Amrit Inter College G.T Road, Rohana Mill Meerut, Uttar Pradesh 251202</t>
  </si>
  <si>
    <t>Uttam Sugar Mill Manglore, Lahboli - Mandawli Road, Lahvauli, Mundyaki, Uttarakhand 247656</t>
  </si>
  <si>
    <t>https://www.google.com/maps/place/29%C2%B037'25.6%22N+77%C2%B059'36.7%22E/@29.6228603,77.9793391,1059m/data=!3m1!1e3!4m4!3m3!8m2!3d29.6237778!4d77.9935278?entry=ttu</t>
  </si>
  <si>
    <t>Connectivity Details of the Proposed Location</t>
  </si>
  <si>
    <t>Raisi, Netwala Saidabad, Uttarakhand 247671</t>
  </si>
  <si>
    <t>Laksar Junction, MDR 6W, Laksar, Uttarakhand 247663</t>
  </si>
  <si>
    <t xml:space="preserve">Project location is 29°37'25.6" North and 77°59'36.7" East in SIDCO Industrial Area Centre, Samba, Jammu &amp; Kashmir, Pahse-1 and the location as per the Google map has been attached below: </t>
  </si>
  <si>
    <t>Sub Divisional Magistrate</t>
  </si>
  <si>
    <t>Bio-CNG plant needs a total of about 22,267 M2 land area for Project implementation</t>
  </si>
  <si>
    <t xml:space="preserve">During the site visit I found that the approach road which connects to the main road is narrow/ Kuchcha Road of 15ft wide. However customer informed me that they have applied one letter to GRAM PRADHAN regarding the road widening , and the road will get wide soon. </t>
  </si>
  <si>
    <t>r</t>
  </si>
  <si>
    <t>pie/4*d^2*h</t>
  </si>
  <si>
    <t>Biogas to CNG plant needs a total of about 22,267 M2 land area for Project implementation, 600 M2 Covered Shed for Fertilizer Processing and storage in off season. 3663 M2of open area for locating the hydrolysis tanks, biogas digester tank, and sludge separator filter, besides connecting roads. About 930 M2of built up area is required to house the technical buildings including MPSA separation plant and Bio CNG Compressor. About 12,330 M2 is reserved for Green Belt and future expansion.</t>
  </si>
  <si>
    <t>As per specifications, material brand, cost may change.</t>
  </si>
  <si>
    <t>"No Objection Certificate" for groundwater extraction</t>
  </si>
  <si>
    <t>Supply of AC power 415 V, 50 Hz, 3P &amp; N required for Total plant running, for consumption of different components of the unit as bellow:</t>
  </si>
  <si>
    <t>Biogas is commercially produced by a process called anaerobic digestion. The process involves breakdown of organic waste materials such as animal waste, food waste and industrial sludge to produce biogas and digestate. The latter is further treated to be used as a fertilizer. Anaerobic digestion process is carried out in a sealed, oxygen-free tank, also called an anaerobic digester. The biogas produced is subjected to scrubbing, upgradation and compression processes to produce Bio-CNG (CBG).</t>
  </si>
  <si>
    <t>Bio-CNG or bio-compressed natural gas, also known as sustainable natural gas or biomethane, is a biogas which has been upgraded to a quality similar to fossil natural gas and having a methane concentration of 90% or greater. As the gas is derived from natural and renewable sources, it is also termed renewable natural gas (RNG).</t>
  </si>
  <si>
    <t>(Ref No. - IndianOil/SATAT/01/3646., Date: 02.01.2024)</t>
  </si>
  <si>
    <t>Additionally, in a significant move towards promoting sustainable agriculture, the central government announced comprehensive guidelines to offer market development
assistance (MDA) at Rs 1500/MT (1.5 RS / Kg) for fermented organic manure (FOM) or bio-digestate derived from compressed biogas (CBG) facilities. The government aims to bolster the production and use of organic fertilizers like FOM; liquid fermented organic manure (LFOM), and enriched phosphate rich organic manure (PROM). These
fertilizers emerge as by-products from biogas (BG) and compressed biogas (CBG) plants.</t>
  </si>
  <si>
    <t>https://pib.gov.in/PressReleasePage.aspx?PRID=1935893</t>
  </si>
  <si>
    <t>Tughalpur, Paragna Goverdhanpur, Tehsil - Laksar in Haridwar district is well known by sugar processing industries from sugarcane. Haridwar is surrounded by top 10 -12
biggest sugarcane industries around 35 to 40 km range area. The present methods of for disposal of press mud are not economically suitable and pollute the environment. Around 800-1000 tons per day of sugarcane press mud is being disposed, as it contains appreciable proportion of biodegradable organic matter, it has very good potential for production of biogas. As per the past records of their yield, we are assured of getting the required amount of raw material as required for the plant. Daily 10-15 tons of Cattle dung and 115-120 ton Sugarcane press- will be fed to the Plant. The proposed scheme will ensure a stable microbial reaction and a smooth functioning of the digester performance. Quantity of the addition will be adjusted as per the availability, TS content, and storage requirements of the project.</t>
  </si>
  <si>
    <t>https://gobardhan.co.in/</t>
  </si>
  <si>
    <t>Demand for alternative fuel vehicles in India is on the upswing and clearly seen in the increasing sales of CNG-powered vehicles. Given the favourable price arbitrage of CNG versus petrol and diesel, retail sales of CNG vehicles, across four sub-segments, crossed the 650,000-unit mark for the first time in a fiscal in FY2023. Cumulative sales of 660,153 units (see data table below) translate into strong double-digit YoY growth of 46% (FY2022: 451,552 units). (Ref.: https://www.autocarpro.in/analysis-sales/cng-vehicle-sales-surge-by-46-to-over-650000-units-in-fy2023-114656)</t>
  </si>
  <si>
    <t>The government has increasingly focused on the production of compressed biogas in India. It is currently aiming to set up 5,000 CBG plants by FY25 under SATAT.</t>
  </si>
  <si>
    <t>The economics of a CBG plant can vary depending on various factors such as the scale of the plant , technology used, feedstock cost , government incentives and market demand for CBG.</t>
  </si>
  <si>
    <t xml:space="preserve">As per the sale deed executed on 29th June 2022, promoters of the Company has purchased a 2.2540 hectare (22,540 Sq. Mt.) land at Khasra No. 740, Village Tughalpur, Paragna Goverdhanpur, Tehsil-Laksar, District Haridwar, Uttarakhand 247663 and this land has been leased out by the promoters in the name of M/s Naruma Industries Private Limited for a period of 29 years on an annual lease rental of INR 12,000/annum (excluding all other charges) through an executed lease deed on 23rd August 2022. </t>
  </si>
  <si>
    <t xml:space="preserve">Change of land use (CLU) has been approved by, for setting up the proposed Bio-CNG plant. </t>
  </si>
  <si>
    <t>With Reference to DPR, study we found that the electricity connection charge for 800 Kva is mentioned 50 Lacs. The Electricity Distribution Division laksar, Haridwar will give an electricity connection line form his nearest substation to   the Naruma Industries Project Site. 
The electrify connection cost 50lacs charge in DPR is included with connection and fix charge , excavation, pipeline laying with cable, and installation and complete commissioning. 
Please also note that as per discussion with M/s. Naruma Industries Pvt Ltd has also applied a electricity connection cost estimate (copy of letter attached) to the Electricity Distribution Division Laksar, Haridwar. Naruma Industries pvt ltd will also submit the cost estimate to their bank as they receive from Electricity distribution division laksar, Haridwar.</t>
  </si>
  <si>
    <t>Reg. No. : 05AAICN2846A1ZT</t>
  </si>
  <si>
    <t>Certificate No:02-7-CAFIP-6921183087298</t>
  </si>
  <si>
    <t>kg/m3</t>
  </si>
  <si>
    <t>kg</t>
  </si>
  <si>
    <t>after leakage</t>
  </si>
  <si>
    <t>5,000 kg</t>
  </si>
  <si>
    <t>70-90</t>
  </si>
  <si>
    <t>Daily Input of Agriculture residue - Paddy Straw</t>
  </si>
  <si>
    <t xml:space="preserve">Daily Volume of Biomass Pellet Production as per Plant Design Capcity </t>
  </si>
  <si>
    <t>Daily Volume of Biomass Pellet (Design Capacity x 90 %)</t>
  </si>
  <si>
    <t>Maximum Quantity of Biomass Pellets Manufactured</t>
  </si>
  <si>
    <t>Selling price of Bioamass Pellets</t>
  </si>
  <si>
    <t xml:space="preserve">Fixed Overheads </t>
  </si>
  <si>
    <t>Trade Payables</t>
  </si>
  <si>
    <t>Salvage value</t>
  </si>
  <si>
    <t>Capex/ (salvage value)</t>
  </si>
  <si>
    <t>Target</t>
  </si>
  <si>
    <t>Median</t>
  </si>
  <si>
    <t>Unlevered Beta - Industry</t>
  </si>
  <si>
    <t>Tax Rate</t>
  </si>
  <si>
    <t>Relevered Beta</t>
  </si>
  <si>
    <t>Cost of Equity (Ke)</t>
  </si>
  <si>
    <t>Risk Free Rate (Rfr)</t>
  </si>
  <si>
    <t>Market Return (Rm)</t>
  </si>
  <si>
    <t>Sum if Risk Free Rate and Market Risk Premium</t>
  </si>
  <si>
    <t>Market Risk Premium</t>
  </si>
  <si>
    <t>Levered Beta</t>
  </si>
  <si>
    <t>Additional Risk Premium</t>
  </si>
  <si>
    <t>Higher CSRP on account of new business</t>
  </si>
  <si>
    <t>Cost of Debt (Kd)</t>
  </si>
  <si>
    <t>Pre Tax - Cost of Debt (Kd)</t>
  </si>
  <si>
    <t>Cost of Debt - Pre Tax</t>
  </si>
  <si>
    <t>Marginal tax rate</t>
  </si>
  <si>
    <t>To be considered from Tax Workings Sheet</t>
  </si>
  <si>
    <t>Post Tax - Cost of Debt (Kd)</t>
  </si>
  <si>
    <t>Debt / Equity</t>
  </si>
  <si>
    <t>Industry</t>
  </si>
  <si>
    <t xml:space="preserve">  </t>
  </si>
  <si>
    <t>Rounded off WACC</t>
  </si>
  <si>
    <t>Promoters' Equity</t>
  </si>
  <si>
    <t xml:space="preserve">COMPUTATION OF PELLETS PRODUCTION </t>
  </si>
  <si>
    <t>Preliminary Expenses</t>
  </si>
  <si>
    <t xml:space="preserve">Total WDV </t>
  </si>
  <si>
    <t>Decrease in WC loan</t>
  </si>
  <si>
    <t>Loan Repayment</t>
  </si>
  <si>
    <t>Less : Taxation @ 25.168%</t>
  </si>
  <si>
    <t>`</t>
  </si>
  <si>
    <t>Trade receivables</t>
  </si>
  <si>
    <t>Inventory</t>
  </si>
  <si>
    <t>Trade payables</t>
  </si>
  <si>
    <t>Total Fixed Cost (incl Int and
Dep)</t>
  </si>
  <si>
    <t xml:space="preserve">Loan Schedule </t>
  </si>
  <si>
    <t>Loan Amount</t>
  </si>
  <si>
    <t>Rs in Lakhs</t>
  </si>
  <si>
    <t>Rep Year</t>
  </si>
  <si>
    <t>Interest Rate</t>
  </si>
  <si>
    <t>%age p.a</t>
  </si>
  <si>
    <t>Repay (%)</t>
  </si>
  <si>
    <t>Op Bal</t>
  </si>
  <si>
    <t>Repay</t>
  </si>
  <si>
    <t>Cl Bal</t>
  </si>
  <si>
    <t>Mar</t>
  </si>
  <si>
    <t>July</t>
  </si>
  <si>
    <t>Aug</t>
  </si>
  <si>
    <t>Sept</t>
  </si>
  <si>
    <t>Oct</t>
  </si>
  <si>
    <t>Nov</t>
  </si>
  <si>
    <t>Dec</t>
  </si>
  <si>
    <t>Jan</t>
  </si>
  <si>
    <t>Feb</t>
  </si>
  <si>
    <t>2024-25</t>
  </si>
  <si>
    <t>Apr</t>
  </si>
  <si>
    <t>May</t>
  </si>
  <si>
    <t>June</t>
  </si>
  <si>
    <t>CoD</t>
  </si>
  <si>
    <t>2025-26</t>
  </si>
  <si>
    <t>2026-27</t>
  </si>
  <si>
    <t>2027-28</t>
  </si>
  <si>
    <t>2028-29</t>
  </si>
  <si>
    <t>2029-30</t>
  </si>
  <si>
    <t>2030-31</t>
  </si>
  <si>
    <t>2031-32</t>
  </si>
  <si>
    <t>Prelm Exps w/off</t>
  </si>
  <si>
    <t>Monthly Pay</t>
  </si>
  <si>
    <t xml:space="preserve">Moratorium Start &amp; End Month </t>
  </si>
  <si>
    <t>PROFORMA BALANCE SHEET (INR Lakh)</t>
  </si>
  <si>
    <t>Amount</t>
  </si>
  <si>
    <t>1. Salary &amp; Wages</t>
  </si>
  <si>
    <t>LAND</t>
  </si>
  <si>
    <t>FURNITURE &amp; FIXTURES</t>
  </si>
  <si>
    <t>Furniture &amp; Fixtures</t>
  </si>
  <si>
    <t>WDV of Furniture &amp; Fixtures</t>
  </si>
  <si>
    <t>Total Trade Payables</t>
  </si>
  <si>
    <t>Unsecured Loan</t>
  </si>
  <si>
    <t>Increase in UL</t>
  </si>
  <si>
    <t>Cash Loss During Construction Period</t>
  </si>
  <si>
    <t>Investment in NWC</t>
  </si>
  <si>
    <t>Terminal value</t>
  </si>
  <si>
    <t>Total cash flows</t>
  </si>
  <si>
    <t xml:space="preserve">Capex = depreciation in TY </t>
  </si>
  <si>
    <t>Project NPV (Post-tax)</t>
  </si>
  <si>
    <t>Interest on Unscured Loan</t>
  </si>
  <si>
    <t>0 M</t>
  </si>
  <si>
    <t>Revenue</t>
  </si>
  <si>
    <t>Occupancy</t>
  </si>
  <si>
    <t>Total Revenue</t>
  </si>
  <si>
    <t>Rooms (Standard)</t>
  </si>
  <si>
    <t>RoomsF&amp;B</t>
  </si>
  <si>
    <t>Restaurant- 1</t>
  </si>
  <si>
    <t>Pax/day</t>
  </si>
  <si>
    <t>Rooms (Deluxe)</t>
  </si>
  <si>
    <t>Rooms(Suite)</t>
  </si>
  <si>
    <t>BanquetHall - 1</t>
  </si>
  <si>
    <t>#</t>
  </si>
  <si>
    <t>MultiPurpose Hall - 3</t>
  </si>
  <si>
    <t>Bar&amp;Disco</t>
  </si>
  <si>
    <t xml:space="preserve">Rooms Revenue </t>
  </si>
  <si>
    <t>Food &amp; Beverage</t>
  </si>
  <si>
    <t>Banquet &amp; Multipurpose Hall Revenue</t>
  </si>
  <si>
    <t>ESCALATION FACTOR (8%)</t>
  </si>
  <si>
    <t>1. Cost of Food &amp; Beverages</t>
  </si>
  <si>
    <t>2. Electricity / Power</t>
  </si>
  <si>
    <t>2. Selling &amp; Marketing</t>
  </si>
  <si>
    <t>COD - 01.04.2026</t>
  </si>
  <si>
    <t>Operating Revenue</t>
  </si>
  <si>
    <t>Operating Expenses</t>
  </si>
  <si>
    <t>Rooms</t>
  </si>
  <si>
    <t>F&amp;B</t>
  </si>
  <si>
    <t>Banquet</t>
  </si>
  <si>
    <t xml:space="preserve">VARIABLE EXPENSES </t>
  </si>
  <si>
    <t>Cost of Food &amp; Beverages</t>
  </si>
  <si>
    <t>Electricity / Power</t>
  </si>
  <si>
    <t>Salary &amp; Wages</t>
  </si>
  <si>
    <t>Selling &amp; Marketing</t>
  </si>
  <si>
    <t>% of revenue</t>
  </si>
  <si>
    <t>TOTAL COST OF SALES</t>
  </si>
  <si>
    <t>Land and Land Development Expenses (Leased Land)</t>
  </si>
  <si>
    <t>Construction of Building, Guard room, Sanitary Works</t>
  </si>
  <si>
    <t>Kitchen Equipment &amp; Utensils</t>
  </si>
  <si>
    <t>Cost of Furniture, Other Interior Work, Lift Elevators</t>
  </si>
  <si>
    <t>Other Costs such as Infrastructure, MGPS System, Fire Fighting Works, contingency, GST etc.</t>
  </si>
  <si>
    <t>Computer</t>
  </si>
  <si>
    <t>Pre-Operative Expenses</t>
  </si>
  <si>
    <t>Electrical Installations (Including AC Ducting HT–LT Panel Works, UPS Connection, etc.)</t>
  </si>
  <si>
    <t>Quasi Share Capital (Unsecured Loan from Directors or Share Holder)</t>
  </si>
  <si>
    <t>Secured Term Loans From Bank/FI (For Project Cost)</t>
  </si>
  <si>
    <t>Moratorium Period Interest</t>
  </si>
  <si>
    <t>Building</t>
  </si>
  <si>
    <t>P&amp;M</t>
  </si>
  <si>
    <t>F&amp;F</t>
  </si>
  <si>
    <t xml:space="preserve">Term Loan </t>
  </si>
  <si>
    <t>Term Loan</t>
  </si>
  <si>
    <t>Sep-24 to Mar-26</t>
  </si>
  <si>
    <t>19 Months</t>
  </si>
  <si>
    <t>Sep-24 to Aug-26</t>
  </si>
  <si>
    <t>5 Months</t>
  </si>
  <si>
    <t>120 Months</t>
  </si>
  <si>
    <t>2032-33</t>
  </si>
  <si>
    <t>2033-34</t>
  </si>
  <si>
    <t>2034-35</t>
  </si>
  <si>
    <t>2035-36</t>
  </si>
  <si>
    <t>2036-37</t>
  </si>
  <si>
    <t>Moratorium period interest</t>
  </si>
  <si>
    <t>Moratorium interest whether payable after end of moratorium</t>
  </si>
  <si>
    <t>Lease start date</t>
  </si>
  <si>
    <t>Lease p.a.</t>
  </si>
  <si>
    <t>Total payment during construction period</t>
  </si>
  <si>
    <t xml:space="preserve">Disb </t>
  </si>
  <si>
    <t>CWIP</t>
  </si>
  <si>
    <t>Interest rate</t>
  </si>
  <si>
    <t>FY2025</t>
  </si>
  <si>
    <t>FY2026</t>
  </si>
  <si>
    <t>Amt</t>
  </si>
  <si>
    <t>RBI - 10-Year G-Sec Par Yield (FBIL) - 18 Aug 2024</t>
  </si>
  <si>
    <t>Damodaran ERP India July 2024</t>
  </si>
  <si>
    <t>Damodaran - Hotels</t>
  </si>
  <si>
    <t>Repair &amp; maintnance exp?</t>
  </si>
  <si>
    <t>Office &amp; admin exp?</t>
  </si>
  <si>
    <t>Cons. end date</t>
  </si>
  <si>
    <t>Land lease premium can be shown under preliminary expenses</t>
  </si>
  <si>
    <t>Repair &amp; Maintenance</t>
  </si>
  <si>
    <t>% of gross block</t>
  </si>
  <si>
    <t>3. Repair &amp; Maintenance</t>
  </si>
  <si>
    <t>Misc. expenses</t>
  </si>
  <si>
    <t>Fixed</t>
  </si>
  <si>
    <t>base year</t>
  </si>
  <si>
    <t>Disbursement schedule and expected project implementation cost</t>
  </si>
  <si>
    <t>Analysis of listed companies in midscale &amp; budget segment</t>
  </si>
  <si>
    <t>Name of Company</t>
  </si>
  <si>
    <t>EDITDA %</t>
  </si>
  <si>
    <t>PAT %</t>
  </si>
  <si>
    <t>Financial Year</t>
  </si>
  <si>
    <t>Internal &amp; outer electrification as per EPC quotation - 17.5% of total amount, i.e., INR 15 Cr has not been considered</t>
  </si>
  <si>
    <t>Lemon Tree Hotels Limited</t>
  </si>
  <si>
    <t>Royal Orchid Hotels Limited</t>
  </si>
  <si>
    <t>Sinclairs Hotels Limited</t>
  </si>
  <si>
    <t>Savera Industries Limited</t>
  </si>
  <si>
    <t>Jindal Hotels Limited</t>
  </si>
  <si>
    <t>Best Eastern Hotels Limited</t>
  </si>
  <si>
    <t>Lords Ishwar Hotels Limited</t>
  </si>
  <si>
    <t>INR Lakhs</t>
  </si>
  <si>
    <t>Average</t>
  </si>
  <si>
    <t>Somptueux Stays Pvt Ltd</t>
  </si>
  <si>
    <t>Min</t>
  </si>
  <si>
    <t>Max</t>
  </si>
  <si>
    <t>4 parties per hall per month, 100 people per party, INR 500 per plate</t>
  </si>
  <si>
    <t>4 parties per month, average gathering of 200 people, INR 1200 per plate</t>
  </si>
  <si>
    <t>Consumables</t>
  </si>
  <si>
    <t>Avg exp</t>
  </si>
  <si>
    <t>No of emp.</t>
  </si>
  <si>
    <t>D/E</t>
  </si>
  <si>
    <t>As per EPC quotation</t>
  </si>
  <si>
    <t>Can be added to preliminary expenses</t>
  </si>
  <si>
    <t>Average Room Rate (ARR)</t>
  </si>
  <si>
    <t>No quotations provided</t>
  </si>
  <si>
    <t>No detail provided</t>
  </si>
  <si>
    <t>Avg salary per emp p.a. (INR Lakhs)</t>
  </si>
  <si>
    <t>3. Lease expense</t>
  </si>
  <si>
    <t>Lease expense</t>
  </si>
  <si>
    <t>4. Misc.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</si>
</sst>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quot;₹&quot;\ #,##0.00"/>
    <numFmt numFmtId="167" formatCode="&quot;₹&quot;\ #,##0"/>
    <numFmt numFmtId="168" formatCode="[$₹-439]#,##0"/>
    <numFmt numFmtId="169" formatCode="_(* #,##0_);_(* \(#,##0\);_(* &quot;-&quot;??_);_(@_)"/>
    <numFmt numFmtId="170" formatCode="0.0%"/>
    <numFmt numFmtId="171" formatCode="&quot;₹&quot;#,##0.00"/>
    <numFmt numFmtId="172" formatCode="0.00_);\(0.00\)"/>
    <numFmt numFmtId="173" formatCode="_ * #,##0_ ;_ * \-#,##0_ ;_ * &quot;-&quot;??_ ;_ @_ "/>
    <numFmt numFmtId="174" formatCode="0.000%"/>
    <numFmt numFmtId="175" formatCode="0.0_);\(0.0\)"/>
    <numFmt numFmtId="176" formatCode="#,##0.0"/>
    <numFmt numFmtId="177" formatCode="0;[Red]0"/>
    <numFmt numFmtId="178" formatCode="&quot;₹&quot;\ #,##0.000"/>
    <numFmt numFmtId="179" formatCode="&quot;FY&quot;\ 0"/>
  </numFmts>
  <fonts count="41" x14ac:knownFonts="1">
    <font>
      <sz val="11"/>
      <color theme="1"/>
      <name val="Calibri"/>
      <family val="2"/>
      <scheme val="minor"/>
    </font>
    <font>
      <sz val="11"/>
      <color theme="1"/>
      <name val="Times New Roman"/>
      <family val="1"/>
    </font>
    <font>
      <b/>
      <sz val="11"/>
      <color theme="1"/>
      <name val="Calibri"/>
      <family val="2"/>
      <scheme val="minor"/>
    </font>
    <font>
      <sz val="12"/>
      <color theme="1"/>
      <name val="Times New Roman"/>
      <family val="1"/>
    </font>
    <font>
      <sz val="12"/>
      <color theme="1"/>
      <name val="Calibri"/>
      <family val="2"/>
      <scheme val="minor"/>
    </font>
    <font>
      <b/>
      <sz val="12"/>
      <color theme="1"/>
      <name val="Times New Roman"/>
      <family val="1"/>
    </font>
    <font>
      <b/>
      <sz val="12"/>
      <color theme="1"/>
      <name val="Calibri"/>
      <family val="2"/>
      <scheme val="minor"/>
    </font>
    <font>
      <b/>
      <sz val="14"/>
      <color theme="1"/>
      <name val="Times New Roman"/>
      <family val="1"/>
    </font>
    <font>
      <b/>
      <sz val="11"/>
      <color theme="1"/>
      <name val="Times New Roman"/>
      <family val="1"/>
    </font>
    <font>
      <sz val="12"/>
      <color rgb="FF000000"/>
      <name val="Times New Roman"/>
      <family val="1"/>
    </font>
    <font>
      <sz val="11"/>
      <color theme="1"/>
      <name val="Calibri"/>
      <family val="2"/>
      <scheme val="minor"/>
    </font>
    <font>
      <sz val="10"/>
      <name val="Arial"/>
      <family val="2"/>
    </font>
    <font>
      <b/>
      <sz val="10"/>
      <name val="Arial"/>
      <family val="2"/>
    </font>
    <font>
      <sz val="10"/>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1"/>
      <color theme="0"/>
      <name val="Calibri"/>
      <family val="2"/>
    </font>
    <font>
      <b/>
      <sz val="12"/>
      <color rgb="FFC00000"/>
      <name val="Calibri"/>
      <family val="2"/>
    </font>
    <font>
      <b/>
      <sz val="11"/>
      <name val="Calibri"/>
      <family val="2"/>
    </font>
    <font>
      <b/>
      <sz val="11"/>
      <color rgb="FFC00000"/>
      <name val="Calibri"/>
      <family val="2"/>
    </font>
    <font>
      <sz val="11"/>
      <color theme="0"/>
      <name val="Calibri"/>
      <family val="2"/>
    </font>
    <font>
      <sz val="11"/>
      <name val="Calibri"/>
      <family val="2"/>
    </font>
    <font>
      <sz val="11"/>
      <color rgb="FFC00000"/>
      <name val="Calibri"/>
      <family val="2"/>
    </font>
    <font>
      <sz val="11"/>
      <color rgb="FFFF0000"/>
      <name val="Calibri"/>
      <family val="2"/>
    </font>
    <font>
      <b/>
      <sz val="11"/>
      <color indexed="12"/>
      <name val="Calibri"/>
      <family val="2"/>
    </font>
    <font>
      <b/>
      <i/>
      <sz val="11"/>
      <color theme="1"/>
      <name val="Calibri"/>
      <family val="2"/>
    </font>
    <font>
      <sz val="11"/>
      <name val="Calibri"/>
      <family val="2"/>
      <scheme val="minor"/>
    </font>
    <font>
      <i/>
      <sz val="11"/>
      <color theme="1"/>
      <name val="Calibri"/>
      <family val="2"/>
    </font>
    <font>
      <b/>
      <sz val="11"/>
      <color theme="0"/>
      <name val="Calibri"/>
      <family val="2"/>
      <scheme val="minor"/>
    </font>
    <font>
      <u/>
      <sz val="11"/>
      <color theme="10"/>
      <name val="Calibri"/>
      <family val="2"/>
      <scheme val="minor"/>
    </font>
    <font>
      <b/>
      <sz val="10"/>
      <color theme="0"/>
      <name val="Calibri"/>
      <family val="2"/>
    </font>
    <font>
      <sz val="10"/>
      <name val="Calibri"/>
      <family val="2"/>
    </font>
    <font>
      <sz val="11"/>
      <color theme="1"/>
      <name val="Times New Roman"/>
      <family val="2"/>
    </font>
    <font>
      <b/>
      <u/>
      <sz val="10"/>
      <name val="Calibri"/>
      <family val="2"/>
    </font>
    <font>
      <i/>
      <sz val="10"/>
      <color rgb="FFFF0000"/>
      <name val="Calibri"/>
      <family val="2"/>
    </font>
    <font>
      <i/>
      <sz val="10"/>
      <name val="Calibri"/>
      <family val="2"/>
    </font>
    <font>
      <b/>
      <sz val="10"/>
      <name val="Calibri"/>
      <family val="2"/>
    </font>
    <font>
      <b/>
      <u/>
      <sz val="11"/>
      <color theme="1"/>
      <name val="Calibri"/>
      <family val="2"/>
      <scheme val="minor"/>
    </font>
    <font>
      <b/>
      <sz val="11"/>
      <color rgb="FFFF0000"/>
      <name val="Calibri"/>
      <family val="2"/>
    </font>
  </fonts>
  <fills count="18">
    <fill>
      <patternFill patternType="none"/>
    </fill>
    <fill>
      <patternFill patternType="gray125"/>
    </fill>
    <fill>
      <patternFill patternType="solid">
        <fgColor indexed="9"/>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rgb="FF01274E"/>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indexed="64"/>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10" fillId="0" borderId="0" applyFont="0" applyFill="0" applyBorder="0" applyAlignment="0" applyProtection="0"/>
    <xf numFmtId="0" fontId="11" fillId="0" borderId="0"/>
    <xf numFmtId="9" fontId="11" fillId="0" borderId="0" applyFont="0" applyFill="0" applyBorder="0" applyAlignment="0" applyProtection="0"/>
    <xf numFmtId="165" fontId="10" fillId="0" borderId="0" applyFont="0" applyFill="0" applyBorder="0" applyAlignment="0" applyProtection="0"/>
    <xf numFmtId="0" fontId="13" fillId="0" borderId="0"/>
    <xf numFmtId="43" fontId="10" fillId="0" borderId="0" applyFont="0" applyFill="0" applyBorder="0" applyAlignment="0" applyProtection="0"/>
    <xf numFmtId="0" fontId="11" fillId="0" borderId="0"/>
    <xf numFmtId="0" fontId="31" fillId="0" borderId="0" applyNumberFormat="0" applyFill="0" applyBorder="0" applyAlignment="0" applyProtection="0"/>
    <xf numFmtId="0" fontId="11" fillId="0" borderId="0"/>
    <xf numFmtId="0" fontId="34" fillId="0" borderId="0"/>
  </cellStyleXfs>
  <cellXfs count="470">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vertical="center"/>
    </xf>
    <xf numFmtId="0" fontId="8"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xf>
    <xf numFmtId="0" fontId="1" fillId="0" borderId="1" xfId="0" applyFont="1" applyBorder="1"/>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0" xfId="0" applyAlignment="1">
      <alignment horizontal="center"/>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8" fillId="0" borderId="0" xfId="0" applyNumberFormat="1" applyFont="1" applyAlignment="1">
      <alignment horizontal="right"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xf>
    <xf numFmtId="0" fontId="9" fillId="0" borderId="1" xfId="0" applyFont="1" applyBorder="1" applyAlignment="1">
      <alignment horizontal="center" vertical="center"/>
    </xf>
    <xf numFmtId="2" fontId="0" fillId="0" borderId="0" xfId="0" applyNumberFormat="1"/>
    <xf numFmtId="0" fontId="0" fillId="0" borderId="1" xfId="0" applyBorder="1"/>
    <xf numFmtId="9" fontId="0" fillId="0" borderId="1" xfId="0" applyNumberFormat="1" applyBorder="1"/>
    <xf numFmtId="2" fontId="0" fillId="0" borderId="1" xfId="0" applyNumberFormat="1" applyBorder="1"/>
    <xf numFmtId="0" fontId="3" fillId="0" borderId="1" xfId="0" applyFont="1" applyBorder="1" applyAlignment="1">
      <alignment horizontal="left" wrapText="1"/>
    </xf>
    <xf numFmtId="0" fontId="1" fillId="0" borderId="1" xfId="0" applyFont="1" applyBorder="1" applyAlignment="1">
      <alignment horizontal="left" vertical="center" wrapText="1" indent="1"/>
    </xf>
    <xf numFmtId="0" fontId="3" fillId="0" borderId="0" xfId="0" applyFont="1" applyAlignment="1">
      <alignment vertical="center"/>
    </xf>
    <xf numFmtId="0" fontId="3" fillId="0" borderId="0" xfId="0" applyFont="1" applyAlignment="1">
      <alignment horizontal="center" vertical="center"/>
    </xf>
    <xf numFmtId="4" fontId="1" fillId="0" borderId="1" xfId="0" applyNumberFormat="1" applyFont="1" applyBorder="1" applyAlignment="1">
      <alignment vertical="center"/>
    </xf>
    <xf numFmtId="2" fontId="1" fillId="0" borderId="1" xfId="0" applyNumberFormat="1" applyFont="1" applyBorder="1" applyAlignment="1">
      <alignment vertical="center"/>
    </xf>
    <xf numFmtId="2" fontId="8" fillId="0" borderId="1" xfId="0" applyNumberFormat="1" applyFont="1" applyBorder="1" applyAlignment="1">
      <alignment vertical="center"/>
    </xf>
    <xf numFmtId="4"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indent="5"/>
    </xf>
    <xf numFmtId="3" fontId="3" fillId="0" borderId="1" xfId="0" applyNumberFormat="1" applyFont="1" applyBorder="1" applyAlignment="1">
      <alignment horizontal="right" vertical="center" indent="1"/>
    </xf>
    <xf numFmtId="3" fontId="5" fillId="0" borderId="1" xfId="0" applyNumberFormat="1" applyFont="1" applyBorder="1" applyAlignment="1">
      <alignment horizontal="right" vertical="center" indent="1"/>
    </xf>
    <xf numFmtId="1" fontId="0" fillId="0" borderId="1" xfId="0" applyNumberFormat="1" applyBorder="1"/>
    <xf numFmtId="1" fontId="0" fillId="0" borderId="1" xfId="0" applyNumberFormat="1" applyBorder="1" applyAlignment="1">
      <alignment horizontal="center"/>
    </xf>
    <xf numFmtId="0" fontId="12" fillId="2" borderId="1" xfId="5" applyFont="1" applyFill="1" applyBorder="1" applyAlignment="1">
      <alignment vertical="center"/>
    </xf>
    <xf numFmtId="9" fontId="8" fillId="0" borderId="1" xfId="1" applyFont="1" applyBorder="1" applyAlignment="1">
      <alignment vertical="center"/>
    </xf>
    <xf numFmtId="10" fontId="2" fillId="0" borderId="1" xfId="0" applyNumberFormat="1" applyFont="1" applyBorder="1"/>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3" fontId="14" fillId="0" borderId="0" xfId="0" applyNumberFormat="1" applyFont="1" applyAlignment="1">
      <alignment horizontal="center" vertical="center"/>
    </xf>
    <xf numFmtId="3" fontId="15" fillId="0" borderId="0" xfId="0" applyNumberFormat="1" applyFont="1" applyAlignment="1">
      <alignment horizontal="right" vertical="center"/>
    </xf>
    <xf numFmtId="0" fontId="15" fillId="0" borderId="0" xfId="0" applyFont="1" applyAlignment="1">
      <alignment horizontal="left" vertical="center" wrapText="1"/>
    </xf>
    <xf numFmtId="0" fontId="14" fillId="0" borderId="0" xfId="0" applyFont="1" applyAlignment="1">
      <alignment horizontal="left" vertical="center"/>
    </xf>
    <xf numFmtId="3" fontId="15" fillId="0" borderId="0" xfId="0" applyNumberFormat="1" applyFont="1" applyAlignment="1">
      <alignment horizontal="center" vertical="center"/>
    </xf>
    <xf numFmtId="0" fontId="14" fillId="0" borderId="0" xfId="0" applyFont="1" applyAlignment="1">
      <alignment vertical="center" wrapText="1"/>
    </xf>
    <xf numFmtId="1" fontId="14" fillId="0" borderId="0" xfId="0" applyNumberFormat="1" applyFont="1" applyAlignment="1">
      <alignment horizontal="center" vertical="center"/>
    </xf>
    <xf numFmtId="166" fontId="15" fillId="0" borderId="0" xfId="0" applyNumberFormat="1"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top"/>
    </xf>
    <xf numFmtId="171" fontId="15" fillId="0" borderId="0" xfId="0" applyNumberFormat="1" applyFont="1" applyAlignment="1">
      <alignment horizontal="center" vertical="center"/>
    </xf>
    <xf numFmtId="9" fontId="14" fillId="0" borderId="0" xfId="0" applyNumberFormat="1" applyFont="1" applyAlignment="1">
      <alignment horizontal="center" vertical="center"/>
    </xf>
    <xf numFmtId="10" fontId="14" fillId="0" borderId="0" xfId="0" applyNumberFormat="1"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vertical="center"/>
    </xf>
    <xf numFmtId="38" fontId="14" fillId="0" borderId="0" xfId="0" applyNumberFormat="1" applyFont="1" applyAlignment="1">
      <alignment horizontal="center" vertical="center"/>
    </xf>
    <xf numFmtId="0" fontId="15" fillId="0" borderId="0" xfId="0" applyFont="1" applyAlignment="1">
      <alignment horizontal="center" wrapText="1"/>
    </xf>
    <xf numFmtId="168" fontId="15" fillId="0" borderId="0" xfId="0" applyNumberFormat="1" applyFont="1" applyAlignment="1">
      <alignment horizontal="center" vertical="center"/>
    </xf>
    <xf numFmtId="167" fontId="14" fillId="0" borderId="0" xfId="0" applyNumberFormat="1" applyFont="1" applyAlignment="1">
      <alignment horizontal="center" vertical="center"/>
    </xf>
    <xf numFmtId="167" fontId="15" fillId="0" borderId="0" xfId="0" applyNumberFormat="1" applyFont="1" applyAlignment="1">
      <alignment horizontal="center" vertical="center"/>
    </xf>
    <xf numFmtId="0" fontId="18" fillId="10" borderId="0" xfId="0" applyFont="1" applyFill="1" applyAlignment="1">
      <alignment horizontal="center" wrapText="1"/>
    </xf>
    <xf numFmtId="0" fontId="15" fillId="9" borderId="0" xfId="0" applyFont="1" applyFill="1" applyAlignment="1">
      <alignment horizontal="center" vertical="center"/>
    </xf>
    <xf numFmtId="0" fontId="15" fillId="9" borderId="0" xfId="0" applyFont="1" applyFill="1" applyAlignment="1">
      <alignment horizontal="center" vertical="center" wrapText="1"/>
    </xf>
    <xf numFmtId="0" fontId="14" fillId="9" borderId="0" xfId="0" applyFont="1" applyFill="1" applyAlignment="1">
      <alignment horizontal="center" vertical="center"/>
    </xf>
    <xf numFmtId="0" fontId="15" fillId="0" borderId="2" xfId="0" applyFont="1" applyBorder="1" applyAlignment="1">
      <alignment horizontal="center" vertical="center"/>
    </xf>
    <xf numFmtId="0" fontId="14" fillId="0" borderId="2" xfId="0" applyFont="1" applyBorder="1" applyAlignment="1">
      <alignment horizontal="left" vertical="center" wrapText="1"/>
    </xf>
    <xf numFmtId="166" fontId="15" fillId="0" borderId="2" xfId="0" applyNumberFormat="1" applyFont="1" applyBorder="1" applyAlignment="1">
      <alignment horizontal="center" vertical="center"/>
    </xf>
    <xf numFmtId="0" fontId="15" fillId="9" borderId="2" xfId="0" applyFont="1" applyFill="1" applyBorder="1" applyAlignment="1">
      <alignment horizontal="center" vertical="center"/>
    </xf>
    <xf numFmtId="0" fontId="15" fillId="9" borderId="2" xfId="0" applyFont="1" applyFill="1" applyBorder="1" applyAlignment="1">
      <alignment horizontal="center" vertical="center" wrapText="1"/>
    </xf>
    <xf numFmtId="166" fontId="15" fillId="9"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left" vertical="center" wrapText="1"/>
    </xf>
    <xf numFmtId="3" fontId="15" fillId="0" borderId="2" xfId="0" applyNumberFormat="1" applyFont="1" applyBorder="1" applyAlignment="1">
      <alignment horizontal="right" vertical="center"/>
    </xf>
    <xf numFmtId="3" fontId="14" fillId="0" borderId="2" xfId="0" applyNumberFormat="1" applyFont="1" applyBorder="1" applyAlignment="1">
      <alignment horizontal="center" vertical="center"/>
    </xf>
    <xf numFmtId="168" fontId="15"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0" fontId="15" fillId="9" borderId="2" xfId="0" applyFont="1" applyFill="1" applyBorder="1" applyAlignment="1">
      <alignment horizontal="left" vertical="center" wrapText="1"/>
    </xf>
    <xf numFmtId="3" fontId="14" fillId="9" borderId="2" xfId="0" applyNumberFormat="1" applyFont="1" applyFill="1" applyBorder="1" applyAlignment="1">
      <alignment horizontal="center" vertical="center"/>
    </xf>
    <xf numFmtId="167" fontId="15" fillId="9" borderId="2" xfId="0" applyNumberFormat="1" applyFont="1" applyFill="1" applyBorder="1" applyAlignment="1">
      <alignment horizontal="center" vertic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167" fontId="18" fillId="10" borderId="0" xfId="0" applyNumberFormat="1" applyFont="1" applyFill="1" applyAlignment="1">
      <alignment horizontal="center" vertical="center"/>
    </xf>
    <xf numFmtId="0" fontId="14" fillId="0" borderId="0" xfId="0" applyFont="1"/>
    <xf numFmtId="0" fontId="14" fillId="0" borderId="0" xfId="0" applyFont="1" applyAlignment="1">
      <alignment vertical="center"/>
    </xf>
    <xf numFmtId="2" fontId="14" fillId="0" borderId="0" xfId="0" applyNumberFormat="1" applyFont="1" applyAlignment="1">
      <alignment vertical="center"/>
    </xf>
    <xf numFmtId="9" fontId="14" fillId="0" borderId="0" xfId="1" applyFont="1" applyBorder="1" applyAlignment="1">
      <alignment vertical="center"/>
    </xf>
    <xf numFmtId="2" fontId="14" fillId="0" borderId="0" xfId="0" applyNumberFormat="1" applyFont="1" applyAlignment="1">
      <alignment horizontal="center" vertical="center"/>
    </xf>
    <xf numFmtId="0" fontId="14" fillId="0" borderId="0" xfId="0" applyFont="1" applyAlignment="1">
      <alignment wrapText="1"/>
    </xf>
    <xf numFmtId="0" fontId="14" fillId="0" borderId="0" xfId="0" applyFont="1" applyAlignment="1">
      <alignment horizontal="center" wrapText="1"/>
    </xf>
    <xf numFmtId="0" fontId="15" fillId="9" borderId="0" xfId="0" applyFont="1" applyFill="1" applyAlignment="1">
      <alignment vertical="center"/>
    </xf>
    <xf numFmtId="167" fontId="15" fillId="9" borderId="0" xfId="0" applyNumberFormat="1" applyFont="1" applyFill="1" applyAlignment="1">
      <alignment horizontal="center" vertical="center"/>
    </xf>
    <xf numFmtId="166" fontId="14" fillId="9" borderId="0" xfId="0" applyNumberFormat="1" applyFont="1" applyFill="1" applyAlignment="1">
      <alignment horizontal="center" vertical="center"/>
    </xf>
    <xf numFmtId="0" fontId="14" fillId="9" borderId="2" xfId="0" applyFont="1" applyFill="1" applyBorder="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9" borderId="0" xfId="0" applyFont="1" applyFill="1" applyAlignment="1">
      <alignment vertical="center" wrapText="1"/>
    </xf>
    <xf numFmtId="3" fontId="14" fillId="9" borderId="0" xfId="0" applyNumberFormat="1" applyFont="1" applyFill="1" applyAlignment="1">
      <alignment horizontal="center" vertical="center"/>
    </xf>
    <xf numFmtId="0" fontId="15" fillId="9" borderId="0" xfId="0" applyFont="1" applyFill="1" applyAlignment="1">
      <alignment horizontal="left" vertical="center" wrapText="1"/>
    </xf>
    <xf numFmtId="0" fontId="18" fillId="10" borderId="0" xfId="0" applyFont="1" applyFill="1"/>
    <xf numFmtId="0" fontId="22" fillId="10" borderId="0" xfId="0" applyFont="1" applyFill="1" applyAlignment="1">
      <alignment horizontal="center" vertical="center"/>
    </xf>
    <xf numFmtId="2" fontId="15" fillId="0" borderId="0" xfId="0" applyNumberFormat="1" applyFont="1" applyAlignment="1">
      <alignment horizontal="center" vertical="center"/>
    </xf>
    <xf numFmtId="9" fontId="14" fillId="0" borderId="0" xfId="1" applyFont="1" applyBorder="1"/>
    <xf numFmtId="2" fontId="14" fillId="0" borderId="0" xfId="0" applyNumberFormat="1" applyFont="1"/>
    <xf numFmtId="0" fontId="14" fillId="0" borderId="0" xfId="0" applyFont="1" applyAlignment="1">
      <alignment horizontal="left"/>
    </xf>
    <xf numFmtId="0" fontId="18" fillId="10" borderId="0" xfId="0" applyFont="1" applyFill="1" applyAlignment="1">
      <alignment horizontal="left" vertical="center"/>
    </xf>
    <xf numFmtId="0" fontId="18" fillId="10" borderId="0" xfId="0" applyFont="1" applyFill="1" applyAlignment="1">
      <alignment horizontal="left" vertical="center" wrapText="1"/>
    </xf>
    <xf numFmtId="0" fontId="20" fillId="9" borderId="0" xfId="0" applyFont="1" applyFill="1" applyAlignment="1">
      <alignment horizontal="left" vertical="center" wrapText="1"/>
    </xf>
    <xf numFmtId="0" fontId="20" fillId="9" borderId="0" xfId="0" applyFont="1" applyFill="1" applyAlignment="1">
      <alignment horizontal="center" vertical="center" wrapText="1"/>
    </xf>
    <xf numFmtId="0" fontId="15" fillId="0" borderId="2" xfId="0" applyFont="1" applyBorder="1" applyAlignment="1">
      <alignment horizontal="left" vertical="center"/>
    </xf>
    <xf numFmtId="2" fontId="15" fillId="0" borderId="2" xfId="0" applyNumberFormat="1" applyFont="1" applyBorder="1" applyAlignment="1">
      <alignment vertical="center"/>
    </xf>
    <xf numFmtId="2" fontId="14" fillId="0" borderId="2" xfId="0" applyNumberFormat="1" applyFont="1" applyBorder="1" applyAlignment="1">
      <alignment vertical="center"/>
    </xf>
    <xf numFmtId="0" fontId="18" fillId="10" borderId="2" xfId="0" applyFont="1" applyFill="1" applyBorder="1" applyAlignment="1">
      <alignment horizontal="left" vertical="center"/>
    </xf>
    <xf numFmtId="2" fontId="18" fillId="10" borderId="2" xfId="0" applyNumberFormat="1" applyFont="1" applyFill="1" applyBorder="1" applyAlignment="1">
      <alignment vertical="center"/>
    </xf>
    <xf numFmtId="2" fontId="15" fillId="9" borderId="0" xfId="0" applyNumberFormat="1" applyFont="1" applyFill="1" applyAlignment="1">
      <alignment vertical="center"/>
    </xf>
    <xf numFmtId="0" fontId="15" fillId="9" borderId="0" xfId="0" applyFont="1" applyFill="1" applyAlignment="1">
      <alignment horizontal="left" vertical="center"/>
    </xf>
    <xf numFmtId="2" fontId="25" fillId="0" borderId="0" xfId="0" applyNumberFormat="1" applyFont="1" applyAlignment="1">
      <alignment horizontal="center"/>
    </xf>
    <xf numFmtId="0" fontId="25" fillId="0" borderId="0" xfId="0" applyFont="1" applyAlignment="1">
      <alignment horizontal="left" vertical="center"/>
    </xf>
    <xf numFmtId="0" fontId="24" fillId="4" borderId="0" xfId="0" applyFont="1" applyFill="1" applyAlignment="1">
      <alignment horizontal="center" vertical="center"/>
    </xf>
    <xf numFmtId="0" fontId="18" fillId="10" borderId="0" xfId="0" applyFont="1" applyFill="1" applyAlignment="1">
      <alignment vertical="center" wrapText="1"/>
    </xf>
    <xf numFmtId="2" fontId="18" fillId="10" borderId="0" xfId="0" applyNumberFormat="1" applyFont="1" applyFill="1" applyAlignment="1">
      <alignment horizontal="center" vertical="center"/>
    </xf>
    <xf numFmtId="2" fontId="15" fillId="9" borderId="2" xfId="0" applyNumberFormat="1" applyFont="1" applyFill="1" applyBorder="1" applyAlignment="1">
      <alignment horizontal="center" vertical="center"/>
    </xf>
    <xf numFmtId="0" fontId="18" fillId="10" borderId="0" xfId="0" applyFont="1" applyFill="1" applyAlignment="1">
      <alignment vertical="center"/>
    </xf>
    <xf numFmtId="9" fontId="20" fillId="2" borderId="0" xfId="1" applyFont="1" applyFill="1" applyBorder="1" applyAlignment="1">
      <alignment horizontal="center" vertical="center"/>
    </xf>
    <xf numFmtId="0" fontId="14" fillId="2" borderId="0" xfId="0" applyFont="1" applyFill="1" applyAlignment="1">
      <alignment vertical="center"/>
    </xf>
    <xf numFmtId="0" fontId="21" fillId="4" borderId="0" xfId="0" applyFont="1" applyFill="1" applyAlignment="1">
      <alignment vertical="center"/>
    </xf>
    <xf numFmtId="0" fontId="15" fillId="5" borderId="0" xfId="0" applyFont="1" applyFill="1" applyAlignment="1">
      <alignment horizontal="center" vertical="center"/>
    </xf>
    <xf numFmtId="0" fontId="20" fillId="8" borderId="0" xfId="0" applyFont="1" applyFill="1" applyAlignment="1">
      <alignment horizontal="left" vertical="center"/>
    </xf>
    <xf numFmtId="0" fontId="20" fillId="2" borderId="0" xfId="0" applyFont="1" applyFill="1" applyAlignment="1">
      <alignment horizontal="center" vertical="center"/>
    </xf>
    <xf numFmtId="9" fontId="14" fillId="2" borderId="0" xfId="0" applyNumberFormat="1" applyFont="1" applyFill="1" applyAlignment="1">
      <alignment horizontal="center" vertical="center"/>
    </xf>
    <xf numFmtId="0" fontId="14" fillId="2" borderId="0" xfId="0" applyFont="1" applyFill="1" applyAlignment="1">
      <alignment horizontal="center" vertical="center"/>
    </xf>
    <xf numFmtId="2" fontId="14" fillId="2" borderId="0" xfId="0" applyNumberFormat="1" applyFont="1" applyFill="1" applyAlignment="1">
      <alignment horizontal="center" vertical="center"/>
    </xf>
    <xf numFmtId="0" fontId="21" fillId="4" borderId="0" xfId="0" applyFont="1" applyFill="1" applyAlignment="1">
      <alignment horizontal="left" vertical="center"/>
    </xf>
    <xf numFmtId="0" fontId="23" fillId="2" borderId="0" xfId="0" applyFont="1" applyFill="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0" fillId="2" borderId="0" xfId="0" applyFont="1" applyFill="1" applyAlignment="1">
      <alignment horizontal="left" vertical="center"/>
    </xf>
    <xf numFmtId="0" fontId="26" fillId="2" borderId="0" xfId="0" applyFont="1" applyFill="1" applyAlignment="1">
      <alignment horizontal="left" vertical="center"/>
    </xf>
    <xf numFmtId="0" fontId="23" fillId="2" borderId="0" xfId="7" applyFont="1" applyFill="1" applyAlignment="1">
      <alignment horizontal="left" vertical="center"/>
    </xf>
    <xf numFmtId="0" fontId="20" fillId="2" borderId="0" xfId="7" applyFont="1" applyFill="1" applyAlignment="1">
      <alignment horizontal="left" vertical="center"/>
    </xf>
    <xf numFmtId="0" fontId="14" fillId="2" borderId="0" xfId="0" applyFont="1" applyFill="1" applyAlignment="1">
      <alignment horizontal="left" vertical="center"/>
    </xf>
    <xf numFmtId="9" fontId="14" fillId="2" borderId="0" xfId="0" applyNumberFormat="1" applyFont="1" applyFill="1" applyAlignment="1">
      <alignment horizontal="left" vertical="center"/>
    </xf>
    <xf numFmtId="0" fontId="26" fillId="2" borderId="0" xfId="0" applyFont="1" applyFill="1" applyAlignment="1">
      <alignment horizontal="center" vertical="center"/>
    </xf>
    <xf numFmtId="9" fontId="20" fillId="2" borderId="0" xfId="0" applyNumberFormat="1" applyFont="1" applyFill="1" applyAlignment="1">
      <alignment horizontal="center" vertical="center"/>
    </xf>
    <xf numFmtId="170" fontId="20" fillId="2" borderId="0" xfId="1" applyNumberFormat="1" applyFont="1" applyFill="1" applyBorder="1" applyAlignment="1">
      <alignment horizontal="center" vertical="center"/>
    </xf>
    <xf numFmtId="169" fontId="20" fillId="2" borderId="0" xfId="6" applyNumberFormat="1" applyFont="1" applyFill="1" applyBorder="1" applyAlignment="1">
      <alignment horizontal="center" vertical="center"/>
    </xf>
    <xf numFmtId="1" fontId="20" fillId="2" borderId="0" xfId="0" applyNumberFormat="1" applyFont="1" applyFill="1" applyAlignment="1">
      <alignment horizontal="center" vertical="center"/>
    </xf>
    <xf numFmtId="2" fontId="20" fillId="2" borderId="0" xfId="0" applyNumberFormat="1" applyFont="1" applyFill="1" applyAlignment="1">
      <alignment horizontal="center" vertical="center"/>
    </xf>
    <xf numFmtId="169" fontId="14" fillId="2" borderId="0" xfId="0" applyNumberFormat="1" applyFont="1" applyFill="1" applyAlignment="1">
      <alignment horizontal="center" vertical="center"/>
    </xf>
    <xf numFmtId="9" fontId="23" fillId="2" borderId="0" xfId="1" applyFont="1" applyFill="1" applyBorder="1" applyAlignment="1">
      <alignment horizontal="center" vertical="center"/>
    </xf>
    <xf numFmtId="10" fontId="14" fillId="2" borderId="0" xfId="0" applyNumberFormat="1" applyFont="1" applyFill="1" applyAlignment="1">
      <alignment horizontal="center" vertical="center"/>
    </xf>
    <xf numFmtId="43" fontId="23" fillId="2" borderId="0" xfId="6" applyFont="1" applyFill="1" applyBorder="1" applyAlignment="1">
      <alignment horizontal="center" vertical="center"/>
    </xf>
    <xf numFmtId="164" fontId="14" fillId="2" borderId="0" xfId="0" applyNumberFormat="1" applyFont="1" applyFill="1" applyAlignment="1">
      <alignment horizontal="center" vertical="center"/>
    </xf>
    <xf numFmtId="0" fontId="20" fillId="9" borderId="2" xfId="0" applyFont="1" applyFill="1" applyBorder="1" applyAlignment="1">
      <alignment horizontal="left" vertical="center"/>
    </xf>
    <xf numFmtId="0" fontId="15" fillId="2" borderId="0" xfId="0" applyFont="1" applyFill="1" applyAlignment="1">
      <alignment vertical="center"/>
    </xf>
    <xf numFmtId="0" fontId="23" fillId="2" borderId="0" xfId="0" applyFont="1" applyFill="1" applyAlignment="1">
      <alignment horizontal="left" vertical="center" wrapText="1"/>
    </xf>
    <xf numFmtId="0" fontId="20" fillId="9" borderId="2" xfId="0" applyFont="1" applyFill="1" applyBorder="1" applyAlignment="1">
      <alignment horizontal="left" vertical="center" wrapText="1"/>
    </xf>
    <xf numFmtId="0" fontId="22" fillId="10" borderId="0" xfId="0" applyFont="1" applyFill="1" applyAlignment="1">
      <alignment horizontal="left" vertical="center"/>
    </xf>
    <xf numFmtId="1" fontId="20" fillId="0" borderId="0" xfId="2" applyNumberFormat="1" applyFont="1" applyAlignment="1">
      <alignment horizontal="left" vertical="center"/>
    </xf>
    <xf numFmtId="1" fontId="23" fillId="0" borderId="0" xfId="2" applyNumberFormat="1" applyFont="1" applyAlignment="1">
      <alignment horizontal="left" vertical="center"/>
    </xf>
    <xf numFmtId="0" fontId="23" fillId="0" borderId="0" xfId="0" applyFont="1" applyAlignment="1">
      <alignment horizontal="center" vertical="center"/>
    </xf>
    <xf numFmtId="1" fontId="20" fillId="0" borderId="0" xfId="2" applyNumberFormat="1" applyFont="1" applyAlignment="1">
      <alignment horizontal="center" vertical="center"/>
    </xf>
    <xf numFmtId="1" fontId="21" fillId="4" borderId="0" xfId="2" applyNumberFormat="1" applyFont="1" applyFill="1" applyAlignment="1">
      <alignment horizontal="left" vertical="center"/>
    </xf>
    <xf numFmtId="1" fontId="20" fillId="9" borderId="2" xfId="2" applyNumberFormat="1" applyFont="1" applyFill="1" applyBorder="1" applyAlignment="1">
      <alignment horizontal="left" vertical="center"/>
    </xf>
    <xf numFmtId="1" fontId="18" fillId="10" borderId="0" xfId="2" applyNumberFormat="1" applyFont="1" applyFill="1" applyAlignment="1">
      <alignment horizontal="left" vertical="center"/>
    </xf>
    <xf numFmtId="17" fontId="15" fillId="0" borderId="0" xfId="0" applyNumberFormat="1" applyFont="1" applyAlignment="1">
      <alignment horizontal="center" vertical="center"/>
    </xf>
    <xf numFmtId="10" fontId="15" fillId="0" borderId="0" xfId="0" applyNumberFormat="1" applyFont="1" applyAlignment="1">
      <alignment horizontal="center" vertical="center"/>
    </xf>
    <xf numFmtId="0" fontId="18" fillId="3" borderId="0" xfId="0" applyFont="1" applyFill="1" applyAlignment="1">
      <alignment vertical="center"/>
    </xf>
    <xf numFmtId="1" fontId="18" fillId="10" borderId="0" xfId="0" applyNumberFormat="1" applyFont="1" applyFill="1" applyAlignment="1">
      <alignment horizontal="center" vertical="center"/>
    </xf>
    <xf numFmtId="1" fontId="14" fillId="0" borderId="0" xfId="0" applyNumberFormat="1" applyFont="1" applyAlignment="1">
      <alignment vertical="center"/>
    </xf>
    <xf numFmtId="9" fontId="14" fillId="0" borderId="0" xfId="0" applyNumberFormat="1" applyFont="1" applyAlignment="1">
      <alignment vertical="center"/>
    </xf>
    <xf numFmtId="10" fontId="18" fillId="10" borderId="0" xfId="3" applyNumberFormat="1" applyFont="1" applyFill="1" applyBorder="1" applyAlignment="1">
      <alignment horizontal="center" vertical="center"/>
    </xf>
    <xf numFmtId="9" fontId="14" fillId="0" borderId="0" xfId="1" applyFont="1" applyBorder="1" applyAlignment="1">
      <alignment horizontal="center" vertical="center"/>
    </xf>
    <xf numFmtId="165" fontId="14" fillId="0" borderId="0" xfId="0" applyNumberFormat="1" applyFont="1" applyAlignment="1">
      <alignment horizontal="center" vertical="center"/>
    </xf>
    <xf numFmtId="0" fontId="21" fillId="4" borderId="0" xfId="0" applyFont="1" applyFill="1" applyAlignment="1">
      <alignment horizontal="center" vertical="center"/>
    </xf>
    <xf numFmtId="0" fontId="27" fillId="0" borderId="0" xfId="0" applyFont="1" applyAlignment="1">
      <alignment horizontal="left" vertical="center"/>
    </xf>
    <xf numFmtId="9" fontId="27" fillId="0" borderId="0" xfId="1" applyFont="1" applyBorder="1" applyAlignment="1">
      <alignment horizontal="center" vertical="center"/>
    </xf>
    <xf numFmtId="2" fontId="27" fillId="0" borderId="0" xfId="0" applyNumberFormat="1" applyFont="1" applyAlignment="1">
      <alignment horizontal="center" vertical="center"/>
    </xf>
    <xf numFmtId="165" fontId="27" fillId="0" borderId="0" xfId="0" applyNumberFormat="1" applyFont="1" applyAlignment="1">
      <alignment horizontal="center" vertical="center"/>
    </xf>
    <xf numFmtId="2" fontId="14" fillId="9" borderId="0" xfId="0" applyNumberFormat="1" applyFont="1" applyFill="1" applyAlignment="1">
      <alignment horizontal="center" vertical="center"/>
    </xf>
    <xf numFmtId="0" fontId="20" fillId="0" borderId="5" xfId="0" applyFont="1" applyBorder="1" applyAlignment="1">
      <alignment horizontal="left" vertical="center" wrapText="1"/>
    </xf>
    <xf numFmtId="2" fontId="15" fillId="0" borderId="5" xfId="0" applyNumberFormat="1" applyFont="1" applyBorder="1" applyAlignment="1">
      <alignment horizontal="center" vertical="center"/>
    </xf>
    <xf numFmtId="0" fontId="20" fillId="0" borderId="4" xfId="0" applyFont="1" applyBorder="1" applyAlignment="1">
      <alignment horizontal="left" vertical="center"/>
    </xf>
    <xf numFmtId="9" fontId="15" fillId="0" borderId="4" xfId="1" applyFont="1" applyBorder="1" applyAlignment="1">
      <alignment horizontal="center" vertical="center"/>
    </xf>
    <xf numFmtId="10" fontId="14" fillId="0" borderId="0" xfId="1" applyNumberFormat="1" applyFont="1" applyFill="1" applyBorder="1" applyAlignment="1">
      <alignment horizontal="center" vertical="center"/>
    </xf>
    <xf numFmtId="10" fontId="24" fillId="4" borderId="0" xfId="3" applyNumberFormat="1" applyFont="1" applyFill="1" applyBorder="1" applyAlignment="1">
      <alignment horizontal="center" vertical="center"/>
    </xf>
    <xf numFmtId="10" fontId="14" fillId="0" borderId="0" xfId="3" applyNumberFormat="1" applyFont="1" applyBorder="1" applyAlignment="1">
      <alignment horizontal="center" vertical="center"/>
    </xf>
    <xf numFmtId="2" fontId="20" fillId="0" borderId="0" xfId="4" applyNumberFormat="1" applyFont="1" applyFill="1" applyBorder="1" applyAlignment="1">
      <alignment horizontal="center" vertical="center"/>
    </xf>
    <xf numFmtId="10" fontId="14" fillId="0" borderId="0" xfId="3" applyNumberFormat="1" applyFont="1" applyFill="1" applyBorder="1" applyAlignment="1">
      <alignment horizontal="center" vertical="center"/>
    </xf>
    <xf numFmtId="1" fontId="15" fillId="9" borderId="2" xfId="0" applyNumberFormat="1" applyFont="1" applyFill="1" applyBorder="1" applyAlignment="1">
      <alignment horizontal="center" vertical="center"/>
    </xf>
    <xf numFmtId="0" fontId="14" fillId="9" borderId="2" xfId="0" applyFont="1" applyFill="1" applyBorder="1" applyAlignment="1">
      <alignment horizontal="center" vertical="center"/>
    </xf>
    <xf numFmtId="1" fontId="23" fillId="0" borderId="0" xfId="2" applyNumberFormat="1" applyFont="1" applyAlignment="1">
      <alignment horizontal="left" vertical="center" wrapText="1"/>
    </xf>
    <xf numFmtId="0" fontId="20" fillId="2" borderId="0" xfId="0" applyFont="1" applyFill="1" applyAlignment="1">
      <alignment vertical="center"/>
    </xf>
    <xf numFmtId="0" fontId="28" fillId="0" borderId="0" xfId="0" applyFont="1"/>
    <xf numFmtId="0" fontId="23" fillId="0" borderId="0" xfId="0" applyFont="1" applyAlignment="1">
      <alignment vertical="center"/>
    </xf>
    <xf numFmtId="43" fontId="14" fillId="0" borderId="0" xfId="6" applyFont="1" applyFill="1" applyBorder="1" applyAlignment="1">
      <alignment horizontal="center"/>
    </xf>
    <xf numFmtId="10" fontId="14" fillId="2" borderId="0" xfId="1" applyNumberFormat="1" applyFont="1" applyFill="1" applyBorder="1" applyAlignment="1">
      <alignment vertical="center"/>
    </xf>
    <xf numFmtId="10" fontId="23" fillId="0" borderId="0" xfId="0" applyNumberFormat="1" applyFont="1"/>
    <xf numFmtId="172" fontId="23" fillId="2" borderId="0" xfId="0" applyNumberFormat="1" applyFont="1" applyFill="1" applyAlignment="1">
      <alignment horizontal="center" vertical="center"/>
    </xf>
    <xf numFmtId="0" fontId="23" fillId="0" borderId="0" xfId="0" applyFont="1"/>
    <xf numFmtId="2" fontId="23" fillId="0" borderId="0" xfId="0" applyNumberFormat="1" applyFont="1" applyAlignment="1">
      <alignment vertical="center"/>
    </xf>
    <xf numFmtId="0" fontId="15" fillId="0" borderId="2" xfId="0" applyFont="1" applyBorder="1" applyAlignment="1">
      <alignment horizontal="left"/>
    </xf>
    <xf numFmtId="43" fontId="15" fillId="0" borderId="2" xfId="6" applyFont="1" applyFill="1" applyBorder="1" applyAlignment="1"/>
    <xf numFmtId="43" fontId="15" fillId="0" borderId="2" xfId="6" applyFont="1" applyFill="1" applyBorder="1" applyAlignment="1">
      <alignment horizontal="center"/>
    </xf>
    <xf numFmtId="0" fontId="15" fillId="0" borderId="0" xfId="0" applyFont="1" applyAlignment="1">
      <alignment horizontal="left"/>
    </xf>
    <xf numFmtId="0" fontId="29" fillId="0" borderId="0" xfId="0" applyFont="1"/>
    <xf numFmtId="0" fontId="2" fillId="0" borderId="5" xfId="0" applyFont="1" applyBorder="1"/>
    <xf numFmtId="0" fontId="2" fillId="0" borderId="4" xfId="0" applyFont="1" applyBorder="1"/>
    <xf numFmtId="0" fontId="30" fillId="10" borderId="0" xfId="0" applyFont="1" applyFill="1"/>
    <xf numFmtId="0" fontId="0" fillId="0" borderId="9" xfId="0" applyBorder="1"/>
    <xf numFmtId="0" fontId="0" fillId="0" borderId="10" xfId="0" applyBorder="1"/>
    <xf numFmtId="173" fontId="2" fillId="0" borderId="11" xfId="6" applyNumberFormat="1" applyFont="1" applyBorder="1"/>
    <xf numFmtId="173" fontId="2" fillId="0" borderId="12" xfId="0" applyNumberFormat="1" applyFont="1" applyBorder="1"/>
    <xf numFmtId="0" fontId="2" fillId="0" borderId="13" xfId="0" applyFont="1" applyBorder="1"/>
    <xf numFmtId="0" fontId="2" fillId="0" borderId="14" xfId="0" applyFont="1" applyBorder="1"/>
    <xf numFmtId="0" fontId="2" fillId="0" borderId="11" xfId="0" applyFont="1" applyBorder="1"/>
    <xf numFmtId="173" fontId="2" fillId="0" borderId="12" xfId="6" applyNumberFormat="1" applyFont="1" applyBorder="1"/>
    <xf numFmtId="0" fontId="2" fillId="0" borderId="15" xfId="0" applyFont="1" applyBorder="1"/>
    <xf numFmtId="0" fontId="2" fillId="0" borderId="16" xfId="0" applyFont="1" applyBorder="1"/>
    <xf numFmtId="0" fontId="2" fillId="0" borderId="17" xfId="0" applyFont="1" applyBorder="1"/>
    <xf numFmtId="173" fontId="0" fillId="0" borderId="0" xfId="6" applyNumberFormat="1" applyFont="1"/>
    <xf numFmtId="0" fontId="0" fillId="0" borderId="0" xfId="0" applyAlignment="1">
      <alignment horizontal="center" vertical="center"/>
    </xf>
    <xf numFmtId="173" fontId="0" fillId="0" borderId="0" xfId="6" applyNumberFormat="1" applyFont="1" applyAlignment="1">
      <alignment horizontal="center" vertical="center"/>
    </xf>
    <xf numFmtId="0" fontId="0" fillId="0" borderId="0" xfId="0" applyAlignment="1">
      <alignment horizontal="center" vertical="center" wrapText="1"/>
    </xf>
    <xf numFmtId="9" fontId="18" fillId="11" borderId="0" xfId="0" applyNumberFormat="1" applyFont="1" applyFill="1" applyAlignment="1">
      <alignment vertical="center"/>
    </xf>
    <xf numFmtId="0" fontId="31" fillId="0" borderId="0" xfId="8" applyAlignment="1">
      <alignment vertical="center" wrapText="1"/>
    </xf>
    <xf numFmtId="0" fontId="31" fillId="0" borderId="0" xfId="8"/>
    <xf numFmtId="173" fontId="14" fillId="0" borderId="0" xfId="6" applyNumberFormat="1" applyFont="1" applyBorder="1" applyAlignment="1">
      <alignment horizontal="center" vertical="center"/>
    </xf>
    <xf numFmtId="173" fontId="15" fillId="0" borderId="0" xfId="6" applyNumberFormat="1" applyFont="1" applyBorder="1" applyAlignment="1">
      <alignment horizontal="center" vertical="center"/>
    </xf>
    <xf numFmtId="0" fontId="14" fillId="0" borderId="0" xfId="0" quotePrefix="1" applyFont="1" applyAlignment="1">
      <alignment horizontal="center" vertical="center"/>
    </xf>
    <xf numFmtId="10" fontId="14" fillId="0" borderId="0" xfId="1" applyNumberFormat="1" applyFont="1" applyBorder="1" applyAlignment="1">
      <alignment horizontal="center" vertical="center"/>
    </xf>
    <xf numFmtId="0" fontId="0" fillId="0" borderId="0" xfId="0" applyAlignment="1">
      <alignment wrapText="1"/>
    </xf>
    <xf numFmtId="0" fontId="15" fillId="0" borderId="18" xfId="0" quotePrefix="1" applyFont="1" applyBorder="1" applyAlignment="1">
      <alignment vertical="center"/>
    </xf>
    <xf numFmtId="0" fontId="15" fillId="0" borderId="19" xfId="0" applyFont="1" applyBorder="1" applyAlignment="1">
      <alignment vertical="center"/>
    </xf>
    <xf numFmtId="0" fontId="15" fillId="0" borderId="3" xfId="0" quotePrefix="1"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165" fontId="14" fillId="7" borderId="0" xfId="0" applyNumberFormat="1" applyFont="1" applyFill="1" applyAlignment="1">
      <alignment horizontal="center" vertical="center"/>
    </xf>
    <xf numFmtId="43" fontId="14" fillId="2" borderId="0" xfId="6" applyFont="1" applyFill="1" applyAlignment="1">
      <alignment horizontal="center" vertical="center"/>
    </xf>
    <xf numFmtId="10" fontId="14" fillId="2" borderId="0" xfId="1" applyNumberFormat="1" applyFont="1" applyFill="1" applyAlignment="1">
      <alignment horizontal="center" vertical="center"/>
    </xf>
    <xf numFmtId="43" fontId="32" fillId="13" borderId="0" xfId="9" applyNumberFormat="1" applyFont="1" applyFill="1" applyAlignment="1">
      <alignment horizontal="center" vertical="center"/>
    </xf>
    <xf numFmtId="43" fontId="32" fillId="14" borderId="0" xfId="9" applyNumberFormat="1" applyFont="1" applyFill="1" applyAlignment="1">
      <alignment horizontal="center" vertical="center"/>
    </xf>
    <xf numFmtId="43" fontId="32" fillId="13" borderId="0" xfId="6" applyFont="1" applyFill="1" applyAlignment="1">
      <alignment horizontal="center" vertical="center"/>
    </xf>
    <xf numFmtId="0" fontId="33" fillId="0" borderId="0" xfId="9" applyFont="1" applyAlignment="1">
      <alignment horizontal="left" vertical="center"/>
    </xf>
    <xf numFmtId="0" fontId="33" fillId="0" borderId="0" xfId="9" applyFont="1" applyAlignment="1">
      <alignment vertical="center"/>
    </xf>
    <xf numFmtId="0" fontId="33" fillId="0" borderId="0" xfId="9" applyFont="1" applyAlignment="1">
      <alignment horizontal="center" vertical="center"/>
    </xf>
    <xf numFmtId="43" fontId="33" fillId="0" borderId="0" xfId="6" applyFont="1" applyAlignment="1">
      <alignment horizontal="right" vertical="center"/>
    </xf>
    <xf numFmtId="2" fontId="33" fillId="0" borderId="0" xfId="9" applyNumberFormat="1" applyFont="1" applyAlignment="1">
      <alignment horizontal="right" vertical="center"/>
    </xf>
    <xf numFmtId="10" fontId="33" fillId="12" borderId="0" xfId="3" applyNumberFormat="1" applyFont="1" applyFill="1" applyAlignment="1">
      <alignment horizontal="right" vertical="center"/>
    </xf>
    <xf numFmtId="0" fontId="33" fillId="0" borderId="0" xfId="9" applyFont="1" applyAlignment="1">
      <alignment vertical="center" wrapText="1"/>
    </xf>
    <xf numFmtId="10" fontId="33" fillId="0" borderId="0" xfId="9" applyNumberFormat="1" applyFont="1" applyAlignment="1">
      <alignment horizontal="right" vertical="center"/>
    </xf>
    <xf numFmtId="0" fontId="35" fillId="0" borderId="0" xfId="9" applyFont="1" applyAlignment="1">
      <alignment vertical="center"/>
    </xf>
    <xf numFmtId="174" fontId="36" fillId="0" borderId="0" xfId="9" applyNumberFormat="1" applyFont="1" applyAlignment="1">
      <alignment horizontal="left" vertical="center"/>
    </xf>
    <xf numFmtId="10" fontId="33" fillId="6" borderId="0" xfId="9" applyNumberFormat="1" applyFont="1" applyFill="1" applyAlignment="1">
      <alignment horizontal="right" vertical="center"/>
    </xf>
    <xf numFmtId="10" fontId="36" fillId="0" borderId="0" xfId="9" applyNumberFormat="1" applyFont="1" applyAlignment="1">
      <alignment horizontal="left" vertical="center"/>
    </xf>
    <xf numFmtId="43" fontId="33" fillId="0" borderId="0" xfId="9" applyNumberFormat="1" applyFont="1" applyAlignment="1">
      <alignment horizontal="right" vertical="center"/>
    </xf>
    <xf numFmtId="43" fontId="37" fillId="0" borderId="0" xfId="6" applyFont="1" applyAlignment="1">
      <alignment horizontal="right" vertical="center"/>
    </xf>
    <xf numFmtId="3" fontId="33" fillId="0" borderId="0" xfId="9" applyNumberFormat="1" applyFont="1" applyAlignment="1">
      <alignment horizontal="right" vertical="center"/>
    </xf>
    <xf numFmtId="10" fontId="33" fillId="15" borderId="0" xfId="9" applyNumberFormat="1" applyFont="1" applyFill="1" applyAlignment="1">
      <alignment horizontal="right" vertical="center"/>
    </xf>
    <xf numFmtId="39" fontId="38" fillId="16" borderId="0" xfId="9" applyNumberFormat="1" applyFont="1" applyFill="1"/>
    <xf numFmtId="10" fontId="38" fillId="16" borderId="0" xfId="9" applyNumberFormat="1" applyFont="1" applyFill="1"/>
    <xf numFmtId="9" fontId="37" fillId="0" borderId="0" xfId="3" applyFont="1" applyAlignment="1">
      <alignment horizontal="right" vertical="center"/>
    </xf>
    <xf numFmtId="0" fontId="38" fillId="0" borderId="0" xfId="9" applyFont="1" applyAlignment="1">
      <alignment horizontal="center" vertical="center"/>
    </xf>
    <xf numFmtId="10" fontId="38" fillId="0" borderId="0" xfId="9" applyNumberFormat="1" applyFont="1" applyAlignment="1">
      <alignment horizontal="right" vertical="center"/>
    </xf>
    <xf numFmtId="3" fontId="37" fillId="0" borderId="0" xfId="9" applyNumberFormat="1" applyFont="1" applyAlignment="1">
      <alignment horizontal="right" vertical="center"/>
    </xf>
    <xf numFmtId="10" fontId="33" fillId="17" borderId="0" xfId="9" applyNumberFormat="1" applyFont="1" applyFill="1" applyAlignment="1">
      <alignment horizontal="right" vertical="center"/>
    </xf>
    <xf numFmtId="9" fontId="36" fillId="0" borderId="0" xfId="3" applyFont="1" applyAlignment="1">
      <alignment horizontal="left" vertical="center"/>
    </xf>
    <xf numFmtId="4" fontId="33" fillId="0" borderId="0" xfId="9" applyNumberFormat="1" applyFont="1" applyAlignment="1">
      <alignment horizontal="right" vertical="center"/>
    </xf>
    <xf numFmtId="10" fontId="37" fillId="0" borderId="0" xfId="3" applyNumberFormat="1" applyFont="1" applyAlignment="1">
      <alignment horizontal="right" vertical="center"/>
    </xf>
    <xf numFmtId="0" fontId="33" fillId="0" borderId="0" xfId="10" applyFont="1" applyAlignment="1">
      <alignment horizontal="left" vertical="center"/>
    </xf>
    <xf numFmtId="165" fontId="15" fillId="0" borderId="2" xfId="0" applyNumberFormat="1" applyFont="1" applyBorder="1" applyAlignment="1">
      <alignment horizontal="center" vertical="center"/>
    </xf>
    <xf numFmtId="165" fontId="14" fillId="0" borderId="0" xfId="0" applyNumberFormat="1" applyFont="1" applyAlignment="1">
      <alignment vertical="center"/>
    </xf>
    <xf numFmtId="165" fontId="14" fillId="0" borderId="0" xfId="1" applyNumberFormat="1" applyFont="1" applyBorder="1" applyAlignment="1">
      <alignment horizontal="center" vertical="center"/>
    </xf>
    <xf numFmtId="165" fontId="14" fillId="12" borderId="0" xfId="0" applyNumberFormat="1" applyFont="1" applyFill="1" applyAlignment="1">
      <alignment horizontal="center" vertical="center"/>
    </xf>
    <xf numFmtId="165" fontId="18" fillId="10" borderId="2" xfId="0" applyNumberFormat="1" applyFont="1" applyFill="1" applyBorder="1" applyAlignment="1">
      <alignment horizontal="center" vertical="center"/>
    </xf>
    <xf numFmtId="165" fontId="15" fillId="9" borderId="0" xfId="0" applyNumberFormat="1" applyFont="1" applyFill="1" applyAlignment="1">
      <alignment horizontal="center" vertical="center"/>
    </xf>
    <xf numFmtId="170" fontId="29" fillId="0" borderId="0" xfId="1" applyNumberFormat="1" applyFont="1" applyBorder="1"/>
    <xf numFmtId="165" fontId="18" fillId="10"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9" borderId="2" xfId="0" applyNumberFormat="1" applyFont="1" applyFill="1" applyBorder="1" applyAlignment="1">
      <alignment horizontal="center" vertical="center"/>
    </xf>
    <xf numFmtId="165" fontId="14" fillId="0" borderId="0" xfId="0" applyNumberFormat="1" applyFont="1" applyAlignment="1">
      <alignment horizontal="center" vertical="center" wrapText="1"/>
    </xf>
    <xf numFmtId="165" fontId="15" fillId="9" borderId="2" xfId="0" applyNumberFormat="1" applyFont="1" applyFill="1" applyBorder="1" applyAlignment="1">
      <alignment horizontal="center" vertical="center" wrapText="1"/>
    </xf>
    <xf numFmtId="165" fontId="20" fillId="0" borderId="0" xfId="2" applyNumberFormat="1" applyFont="1" applyAlignment="1">
      <alignment horizontal="center" vertical="center" wrapText="1"/>
    </xf>
    <xf numFmtId="175" fontId="23" fillId="2" borderId="0" xfId="0" applyNumberFormat="1" applyFont="1" applyFill="1" applyAlignment="1">
      <alignment horizontal="center" vertical="center"/>
    </xf>
    <xf numFmtId="165" fontId="20" fillId="9" borderId="2" xfId="0" applyNumberFormat="1" applyFont="1" applyFill="1" applyBorder="1" applyAlignment="1">
      <alignment horizontal="center" vertical="center"/>
    </xf>
    <xf numFmtId="165" fontId="23" fillId="2" borderId="0" xfId="0" applyNumberFormat="1" applyFont="1" applyFill="1" applyAlignment="1">
      <alignment horizontal="center" vertical="center"/>
    </xf>
    <xf numFmtId="165" fontId="20" fillId="9" borderId="2" xfId="0" applyNumberFormat="1" applyFont="1" applyFill="1" applyBorder="1" applyAlignment="1">
      <alignment horizontal="left" vertical="center"/>
    </xf>
    <xf numFmtId="170" fontId="20" fillId="9" borderId="2" xfId="1" applyNumberFormat="1" applyFont="1" applyFill="1" applyBorder="1" applyAlignment="1">
      <alignment horizontal="center" vertical="center"/>
    </xf>
    <xf numFmtId="170" fontId="26" fillId="9" borderId="2" xfId="0" applyNumberFormat="1" applyFont="1" applyFill="1" applyBorder="1" applyAlignment="1">
      <alignment horizontal="center" vertical="center"/>
    </xf>
    <xf numFmtId="176" fontId="14" fillId="0" borderId="0" xfId="0" applyNumberFormat="1" applyFont="1" applyAlignment="1">
      <alignment horizontal="center" vertical="center"/>
    </xf>
    <xf numFmtId="176" fontId="18" fillId="10" borderId="0" xfId="0" applyNumberFormat="1" applyFont="1" applyFill="1" applyAlignment="1">
      <alignment horizontal="center" vertical="center"/>
    </xf>
    <xf numFmtId="0" fontId="20" fillId="6" borderId="0" xfId="0" applyFont="1" applyFill="1" applyAlignment="1">
      <alignment horizontal="left" vertical="center"/>
    </xf>
    <xf numFmtId="10" fontId="20" fillId="6" borderId="0" xfId="3" applyNumberFormat="1" applyFont="1" applyFill="1" applyBorder="1" applyAlignment="1">
      <alignment horizontal="center" vertical="center"/>
    </xf>
    <xf numFmtId="0" fontId="20" fillId="6" borderId="0" xfId="0" applyFont="1" applyFill="1" applyAlignment="1">
      <alignment horizontal="center" vertical="center"/>
    </xf>
    <xf numFmtId="177" fontId="15" fillId="6" borderId="0" xfId="0" applyNumberFormat="1" applyFont="1" applyFill="1" applyAlignment="1">
      <alignment horizontal="left" vertical="center"/>
    </xf>
    <xf numFmtId="2" fontId="14" fillId="6" borderId="0" xfId="0" applyNumberFormat="1" applyFont="1" applyFill="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center" vertical="center"/>
    </xf>
    <xf numFmtId="177" fontId="14" fillId="6" borderId="0" xfId="0" applyNumberFormat="1" applyFont="1" applyFill="1" applyAlignment="1">
      <alignment horizontal="left" vertical="center"/>
    </xf>
    <xf numFmtId="2" fontId="14" fillId="6" borderId="0" xfId="0" applyNumberFormat="1" applyFont="1" applyFill="1" applyAlignment="1">
      <alignment vertical="center"/>
    </xf>
    <xf numFmtId="0" fontId="25" fillId="12" borderId="0" xfId="0" applyFont="1" applyFill="1" applyAlignment="1">
      <alignment vertical="center"/>
    </xf>
    <xf numFmtId="9" fontId="25" fillId="12" borderId="0" xfId="0" applyNumberFormat="1" applyFont="1" applyFill="1" applyAlignment="1">
      <alignment horizontal="center" vertical="center"/>
    </xf>
    <xf numFmtId="0" fontId="14" fillId="12" borderId="0" xfId="0" applyFont="1" applyFill="1" applyAlignment="1">
      <alignment vertical="center"/>
    </xf>
    <xf numFmtId="10" fontId="25" fillId="0" borderId="0" xfId="0" applyNumberFormat="1" applyFont="1" applyAlignment="1">
      <alignment horizontal="center" vertical="center"/>
    </xf>
    <xf numFmtId="0" fontId="14" fillId="12" borderId="0" xfId="0" applyFont="1" applyFill="1"/>
    <xf numFmtId="0" fontId="14" fillId="12" borderId="0" xfId="0" applyFont="1" applyFill="1" applyAlignment="1">
      <alignment wrapText="1"/>
    </xf>
    <xf numFmtId="0" fontId="15" fillId="12" borderId="0" xfId="0" applyFont="1" applyFill="1" applyAlignment="1">
      <alignment vertical="center"/>
    </xf>
    <xf numFmtId="165" fontId="23" fillId="7" borderId="0" xfId="0" applyNumberFormat="1" applyFont="1" applyFill="1" applyAlignment="1">
      <alignment horizontal="center" vertical="center"/>
    </xf>
    <xf numFmtId="0" fontId="25" fillId="0" borderId="0" xfId="0" applyFont="1"/>
    <xf numFmtId="10" fontId="14" fillId="0" borderId="0" xfId="1" applyNumberFormat="1" applyFont="1" applyAlignment="1">
      <alignment vertical="center"/>
    </xf>
    <xf numFmtId="0" fontId="25" fillId="12" borderId="0" xfId="0" applyFont="1" applyFill="1" applyAlignment="1">
      <alignment horizontal="center" vertical="center"/>
    </xf>
    <xf numFmtId="10" fontId="33" fillId="7" borderId="0" xfId="9" applyNumberFormat="1" applyFont="1" applyFill="1" applyAlignment="1">
      <alignment horizontal="right" vertical="center"/>
    </xf>
    <xf numFmtId="0" fontId="20" fillId="0" borderId="0" xfId="0" applyFont="1" applyAlignment="1">
      <alignment horizontal="left" vertical="center"/>
    </xf>
    <xf numFmtId="167" fontId="14" fillId="12" borderId="0" xfId="0" applyNumberFormat="1" applyFont="1" applyFill="1" applyAlignment="1">
      <alignment horizontal="center" vertical="center"/>
    </xf>
    <xf numFmtId="178" fontId="14" fillId="12" borderId="0" xfId="0" applyNumberFormat="1" applyFont="1" applyFill="1" applyAlignment="1">
      <alignment vertical="center"/>
    </xf>
    <xf numFmtId="165" fontId="20" fillId="9" borderId="5" xfId="0" applyNumberFormat="1" applyFont="1" applyFill="1" applyBorder="1" applyAlignment="1">
      <alignment horizontal="left" vertical="center"/>
    </xf>
    <xf numFmtId="14" fontId="26" fillId="2" borderId="0" xfId="0" applyNumberFormat="1" applyFont="1" applyFill="1" applyAlignment="1">
      <alignment horizontal="center" vertical="center"/>
    </xf>
    <xf numFmtId="165" fontId="23" fillId="12" borderId="0" xfId="0" applyNumberFormat="1" applyFont="1" applyFill="1" applyAlignment="1">
      <alignment horizontal="left" vertical="center"/>
    </xf>
    <xf numFmtId="10" fontId="20" fillId="7" borderId="0" xfId="1" applyNumberFormat="1" applyFont="1" applyFill="1" applyAlignment="1">
      <alignment horizontal="left" vertical="center"/>
    </xf>
    <xf numFmtId="165" fontId="14" fillId="2" borderId="0" xfId="0" applyNumberFormat="1" applyFont="1" applyFill="1" applyAlignment="1">
      <alignment horizontal="center" vertical="center"/>
    </xf>
    <xf numFmtId="165" fontId="20" fillId="12" borderId="0" xfId="0" applyNumberFormat="1" applyFont="1" applyFill="1" applyAlignment="1">
      <alignment horizontal="left" vertical="center"/>
    </xf>
    <xf numFmtId="0" fontId="20" fillId="7" borderId="0" xfId="0" applyFont="1" applyFill="1" applyAlignment="1">
      <alignment horizontal="left" vertical="center"/>
    </xf>
    <xf numFmtId="43" fontId="20" fillId="7" borderId="0" xfId="6" applyFont="1" applyFill="1" applyAlignment="1">
      <alignment horizontal="left" vertical="center"/>
    </xf>
    <xf numFmtId="167" fontId="14" fillId="7" borderId="0" xfId="0" applyNumberFormat="1" applyFont="1" applyFill="1" applyAlignment="1">
      <alignment horizontal="center" vertical="center"/>
    </xf>
    <xf numFmtId="10" fontId="18" fillId="10" borderId="5" xfId="0" applyNumberFormat="1" applyFont="1" applyFill="1" applyBorder="1" applyAlignment="1">
      <alignment vertical="center"/>
    </xf>
    <xf numFmtId="172" fontId="18" fillId="10" borderId="0" xfId="0" applyNumberFormat="1" applyFont="1" applyFill="1" applyAlignment="1">
      <alignment vertical="center"/>
    </xf>
    <xf numFmtId="176" fontId="14" fillId="12" borderId="0" xfId="0" applyNumberFormat="1" applyFont="1" applyFill="1" applyAlignment="1">
      <alignment horizontal="center" vertical="center"/>
    </xf>
    <xf numFmtId="17" fontId="14" fillId="0" borderId="0" xfId="0" applyNumberFormat="1" applyFont="1"/>
    <xf numFmtId="0" fontId="2" fillId="0" borderId="0" xfId="0" applyFont="1" applyAlignment="1">
      <alignment horizontal="center" vertical="center"/>
    </xf>
    <xf numFmtId="0" fontId="0" fillId="0" borderId="27" xfId="0" applyBorder="1" applyAlignment="1">
      <alignment vertical="center" wrapText="1"/>
    </xf>
    <xf numFmtId="0" fontId="0" fillId="0" borderId="28" xfId="0" applyBorder="1" applyAlignment="1">
      <alignment vertical="center" wrapText="1"/>
    </xf>
    <xf numFmtId="9" fontId="0" fillId="0" borderId="28" xfId="0" applyNumberForma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9" fontId="0" fillId="0" borderId="30" xfId="0" applyNumberForma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9" fontId="0" fillId="0" borderId="33" xfId="0" applyNumberForma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8" xfId="0" applyBorder="1" applyAlignment="1">
      <alignment horizontal="right" vertical="center" wrapText="1"/>
    </xf>
    <xf numFmtId="3" fontId="0" fillId="0" borderId="30" xfId="0" applyNumberFormat="1" applyBorder="1" applyAlignment="1">
      <alignment vertical="center" wrapText="1"/>
    </xf>
    <xf numFmtId="3" fontId="0" fillId="0" borderId="33" xfId="0" applyNumberFormat="1" applyBorder="1" applyAlignment="1">
      <alignment vertical="center" wrapText="1"/>
    </xf>
    <xf numFmtId="3" fontId="0" fillId="0" borderId="28" xfId="0" applyNumberFormat="1" applyBorder="1" applyAlignment="1">
      <alignment vertical="center" wrapText="1"/>
    </xf>
    <xf numFmtId="3" fontId="0" fillId="0" borderId="36" xfId="0" applyNumberFormat="1" applyBorder="1" applyAlignment="1">
      <alignment vertical="center" wrapText="1"/>
    </xf>
    <xf numFmtId="3" fontId="0" fillId="0" borderId="38" xfId="0" applyNumberFormat="1" applyBorder="1" applyAlignment="1">
      <alignment vertical="center" wrapText="1"/>
    </xf>
    <xf numFmtId="173" fontId="0" fillId="0" borderId="43" xfId="6" applyNumberFormat="1" applyFont="1" applyBorder="1" applyAlignment="1">
      <alignment horizontal="center" vertical="center" wrapText="1"/>
    </xf>
    <xf numFmtId="173" fontId="0" fillId="0" borderId="31" xfId="6" applyNumberFormat="1" applyFont="1" applyBorder="1" applyAlignment="1">
      <alignment horizontal="center" vertical="center" wrapText="1"/>
    </xf>
    <xf numFmtId="173" fontId="0" fillId="0" borderId="44" xfId="6" applyNumberFormat="1" applyFont="1" applyBorder="1" applyAlignment="1">
      <alignment horizontal="center" vertical="center" wrapText="1"/>
    </xf>
    <xf numFmtId="173" fontId="0" fillId="0" borderId="17" xfId="6" applyNumberFormat="1" applyFont="1" applyBorder="1" applyAlignment="1">
      <alignment vertical="center" wrapText="1"/>
    </xf>
    <xf numFmtId="173" fontId="2" fillId="0" borderId="0" xfId="6" applyNumberFormat="1" applyFont="1" applyAlignment="1">
      <alignment horizontal="center" vertical="center"/>
    </xf>
    <xf numFmtId="173" fontId="0" fillId="0" borderId="0" xfId="0" applyNumberFormat="1"/>
    <xf numFmtId="0" fontId="0" fillId="0" borderId="45" xfId="0" applyBorder="1" applyAlignment="1">
      <alignment vertical="center" wrapText="1"/>
    </xf>
    <xf numFmtId="3" fontId="0" fillId="0" borderId="45" xfId="0" applyNumberFormat="1" applyBorder="1" applyAlignment="1">
      <alignment vertical="center" wrapText="1"/>
    </xf>
    <xf numFmtId="0" fontId="2" fillId="0" borderId="0" xfId="0" applyFont="1" applyAlignment="1">
      <alignment horizontal="left" vertical="center"/>
    </xf>
    <xf numFmtId="0" fontId="39" fillId="0" borderId="0" xfId="0" applyFont="1" applyAlignment="1">
      <alignment horizontal="left" vertical="center"/>
    </xf>
    <xf numFmtId="0" fontId="2" fillId="0" borderId="46" xfId="0" applyFont="1" applyBorder="1" applyAlignment="1">
      <alignment horizontal="center" vertical="center"/>
    </xf>
    <xf numFmtId="0" fontId="0" fillId="0" borderId="47" xfId="0" applyBorder="1"/>
    <xf numFmtId="0" fontId="0" fillId="0" borderId="47" xfId="0" applyBorder="1" applyAlignment="1">
      <alignment horizontal="center"/>
    </xf>
    <xf numFmtId="0" fontId="0" fillId="0" borderId="47" xfId="0" applyBorder="1" applyAlignment="1">
      <alignment horizontal="center" vertical="center"/>
    </xf>
    <xf numFmtId="173" fontId="2" fillId="0" borderId="31" xfId="6" applyNumberFormat="1" applyFont="1" applyBorder="1" applyAlignment="1">
      <alignment horizontal="center" vertical="center"/>
    </xf>
    <xf numFmtId="167" fontId="14" fillId="12" borderId="0" xfId="0" applyNumberFormat="1" applyFont="1" applyFill="1" applyAlignment="1">
      <alignment horizontal="center" vertical="center" wrapText="1"/>
    </xf>
    <xf numFmtId="43" fontId="14" fillId="12" borderId="0" xfId="6" applyFont="1" applyFill="1" applyAlignment="1">
      <alignment vertical="center"/>
    </xf>
    <xf numFmtId="170" fontId="14" fillId="0" borderId="0" xfId="0" applyNumberFormat="1" applyFont="1" applyAlignment="1">
      <alignment vertical="center"/>
    </xf>
    <xf numFmtId="1" fontId="25" fillId="0" borderId="0" xfId="0" applyNumberFormat="1" applyFont="1" applyAlignment="1">
      <alignment horizontal="center" vertical="center"/>
    </xf>
    <xf numFmtId="10" fontId="25" fillId="0" borderId="0" xfId="0" applyNumberFormat="1" applyFont="1" applyAlignment="1">
      <alignment vertical="center"/>
    </xf>
    <xf numFmtId="14" fontId="14" fillId="12" borderId="0" xfId="0" applyNumberFormat="1" applyFont="1" applyFill="1" applyAlignment="1">
      <alignment vertical="center"/>
    </xf>
    <xf numFmtId="43" fontId="14" fillId="12" borderId="0" xfId="6" applyFont="1" applyFill="1" applyAlignment="1">
      <alignment wrapText="1"/>
    </xf>
    <xf numFmtId="0" fontId="15" fillId="0" borderId="0" xfId="0" applyFont="1"/>
    <xf numFmtId="0" fontId="15" fillId="0" borderId="1" xfId="0" applyFont="1" applyBorder="1" applyAlignment="1">
      <alignment vertical="center"/>
    </xf>
    <xf numFmtId="0" fontId="14" fillId="0" borderId="1" xfId="0" applyFont="1" applyBorder="1" applyAlignment="1">
      <alignment vertical="center"/>
    </xf>
    <xf numFmtId="165" fontId="14"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4" fontId="14" fillId="2" borderId="0" xfId="0" applyNumberFormat="1" applyFont="1" applyFill="1" applyAlignment="1">
      <alignment vertical="center"/>
    </xf>
    <xf numFmtId="43" fontId="14" fillId="2" borderId="0" xfId="6" applyFont="1" applyFill="1" applyAlignment="1">
      <alignment vertical="center"/>
    </xf>
    <xf numFmtId="172" fontId="23" fillId="7" borderId="0" xfId="0" applyNumberFormat="1" applyFont="1" applyFill="1" applyAlignment="1">
      <alignment horizontal="center" vertical="center"/>
    </xf>
    <xf numFmtId="0" fontId="14" fillId="0" borderId="31" xfId="0" applyFont="1" applyBorder="1" applyAlignment="1">
      <alignment horizontal="left" vertical="center"/>
    </xf>
    <xf numFmtId="0" fontId="0" fillId="0" borderId="31" xfId="0" applyBorder="1"/>
    <xf numFmtId="9" fontId="0" fillId="0" borderId="31" xfId="0" applyNumberForma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2" fillId="0" borderId="1" xfId="0" applyFont="1" applyBorder="1" applyAlignment="1">
      <alignment horizont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0" fillId="0" borderId="1" xfId="0" applyBorder="1" applyAlignment="1">
      <alignment horizontal="left" vertical="center"/>
    </xf>
    <xf numFmtId="4" fontId="0" fillId="0" borderId="1" xfId="0" applyNumberFormat="1" applyBorder="1" applyAlignment="1">
      <alignment horizontal="center"/>
    </xf>
    <xf numFmtId="10" fontId="0" fillId="0" borderId="1" xfId="1" applyNumberFormat="1" applyFont="1" applyBorder="1" applyAlignment="1">
      <alignment horizontal="center" vertical="center"/>
    </xf>
    <xf numFmtId="4" fontId="0" fillId="0" borderId="1" xfId="0" applyNumberFormat="1" applyBorder="1" applyAlignment="1">
      <alignment horizontal="center" vertical="center"/>
    </xf>
    <xf numFmtId="10" fontId="2" fillId="0" borderId="1" xfId="0" applyNumberFormat="1" applyFont="1" applyBorder="1" applyAlignment="1">
      <alignment horizontal="center" vertical="center"/>
    </xf>
    <xf numFmtId="173" fontId="0" fillId="0" borderId="31" xfId="6" applyNumberFormat="1" applyFont="1" applyBorder="1" applyAlignment="1">
      <alignment horizontal="center"/>
    </xf>
    <xf numFmtId="10" fontId="14" fillId="0" borderId="0" xfId="1" applyNumberFormat="1" applyFont="1" applyAlignment="1">
      <alignment horizontal="center" vertical="center"/>
    </xf>
    <xf numFmtId="0" fontId="15" fillId="0" borderId="1" xfId="0" applyFont="1" applyBorder="1" applyAlignment="1">
      <alignment horizontal="center"/>
    </xf>
    <xf numFmtId="165" fontId="14" fillId="0" borderId="1" xfId="0" applyNumberFormat="1" applyFont="1" applyBorder="1" applyAlignment="1">
      <alignment horizontal="center"/>
    </xf>
    <xf numFmtId="165" fontId="15" fillId="0" borderId="1" xfId="0" applyNumberFormat="1" applyFont="1" applyBorder="1" applyAlignment="1">
      <alignment horizontal="center"/>
    </xf>
    <xf numFmtId="173" fontId="0" fillId="12" borderId="34" xfId="6" applyNumberFormat="1" applyFont="1" applyFill="1" applyBorder="1" applyAlignment="1">
      <alignment vertical="center" wrapText="1"/>
    </xf>
    <xf numFmtId="0" fontId="40" fillId="12" borderId="0" xfId="0" applyFont="1" applyFill="1" applyAlignment="1">
      <alignment vertical="center"/>
    </xf>
    <xf numFmtId="43" fontId="40" fillId="12" borderId="0" xfId="6" applyFont="1" applyFill="1" applyAlignment="1">
      <alignment vertical="center"/>
    </xf>
    <xf numFmtId="43" fontId="0" fillId="0" borderId="0" xfId="6" applyFont="1" applyAlignment="1">
      <alignment horizontal="center" vertical="center"/>
    </xf>
    <xf numFmtId="43" fontId="0" fillId="0" borderId="0" xfId="0" applyNumberFormat="1" applyAlignment="1">
      <alignment horizontal="center" vertical="center"/>
    </xf>
    <xf numFmtId="0" fontId="14" fillId="12" borderId="0" xfId="0" applyFont="1" applyFill="1" applyAlignment="1">
      <alignment horizontal="right" vertical="center"/>
    </xf>
    <xf numFmtId="0" fontId="23" fillId="12" borderId="0" xfId="0" applyFont="1" applyFill="1" applyAlignment="1">
      <alignment vertical="center"/>
    </xf>
    <xf numFmtId="43" fontId="14" fillId="0" borderId="0" xfId="6" applyFont="1" applyAlignment="1">
      <alignment vertical="center"/>
    </xf>
    <xf numFmtId="179" fontId="18" fillId="10" borderId="0" xfId="0" applyNumberFormat="1" applyFont="1" applyFill="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9" fillId="4" borderId="0" xfId="0" applyFont="1" applyFill="1" applyAlignment="1">
      <alignment horizontal="center"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4" fillId="9" borderId="0" xfId="0" applyFont="1" applyFill="1" applyAlignment="1">
      <alignment horizontal="center" vertical="center"/>
    </xf>
    <xf numFmtId="168"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2" xfId="0" applyFont="1" applyBorder="1" applyAlignment="1">
      <alignment horizontal="center" vertical="center" wrapText="1"/>
    </xf>
    <xf numFmtId="0" fontId="21" fillId="4"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wrapText="1"/>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30" fillId="10" borderId="6" xfId="0" applyFont="1" applyFill="1" applyBorder="1" applyAlignment="1">
      <alignment horizontal="center"/>
    </xf>
    <xf numFmtId="0" fontId="30" fillId="10" borderId="7" xfId="0" applyFont="1" applyFill="1" applyBorder="1" applyAlignment="1">
      <alignment horizontal="center"/>
    </xf>
    <xf numFmtId="0" fontId="30" fillId="10" borderId="8" xfId="0" applyFont="1" applyFill="1" applyBorder="1" applyAlignment="1">
      <alignment horizontal="center"/>
    </xf>
    <xf numFmtId="0" fontId="0" fillId="0" borderId="0" xfId="0" applyAlignment="1">
      <alignment horizontal="center"/>
    </xf>
    <xf numFmtId="10" fontId="27" fillId="9" borderId="0" xfId="1" applyNumberFormat="1" applyFont="1" applyFill="1" applyBorder="1" applyAlignment="1">
      <alignment horizontal="center"/>
    </xf>
    <xf numFmtId="0" fontId="26" fillId="2" borderId="0" xfId="0" applyFont="1" applyFill="1" applyAlignment="1">
      <alignment horizontal="right" vertical="center"/>
    </xf>
    <xf numFmtId="0" fontId="20" fillId="2" borderId="0" xfId="0" applyFont="1" applyFill="1" applyAlignment="1">
      <alignment horizontal="center" vertical="center"/>
    </xf>
    <xf numFmtId="2" fontId="18" fillId="10" borderId="0" xfId="2" applyNumberFormat="1" applyFont="1" applyFill="1" applyAlignment="1">
      <alignment horizontal="center" vertical="center" wrapText="1"/>
    </xf>
    <xf numFmtId="10" fontId="18" fillId="10" borderId="0" xfId="3"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xf>
    <xf numFmtId="0" fontId="15" fillId="0" borderId="23"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pplyAlignment="1">
      <alignment horizontal="center" vertical="center"/>
    </xf>
    <xf numFmtId="0" fontId="15" fillId="0" borderId="48" xfId="0" applyFont="1" applyBorder="1" applyAlignment="1">
      <alignment horizontal="left" vertical="center"/>
    </xf>
    <xf numFmtId="0" fontId="15" fillId="0" borderId="49" xfId="0" applyFont="1" applyBorder="1" applyAlignment="1">
      <alignment horizontal="left" vertical="center"/>
    </xf>
  </cellXfs>
  <cellStyles count="11">
    <cellStyle name="Comma" xfId="6" builtinId="3"/>
    <cellStyle name="Comma 5" xfId="4" xr:uid="{00000000-0005-0000-0000-000001000000}"/>
    <cellStyle name="Hyperlink" xfId="8" builtinId="8"/>
    <cellStyle name="Normal" xfId="0" builtinId="0"/>
    <cellStyle name="Normal 10" xfId="9" xr:uid="{3E5A5A53-1C02-4514-9D9C-E3C00E0CA9CC}"/>
    <cellStyle name="Normal 2 2 9 9" xfId="10" xr:uid="{CE096C29-780D-4255-AC44-94DC4F7EC81D}"/>
    <cellStyle name="Normal_Ajit Projections-Hotel" xfId="5" xr:uid="{00000000-0005-0000-0000-000004000000}"/>
    <cellStyle name="Normal_QC sheet and key workings - 19oct4" xfId="7" xr:uid="{00000000-0005-0000-0000-000005000000}"/>
    <cellStyle name="Normal_temp" xfId="2" xr:uid="{00000000-0005-0000-0000-000006000000}"/>
    <cellStyle name="Percent" xfId="1" builtinId="5"/>
    <cellStyle name="Percent 4"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L'!$B$48</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L'!$F$5:$P$5</c:f>
              <c:numCache>
                <c:formatCode>General</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'P &amp; L'!$F$48:$P$48</c:f>
              <c:numCache>
                <c:formatCode>0.0%</c:formatCode>
                <c:ptCount val="11"/>
                <c:pt idx="0">
                  <c:v>0.37722014464812148</c:v>
                </c:pt>
                <c:pt idx="1">
                  <c:v>0.37776419023914209</c:v>
                </c:pt>
                <c:pt idx="2">
                  <c:v>0.37826793615675364</c:v>
                </c:pt>
                <c:pt idx="3">
                  <c:v>0.37873436756194961</c:v>
                </c:pt>
                <c:pt idx="4">
                  <c:v>0.3791662484926866</c:v>
                </c:pt>
                <c:pt idx="5">
                  <c:v>0.37956613824336888</c:v>
                </c:pt>
                <c:pt idx="6">
                  <c:v>0.37993640653103772</c:v>
                </c:pt>
                <c:pt idx="7">
                  <c:v>0.38027924753813852</c:v>
                </c:pt>
                <c:pt idx="8">
                  <c:v>0.38059669291508375</c:v>
                </c:pt>
                <c:pt idx="9">
                  <c:v>0.38089062381966265</c:v>
                </c:pt>
                <c:pt idx="10">
                  <c:v>0.38116278206464316</c:v>
                </c:pt>
              </c:numCache>
            </c:numRef>
          </c:val>
          <c:extLst>
            <c:ext xmlns:c16="http://schemas.microsoft.com/office/drawing/2014/chart" uri="{C3380CC4-5D6E-409C-BE32-E72D297353CC}">
              <c16:uniqueId val="{00000001-8777-4B76-87F4-033BC0CE2C98}"/>
            </c:ext>
          </c:extLst>
        </c:ser>
        <c:dLbls>
          <c:dLblPos val="outEnd"/>
          <c:showLegendKey val="0"/>
          <c:showVal val="1"/>
          <c:showCatName val="0"/>
          <c:showSerName val="0"/>
          <c:showPercent val="0"/>
          <c:showBubbleSize val="0"/>
        </c:dLbls>
        <c:gapWidth val="219"/>
        <c:overlap val="-27"/>
        <c:axId val="338632664"/>
        <c:axId val="338628832"/>
      </c:barChart>
      <c:catAx>
        <c:axId val="338632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28832"/>
        <c:crosses val="autoZero"/>
        <c:auto val="1"/>
        <c:lblAlgn val="ctr"/>
        <c:lblOffset val="100"/>
        <c:noMultiLvlLbl val="0"/>
      </c:catAx>
      <c:valAx>
        <c:axId val="33862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a:t>
                </a:r>
                <a:r>
                  <a:rPr lang="en-IN" b="1" i="1" baseline="0"/>
                  <a:t> %</a:t>
                </a:r>
                <a:endParaRPr lang="en-IN" b="1" i="1"/>
              </a:p>
            </c:rich>
          </c:tx>
          <c:layout>
            <c:manualLayout>
              <c:xMode val="edge"/>
              <c:yMode val="edge"/>
              <c:x val="1.2705974984736572E-2"/>
              <c:y val="0.3765201224846894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632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L'!$B$50</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L'!$F$5:$P$5</c:f>
              <c:numCache>
                <c:formatCode>General</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'P &amp; L'!$F$50:$P$50</c:f>
              <c:numCache>
                <c:formatCode>0.0%</c:formatCode>
                <c:ptCount val="11"/>
                <c:pt idx="0">
                  <c:v>0.18034981515775342</c:v>
                </c:pt>
                <c:pt idx="1">
                  <c:v>0.2140701570147435</c:v>
                </c:pt>
                <c:pt idx="2">
                  <c:v>0.24214317558235221</c:v>
                </c:pt>
                <c:pt idx="3">
                  <c:v>0.2655228945947396</c:v>
                </c:pt>
                <c:pt idx="4">
                  <c:v>0.28500108896884419</c:v>
                </c:pt>
                <c:pt idx="5">
                  <c:v>0.3012350556986616</c:v>
                </c:pt>
                <c:pt idx="6">
                  <c:v>0.31477059808302904</c:v>
                </c:pt>
                <c:pt idx="7">
                  <c:v>0.32606105496266247</c:v>
                </c:pt>
                <c:pt idx="8">
                  <c:v>0.33548306079495077</c:v>
                </c:pt>
                <c:pt idx="9">
                  <c:v>0.34334960239749857</c:v>
                </c:pt>
                <c:pt idx="10">
                  <c:v>0.34992083940690277</c:v>
                </c:pt>
              </c:numCache>
            </c:numRef>
          </c:val>
          <c:extLst>
            <c:ext xmlns:c16="http://schemas.microsoft.com/office/drawing/2014/chart" uri="{C3380CC4-5D6E-409C-BE32-E72D297353CC}">
              <c16:uniqueId val="{00000001-A5DD-4640-8CF8-CAA88EBE970F}"/>
            </c:ext>
          </c:extLst>
        </c:ser>
        <c:dLbls>
          <c:dLblPos val="outEnd"/>
          <c:showLegendKey val="0"/>
          <c:showVal val="1"/>
          <c:showCatName val="0"/>
          <c:showSerName val="0"/>
          <c:showPercent val="0"/>
          <c:showBubbleSize val="0"/>
        </c:dLbls>
        <c:gapWidth val="219"/>
        <c:overlap val="-27"/>
        <c:axId val="338778552"/>
        <c:axId val="338778936"/>
      </c:barChart>
      <c:catAx>
        <c:axId val="33877855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032275346305454"/>
              <c:y val="0.8920622547599610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936"/>
        <c:crosses val="autoZero"/>
        <c:auto val="1"/>
        <c:lblAlgn val="ctr"/>
        <c:lblOffset val="100"/>
        <c:noMultiLvlLbl val="0"/>
      </c:catAx>
      <c:valAx>
        <c:axId val="33877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541641397193166E-2"/>
              <c:y val="0.3678856809565471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778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L'!$B$52</c:f>
              <c:strCache>
                <c:ptCount val="1"/>
                <c:pt idx="0">
                  <c:v>PAT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L'!$F$5:$P$5</c:f>
              <c:numCache>
                <c:formatCode>General</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'P &amp; L'!$F$52:$P$52</c:f>
              <c:numCache>
                <c:formatCode>0.0%</c:formatCode>
                <c:ptCount val="11"/>
                <c:pt idx="0">
                  <c:v>4.2314974498998827E-2</c:v>
                </c:pt>
                <c:pt idx="1">
                  <c:v>7.8399369429382387E-2</c:v>
                </c:pt>
                <c:pt idx="2">
                  <c:v>0.11037609427892169</c:v>
                </c:pt>
                <c:pt idx="3">
                  <c:v>0.13855888768759134</c:v>
                </c:pt>
                <c:pt idx="4">
                  <c:v>0.1634555647717566</c:v>
                </c:pt>
                <c:pt idx="5">
                  <c:v>0.18580402232853019</c:v>
                </c:pt>
                <c:pt idx="6">
                  <c:v>0.20531924385664782</c:v>
                </c:pt>
                <c:pt idx="7">
                  <c:v>0.2229057313542662</c:v>
                </c:pt>
                <c:pt idx="8">
                  <c:v>0.23821475871561065</c:v>
                </c:pt>
                <c:pt idx="9">
                  <c:v>0.25125207419543855</c:v>
                </c:pt>
                <c:pt idx="10">
                  <c:v>0.26135443725468716</c:v>
                </c:pt>
              </c:numCache>
            </c:numRef>
          </c:val>
          <c:extLst>
            <c:ext xmlns:c16="http://schemas.microsoft.com/office/drawing/2014/chart" uri="{C3380CC4-5D6E-409C-BE32-E72D297353CC}">
              <c16:uniqueId val="{00000001-2AF1-4B22-8EAE-3D14FA2DB6F3}"/>
            </c:ext>
          </c:extLst>
        </c:ser>
        <c:dLbls>
          <c:dLblPos val="outEnd"/>
          <c:showLegendKey val="0"/>
          <c:showVal val="1"/>
          <c:showCatName val="0"/>
          <c:showSerName val="0"/>
          <c:showPercent val="0"/>
          <c:showBubbleSize val="0"/>
        </c:dLbls>
        <c:gapWidth val="219"/>
        <c:overlap val="-27"/>
        <c:axId val="338830032"/>
        <c:axId val="338834520"/>
      </c:barChart>
      <c:catAx>
        <c:axId val="33883003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4520"/>
        <c:crosses val="autoZero"/>
        <c:auto val="1"/>
        <c:lblAlgn val="ctr"/>
        <c:lblOffset val="100"/>
        <c:noMultiLvlLbl val="0"/>
      </c:catAx>
      <c:valAx>
        <c:axId val="338834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Margin %</a:t>
                </a:r>
              </a:p>
            </c:rich>
          </c:tx>
          <c:layout>
            <c:manualLayout>
              <c:xMode val="edge"/>
              <c:yMode val="edge"/>
              <c:x val="1.2497558301847523E-2"/>
              <c:y val="0.372303762029746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830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 &amp; L'!$B$54</c:f>
              <c:strCache>
                <c:ptCount val="1"/>
                <c:pt idx="0">
                  <c:v>Revenue Growth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'P &amp; L'!$G$5:$P$5</c:f>
              <c:numCache>
                <c:formatCode>General</c:formatCode>
                <c:ptCount val="10"/>
                <c:pt idx="0">
                  <c:v>2028</c:v>
                </c:pt>
                <c:pt idx="1">
                  <c:v>2029</c:v>
                </c:pt>
                <c:pt idx="2">
                  <c:v>2030</c:v>
                </c:pt>
                <c:pt idx="3">
                  <c:v>2031</c:v>
                </c:pt>
                <c:pt idx="4">
                  <c:v>2032</c:v>
                </c:pt>
                <c:pt idx="5">
                  <c:v>2033</c:v>
                </c:pt>
                <c:pt idx="6">
                  <c:v>2034</c:v>
                </c:pt>
                <c:pt idx="7">
                  <c:v>2035</c:v>
                </c:pt>
                <c:pt idx="8">
                  <c:v>2036</c:v>
                </c:pt>
                <c:pt idx="9">
                  <c:v>2037</c:v>
                </c:pt>
              </c:numCache>
            </c:numRef>
          </c:cat>
          <c:val>
            <c:numRef>
              <c:f>'P &amp; L'!$G$54:$P$54</c:f>
              <c:numCache>
                <c:formatCode>0.0%</c:formatCode>
                <c:ptCount val="10"/>
                <c:pt idx="0">
                  <c:v>8.0000000000000293E-2</c:v>
                </c:pt>
                <c:pt idx="1">
                  <c:v>8.0000000000000071E-2</c:v>
                </c:pt>
                <c:pt idx="2">
                  <c:v>8.0000000000000071E-2</c:v>
                </c:pt>
                <c:pt idx="3">
                  <c:v>8.0000000000000071E-2</c:v>
                </c:pt>
                <c:pt idx="4">
                  <c:v>8.0000000000000071E-2</c:v>
                </c:pt>
                <c:pt idx="5">
                  <c:v>7.9999999999999849E-2</c:v>
                </c:pt>
                <c:pt idx="6">
                  <c:v>8.0000000000000293E-2</c:v>
                </c:pt>
                <c:pt idx="7">
                  <c:v>8.0000000000000071E-2</c:v>
                </c:pt>
                <c:pt idx="8">
                  <c:v>8.0000000000000071E-2</c:v>
                </c:pt>
                <c:pt idx="9">
                  <c:v>8.0000000000000071E-2</c:v>
                </c:pt>
              </c:numCache>
            </c:numRef>
          </c:val>
          <c:extLst>
            <c:ext xmlns:c16="http://schemas.microsoft.com/office/drawing/2014/chart" uri="{C3380CC4-5D6E-409C-BE32-E72D297353CC}">
              <c16:uniqueId val="{00000001-428E-4086-90B4-B802920288EF}"/>
            </c:ext>
          </c:extLst>
        </c:ser>
        <c:dLbls>
          <c:dLblPos val="outEnd"/>
          <c:showLegendKey val="0"/>
          <c:showVal val="1"/>
          <c:showCatName val="0"/>
          <c:showSerName val="0"/>
          <c:showPercent val="0"/>
          <c:showBubbleSize val="0"/>
        </c:dLbls>
        <c:gapWidth val="219"/>
        <c:overlap val="-27"/>
        <c:axId val="336979240"/>
        <c:axId val="336979632"/>
      </c:barChart>
      <c:catAx>
        <c:axId val="33697924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597525815554316"/>
              <c:y val="0.91239268157736431"/>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632"/>
        <c:crosses val="autoZero"/>
        <c:auto val="1"/>
        <c:lblAlgn val="ctr"/>
        <c:lblOffset val="100"/>
        <c:noMultiLvlLbl val="0"/>
      </c:catAx>
      <c:valAx>
        <c:axId val="33697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Growth Rate</a:t>
                </a:r>
                <a:r>
                  <a:rPr lang="en-IN" b="1" i="1" baseline="0"/>
                  <a:t> %</a:t>
                </a:r>
                <a:endParaRPr lang="en-IN" b="1" i="1"/>
              </a:p>
            </c:rich>
          </c:tx>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979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v>DSCR</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extLst>
                <c:ext xmlns:c15="http://schemas.microsoft.com/office/drawing/2012/chart" uri="{02D57815-91ED-43cb-92C2-25804820EDAC}">
                  <c15:fullRef>
                    <c15:sqref>DSCR!$C$4:$O$4</c15:sqref>
                  </c15:fullRef>
                </c:ext>
              </c:extLst>
              <c:f>DSCR!$E$4:$O$4</c:f>
              <c:numCache>
                <c:formatCode>"FY"\ 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extLst>
                <c:ext xmlns:c15="http://schemas.microsoft.com/office/drawing/2012/chart" uri="{02D57815-91ED-43cb-92C2-25804820EDAC}">
                  <c15:fullRef>
                    <c15:sqref>DSCR!$C$13:$O$13</c15:sqref>
                  </c15:fullRef>
                </c:ext>
              </c:extLst>
              <c:f>DSCR!$E$13:$O$13</c:f>
              <c:numCache>
                <c:formatCode>0.0</c:formatCode>
                <c:ptCount val="11"/>
                <c:pt idx="0">
                  <c:v>2.3051863619384925</c:v>
                </c:pt>
                <c:pt idx="1">
                  <c:v>2.0540507941913488</c:v>
                </c:pt>
                <c:pt idx="2">
                  <c:v>2.0746595588578023</c:v>
                </c:pt>
                <c:pt idx="3">
                  <c:v>2.1203076945075416</c:v>
                </c:pt>
                <c:pt idx="4">
                  <c:v>2.1905056539270262</c:v>
                </c:pt>
                <c:pt idx="5">
                  <c:v>2.2852296672499959</c:v>
                </c:pt>
                <c:pt idx="6">
                  <c:v>2.3936373789739593</c:v>
                </c:pt>
                <c:pt idx="7">
                  <c:v>2.4929897406787105</c:v>
                </c:pt>
                <c:pt idx="8">
                  <c:v>2.8768314892018778</c:v>
                </c:pt>
                <c:pt idx="9">
                  <c:v>3.3518274864514206</c:v>
                </c:pt>
                <c:pt idx="10">
                  <c:v>9.207398317494782</c:v>
                </c:pt>
              </c:numCache>
            </c:numRef>
          </c:val>
          <c:extLst>
            <c:ext xmlns:c16="http://schemas.microsoft.com/office/drawing/2014/chart" uri="{C3380CC4-5D6E-409C-BE32-E72D297353CC}">
              <c16:uniqueId val="{00000001-758A-44FB-93D0-045CB0A5F037}"/>
            </c:ext>
          </c:extLst>
        </c:ser>
        <c:dLbls>
          <c:dLblPos val="outEnd"/>
          <c:showLegendKey val="0"/>
          <c:showVal val="1"/>
          <c:showCatName val="0"/>
          <c:showSerName val="0"/>
          <c:showPercent val="0"/>
          <c:showBubbleSize val="0"/>
        </c:dLbls>
        <c:gapWidth val="219"/>
        <c:overlap val="-27"/>
        <c:axId val="419706848"/>
        <c:axId val="419707632"/>
      </c:barChart>
      <c:catAx>
        <c:axId val="419706848"/>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quot;FY&quot;\ 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707632"/>
        <c:crosses val="autoZero"/>
        <c:auto val="1"/>
        <c:lblAlgn val="ctr"/>
        <c:lblOffset val="100"/>
        <c:noMultiLvlLbl val="0"/>
      </c:catAx>
      <c:valAx>
        <c:axId val="41970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DSCR</a:t>
                </a:r>
              </a:p>
            </c:rich>
          </c:tx>
          <c:layout>
            <c:manualLayout>
              <c:xMode val="edge"/>
              <c:yMode val="edge"/>
              <c:x val="1.8348620907699696E-2"/>
              <c:y val="0.37500923495674154"/>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70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280987</xdr:colOff>
      <xdr:row>57</xdr:row>
      <xdr:rowOff>104774</xdr:rowOff>
    </xdr:from>
    <xdr:to>
      <xdr:col>11</xdr:col>
      <xdr:colOff>0</xdr:colOff>
      <xdr:row>72</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319086</xdr:colOff>
      <xdr:row>74</xdr:row>
      <xdr:rowOff>38099</xdr:rowOff>
    </xdr:from>
    <xdr:to>
      <xdr:col>11</xdr:col>
      <xdr:colOff>0</xdr:colOff>
      <xdr:row>89</xdr:row>
      <xdr:rowOff>28574</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319087</xdr:colOff>
      <xdr:row>90</xdr:row>
      <xdr:rowOff>114300</xdr:rowOff>
    </xdr:from>
    <xdr:to>
      <xdr:col>11</xdr:col>
      <xdr:colOff>0</xdr:colOff>
      <xdr:row>105</xdr:row>
      <xdr:rowOff>114300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312736</xdr:colOff>
      <xdr:row>107</xdr:row>
      <xdr:rowOff>66674</xdr:rowOff>
    </xdr:from>
    <xdr:to>
      <xdr:col>10</xdr:col>
      <xdr:colOff>812800</xdr:colOff>
      <xdr:row>122</xdr:row>
      <xdr:rowOff>171450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444500</xdr:colOff>
      <xdr:row>15</xdr:row>
      <xdr:rowOff>0</xdr:rowOff>
    </xdr:from>
    <xdr:to>
      <xdr:col>10</xdr:col>
      <xdr:colOff>225426</xdr:colOff>
      <xdr:row>32</xdr:row>
      <xdr:rowOff>161925</xdr:rowOff>
    </xdr:to>
    <xdr:graphicFrame macro="">
      <xdr:nvGraphicFramePr>
        <xdr:cNvPr id="2" name="Chart 1">
          <a:extLst>
            <a:ext uri="{FF2B5EF4-FFF2-40B4-BE49-F238E27FC236}">
              <a16:creationId xmlns:a16="http://schemas.microsoft.com/office/drawing/2014/main" id="{42B9D07C-9348-4758-8E92-24D214092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hyperlink" Target="https://pib.gov.in/PressReleasePage.aspx?PRID=1935893" TargetMode="External"/><Relationship Id="rId2" Type="http://schemas.openxmlformats.org/officeDocument/2006/relationships/hyperlink" Target="https://www.google.com/maps/place/29%C2%B037'25.6%22N+77%C2%B059'36.7%22E/@29.6228603,77.9793391,1059m/data=!3m1!1e3!4m4!3m3!8m2!3d29.6237778!4d77.9935278?entry=ttu" TargetMode="External"/><Relationship Id="rId1" Type="http://schemas.openxmlformats.org/officeDocument/2006/relationships/hyperlink" Target="https://www.downtoearth.org.in/blog/energy/budget-kick-keep-these-factors-in-mind-while-setting-up-a-bio-cng-plant-87471" TargetMode="External"/><Relationship Id="rId5" Type="http://schemas.openxmlformats.org/officeDocument/2006/relationships/printerSettings" Target="../printerSettings/printerSettings9.bin"/><Relationship Id="rId4" Type="http://schemas.openxmlformats.org/officeDocument/2006/relationships/hyperlink" Target="https://gobardhan.co.in/"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2:M204"/>
  <sheetViews>
    <sheetView showGridLines="0" zoomScaleNormal="100" workbookViewId="0">
      <selection activeCell="G1" sqref="G1"/>
    </sheetView>
  </sheetViews>
  <sheetFormatPr defaultColWidth="13" defaultRowHeight="14.5" x14ac:dyDescent="0.35"/>
  <cols>
    <col min="1" max="1" width="4.453125" style="44" customWidth="1"/>
    <col min="2" max="2" width="9.54296875" style="44" customWidth="1"/>
    <col min="3" max="3" width="47.453125" style="45" customWidth="1"/>
    <col min="4" max="4" width="13.7265625" style="44" customWidth="1"/>
    <col min="5" max="5" width="13.453125" style="44" customWidth="1"/>
    <col min="6" max="6" width="20.26953125" style="44" customWidth="1"/>
    <col min="7" max="7" width="21" style="44" customWidth="1"/>
    <col min="8" max="8" width="19.453125" style="44" customWidth="1"/>
    <col min="9" max="9" width="16" style="44" bestFit="1" customWidth="1"/>
    <col min="10" max="12" width="13" style="44"/>
    <col min="13" max="13" width="22.453125" style="44" customWidth="1"/>
    <col min="14" max="16384" width="13" style="44"/>
  </cols>
  <sheetData>
    <row r="2" spans="2:9" ht="20.25" customHeight="1" x14ac:dyDescent="0.35">
      <c r="B2" s="432" t="s">
        <v>6</v>
      </c>
      <c r="C2" s="432"/>
      <c r="D2" s="432"/>
      <c r="E2" s="432"/>
      <c r="F2" s="432"/>
      <c r="G2" s="432"/>
    </row>
    <row r="3" spans="2:9" s="66" customFormat="1" ht="21" customHeight="1" x14ac:dyDescent="0.35">
      <c r="B3" s="70" t="s">
        <v>0</v>
      </c>
      <c r="C3" s="70" t="s">
        <v>1</v>
      </c>
      <c r="D3" s="70" t="s">
        <v>2</v>
      </c>
      <c r="E3" s="70" t="s">
        <v>3</v>
      </c>
      <c r="F3" s="70" t="s">
        <v>4</v>
      </c>
      <c r="G3" s="70" t="s">
        <v>549</v>
      </c>
    </row>
    <row r="4" spans="2:9" ht="18.75" customHeight="1" x14ac:dyDescent="0.35">
      <c r="B4" s="71" t="s">
        <v>67</v>
      </c>
      <c r="C4" s="433" t="s">
        <v>334</v>
      </c>
      <c r="D4" s="435"/>
      <c r="E4" s="435"/>
      <c r="F4" s="435"/>
      <c r="G4" s="435"/>
    </row>
    <row r="5" spans="2:9" x14ac:dyDescent="0.35">
      <c r="B5" s="44">
        <v>1</v>
      </c>
      <c r="C5" s="45" t="s">
        <v>550</v>
      </c>
    </row>
    <row r="6" spans="2:9" ht="14.15" customHeight="1" x14ac:dyDescent="0.35">
      <c r="D6" s="48"/>
      <c r="F6" s="48"/>
      <c r="G6" s="63"/>
    </row>
    <row r="7" spans="2:9" ht="14.15" customHeight="1" x14ac:dyDescent="0.35">
      <c r="D7" s="48"/>
      <c r="F7" s="48"/>
      <c r="G7" s="63"/>
    </row>
    <row r="8" spans="2:9" x14ac:dyDescent="0.35">
      <c r="D8" s="48"/>
      <c r="F8" s="48"/>
      <c r="G8" s="63"/>
    </row>
    <row r="9" spans="2:9" s="47" customFormat="1" ht="22.5" customHeight="1" x14ac:dyDescent="0.35">
      <c r="B9" s="74"/>
      <c r="C9" s="75" t="s">
        <v>554</v>
      </c>
      <c r="D9" s="74"/>
      <c r="E9" s="74"/>
      <c r="F9" s="74"/>
      <c r="G9" s="76">
        <v>5000000</v>
      </c>
      <c r="I9" s="49"/>
    </row>
    <row r="10" spans="2:9" ht="22.5" customHeight="1" x14ac:dyDescent="0.35">
      <c r="B10" s="71" t="s">
        <v>68</v>
      </c>
      <c r="C10" s="433" t="s">
        <v>92</v>
      </c>
      <c r="D10" s="434"/>
      <c r="E10" s="434"/>
      <c r="F10" s="434"/>
      <c r="G10" s="434"/>
    </row>
    <row r="11" spans="2:9" ht="22.5" customHeight="1" x14ac:dyDescent="0.35">
      <c r="B11" s="47">
        <v>1</v>
      </c>
      <c r="C11" s="50" t="s">
        <v>93</v>
      </c>
      <c r="F11" s="48"/>
      <c r="G11" s="63"/>
    </row>
    <row r="12" spans="2:9" ht="22.5" customHeight="1" x14ac:dyDescent="0.35">
      <c r="B12" s="44" t="s">
        <v>72</v>
      </c>
      <c r="C12" s="45" t="s">
        <v>268</v>
      </c>
      <c r="D12" s="48">
        <v>225</v>
      </c>
      <c r="E12" s="44" t="s">
        <v>276</v>
      </c>
      <c r="F12" s="48">
        <v>1400</v>
      </c>
      <c r="G12" s="63">
        <f>D12*F12</f>
        <v>315000</v>
      </c>
      <c r="H12" s="240"/>
    </row>
    <row r="13" spans="2:9" ht="22.5" customHeight="1" x14ac:dyDescent="0.35">
      <c r="B13" s="44" t="s">
        <v>73</v>
      </c>
      <c r="C13" s="45" t="s">
        <v>506</v>
      </c>
      <c r="D13" s="48">
        <v>320</v>
      </c>
      <c r="E13" s="44" t="s">
        <v>276</v>
      </c>
      <c r="F13" s="48">
        <v>6700</v>
      </c>
      <c r="G13" s="63">
        <f t="shared" ref="G13:G22" si="0">D13*F13</f>
        <v>2144000</v>
      </c>
      <c r="H13" s="240"/>
    </row>
    <row r="14" spans="2:9" ht="22.5" customHeight="1" x14ac:dyDescent="0.35">
      <c r="B14" s="44" t="s">
        <v>74</v>
      </c>
      <c r="C14" s="45" t="s">
        <v>266</v>
      </c>
      <c r="D14" s="48">
        <v>16</v>
      </c>
      <c r="E14" s="44" t="s">
        <v>276</v>
      </c>
      <c r="F14" s="48">
        <v>7500</v>
      </c>
      <c r="G14" s="63">
        <f t="shared" si="0"/>
        <v>120000</v>
      </c>
      <c r="H14" s="240"/>
    </row>
    <row r="15" spans="2:9" ht="22.5" customHeight="1" x14ac:dyDescent="0.35">
      <c r="B15" s="44" t="s">
        <v>81</v>
      </c>
      <c r="C15" s="45" t="s">
        <v>267</v>
      </c>
      <c r="D15" s="48">
        <v>3</v>
      </c>
      <c r="E15" s="44" t="s">
        <v>136</v>
      </c>
      <c r="F15" s="48">
        <v>225000</v>
      </c>
      <c r="G15" s="63">
        <f t="shared" si="0"/>
        <v>675000</v>
      </c>
      <c r="H15" s="240"/>
    </row>
    <row r="16" spans="2:9" ht="22.5" customHeight="1" x14ac:dyDescent="0.35">
      <c r="B16" s="44" t="s">
        <v>82</v>
      </c>
      <c r="C16" s="45" t="s">
        <v>580</v>
      </c>
      <c r="D16" s="48">
        <v>700</v>
      </c>
      <c r="E16" s="44" t="s">
        <v>160</v>
      </c>
      <c r="F16" s="48">
        <v>6700</v>
      </c>
      <c r="G16" s="63">
        <f t="shared" si="0"/>
        <v>4690000</v>
      </c>
      <c r="H16" s="240"/>
    </row>
    <row r="17" spans="2:10" ht="35.15" customHeight="1" x14ac:dyDescent="0.35">
      <c r="B17" s="44" t="s">
        <v>83</v>
      </c>
      <c r="C17" s="45" t="s">
        <v>581</v>
      </c>
      <c r="D17" s="48">
        <v>5000</v>
      </c>
      <c r="E17" s="44" t="s">
        <v>276</v>
      </c>
      <c r="F17" s="48">
        <v>1100</v>
      </c>
      <c r="G17" s="63">
        <f t="shared" si="0"/>
        <v>5500000</v>
      </c>
      <c r="H17" s="240"/>
    </row>
    <row r="18" spans="2:10" ht="22.5" customHeight="1" x14ac:dyDescent="0.35">
      <c r="B18" s="44" t="s">
        <v>84</v>
      </c>
      <c r="C18" s="45" t="s">
        <v>532</v>
      </c>
      <c r="D18" s="48">
        <v>350</v>
      </c>
      <c r="E18" s="44" t="s">
        <v>276</v>
      </c>
      <c r="F18" s="48">
        <v>2800</v>
      </c>
      <c r="G18" s="63">
        <f t="shared" si="0"/>
        <v>980000</v>
      </c>
      <c r="H18" s="240"/>
      <c r="I18" s="44" t="s">
        <v>687</v>
      </c>
      <c r="J18" s="44">
        <v>16</v>
      </c>
    </row>
    <row r="19" spans="2:10" ht="22.5" customHeight="1" x14ac:dyDescent="0.35">
      <c r="B19" s="44" t="s">
        <v>85</v>
      </c>
      <c r="C19" s="45" t="s">
        <v>515</v>
      </c>
      <c r="D19" s="48">
        <v>600</v>
      </c>
      <c r="E19" s="44" t="s">
        <v>277</v>
      </c>
      <c r="F19" s="48">
        <v>5000</v>
      </c>
      <c r="G19" s="63">
        <f>D19*F19</f>
        <v>3000000</v>
      </c>
      <c r="H19" s="240"/>
      <c r="J19" s="54">
        <f>(4/3)*(22/7)*16^3</f>
        <v>17164.190476190473</v>
      </c>
    </row>
    <row r="20" spans="2:10" ht="22.5" customHeight="1" x14ac:dyDescent="0.35">
      <c r="B20" s="44" t="s">
        <v>67</v>
      </c>
      <c r="C20" s="45" t="s">
        <v>473</v>
      </c>
      <c r="D20" s="48">
        <v>610</v>
      </c>
      <c r="E20" s="44" t="s">
        <v>276</v>
      </c>
      <c r="F20" s="48">
        <v>6700</v>
      </c>
      <c r="G20" s="63">
        <f t="shared" si="0"/>
        <v>4087000</v>
      </c>
      <c r="H20" s="240"/>
      <c r="J20" s="242" t="s">
        <v>688</v>
      </c>
    </row>
    <row r="21" spans="2:10" ht="22.5" customHeight="1" x14ac:dyDescent="0.35">
      <c r="B21" s="44" t="s">
        <v>86</v>
      </c>
      <c r="C21" s="45" t="s">
        <v>502</v>
      </c>
      <c r="D21" s="48">
        <v>7234</v>
      </c>
      <c r="E21" s="44" t="s">
        <v>277</v>
      </c>
      <c r="F21" s="48">
        <v>2450</v>
      </c>
      <c r="G21" s="63">
        <f t="shared" si="0"/>
        <v>17723300</v>
      </c>
      <c r="H21" s="240"/>
      <c r="J21" s="100">
        <f>(3.14)*16^2*9</f>
        <v>7234.56</v>
      </c>
    </row>
    <row r="22" spans="2:10" ht="22.5" customHeight="1" x14ac:dyDescent="0.35">
      <c r="B22" s="44" t="s">
        <v>269</v>
      </c>
      <c r="C22" s="45" t="s">
        <v>502</v>
      </c>
      <c r="D22" s="48">
        <v>7234</v>
      </c>
      <c r="E22" s="44" t="s">
        <v>277</v>
      </c>
      <c r="F22" s="48">
        <v>2450</v>
      </c>
      <c r="G22" s="63">
        <f t="shared" si="0"/>
        <v>17723300</v>
      </c>
      <c r="H22" s="240"/>
      <c r="J22" s="44">
        <f>3.14*32*32*9/4</f>
        <v>7234.56</v>
      </c>
    </row>
    <row r="23" spans="2:10" ht="22.5" customHeight="1" x14ac:dyDescent="0.35">
      <c r="B23" s="44" t="s">
        <v>264</v>
      </c>
      <c r="C23" s="45" t="s">
        <v>472</v>
      </c>
      <c r="D23" s="48">
        <v>100</v>
      </c>
      <c r="E23" s="44" t="s">
        <v>277</v>
      </c>
      <c r="F23" s="48">
        <v>5000</v>
      </c>
      <c r="G23" s="63">
        <f t="shared" ref="G23:G31" si="1">(D23*F23)</f>
        <v>500000</v>
      </c>
      <c r="H23" s="240"/>
    </row>
    <row r="24" spans="2:10" ht="22.5" customHeight="1" x14ac:dyDescent="0.35">
      <c r="B24" s="44" t="s">
        <v>270</v>
      </c>
      <c r="C24" s="45" t="s">
        <v>329</v>
      </c>
      <c r="D24" s="48">
        <v>24</v>
      </c>
      <c r="E24" s="44" t="s">
        <v>276</v>
      </c>
      <c r="F24" s="48">
        <v>10000</v>
      </c>
      <c r="G24" s="63">
        <f t="shared" si="1"/>
        <v>240000</v>
      </c>
      <c r="H24" s="240"/>
    </row>
    <row r="25" spans="2:10" ht="22.5" customHeight="1" x14ac:dyDescent="0.35">
      <c r="B25" s="44" t="s">
        <v>271</v>
      </c>
      <c r="C25" s="45" t="s">
        <v>474</v>
      </c>
      <c r="D25" s="48">
        <v>600</v>
      </c>
      <c r="E25" s="44" t="s">
        <v>276</v>
      </c>
      <c r="F25" s="48">
        <v>6700</v>
      </c>
      <c r="G25" s="63">
        <f t="shared" si="1"/>
        <v>4020000</v>
      </c>
      <c r="H25" s="240"/>
    </row>
    <row r="26" spans="2:10" ht="22.5" customHeight="1" x14ac:dyDescent="0.35">
      <c r="B26" s="44" t="s">
        <v>272</v>
      </c>
      <c r="C26" s="45" t="s">
        <v>475</v>
      </c>
      <c r="D26" s="48">
        <v>400</v>
      </c>
      <c r="E26" s="44" t="s">
        <v>476</v>
      </c>
      <c r="F26" s="48">
        <v>5000</v>
      </c>
      <c r="G26" s="63">
        <f>(D26*F26)</f>
        <v>2000000</v>
      </c>
      <c r="H26" s="240"/>
    </row>
    <row r="27" spans="2:10" ht="22.5" customHeight="1" x14ac:dyDescent="0.35">
      <c r="B27" s="44" t="s">
        <v>273</v>
      </c>
      <c r="C27" s="51" t="s">
        <v>537</v>
      </c>
      <c r="D27" s="44">
        <v>552</v>
      </c>
      <c r="E27" s="44" t="s">
        <v>276</v>
      </c>
      <c r="F27" s="48">
        <v>1000</v>
      </c>
      <c r="G27" s="63">
        <f>(D27*F27)</f>
        <v>552000</v>
      </c>
      <c r="H27" s="240"/>
    </row>
    <row r="28" spans="2:10" ht="29" x14ac:dyDescent="0.35">
      <c r="B28" s="44" t="s">
        <v>274</v>
      </c>
      <c r="C28" s="45" t="s">
        <v>533</v>
      </c>
      <c r="D28" s="48">
        <v>91</v>
      </c>
      <c r="E28" s="44" t="s">
        <v>276</v>
      </c>
      <c r="F28" s="48">
        <v>9000</v>
      </c>
      <c r="G28" s="63">
        <f>(D28*F28)</f>
        <v>819000</v>
      </c>
      <c r="H28" s="240"/>
    </row>
    <row r="29" spans="2:10" ht="22.5" customHeight="1" x14ac:dyDescent="0.35">
      <c r="B29" s="44" t="s">
        <v>275</v>
      </c>
      <c r="C29" s="45" t="s">
        <v>534</v>
      </c>
      <c r="D29" s="48">
        <v>225</v>
      </c>
      <c r="E29" s="44" t="s">
        <v>276</v>
      </c>
      <c r="F29" s="48">
        <v>15000</v>
      </c>
      <c r="G29" s="63">
        <f>(D29*F29)</f>
        <v>3375000</v>
      </c>
      <c r="H29" s="240"/>
    </row>
    <row r="30" spans="2:10" ht="22.5" customHeight="1" x14ac:dyDescent="0.35">
      <c r="B30" s="44" t="s">
        <v>477</v>
      </c>
      <c r="C30" s="51" t="s">
        <v>536</v>
      </c>
      <c r="D30" s="44">
        <v>165</v>
      </c>
      <c r="E30" s="44" t="s">
        <v>276</v>
      </c>
      <c r="F30" s="48">
        <v>10000</v>
      </c>
      <c r="G30" s="63">
        <f>(D30*F30)</f>
        <v>1650000</v>
      </c>
      <c r="H30" s="240"/>
    </row>
    <row r="31" spans="2:10" ht="22.5" customHeight="1" x14ac:dyDescent="0.35">
      <c r="B31" s="44" t="s">
        <v>535</v>
      </c>
      <c r="C31" s="45" t="s">
        <v>538</v>
      </c>
      <c r="D31" s="48">
        <v>20</v>
      </c>
      <c r="E31" s="44" t="s">
        <v>276</v>
      </c>
      <c r="F31" s="48">
        <v>6500</v>
      </c>
      <c r="G31" s="63">
        <f t="shared" si="1"/>
        <v>130000</v>
      </c>
      <c r="H31" s="240"/>
    </row>
    <row r="32" spans="2:10" s="47" customFormat="1" ht="22.5" customHeight="1" x14ac:dyDescent="0.35">
      <c r="B32" s="74"/>
      <c r="C32" s="80" t="s">
        <v>91</v>
      </c>
      <c r="D32" s="81"/>
      <c r="E32" s="82"/>
      <c r="F32" s="81"/>
      <c r="G32" s="76">
        <f>SUM(G11:G31)</f>
        <v>70243600</v>
      </c>
      <c r="H32" s="241"/>
    </row>
    <row r="33" spans="2:9" s="47" customFormat="1" ht="22.5" customHeight="1" x14ac:dyDescent="0.35">
      <c r="B33" s="47">
        <v>2</v>
      </c>
      <c r="C33" s="50" t="s">
        <v>278</v>
      </c>
      <c r="F33" s="52"/>
      <c r="G33" s="48"/>
    </row>
    <row r="34" spans="2:9" s="47" customFormat="1" ht="22.5" customHeight="1" x14ac:dyDescent="0.35">
      <c r="B34" s="44" t="s">
        <v>72</v>
      </c>
      <c r="C34" s="53" t="s">
        <v>471</v>
      </c>
      <c r="D34" s="54">
        <v>519</v>
      </c>
      <c r="E34" s="44" t="s">
        <v>276</v>
      </c>
      <c r="F34" s="48">
        <v>1000</v>
      </c>
      <c r="G34" s="63">
        <f t="shared" ref="G34:G41" si="2">(D34*F34)</f>
        <v>519000</v>
      </c>
      <c r="H34" s="240"/>
    </row>
    <row r="35" spans="2:9" s="47" customFormat="1" ht="22.5" customHeight="1" x14ac:dyDescent="0.35">
      <c r="B35" s="44" t="s">
        <v>73</v>
      </c>
      <c r="C35" s="53" t="s">
        <v>466</v>
      </c>
      <c r="D35" s="54">
        <v>150</v>
      </c>
      <c r="E35" s="44" t="s">
        <v>276</v>
      </c>
      <c r="F35" s="48">
        <v>1000</v>
      </c>
      <c r="G35" s="63">
        <f t="shared" si="2"/>
        <v>150000</v>
      </c>
      <c r="H35" s="240"/>
    </row>
    <row r="36" spans="2:9" s="47" customFormat="1" ht="22.5" customHeight="1" x14ac:dyDescent="0.35">
      <c r="B36" s="44" t="s">
        <v>74</v>
      </c>
      <c r="C36" s="53" t="s">
        <v>467</v>
      </c>
      <c r="D36" s="54">
        <v>76</v>
      </c>
      <c r="E36" s="44" t="s">
        <v>276</v>
      </c>
      <c r="F36" s="48">
        <v>1000</v>
      </c>
      <c r="G36" s="63">
        <f t="shared" si="2"/>
        <v>76000</v>
      </c>
      <c r="H36" s="240"/>
    </row>
    <row r="37" spans="2:9" s="47" customFormat="1" ht="22.5" customHeight="1" x14ac:dyDescent="0.35">
      <c r="B37" s="44" t="s">
        <v>81</v>
      </c>
      <c r="C37" s="53" t="s">
        <v>468</v>
      </c>
      <c r="D37" s="54">
        <v>100</v>
      </c>
      <c r="E37" s="44" t="s">
        <v>276</v>
      </c>
      <c r="F37" s="48">
        <v>1000</v>
      </c>
      <c r="G37" s="63">
        <f t="shared" si="2"/>
        <v>100000</v>
      </c>
      <c r="H37" s="240"/>
    </row>
    <row r="38" spans="2:9" s="47" customFormat="1" ht="22.5" customHeight="1" x14ac:dyDescent="0.35">
      <c r="B38" s="44" t="s">
        <v>82</v>
      </c>
      <c r="C38" s="53" t="s">
        <v>469</v>
      </c>
      <c r="D38" s="54">
        <v>238</v>
      </c>
      <c r="E38" s="44" t="s">
        <v>276</v>
      </c>
      <c r="F38" s="48">
        <v>4000</v>
      </c>
      <c r="G38" s="63">
        <f t="shared" si="2"/>
        <v>952000</v>
      </c>
      <c r="H38" s="240"/>
    </row>
    <row r="39" spans="2:9" s="47" customFormat="1" ht="22.5" customHeight="1" x14ac:dyDescent="0.35">
      <c r="B39" s="44" t="s">
        <v>83</v>
      </c>
      <c r="C39" s="53" t="s">
        <v>279</v>
      </c>
      <c r="D39" s="54">
        <v>12</v>
      </c>
      <c r="E39" s="44" t="s">
        <v>276</v>
      </c>
      <c r="F39" s="48">
        <v>1500</v>
      </c>
      <c r="G39" s="63">
        <f t="shared" si="2"/>
        <v>18000</v>
      </c>
      <c r="H39" s="240"/>
    </row>
    <row r="40" spans="2:9" s="47" customFormat="1" ht="22.5" customHeight="1" x14ac:dyDescent="0.35">
      <c r="B40" s="44" t="s">
        <v>84</v>
      </c>
      <c r="C40" s="53" t="s">
        <v>470</v>
      </c>
      <c r="D40" s="54">
        <v>36</v>
      </c>
      <c r="E40" s="44" t="s">
        <v>276</v>
      </c>
      <c r="F40" s="48">
        <v>3500</v>
      </c>
      <c r="G40" s="63">
        <f t="shared" si="2"/>
        <v>126000</v>
      </c>
      <c r="H40" s="240"/>
    </row>
    <row r="41" spans="2:9" s="47" customFormat="1" ht="22.5" customHeight="1" x14ac:dyDescent="0.35">
      <c r="B41" s="44" t="s">
        <v>85</v>
      </c>
      <c r="C41" s="53" t="s">
        <v>330</v>
      </c>
      <c r="D41" s="54">
        <v>1</v>
      </c>
      <c r="E41" s="44" t="s">
        <v>164</v>
      </c>
      <c r="F41" s="48">
        <v>100000</v>
      </c>
      <c r="G41" s="63">
        <f t="shared" si="2"/>
        <v>100000</v>
      </c>
      <c r="H41" s="240"/>
    </row>
    <row r="42" spans="2:9" s="47" customFormat="1" ht="22.5" customHeight="1" x14ac:dyDescent="0.35">
      <c r="B42" s="82"/>
      <c r="C42" s="80" t="s">
        <v>5</v>
      </c>
      <c r="D42" s="81"/>
      <c r="E42" s="74"/>
      <c r="F42" s="81"/>
      <c r="G42" s="76">
        <f>SUM(G34:G41)</f>
        <v>2041000</v>
      </c>
      <c r="H42" s="241"/>
    </row>
    <row r="43" spans="2:9" ht="22.5" customHeight="1" x14ac:dyDescent="0.35">
      <c r="B43" s="47">
        <v>3</v>
      </c>
      <c r="C43" s="50" t="s">
        <v>94</v>
      </c>
      <c r="F43" s="48"/>
      <c r="G43" s="63"/>
    </row>
    <row r="44" spans="2:9" ht="22.5" customHeight="1" x14ac:dyDescent="0.35">
      <c r="C44" s="53"/>
      <c r="F44" s="48"/>
      <c r="G44" s="63"/>
    </row>
    <row r="45" spans="2:9" ht="22.5" customHeight="1" x14ac:dyDescent="0.35">
      <c r="B45" s="44" t="s">
        <v>72</v>
      </c>
      <c r="C45" s="53" t="s">
        <v>172</v>
      </c>
      <c r="D45" s="44">
        <v>1</v>
      </c>
      <c r="E45" s="44" t="s">
        <v>161</v>
      </c>
      <c r="F45" s="48">
        <v>287400</v>
      </c>
      <c r="G45" s="63">
        <f>(D45*F45)</f>
        <v>287400</v>
      </c>
      <c r="H45" s="240"/>
    </row>
    <row r="46" spans="2:9" ht="22.5" customHeight="1" x14ac:dyDescent="0.35">
      <c r="B46" s="44" t="s">
        <v>73</v>
      </c>
      <c r="C46" s="53" t="s">
        <v>305</v>
      </c>
      <c r="D46" s="44">
        <v>2000</v>
      </c>
      <c r="E46" s="44" t="s">
        <v>162</v>
      </c>
      <c r="F46" s="48">
        <v>6</v>
      </c>
      <c r="G46" s="63">
        <f>(D46*F46)</f>
        <v>12000</v>
      </c>
      <c r="H46" s="240"/>
      <c r="I46" s="44">
        <f>F49*12%</f>
        <v>8710080</v>
      </c>
    </row>
    <row r="47" spans="2:9" s="47" customFormat="1" ht="22.5" customHeight="1" x14ac:dyDescent="0.35">
      <c r="B47" s="74"/>
      <c r="C47" s="80" t="s">
        <v>5</v>
      </c>
      <c r="D47" s="74"/>
      <c r="E47" s="74"/>
      <c r="F47" s="81"/>
      <c r="G47" s="76">
        <f>SUM(G44:G46)</f>
        <v>299400</v>
      </c>
      <c r="H47" s="241"/>
      <c r="I47" s="241">
        <v>8710080</v>
      </c>
    </row>
    <row r="48" spans="2:9" ht="22.5" customHeight="1" x14ac:dyDescent="0.35">
      <c r="B48" s="47">
        <v>4</v>
      </c>
      <c r="C48" s="50" t="s">
        <v>265</v>
      </c>
    </row>
    <row r="49" spans="2:9" ht="22.5" customHeight="1" x14ac:dyDescent="0.35">
      <c r="B49" s="44" t="s">
        <v>72</v>
      </c>
      <c r="C49" s="45" t="s">
        <v>450</v>
      </c>
      <c r="D49" s="44">
        <v>12</v>
      </c>
      <c r="E49" s="44" t="s">
        <v>8</v>
      </c>
      <c r="F49" s="48">
        <f>(G32+G42+G47)</f>
        <v>72584000</v>
      </c>
      <c r="G49" s="63">
        <f>(D49*F49)/100</f>
        <v>8710080</v>
      </c>
      <c r="H49" s="240"/>
    </row>
    <row r="50" spans="2:9" s="47" customFormat="1" ht="22.5" customHeight="1" x14ac:dyDescent="0.35">
      <c r="B50" s="74"/>
      <c r="C50" s="83" t="s">
        <v>186</v>
      </c>
      <c r="D50" s="74"/>
      <c r="E50" s="74"/>
      <c r="F50" s="81"/>
      <c r="G50" s="76">
        <f>(G32+G42+G47+G49)</f>
        <v>81294080</v>
      </c>
      <c r="H50" s="241"/>
      <c r="I50" s="55"/>
    </row>
    <row r="51" spans="2:9" ht="22.5" customHeight="1" x14ac:dyDescent="0.35">
      <c r="B51" s="71" t="s">
        <v>70</v>
      </c>
      <c r="C51" s="433" t="s">
        <v>95</v>
      </c>
      <c r="D51" s="433"/>
      <c r="E51" s="433"/>
      <c r="F51" s="433"/>
      <c r="G51" s="433"/>
    </row>
    <row r="52" spans="2:9" ht="22.5" customHeight="1" x14ac:dyDescent="0.35">
      <c r="B52" s="47">
        <v>1</v>
      </c>
      <c r="C52" s="56" t="s">
        <v>496</v>
      </c>
      <c r="D52" s="58"/>
      <c r="E52" s="49"/>
      <c r="G52" s="52"/>
    </row>
    <row r="53" spans="2:9" ht="22.5" customHeight="1" x14ac:dyDescent="0.35">
      <c r="B53" s="44" t="s">
        <v>72</v>
      </c>
      <c r="C53" s="57" t="s">
        <v>335</v>
      </c>
      <c r="D53" s="44">
        <v>1</v>
      </c>
      <c r="E53" s="44" t="s">
        <v>161</v>
      </c>
      <c r="F53" s="48">
        <v>825000</v>
      </c>
      <c r="G53" s="63">
        <f>(D53*F53)</f>
        <v>825000</v>
      </c>
      <c r="H53" s="240"/>
    </row>
    <row r="54" spans="2:9" ht="18.75" customHeight="1" x14ac:dyDescent="0.35">
      <c r="C54" s="57"/>
      <c r="F54" s="48"/>
      <c r="G54" s="63"/>
    </row>
    <row r="55" spans="2:9" s="47" customFormat="1" ht="22.5" customHeight="1" x14ac:dyDescent="0.35">
      <c r="B55" s="74"/>
      <c r="C55" s="80" t="s">
        <v>5</v>
      </c>
      <c r="D55" s="74"/>
      <c r="E55" s="84"/>
      <c r="F55" s="81"/>
      <c r="G55" s="76">
        <f>SUM(G53:G54)</f>
        <v>825000</v>
      </c>
    </row>
    <row r="56" spans="2:9" s="47" customFormat="1" ht="22.5" customHeight="1" x14ac:dyDescent="0.35">
      <c r="B56" s="47">
        <v>2</v>
      </c>
      <c r="C56" s="50" t="s">
        <v>540</v>
      </c>
      <c r="E56" s="44"/>
      <c r="F56" s="48"/>
      <c r="G56" s="63"/>
    </row>
    <row r="57" spans="2:9" s="47" customFormat="1" ht="22.5" customHeight="1" x14ac:dyDescent="0.35">
      <c r="B57" s="44" t="s">
        <v>72</v>
      </c>
      <c r="C57" s="53" t="s">
        <v>465</v>
      </c>
      <c r="D57" s="44">
        <v>1</v>
      </c>
      <c r="E57" s="44" t="s">
        <v>161</v>
      </c>
      <c r="F57" s="48">
        <v>1175000</v>
      </c>
      <c r="G57" s="63">
        <f>F57</f>
        <v>1175000</v>
      </c>
      <c r="H57" s="241"/>
    </row>
    <row r="58" spans="2:9" s="47" customFormat="1" ht="22.5" customHeight="1" x14ac:dyDescent="0.35">
      <c r="B58" s="44" t="s">
        <v>73</v>
      </c>
      <c r="C58" s="53" t="s">
        <v>464</v>
      </c>
      <c r="D58" s="44">
        <v>1</v>
      </c>
      <c r="E58" s="44" t="s">
        <v>161</v>
      </c>
      <c r="F58" s="48">
        <v>1060000</v>
      </c>
      <c r="G58" s="63">
        <f>(D58*F58)</f>
        <v>1060000</v>
      </c>
      <c r="H58" s="241"/>
    </row>
    <row r="59" spans="2:9" s="47" customFormat="1" ht="22.5" customHeight="1" x14ac:dyDescent="0.35">
      <c r="B59" s="44" t="s">
        <v>74</v>
      </c>
      <c r="C59" s="53" t="s">
        <v>478</v>
      </c>
      <c r="D59" s="44">
        <v>2</v>
      </c>
      <c r="E59" s="44" t="s">
        <v>161</v>
      </c>
      <c r="F59" s="48">
        <v>2435000</v>
      </c>
      <c r="G59" s="63">
        <f>F59*D59</f>
        <v>4870000</v>
      </c>
      <c r="H59" s="241"/>
    </row>
    <row r="60" spans="2:9" s="47" customFormat="1" ht="22.5" customHeight="1" x14ac:dyDescent="0.35">
      <c r="B60" s="74"/>
      <c r="C60" s="80" t="s">
        <v>5</v>
      </c>
      <c r="D60" s="74"/>
      <c r="E60" s="84"/>
      <c r="F60" s="81"/>
      <c r="G60" s="76">
        <f>SUM(G57:G59)</f>
        <v>7105000</v>
      </c>
      <c r="H60" s="241"/>
    </row>
    <row r="61" spans="2:9" s="47" customFormat="1" ht="22.5" customHeight="1" x14ac:dyDescent="0.35">
      <c r="B61" s="46">
        <v>3</v>
      </c>
      <c r="C61" s="431" t="s">
        <v>322</v>
      </c>
      <c r="D61" s="431"/>
      <c r="E61" s="46"/>
      <c r="F61" s="48"/>
      <c r="G61" s="48"/>
    </row>
    <row r="62" spans="2:9" s="47" customFormat="1" ht="19.5" customHeight="1" x14ac:dyDescent="0.35">
      <c r="B62" s="44" t="s">
        <v>72</v>
      </c>
      <c r="C62" s="53" t="s">
        <v>503</v>
      </c>
      <c r="D62" s="44" t="s">
        <v>497</v>
      </c>
      <c r="E62" s="44" t="s">
        <v>336</v>
      </c>
      <c r="F62" s="48" t="s">
        <v>323</v>
      </c>
      <c r="G62" s="48" t="s">
        <v>323</v>
      </c>
    </row>
    <row r="63" spans="2:9" s="47" customFormat="1" ht="22.5" customHeight="1" x14ac:dyDescent="0.35">
      <c r="B63" s="44" t="s">
        <v>73</v>
      </c>
      <c r="C63" s="53" t="s">
        <v>280</v>
      </c>
      <c r="D63" s="44">
        <v>2</v>
      </c>
      <c r="E63" s="44" t="s">
        <v>161</v>
      </c>
      <c r="F63" s="48" t="s">
        <v>323</v>
      </c>
      <c r="G63" s="48" t="s">
        <v>323</v>
      </c>
    </row>
    <row r="64" spans="2:9" s="47" customFormat="1" ht="22.5" customHeight="1" x14ac:dyDescent="0.35">
      <c r="B64" s="44" t="s">
        <v>74</v>
      </c>
      <c r="C64" s="53" t="s">
        <v>281</v>
      </c>
      <c r="D64" s="44">
        <v>2</v>
      </c>
      <c r="E64" s="44" t="s">
        <v>161</v>
      </c>
      <c r="F64" s="48" t="s">
        <v>323</v>
      </c>
      <c r="G64" s="48" t="s">
        <v>323</v>
      </c>
    </row>
    <row r="65" spans="2:9" s="47" customFormat="1" ht="22.5" customHeight="1" x14ac:dyDescent="0.35">
      <c r="B65" s="44" t="s">
        <v>81</v>
      </c>
      <c r="C65" s="53" t="s">
        <v>462</v>
      </c>
      <c r="D65" s="44">
        <v>2</v>
      </c>
      <c r="E65" s="44" t="s">
        <v>161</v>
      </c>
      <c r="F65" s="48" t="s">
        <v>323</v>
      </c>
      <c r="G65" s="48" t="s">
        <v>323</v>
      </c>
    </row>
    <row r="66" spans="2:9" s="47" customFormat="1" ht="22.5" customHeight="1" x14ac:dyDescent="0.35">
      <c r="B66" s="44" t="s">
        <v>82</v>
      </c>
      <c r="C66" s="53" t="s">
        <v>283</v>
      </c>
      <c r="D66" s="44">
        <v>4</v>
      </c>
      <c r="E66" s="44" t="s">
        <v>161</v>
      </c>
      <c r="F66" s="48" t="s">
        <v>323</v>
      </c>
      <c r="G66" s="48" t="s">
        <v>323</v>
      </c>
    </row>
    <row r="67" spans="2:9" s="47" customFormat="1" ht="22.5" customHeight="1" x14ac:dyDescent="0.35">
      <c r="B67" s="74"/>
      <c r="C67" s="80" t="s">
        <v>5</v>
      </c>
      <c r="D67" s="80">
        <v>2</v>
      </c>
      <c r="E67" s="74" t="s">
        <v>507</v>
      </c>
      <c r="F67" s="76">
        <v>3514000</v>
      </c>
      <c r="G67" s="76">
        <f>F67*D67</f>
        <v>7028000</v>
      </c>
      <c r="H67" s="241"/>
      <c r="I67" s="241"/>
    </row>
    <row r="68" spans="2:9" s="47" customFormat="1" ht="22.5" customHeight="1" x14ac:dyDescent="0.35">
      <c r="B68" s="46">
        <v>4</v>
      </c>
      <c r="C68" s="50" t="s">
        <v>353</v>
      </c>
      <c r="D68" s="46"/>
      <c r="F68" s="48"/>
      <c r="G68" s="55"/>
    </row>
    <row r="69" spans="2:9" s="47" customFormat="1" ht="22.5" customHeight="1" x14ac:dyDescent="0.35">
      <c r="B69" s="44" t="s">
        <v>72</v>
      </c>
      <c r="C69" s="53" t="s">
        <v>354</v>
      </c>
      <c r="D69" s="44">
        <v>3</v>
      </c>
      <c r="E69" s="44" t="s">
        <v>161</v>
      </c>
      <c r="F69" s="48" t="s">
        <v>323</v>
      </c>
      <c r="G69" s="48" t="s">
        <v>323</v>
      </c>
    </row>
    <row r="70" spans="2:9" s="47" customFormat="1" ht="22.5" customHeight="1" x14ac:dyDescent="0.35">
      <c r="B70" s="44" t="s">
        <v>73</v>
      </c>
      <c r="C70" s="53" t="s">
        <v>355</v>
      </c>
      <c r="D70" s="44">
        <v>1</v>
      </c>
      <c r="E70" s="44" t="s">
        <v>161</v>
      </c>
      <c r="F70" s="48" t="s">
        <v>323</v>
      </c>
      <c r="G70" s="48" t="s">
        <v>323</v>
      </c>
    </row>
    <row r="71" spans="2:9" s="47" customFormat="1" ht="22.5" customHeight="1" x14ac:dyDescent="0.35">
      <c r="B71" s="44" t="s">
        <v>74</v>
      </c>
      <c r="C71" s="53" t="s">
        <v>356</v>
      </c>
      <c r="D71" s="44">
        <v>1</v>
      </c>
      <c r="E71" s="44" t="s">
        <v>161</v>
      </c>
      <c r="F71" s="48" t="s">
        <v>323</v>
      </c>
      <c r="G71" s="48" t="s">
        <v>323</v>
      </c>
    </row>
    <row r="72" spans="2:9" s="47" customFormat="1" ht="22.5" customHeight="1" x14ac:dyDescent="0.35">
      <c r="B72" s="82"/>
      <c r="C72" s="80" t="s">
        <v>5</v>
      </c>
      <c r="D72" s="80"/>
      <c r="E72" s="82"/>
      <c r="F72" s="85"/>
      <c r="G72" s="76">
        <v>7525000</v>
      </c>
      <c r="H72" s="241"/>
    </row>
    <row r="73" spans="2:9" ht="22.5" customHeight="1" x14ac:dyDescent="0.35">
      <c r="B73" s="47">
        <v>5</v>
      </c>
      <c r="C73" s="430" t="s">
        <v>320</v>
      </c>
      <c r="D73" s="430"/>
      <c r="F73" s="48"/>
      <c r="G73" s="48"/>
      <c r="I73" s="47"/>
    </row>
    <row r="74" spans="2:9" ht="22.5" customHeight="1" x14ac:dyDescent="0.35">
      <c r="B74" s="44" t="s">
        <v>72</v>
      </c>
      <c r="C74" s="53" t="s">
        <v>279</v>
      </c>
      <c r="D74" s="46">
        <v>2</v>
      </c>
      <c r="E74" s="44" t="s">
        <v>161</v>
      </c>
      <c r="F74" s="48" t="s">
        <v>323</v>
      </c>
      <c r="G74" s="48" t="s">
        <v>323</v>
      </c>
      <c r="I74" s="47"/>
    </row>
    <row r="75" spans="2:9" ht="22.5" customHeight="1" x14ac:dyDescent="0.35">
      <c r="B75" s="44" t="s">
        <v>73</v>
      </c>
      <c r="C75" s="53" t="s">
        <v>337</v>
      </c>
      <c r="D75" s="46">
        <v>12</v>
      </c>
      <c r="E75" s="44" t="s">
        <v>161</v>
      </c>
      <c r="F75" s="48" t="s">
        <v>323</v>
      </c>
      <c r="G75" s="48" t="s">
        <v>323</v>
      </c>
      <c r="I75" s="47"/>
    </row>
    <row r="76" spans="2:9" ht="22.5" customHeight="1" x14ac:dyDescent="0.35">
      <c r="B76" s="44" t="s">
        <v>81</v>
      </c>
      <c r="C76" s="53" t="s">
        <v>463</v>
      </c>
      <c r="D76" s="46">
        <v>2</v>
      </c>
      <c r="E76" s="44" t="s">
        <v>161</v>
      </c>
      <c r="F76" s="48" t="s">
        <v>323</v>
      </c>
      <c r="G76" s="48" t="s">
        <v>323</v>
      </c>
      <c r="I76" s="47"/>
    </row>
    <row r="77" spans="2:9" ht="22.5" customHeight="1" x14ac:dyDescent="0.35">
      <c r="B77" s="44" t="s">
        <v>82</v>
      </c>
      <c r="C77" s="53" t="s">
        <v>287</v>
      </c>
      <c r="D77" s="46">
        <v>4</v>
      </c>
      <c r="E77" s="44" t="s">
        <v>161</v>
      </c>
      <c r="F77" s="48" t="s">
        <v>323</v>
      </c>
      <c r="G77" s="48" t="s">
        <v>323</v>
      </c>
      <c r="I77" s="47"/>
    </row>
    <row r="78" spans="2:9" ht="22.5" customHeight="1" x14ac:dyDescent="0.35">
      <c r="B78" s="44" t="s">
        <v>83</v>
      </c>
      <c r="C78" s="53" t="s">
        <v>283</v>
      </c>
      <c r="D78" s="46">
        <v>4</v>
      </c>
      <c r="E78" s="44" t="s">
        <v>161</v>
      </c>
      <c r="F78" s="48" t="s">
        <v>323</v>
      </c>
      <c r="G78" s="48" t="s">
        <v>323</v>
      </c>
      <c r="I78" s="47"/>
    </row>
    <row r="79" spans="2:9" ht="22.5" customHeight="1" x14ac:dyDescent="0.35">
      <c r="B79" s="44" t="s">
        <v>84</v>
      </c>
      <c r="C79" s="53" t="s">
        <v>291</v>
      </c>
      <c r="D79" s="46">
        <v>8</v>
      </c>
      <c r="E79" s="44" t="s">
        <v>161</v>
      </c>
      <c r="F79" s="48" t="s">
        <v>323</v>
      </c>
      <c r="G79" s="48" t="s">
        <v>323</v>
      </c>
      <c r="I79" s="47"/>
    </row>
    <row r="80" spans="2:9" ht="22.5" customHeight="1" x14ac:dyDescent="0.35">
      <c r="B80" s="44" t="s">
        <v>85</v>
      </c>
      <c r="C80" s="53" t="s">
        <v>292</v>
      </c>
      <c r="D80" s="46">
        <v>2</v>
      </c>
      <c r="E80" s="44" t="s">
        <v>161</v>
      </c>
      <c r="F80" s="48" t="s">
        <v>323</v>
      </c>
      <c r="G80" s="48" t="s">
        <v>323</v>
      </c>
    </row>
    <row r="81" spans="2:9" ht="22.5" customHeight="1" x14ac:dyDescent="0.35">
      <c r="B81" s="44" t="s">
        <v>67</v>
      </c>
      <c r="C81" s="53" t="s">
        <v>293</v>
      </c>
      <c r="D81" s="46">
        <v>2</v>
      </c>
      <c r="E81" s="44" t="s">
        <v>161</v>
      </c>
      <c r="F81" s="48" t="s">
        <v>323</v>
      </c>
      <c r="G81" s="48" t="s">
        <v>323</v>
      </c>
    </row>
    <row r="82" spans="2:9" ht="22.5" customHeight="1" x14ac:dyDescent="0.35">
      <c r="B82" s="44" t="s">
        <v>86</v>
      </c>
      <c r="C82" s="53" t="s">
        <v>294</v>
      </c>
      <c r="D82" s="46">
        <v>4</v>
      </c>
      <c r="E82" s="44" t="s">
        <v>161</v>
      </c>
      <c r="F82" s="48" t="s">
        <v>323</v>
      </c>
      <c r="G82" s="48" t="s">
        <v>323</v>
      </c>
    </row>
    <row r="83" spans="2:9" ht="22.5" customHeight="1" x14ac:dyDescent="0.35">
      <c r="B83" s="44" t="s">
        <v>269</v>
      </c>
      <c r="C83" s="53" t="s">
        <v>295</v>
      </c>
      <c r="D83" s="46">
        <v>2</v>
      </c>
      <c r="E83" s="44" t="s">
        <v>161</v>
      </c>
      <c r="F83" s="48" t="s">
        <v>323</v>
      </c>
      <c r="G83" s="48" t="s">
        <v>323</v>
      </c>
    </row>
    <row r="84" spans="2:9" s="47" customFormat="1" ht="22.5" customHeight="1" x14ac:dyDescent="0.35">
      <c r="B84" s="82"/>
      <c r="C84" s="80" t="s">
        <v>5</v>
      </c>
      <c r="D84" s="74">
        <v>2</v>
      </c>
      <c r="E84" s="74" t="s">
        <v>161</v>
      </c>
      <c r="F84" s="76">
        <v>18000000</v>
      </c>
      <c r="G84" s="76">
        <f>F84*D84</f>
        <v>36000000</v>
      </c>
      <c r="H84" s="241"/>
      <c r="I84" s="241"/>
    </row>
    <row r="85" spans="2:9" s="47" customFormat="1" ht="22.5" customHeight="1" x14ac:dyDescent="0.35">
      <c r="B85" s="47">
        <v>6</v>
      </c>
      <c r="C85" s="430" t="s">
        <v>338</v>
      </c>
      <c r="D85" s="430"/>
      <c r="E85" s="44"/>
      <c r="F85" s="48"/>
      <c r="G85" s="48"/>
    </row>
    <row r="86" spans="2:9" s="47" customFormat="1" ht="22.5" customHeight="1" x14ac:dyDescent="0.35">
      <c r="B86" s="44" t="s">
        <v>72</v>
      </c>
      <c r="C86" s="53" t="s">
        <v>288</v>
      </c>
      <c r="D86" s="437">
        <v>2</v>
      </c>
      <c r="E86" s="44" t="s">
        <v>161</v>
      </c>
      <c r="F86" s="436">
        <v>4550000</v>
      </c>
      <c r="G86" s="436">
        <f>F86 *D86</f>
        <v>9100000</v>
      </c>
    </row>
    <row r="87" spans="2:9" s="47" customFormat="1" ht="22.5" customHeight="1" x14ac:dyDescent="0.35">
      <c r="B87" s="44" t="s">
        <v>73</v>
      </c>
      <c r="C87" s="53" t="s">
        <v>289</v>
      </c>
      <c r="D87" s="437"/>
      <c r="E87" s="44" t="s">
        <v>161</v>
      </c>
      <c r="F87" s="436"/>
      <c r="G87" s="436"/>
    </row>
    <row r="88" spans="2:9" s="47" customFormat="1" ht="22.5" customHeight="1" x14ac:dyDescent="0.35">
      <c r="B88" s="44" t="s">
        <v>74</v>
      </c>
      <c r="C88" s="53" t="s">
        <v>290</v>
      </c>
      <c r="D88" s="437"/>
      <c r="E88" s="44" t="s">
        <v>161</v>
      </c>
      <c r="F88" s="436"/>
      <c r="G88" s="436"/>
      <c r="H88" s="241"/>
      <c r="I88" s="241"/>
    </row>
    <row r="89" spans="2:9" s="47" customFormat="1" ht="22.5" customHeight="1" x14ac:dyDescent="0.35">
      <c r="B89" s="44" t="s">
        <v>81</v>
      </c>
      <c r="C89" s="53" t="s">
        <v>509</v>
      </c>
      <c r="D89" s="437"/>
      <c r="E89" s="44" t="s">
        <v>161</v>
      </c>
      <c r="F89" s="436"/>
      <c r="G89" s="436"/>
    </row>
    <row r="90" spans="2:9" s="47" customFormat="1" x14ac:dyDescent="0.35">
      <c r="B90" s="44" t="s">
        <v>82</v>
      </c>
      <c r="C90" s="53" t="s">
        <v>510</v>
      </c>
      <c r="D90" s="437"/>
      <c r="E90" s="44" t="s">
        <v>161</v>
      </c>
      <c r="F90" s="436"/>
      <c r="G90" s="436"/>
    </row>
    <row r="91" spans="2:9" s="47" customFormat="1" ht="22.5" customHeight="1" x14ac:dyDescent="0.35">
      <c r="B91" s="44"/>
      <c r="C91" s="53"/>
      <c r="D91" s="44"/>
      <c r="E91" s="44"/>
      <c r="F91" s="67"/>
      <c r="G91" s="67"/>
    </row>
    <row r="92" spans="2:9" s="47" customFormat="1" ht="22.5" customHeight="1" x14ac:dyDescent="0.35">
      <c r="B92" s="74"/>
      <c r="C92" s="80" t="s">
        <v>5</v>
      </c>
      <c r="D92" s="80"/>
      <c r="E92" s="74"/>
      <c r="F92" s="86"/>
      <c r="G92" s="76">
        <f>G86+G91</f>
        <v>9100000</v>
      </c>
      <c r="H92" s="241"/>
    </row>
    <row r="93" spans="2:9" s="47" customFormat="1" ht="22.5" customHeight="1" x14ac:dyDescent="0.35">
      <c r="B93" s="47">
        <v>7</v>
      </c>
      <c r="C93" s="430" t="s">
        <v>321</v>
      </c>
      <c r="D93" s="430"/>
      <c r="E93" s="44"/>
      <c r="F93" s="48"/>
      <c r="G93" s="48"/>
    </row>
    <row r="94" spans="2:9" s="47" customFormat="1" ht="22.5" customHeight="1" x14ac:dyDescent="0.35">
      <c r="B94" s="44" t="s">
        <v>72</v>
      </c>
      <c r="C94" s="53" t="s">
        <v>340</v>
      </c>
      <c r="D94" s="44">
        <v>1</v>
      </c>
      <c r="E94" s="44" t="s">
        <v>161</v>
      </c>
      <c r="F94" s="48" t="s">
        <v>323</v>
      </c>
      <c r="G94" s="48" t="s">
        <v>323</v>
      </c>
    </row>
    <row r="95" spans="2:9" s="47" customFormat="1" ht="22.5" customHeight="1" x14ac:dyDescent="0.35">
      <c r="B95" s="44" t="s">
        <v>73</v>
      </c>
      <c r="C95" s="53" t="s">
        <v>286</v>
      </c>
      <c r="D95" s="44">
        <v>1</v>
      </c>
      <c r="E95" s="44" t="s">
        <v>161</v>
      </c>
      <c r="F95" s="48" t="s">
        <v>323</v>
      </c>
      <c r="G95" s="48" t="s">
        <v>323</v>
      </c>
    </row>
    <row r="96" spans="2:9" s="47" customFormat="1" ht="22.5" customHeight="1" x14ac:dyDescent="0.35">
      <c r="B96" s="44" t="s">
        <v>74</v>
      </c>
      <c r="C96" s="53" t="s">
        <v>282</v>
      </c>
      <c r="D96" s="44">
        <v>1</v>
      </c>
      <c r="E96" s="44" t="s">
        <v>161</v>
      </c>
      <c r="F96" s="48" t="s">
        <v>323</v>
      </c>
      <c r="G96" s="48" t="s">
        <v>323</v>
      </c>
    </row>
    <row r="97" spans="2:9" s="47" customFormat="1" ht="22.5" customHeight="1" x14ac:dyDescent="0.35">
      <c r="B97" s="44" t="s">
        <v>81</v>
      </c>
      <c r="C97" s="53" t="s">
        <v>287</v>
      </c>
      <c r="D97" s="44">
        <v>1</v>
      </c>
      <c r="E97" s="44" t="s">
        <v>161</v>
      </c>
      <c r="F97" s="48" t="s">
        <v>323</v>
      </c>
      <c r="G97" s="48" t="s">
        <v>323</v>
      </c>
    </row>
    <row r="98" spans="2:9" s="47" customFormat="1" ht="22.5" customHeight="1" x14ac:dyDescent="0.35">
      <c r="B98" s="44" t="s">
        <v>82</v>
      </c>
      <c r="C98" s="53" t="s">
        <v>283</v>
      </c>
      <c r="D98" s="44">
        <v>2</v>
      </c>
      <c r="E98" s="44" t="s">
        <v>161</v>
      </c>
      <c r="F98" s="48" t="s">
        <v>323</v>
      </c>
      <c r="G98" s="48" t="s">
        <v>323</v>
      </c>
    </row>
    <row r="99" spans="2:9" s="47" customFormat="1" ht="22.5" customHeight="1" x14ac:dyDescent="0.35">
      <c r="B99" s="44" t="s">
        <v>83</v>
      </c>
      <c r="C99" s="53" t="s">
        <v>284</v>
      </c>
      <c r="D99" s="44">
        <v>1</v>
      </c>
      <c r="E99" s="44" t="s">
        <v>161</v>
      </c>
      <c r="F99" s="48" t="s">
        <v>323</v>
      </c>
      <c r="G99" s="48" t="s">
        <v>323</v>
      </c>
    </row>
    <row r="100" spans="2:9" s="47" customFormat="1" ht="22.5" customHeight="1" x14ac:dyDescent="0.35">
      <c r="B100" s="44" t="s">
        <v>84</v>
      </c>
      <c r="C100" s="53" t="s">
        <v>285</v>
      </c>
      <c r="D100" s="44">
        <v>2</v>
      </c>
      <c r="E100" s="44" t="s">
        <v>161</v>
      </c>
      <c r="F100" s="48" t="s">
        <v>323</v>
      </c>
      <c r="G100" s="48" t="s">
        <v>323</v>
      </c>
    </row>
    <row r="101" spans="2:9" s="47" customFormat="1" ht="22.5" customHeight="1" x14ac:dyDescent="0.35">
      <c r="B101" s="74"/>
      <c r="C101" s="80" t="s">
        <v>5</v>
      </c>
      <c r="D101" s="80">
        <v>2</v>
      </c>
      <c r="E101" s="74" t="s">
        <v>161</v>
      </c>
      <c r="F101" s="76">
        <v>3550000</v>
      </c>
      <c r="G101" s="76">
        <f>F101*D101</f>
        <v>7100000</v>
      </c>
      <c r="H101" s="241"/>
      <c r="I101" s="241"/>
    </row>
    <row r="102" spans="2:9" s="47" customFormat="1" ht="34.5" customHeight="1" x14ac:dyDescent="0.35">
      <c r="B102" s="47">
        <v>8</v>
      </c>
      <c r="C102" s="431" t="s">
        <v>516</v>
      </c>
      <c r="D102" s="431"/>
      <c r="E102" s="45"/>
      <c r="F102" s="52"/>
      <c r="G102" s="55"/>
    </row>
    <row r="103" spans="2:9" s="47" customFormat="1" ht="22.5" customHeight="1" x14ac:dyDescent="0.35">
      <c r="B103" s="44" t="s">
        <v>72</v>
      </c>
      <c r="C103" s="45" t="s">
        <v>479</v>
      </c>
      <c r="D103" s="58">
        <v>1</v>
      </c>
      <c r="E103" s="58" t="s">
        <v>161</v>
      </c>
      <c r="F103" s="48" t="s">
        <v>481</v>
      </c>
      <c r="G103" s="48" t="s">
        <v>481</v>
      </c>
    </row>
    <row r="104" spans="2:9" s="47" customFormat="1" ht="22.5" customHeight="1" x14ac:dyDescent="0.35">
      <c r="B104" s="44" t="s">
        <v>73</v>
      </c>
      <c r="C104" s="45" t="s">
        <v>480</v>
      </c>
      <c r="D104" s="58" t="s">
        <v>339</v>
      </c>
      <c r="E104" s="58" t="s">
        <v>244</v>
      </c>
      <c r="F104" s="48" t="s">
        <v>481</v>
      </c>
      <c r="G104" s="48" t="s">
        <v>481</v>
      </c>
    </row>
    <row r="105" spans="2:9" s="47" customFormat="1" ht="22.5" customHeight="1" x14ac:dyDescent="0.35">
      <c r="B105" s="74"/>
      <c r="C105" s="80" t="s">
        <v>5</v>
      </c>
      <c r="D105" s="87"/>
      <c r="E105" s="75"/>
      <c r="F105" s="81"/>
      <c r="G105" s="76">
        <v>6550000</v>
      </c>
      <c r="H105" s="241"/>
    </row>
    <row r="106" spans="2:9" ht="30" customHeight="1" x14ac:dyDescent="0.35">
      <c r="B106" s="47">
        <v>9</v>
      </c>
      <c r="C106" s="431" t="s">
        <v>517</v>
      </c>
      <c r="D106" s="431"/>
      <c r="F106" s="48"/>
      <c r="G106" s="48"/>
    </row>
    <row r="107" spans="2:9" ht="18" customHeight="1" x14ac:dyDescent="0.35">
      <c r="B107" s="44" t="s">
        <v>72</v>
      </c>
      <c r="C107" s="53" t="s">
        <v>341</v>
      </c>
      <c r="D107" s="44">
        <v>1</v>
      </c>
      <c r="E107" s="44" t="s">
        <v>161</v>
      </c>
      <c r="F107" s="48" t="s">
        <v>323</v>
      </c>
      <c r="G107" s="48" t="s">
        <v>323</v>
      </c>
    </row>
    <row r="108" spans="2:9" ht="36" customHeight="1" x14ac:dyDescent="0.35">
      <c r="B108" s="44" t="s">
        <v>73</v>
      </c>
      <c r="C108" s="53" t="s">
        <v>518</v>
      </c>
      <c r="D108" s="44">
        <v>1</v>
      </c>
      <c r="E108" s="44" t="s">
        <v>161</v>
      </c>
      <c r="F108" s="48" t="s">
        <v>323</v>
      </c>
      <c r="G108" s="48" t="s">
        <v>323</v>
      </c>
    </row>
    <row r="109" spans="2:9" ht="62.25" customHeight="1" x14ac:dyDescent="0.35">
      <c r="B109" s="44" t="s">
        <v>74</v>
      </c>
      <c r="C109" s="53" t="s">
        <v>519</v>
      </c>
      <c r="D109" s="44">
        <v>1</v>
      </c>
      <c r="E109" s="44" t="s">
        <v>161</v>
      </c>
      <c r="F109" s="48" t="s">
        <v>323</v>
      </c>
      <c r="G109" s="48" t="s">
        <v>323</v>
      </c>
    </row>
    <row r="110" spans="2:9" ht="18" customHeight="1" x14ac:dyDescent="0.35">
      <c r="B110" s="44" t="s">
        <v>81</v>
      </c>
      <c r="C110" s="53" t="s">
        <v>342</v>
      </c>
      <c r="D110" s="44">
        <v>1</v>
      </c>
      <c r="E110" s="44" t="s">
        <v>161</v>
      </c>
      <c r="F110" s="48" t="s">
        <v>323</v>
      </c>
      <c r="G110" s="48" t="s">
        <v>323</v>
      </c>
    </row>
    <row r="111" spans="2:9" ht="18" customHeight="1" x14ac:dyDescent="0.35">
      <c r="B111" s="44" t="s">
        <v>82</v>
      </c>
      <c r="C111" s="53" t="s">
        <v>343</v>
      </c>
      <c r="D111" s="44">
        <v>1</v>
      </c>
      <c r="E111" s="44" t="s">
        <v>161</v>
      </c>
      <c r="F111" s="48" t="s">
        <v>323</v>
      </c>
      <c r="G111" s="48" t="s">
        <v>323</v>
      </c>
    </row>
    <row r="112" spans="2:9" ht="18" customHeight="1" x14ac:dyDescent="0.35">
      <c r="B112" s="44" t="s">
        <v>83</v>
      </c>
      <c r="C112" s="53" t="s">
        <v>344</v>
      </c>
      <c r="D112" s="44">
        <v>1</v>
      </c>
      <c r="E112" s="44" t="s">
        <v>161</v>
      </c>
      <c r="F112" s="48" t="s">
        <v>323</v>
      </c>
      <c r="G112" s="48" t="s">
        <v>323</v>
      </c>
    </row>
    <row r="113" spans="2:9" ht="18" customHeight="1" x14ac:dyDescent="0.35">
      <c r="C113" s="51"/>
      <c r="F113" s="48"/>
      <c r="G113" s="48"/>
    </row>
    <row r="114" spans="2:9" ht="22.5" customHeight="1" x14ac:dyDescent="0.35">
      <c r="B114" s="82"/>
      <c r="C114" s="80" t="s">
        <v>5</v>
      </c>
      <c r="D114" s="74"/>
      <c r="E114" s="74"/>
      <c r="F114" s="81"/>
      <c r="G114" s="76">
        <v>24000000</v>
      </c>
      <c r="H114" s="240"/>
    </row>
    <row r="115" spans="2:9" ht="29.25" customHeight="1" x14ac:dyDescent="0.35">
      <c r="B115" s="47">
        <v>10</v>
      </c>
      <c r="C115" s="431" t="s">
        <v>498</v>
      </c>
      <c r="D115" s="431"/>
      <c r="E115" s="47"/>
      <c r="F115" s="52"/>
      <c r="G115" s="55"/>
    </row>
    <row r="116" spans="2:9" ht="22.5" customHeight="1" x14ac:dyDescent="0.35">
      <c r="B116" s="44" t="s">
        <v>72</v>
      </c>
      <c r="C116" s="51" t="s">
        <v>499</v>
      </c>
      <c r="D116" s="44">
        <v>1</v>
      </c>
      <c r="E116" s="44" t="s">
        <v>161</v>
      </c>
      <c r="F116" s="48" t="s">
        <v>323</v>
      </c>
      <c r="G116" s="48" t="s">
        <v>323</v>
      </c>
    </row>
    <row r="117" spans="2:9" ht="22.5" customHeight="1" x14ac:dyDescent="0.35">
      <c r="B117" s="44" t="s">
        <v>73</v>
      </c>
      <c r="C117" s="45" t="s">
        <v>520</v>
      </c>
      <c r="D117" s="44">
        <v>1</v>
      </c>
      <c r="E117" s="44" t="s">
        <v>161</v>
      </c>
      <c r="F117" s="48" t="s">
        <v>323</v>
      </c>
      <c r="G117" s="48" t="s">
        <v>323</v>
      </c>
    </row>
    <row r="118" spans="2:9" ht="22.5" customHeight="1" x14ac:dyDescent="0.35">
      <c r="B118" s="82"/>
      <c r="C118" s="80" t="s">
        <v>5</v>
      </c>
      <c r="D118" s="74"/>
      <c r="E118" s="74"/>
      <c r="F118" s="81"/>
      <c r="G118" s="76">
        <v>8550000</v>
      </c>
      <c r="H118" s="240"/>
    </row>
    <row r="119" spans="2:9" ht="27" customHeight="1" x14ac:dyDescent="0.35">
      <c r="B119" s="47">
        <v>11</v>
      </c>
      <c r="C119" s="431" t="s">
        <v>541</v>
      </c>
      <c r="D119" s="431"/>
      <c r="E119" s="47"/>
      <c r="F119" s="52"/>
      <c r="G119" s="55"/>
    </row>
    <row r="120" spans="2:9" ht="29" x14ac:dyDescent="0.35">
      <c r="B120" s="44" t="s">
        <v>72</v>
      </c>
      <c r="C120" s="53" t="s">
        <v>539</v>
      </c>
      <c r="D120" s="44">
        <v>1</v>
      </c>
      <c r="E120" s="44" t="s">
        <v>161</v>
      </c>
      <c r="F120" s="52" t="s">
        <v>323</v>
      </c>
      <c r="G120" s="55" t="s">
        <v>323</v>
      </c>
    </row>
    <row r="121" spans="2:9" x14ac:dyDescent="0.35">
      <c r="B121" s="44" t="s">
        <v>73</v>
      </c>
      <c r="C121" s="53" t="s">
        <v>500</v>
      </c>
      <c r="D121" s="44">
        <v>1</v>
      </c>
      <c r="E121" s="44" t="s">
        <v>161</v>
      </c>
      <c r="F121" s="52" t="s">
        <v>323</v>
      </c>
      <c r="G121" s="55" t="s">
        <v>323</v>
      </c>
    </row>
    <row r="122" spans="2:9" ht="22.5" customHeight="1" x14ac:dyDescent="0.35">
      <c r="B122" s="44" t="s">
        <v>74</v>
      </c>
      <c r="C122" s="45" t="s">
        <v>345</v>
      </c>
      <c r="D122" s="44">
        <v>1</v>
      </c>
      <c r="E122" s="44" t="s">
        <v>161</v>
      </c>
      <c r="F122" s="52" t="s">
        <v>323</v>
      </c>
      <c r="G122" s="55" t="s">
        <v>323</v>
      </c>
    </row>
    <row r="123" spans="2:9" ht="22.5" customHeight="1" x14ac:dyDescent="0.35">
      <c r="B123" s="44" t="s">
        <v>81</v>
      </c>
      <c r="C123" s="45" t="s">
        <v>351</v>
      </c>
      <c r="D123" s="44">
        <v>1</v>
      </c>
      <c r="E123" s="44" t="s">
        <v>161</v>
      </c>
      <c r="F123" s="52" t="s">
        <v>323</v>
      </c>
      <c r="G123" s="55" t="s">
        <v>323</v>
      </c>
    </row>
    <row r="124" spans="2:9" ht="22.5" customHeight="1" x14ac:dyDescent="0.35">
      <c r="B124" s="82"/>
      <c r="C124" s="80" t="s">
        <v>5</v>
      </c>
      <c r="D124" s="74">
        <v>1</v>
      </c>
      <c r="E124" s="74"/>
      <c r="F124" s="76">
        <v>14500000</v>
      </c>
      <c r="G124" s="76">
        <f>F124*D124</f>
        <v>14500000</v>
      </c>
      <c r="H124" s="240"/>
      <c r="I124" s="240"/>
    </row>
    <row r="125" spans="2:9" ht="22.5" customHeight="1" x14ac:dyDescent="0.35">
      <c r="B125" s="47">
        <v>12</v>
      </c>
      <c r="C125" s="431" t="s">
        <v>482</v>
      </c>
      <c r="D125" s="431"/>
      <c r="E125" s="47"/>
      <c r="F125" s="52"/>
      <c r="G125" s="55"/>
    </row>
    <row r="126" spans="2:9" ht="22.5" customHeight="1" x14ac:dyDescent="0.35">
      <c r="B126" s="44" t="s">
        <v>72</v>
      </c>
      <c r="C126" s="45" t="s">
        <v>483</v>
      </c>
      <c r="D126" s="44">
        <v>1</v>
      </c>
      <c r="E126" s="44" t="s">
        <v>161</v>
      </c>
      <c r="F126" s="52" t="s">
        <v>323</v>
      </c>
      <c r="G126" s="55" t="s">
        <v>323</v>
      </c>
    </row>
    <row r="127" spans="2:9" ht="22.5" customHeight="1" x14ac:dyDescent="0.35">
      <c r="B127" s="82"/>
      <c r="C127" s="80" t="s">
        <v>5</v>
      </c>
      <c r="D127" s="74"/>
      <c r="E127" s="74"/>
      <c r="F127" s="81"/>
      <c r="G127" s="76">
        <v>950000</v>
      </c>
      <c r="H127" s="240"/>
    </row>
    <row r="128" spans="2:9" ht="22.5" customHeight="1" x14ac:dyDescent="0.35">
      <c r="B128" s="47">
        <v>13</v>
      </c>
      <c r="C128" s="431" t="s">
        <v>299</v>
      </c>
      <c r="D128" s="431"/>
      <c r="F128" s="48"/>
      <c r="G128" s="48"/>
    </row>
    <row r="129" spans="2:8" ht="22.5" customHeight="1" x14ac:dyDescent="0.35">
      <c r="B129" s="44" t="s">
        <v>72</v>
      </c>
      <c r="C129" s="53" t="s">
        <v>505</v>
      </c>
      <c r="D129" s="44">
        <v>5</v>
      </c>
      <c r="E129" s="44" t="s">
        <v>161</v>
      </c>
      <c r="F129" s="48">
        <v>1850000</v>
      </c>
      <c r="G129" s="63">
        <f>(D129*F129)</f>
        <v>9250000</v>
      </c>
      <c r="H129" s="240"/>
    </row>
    <row r="130" spans="2:8" s="47" customFormat="1" ht="22.5" customHeight="1" x14ac:dyDescent="0.35">
      <c r="B130" s="74"/>
      <c r="C130" s="80" t="s">
        <v>5</v>
      </c>
      <c r="D130" s="74"/>
      <c r="E130" s="74"/>
      <c r="F130" s="85"/>
      <c r="G130" s="76">
        <f>SUM(G129:G129)</f>
        <v>9250000</v>
      </c>
      <c r="H130" s="241"/>
    </row>
    <row r="131" spans="2:8" s="47" customFormat="1" ht="29.25" customHeight="1" x14ac:dyDescent="0.35">
      <c r="B131" s="47">
        <v>14</v>
      </c>
      <c r="C131" s="431" t="s">
        <v>484</v>
      </c>
      <c r="D131" s="431"/>
      <c r="E131" s="44"/>
      <c r="F131" s="48"/>
      <c r="G131" s="48"/>
    </row>
    <row r="132" spans="2:8" s="47" customFormat="1" ht="22.5" customHeight="1" x14ac:dyDescent="0.35">
      <c r="B132" s="44" t="s">
        <v>72</v>
      </c>
      <c r="C132" s="45" t="s">
        <v>297</v>
      </c>
      <c r="D132" s="44">
        <v>1</v>
      </c>
      <c r="E132" s="44" t="s">
        <v>161</v>
      </c>
      <c r="F132" s="48" t="s">
        <v>323</v>
      </c>
      <c r="G132" s="48" t="s">
        <v>323</v>
      </c>
    </row>
    <row r="133" spans="2:8" s="47" customFormat="1" x14ac:dyDescent="0.35">
      <c r="B133" s="44" t="s">
        <v>73</v>
      </c>
      <c r="C133" s="45" t="s">
        <v>348</v>
      </c>
      <c r="D133" s="44">
        <v>1</v>
      </c>
      <c r="E133" s="44" t="s">
        <v>161</v>
      </c>
      <c r="F133" s="48" t="s">
        <v>323</v>
      </c>
      <c r="G133" s="48" t="s">
        <v>323</v>
      </c>
    </row>
    <row r="134" spans="2:8" s="47" customFormat="1" ht="29" x14ac:dyDescent="0.35">
      <c r="B134" s="44" t="s">
        <v>74</v>
      </c>
      <c r="C134" s="45" t="s">
        <v>346</v>
      </c>
      <c r="D134" s="44">
        <v>1</v>
      </c>
      <c r="E134" s="44" t="s">
        <v>161</v>
      </c>
      <c r="F134" s="48" t="s">
        <v>323</v>
      </c>
      <c r="G134" s="48" t="s">
        <v>323</v>
      </c>
    </row>
    <row r="135" spans="2:8" s="47" customFormat="1" ht="22.5" customHeight="1" x14ac:dyDescent="0.35">
      <c r="B135" s="82"/>
      <c r="C135" s="80" t="s">
        <v>5</v>
      </c>
      <c r="D135" s="74"/>
      <c r="E135" s="74"/>
      <c r="F135" s="85"/>
      <c r="G135" s="76">
        <v>8165000</v>
      </c>
      <c r="H135" s="241"/>
    </row>
    <row r="136" spans="2:8" s="47" customFormat="1" ht="22.5" customHeight="1" x14ac:dyDescent="0.35">
      <c r="B136" s="47">
        <v>15</v>
      </c>
      <c r="C136" s="431" t="s">
        <v>347</v>
      </c>
      <c r="D136" s="431"/>
      <c r="F136" s="48"/>
      <c r="G136" s="55"/>
    </row>
    <row r="137" spans="2:8" s="47" customFormat="1" ht="22.5" customHeight="1" x14ac:dyDescent="0.35">
      <c r="B137" s="44" t="s">
        <v>72</v>
      </c>
      <c r="C137" s="45" t="s">
        <v>485</v>
      </c>
      <c r="D137" s="44">
        <v>1</v>
      </c>
      <c r="E137" s="44" t="s">
        <v>161</v>
      </c>
      <c r="F137" s="48" t="s">
        <v>323</v>
      </c>
      <c r="G137" s="48" t="s">
        <v>323</v>
      </c>
    </row>
    <row r="138" spans="2:8" s="47" customFormat="1" ht="22.5" customHeight="1" x14ac:dyDescent="0.35">
      <c r="B138" s="44" t="s">
        <v>73</v>
      </c>
      <c r="C138" s="45" t="s">
        <v>486</v>
      </c>
      <c r="D138" s="44">
        <v>1</v>
      </c>
      <c r="E138" s="44" t="s">
        <v>161</v>
      </c>
      <c r="F138" s="48" t="s">
        <v>323</v>
      </c>
      <c r="G138" s="48" t="s">
        <v>323</v>
      </c>
    </row>
    <row r="139" spans="2:8" s="47" customFormat="1" ht="22.5" customHeight="1" x14ac:dyDescent="0.35">
      <c r="B139" s="44" t="s">
        <v>74</v>
      </c>
      <c r="C139" s="45" t="s">
        <v>487</v>
      </c>
      <c r="D139" s="44">
        <v>1</v>
      </c>
      <c r="E139" s="44" t="s">
        <v>161</v>
      </c>
      <c r="F139" s="48" t="s">
        <v>323</v>
      </c>
      <c r="G139" s="48" t="s">
        <v>323</v>
      </c>
    </row>
    <row r="140" spans="2:8" s="47" customFormat="1" ht="22.5" customHeight="1" x14ac:dyDescent="0.35">
      <c r="B140" s="44" t="s">
        <v>81</v>
      </c>
      <c r="C140" s="45" t="s">
        <v>488</v>
      </c>
      <c r="D140" s="44">
        <v>1</v>
      </c>
      <c r="E140" s="44" t="s">
        <v>161</v>
      </c>
      <c r="F140" s="48" t="s">
        <v>323</v>
      </c>
      <c r="G140" s="48" t="s">
        <v>323</v>
      </c>
    </row>
    <row r="141" spans="2:8" s="47" customFormat="1" ht="22.5" customHeight="1" x14ac:dyDescent="0.35">
      <c r="B141" s="44" t="s">
        <v>82</v>
      </c>
      <c r="C141" s="45" t="s">
        <v>489</v>
      </c>
      <c r="D141" s="44">
        <v>1</v>
      </c>
      <c r="E141" s="44" t="s">
        <v>161</v>
      </c>
      <c r="F141" s="48" t="s">
        <v>323</v>
      </c>
      <c r="G141" s="48" t="s">
        <v>323</v>
      </c>
    </row>
    <row r="142" spans="2:8" s="47" customFormat="1" ht="22.5" customHeight="1" x14ac:dyDescent="0.35">
      <c r="B142" s="82"/>
      <c r="C142" s="80"/>
      <c r="D142" s="82"/>
      <c r="E142" s="82"/>
      <c r="F142" s="85"/>
      <c r="G142" s="76">
        <v>7821000</v>
      </c>
      <c r="H142" s="241"/>
    </row>
    <row r="143" spans="2:8" ht="22.5" customHeight="1" x14ac:dyDescent="0.35">
      <c r="B143" s="47">
        <v>16</v>
      </c>
      <c r="C143" s="437" t="s">
        <v>296</v>
      </c>
      <c r="D143" s="437"/>
      <c r="F143" s="48"/>
      <c r="G143" s="48"/>
    </row>
    <row r="144" spans="2:8" ht="22.5" customHeight="1" x14ac:dyDescent="0.35">
      <c r="B144" s="44" t="s">
        <v>72</v>
      </c>
      <c r="C144" s="45" t="s">
        <v>349</v>
      </c>
      <c r="D144" s="44">
        <v>1</v>
      </c>
      <c r="E144" s="44" t="s">
        <v>161</v>
      </c>
      <c r="F144" s="48" t="s">
        <v>323</v>
      </c>
      <c r="G144" s="48" t="s">
        <v>323</v>
      </c>
    </row>
    <row r="145" spans="2:13" ht="22.5" customHeight="1" x14ac:dyDescent="0.35">
      <c r="B145" s="44" t="s">
        <v>74</v>
      </c>
      <c r="C145" s="45" t="s">
        <v>350</v>
      </c>
      <c r="D145" s="44">
        <v>1</v>
      </c>
      <c r="E145" s="44" t="s">
        <v>161</v>
      </c>
      <c r="F145" s="48" t="s">
        <v>323</v>
      </c>
      <c r="G145" s="48" t="s">
        <v>323</v>
      </c>
    </row>
    <row r="146" spans="2:13" ht="23.25" customHeight="1" x14ac:dyDescent="0.35">
      <c r="B146" s="44" t="s">
        <v>81</v>
      </c>
      <c r="C146" s="45" t="s">
        <v>586</v>
      </c>
      <c r="D146" s="44">
        <v>1</v>
      </c>
      <c r="E146" s="44" t="s">
        <v>161</v>
      </c>
      <c r="F146" s="48" t="s">
        <v>323</v>
      </c>
      <c r="G146" s="48" t="s">
        <v>323</v>
      </c>
    </row>
    <row r="147" spans="2:13" ht="23.25" customHeight="1" x14ac:dyDescent="0.35">
      <c r="B147" s="44" t="s">
        <v>82</v>
      </c>
      <c r="C147" s="45" t="s">
        <v>508</v>
      </c>
      <c r="D147" s="44">
        <v>1</v>
      </c>
      <c r="E147" s="44" t="s">
        <v>161</v>
      </c>
      <c r="F147" s="48" t="s">
        <v>323</v>
      </c>
      <c r="G147" s="48" t="s">
        <v>323</v>
      </c>
    </row>
    <row r="148" spans="2:13" ht="22.5" customHeight="1" x14ac:dyDescent="0.35">
      <c r="B148" s="44" t="s">
        <v>83</v>
      </c>
      <c r="C148" s="45" t="s">
        <v>298</v>
      </c>
      <c r="D148" s="44">
        <v>20</v>
      </c>
      <c r="E148" s="44" t="s">
        <v>161</v>
      </c>
      <c r="F148" s="48" t="s">
        <v>323</v>
      </c>
      <c r="G148" s="48" t="s">
        <v>323</v>
      </c>
    </row>
    <row r="149" spans="2:13" s="47" customFormat="1" ht="22.5" customHeight="1" x14ac:dyDescent="0.35">
      <c r="B149" s="74"/>
      <c r="C149" s="80" t="s">
        <v>5</v>
      </c>
      <c r="D149" s="74"/>
      <c r="E149" s="74"/>
      <c r="F149" s="81"/>
      <c r="G149" s="76">
        <v>8520000</v>
      </c>
      <c r="H149" s="241"/>
    </row>
    <row r="150" spans="2:13" ht="22.5" customHeight="1" x14ac:dyDescent="0.35">
      <c r="B150" s="47">
        <v>17</v>
      </c>
      <c r="C150" s="430" t="s">
        <v>96</v>
      </c>
      <c r="D150" s="430"/>
      <c r="F150" s="48"/>
      <c r="G150" s="48"/>
    </row>
    <row r="151" spans="2:13" ht="22.5" customHeight="1" x14ac:dyDescent="0.35">
      <c r="B151" s="44" t="s">
        <v>72</v>
      </c>
      <c r="C151" s="53" t="s">
        <v>185</v>
      </c>
      <c r="D151" s="44">
        <v>2</v>
      </c>
      <c r="E151" s="44" t="s">
        <v>161</v>
      </c>
      <c r="F151" s="48">
        <v>3100000</v>
      </c>
      <c r="G151" s="63">
        <f>(D151*F151)</f>
        <v>6200000</v>
      </c>
      <c r="H151" s="240"/>
    </row>
    <row r="152" spans="2:13" ht="22.5" customHeight="1" x14ac:dyDescent="0.35">
      <c r="B152" s="44" t="s">
        <v>73</v>
      </c>
      <c r="C152" s="53" t="s">
        <v>259</v>
      </c>
      <c r="D152" s="44">
        <v>1</v>
      </c>
      <c r="E152" s="44" t="s">
        <v>161</v>
      </c>
      <c r="F152" s="48">
        <v>7150000</v>
      </c>
      <c r="G152" s="63">
        <f>(D152*F152)</f>
        <v>7150000</v>
      </c>
      <c r="H152" s="240"/>
    </row>
    <row r="153" spans="2:13" ht="22.5" customHeight="1" x14ac:dyDescent="0.35">
      <c r="B153" s="44" t="s">
        <v>74</v>
      </c>
      <c r="C153" s="53" t="s">
        <v>583</v>
      </c>
      <c r="D153" s="44">
        <v>1</v>
      </c>
      <c r="E153" s="44" t="s">
        <v>161</v>
      </c>
      <c r="F153" s="48">
        <v>5150000</v>
      </c>
      <c r="G153" s="63">
        <f>(D153*F153)</f>
        <v>5150000</v>
      </c>
      <c r="H153" s="240"/>
    </row>
    <row r="154" spans="2:13" s="47" customFormat="1" ht="22.5" customHeight="1" x14ac:dyDescent="0.35">
      <c r="B154" s="74"/>
      <c r="C154" s="80" t="s">
        <v>5</v>
      </c>
      <c r="D154" s="74"/>
      <c r="E154" s="74"/>
      <c r="F154" s="81"/>
      <c r="G154" s="76">
        <f>SUM(G151:G153)</f>
        <v>18500000</v>
      </c>
      <c r="H154" s="241"/>
    </row>
    <row r="155" spans="2:13" ht="22.5" customHeight="1" x14ac:dyDescent="0.35">
      <c r="B155" s="47">
        <v>18</v>
      </c>
      <c r="C155" s="430" t="s">
        <v>303</v>
      </c>
      <c r="D155" s="430"/>
      <c r="F155" s="48"/>
    </row>
    <row r="156" spans="2:13" ht="58" x14ac:dyDescent="0.35">
      <c r="B156" s="44" t="s">
        <v>72</v>
      </c>
      <c r="C156" s="45" t="s">
        <v>352</v>
      </c>
      <c r="D156" s="58">
        <v>1</v>
      </c>
      <c r="E156" s="44" t="s">
        <v>161</v>
      </c>
      <c r="F156" s="48">
        <v>1050000</v>
      </c>
      <c r="G156" s="63">
        <f>F156*D156</f>
        <v>1050000</v>
      </c>
      <c r="H156" s="240"/>
    </row>
    <row r="157" spans="2:13" ht="22.5" customHeight="1" x14ac:dyDescent="0.35">
      <c r="B157" s="44" t="s">
        <v>74</v>
      </c>
      <c r="C157" s="45" t="s">
        <v>302</v>
      </c>
      <c r="D157" s="44">
        <v>1</v>
      </c>
      <c r="E157" s="44" t="s">
        <v>161</v>
      </c>
      <c r="F157" s="48">
        <v>700000</v>
      </c>
      <c r="G157" s="63">
        <f>(D157*F157)</f>
        <v>700000</v>
      </c>
      <c r="H157" s="240"/>
    </row>
    <row r="158" spans="2:13" ht="22.5" customHeight="1" x14ac:dyDescent="0.35">
      <c r="B158" s="44" t="s">
        <v>73</v>
      </c>
      <c r="C158" s="45" t="s">
        <v>301</v>
      </c>
      <c r="D158" s="44">
        <v>1</v>
      </c>
      <c r="E158" s="44" t="s">
        <v>164</v>
      </c>
      <c r="F158" s="48">
        <v>2580000</v>
      </c>
      <c r="G158" s="63">
        <f>(D158*F158)</f>
        <v>2580000</v>
      </c>
      <c r="H158" s="240"/>
    </row>
    <row r="159" spans="2:13" ht="22.5" customHeight="1" x14ac:dyDescent="0.35">
      <c r="B159" s="44" t="s">
        <v>81</v>
      </c>
      <c r="C159" s="45" t="s">
        <v>582</v>
      </c>
      <c r="D159" s="44">
        <v>1</v>
      </c>
      <c r="E159" s="44" t="s">
        <v>161</v>
      </c>
      <c r="F159" s="48">
        <v>4100000</v>
      </c>
      <c r="G159" s="63">
        <f>F159</f>
        <v>4100000</v>
      </c>
      <c r="H159" s="240"/>
    </row>
    <row r="160" spans="2:13" s="47" customFormat="1" ht="22.5" customHeight="1" x14ac:dyDescent="0.35">
      <c r="B160" s="74"/>
      <c r="C160" s="80" t="s">
        <v>5</v>
      </c>
      <c r="D160" s="74"/>
      <c r="E160" s="74"/>
      <c r="F160" s="81"/>
      <c r="G160" s="76">
        <f>SUM(G156:G159)</f>
        <v>8430000</v>
      </c>
      <c r="H160" s="241"/>
      <c r="M160" s="60"/>
    </row>
    <row r="161" spans="2:9" s="47" customFormat="1" ht="22.5" customHeight="1" x14ac:dyDescent="0.35">
      <c r="B161" s="47">
        <v>19</v>
      </c>
      <c r="C161" s="53" t="s">
        <v>300</v>
      </c>
      <c r="D161" s="44"/>
      <c r="E161" s="44"/>
      <c r="G161" s="55">
        <v>2742000</v>
      </c>
      <c r="H161" s="241"/>
    </row>
    <row r="162" spans="2:9" s="47" customFormat="1" ht="22.5" customHeight="1" x14ac:dyDescent="0.35">
      <c r="B162" s="74"/>
      <c r="C162" s="439" t="s">
        <v>163</v>
      </c>
      <c r="D162" s="439"/>
      <c r="E162" s="82"/>
      <c r="F162" s="74"/>
      <c r="G162" s="76">
        <f>G55+G60+G67+G72+G84+G92+G101+G105+G114+G118+G124+G127+G130+G135+G142+G149+G154+G160+G161</f>
        <v>192661000</v>
      </c>
      <c r="H162" s="241"/>
    </row>
    <row r="163" spans="2:9" ht="22.5" customHeight="1" x14ac:dyDescent="0.35">
      <c r="B163" s="47">
        <v>20</v>
      </c>
      <c r="C163" s="53" t="s">
        <v>263</v>
      </c>
      <c r="D163" s="44">
        <v>12</v>
      </c>
      <c r="E163" s="61" t="s">
        <v>8</v>
      </c>
      <c r="F163" s="48"/>
      <c r="G163" s="63">
        <f>G162*D163/100</f>
        <v>23119320</v>
      </c>
      <c r="H163" s="240"/>
    </row>
    <row r="164" spans="2:9" s="47" customFormat="1" ht="22.5" customHeight="1" x14ac:dyDescent="0.35">
      <c r="B164" s="74"/>
      <c r="C164" s="83" t="s">
        <v>165</v>
      </c>
      <c r="D164" s="74"/>
      <c r="E164" s="74"/>
      <c r="F164" s="74"/>
      <c r="G164" s="76">
        <f>SUM(G162:G163)</f>
        <v>215780320</v>
      </c>
      <c r="H164" s="241"/>
    </row>
    <row r="165" spans="2:9" ht="22.5" customHeight="1" x14ac:dyDescent="0.35">
      <c r="B165" s="71" t="s">
        <v>75</v>
      </c>
      <c r="C165" s="433" t="s">
        <v>97</v>
      </c>
      <c r="D165" s="433"/>
      <c r="E165" s="433"/>
      <c r="F165" s="433"/>
      <c r="G165" s="433"/>
    </row>
    <row r="166" spans="2:9" ht="22.5" customHeight="1" x14ac:dyDescent="0.35">
      <c r="B166" s="44">
        <v>1</v>
      </c>
      <c r="C166" s="430" t="s">
        <v>100</v>
      </c>
      <c r="D166" s="430"/>
    </row>
    <row r="167" spans="2:9" ht="22.5" customHeight="1" x14ac:dyDescent="0.35">
      <c r="B167" s="44" t="s">
        <v>72</v>
      </c>
      <c r="C167" s="53" t="s">
        <v>166</v>
      </c>
      <c r="D167" s="44">
        <v>2</v>
      </c>
      <c r="E167" s="44" t="s">
        <v>136</v>
      </c>
      <c r="F167" s="48">
        <v>45000</v>
      </c>
      <c r="G167" s="63">
        <f t="shared" ref="G167:G173" si="3">(D167*F167)</f>
        <v>90000</v>
      </c>
    </row>
    <row r="168" spans="2:9" ht="22.5" customHeight="1" x14ac:dyDescent="0.35">
      <c r="B168" s="44" t="s">
        <v>73</v>
      </c>
      <c r="C168" s="53" t="s">
        <v>173</v>
      </c>
      <c r="D168" s="44">
        <v>1</v>
      </c>
      <c r="E168" s="44" t="s">
        <v>136</v>
      </c>
      <c r="F168" s="48">
        <v>25000</v>
      </c>
      <c r="G168" s="63">
        <f t="shared" si="3"/>
        <v>25000</v>
      </c>
    </row>
    <row r="169" spans="2:9" ht="22.5" customHeight="1" x14ac:dyDescent="0.35">
      <c r="B169" s="44" t="s">
        <v>74</v>
      </c>
      <c r="C169" s="53" t="s">
        <v>101</v>
      </c>
      <c r="D169" s="44">
        <v>2</v>
      </c>
      <c r="E169" s="44" t="s">
        <v>136</v>
      </c>
      <c r="F169" s="48">
        <v>47000</v>
      </c>
      <c r="G169" s="63">
        <f t="shared" si="3"/>
        <v>94000</v>
      </c>
    </row>
    <row r="170" spans="2:9" ht="22.5" customHeight="1" x14ac:dyDescent="0.35">
      <c r="B170" s="44" t="s">
        <v>81</v>
      </c>
      <c r="C170" s="53" t="s">
        <v>262</v>
      </c>
      <c r="D170" s="44">
        <v>1</v>
      </c>
      <c r="E170" s="44" t="s">
        <v>161</v>
      </c>
      <c r="F170" s="48">
        <v>120000</v>
      </c>
      <c r="G170" s="63">
        <f t="shared" si="3"/>
        <v>120000</v>
      </c>
    </row>
    <row r="171" spans="2:9" ht="22.5" customHeight="1" x14ac:dyDescent="0.35">
      <c r="B171" s="44" t="s">
        <v>82</v>
      </c>
      <c r="C171" s="53" t="s">
        <v>167</v>
      </c>
      <c r="D171" s="44">
        <v>2</v>
      </c>
      <c r="E171" s="44" t="s">
        <v>161</v>
      </c>
      <c r="F171" s="48">
        <v>50000</v>
      </c>
      <c r="G171" s="63">
        <f t="shared" si="3"/>
        <v>100000</v>
      </c>
    </row>
    <row r="172" spans="2:9" ht="22.5" customHeight="1" x14ac:dyDescent="0.35">
      <c r="B172" s="44" t="s">
        <v>83</v>
      </c>
      <c r="C172" s="53" t="s">
        <v>168</v>
      </c>
      <c r="D172" s="44">
        <v>1</v>
      </c>
      <c r="E172" s="44" t="s">
        <v>161</v>
      </c>
      <c r="F172" s="48">
        <v>125000</v>
      </c>
      <c r="G172" s="63">
        <f t="shared" si="3"/>
        <v>125000</v>
      </c>
      <c r="I172" s="63">
        <f>G175</f>
        <v>297674400</v>
      </c>
    </row>
    <row r="173" spans="2:9" ht="22.5" customHeight="1" x14ac:dyDescent="0.35">
      <c r="B173" s="44" t="s">
        <v>84</v>
      </c>
      <c r="C173" s="53" t="s">
        <v>169</v>
      </c>
      <c r="D173" s="44">
        <v>1</v>
      </c>
      <c r="E173" s="44" t="s">
        <v>161</v>
      </c>
      <c r="F173" s="48">
        <v>46000</v>
      </c>
      <c r="G173" s="63">
        <f t="shared" si="3"/>
        <v>46000</v>
      </c>
      <c r="I173" s="63">
        <f>G174</f>
        <v>600000</v>
      </c>
    </row>
    <row r="174" spans="2:9" s="47" customFormat="1" ht="22.5" customHeight="1" x14ac:dyDescent="0.35">
      <c r="B174" s="74"/>
      <c r="C174" s="83" t="s">
        <v>174</v>
      </c>
      <c r="D174" s="74"/>
      <c r="E174" s="74"/>
      <c r="F174" s="74"/>
      <c r="G174" s="76">
        <f>SUM(G167:G173)</f>
        <v>600000</v>
      </c>
      <c r="H174" s="47">
        <v>633000</v>
      </c>
      <c r="I174" s="55">
        <f>7100000+7100000*12%</f>
        <v>7952000</v>
      </c>
    </row>
    <row r="175" spans="2:9" s="47" customFormat="1" ht="22.5" customHeight="1" x14ac:dyDescent="0.35">
      <c r="B175" s="77"/>
      <c r="C175" s="88" t="s">
        <v>171</v>
      </c>
      <c r="D175" s="77"/>
      <c r="E175" s="77"/>
      <c r="F175" s="77"/>
      <c r="G175" s="79">
        <f>G50+G164+G174</f>
        <v>297674400</v>
      </c>
      <c r="I175" s="55">
        <f>I172-I173-I174</f>
        <v>289122400</v>
      </c>
    </row>
    <row r="176" spans="2:9" ht="22.5" customHeight="1" x14ac:dyDescent="0.35">
      <c r="B176" s="71" t="s">
        <v>77</v>
      </c>
      <c r="C176" s="433" t="s">
        <v>98</v>
      </c>
      <c r="D176" s="433"/>
      <c r="E176" s="433"/>
      <c r="F176" s="433"/>
      <c r="G176" s="433"/>
    </row>
    <row r="177" spans="2:9" ht="22.5" customHeight="1" x14ac:dyDescent="0.35">
      <c r="B177" s="44">
        <v>1</v>
      </c>
      <c r="C177" s="430" t="s">
        <v>102</v>
      </c>
      <c r="D177" s="430"/>
    </row>
    <row r="178" spans="2:9" ht="22.5" customHeight="1" x14ac:dyDescent="0.35">
      <c r="B178" s="44" t="s">
        <v>72</v>
      </c>
      <c r="C178" s="53" t="s">
        <v>585</v>
      </c>
      <c r="D178" s="62">
        <v>5.0000000000000001E-3</v>
      </c>
      <c r="E178" s="44" t="s">
        <v>8</v>
      </c>
      <c r="F178" s="48">
        <v>220000000</v>
      </c>
      <c r="G178" s="68">
        <f>F178*D178</f>
        <v>1100000</v>
      </c>
      <c r="I178" s="240"/>
    </row>
    <row r="179" spans="2:9" ht="22.5" customHeight="1" x14ac:dyDescent="0.35">
      <c r="B179" s="59" t="s">
        <v>73</v>
      </c>
      <c r="C179" s="53" t="s">
        <v>584</v>
      </c>
      <c r="D179" s="62">
        <v>1.5E-3</v>
      </c>
      <c r="E179" s="44" t="s">
        <v>8</v>
      </c>
      <c r="F179" s="48">
        <f>G192</f>
        <v>320000000</v>
      </c>
      <c r="G179" s="68">
        <f>F179*D179</f>
        <v>480000</v>
      </c>
      <c r="I179" s="240"/>
    </row>
    <row r="180" spans="2:9" ht="22.5" customHeight="1" x14ac:dyDescent="0.35">
      <c r="B180" s="59"/>
      <c r="D180" s="62"/>
      <c r="F180" s="48"/>
      <c r="G180" s="55"/>
      <c r="I180" s="240"/>
    </row>
    <row r="181" spans="2:9" s="47" customFormat="1" ht="22.5" customHeight="1" x14ac:dyDescent="0.35">
      <c r="B181" s="77"/>
      <c r="C181" s="78" t="s">
        <v>5</v>
      </c>
      <c r="D181" s="77"/>
      <c r="E181" s="77"/>
      <c r="F181" s="89"/>
      <c r="G181" s="90">
        <f>SUM(G178:G180)</f>
        <v>1580000</v>
      </c>
      <c r="I181" s="241"/>
    </row>
    <row r="182" spans="2:9" ht="22.5" customHeight="1" x14ac:dyDescent="0.35">
      <c r="B182" s="44">
        <v>2</v>
      </c>
      <c r="C182" s="430" t="s">
        <v>99</v>
      </c>
      <c r="D182" s="430"/>
      <c r="F182" s="48"/>
      <c r="G182" s="55"/>
      <c r="I182" s="240"/>
    </row>
    <row r="183" spans="2:9" ht="22.5" customHeight="1" x14ac:dyDescent="0.35">
      <c r="C183" s="53"/>
      <c r="F183" s="48"/>
      <c r="G183" s="69"/>
      <c r="I183" s="240"/>
    </row>
    <row r="184" spans="2:9" ht="22.5" customHeight="1" x14ac:dyDescent="0.35">
      <c r="C184" s="53"/>
      <c r="D184" s="62"/>
      <c r="F184" s="48"/>
      <c r="G184" s="69"/>
      <c r="I184" s="240"/>
    </row>
    <row r="185" spans="2:9" ht="22.5" customHeight="1" x14ac:dyDescent="0.35">
      <c r="B185" s="44" t="s">
        <v>72</v>
      </c>
      <c r="C185" s="53" t="s">
        <v>90</v>
      </c>
      <c r="F185" s="48"/>
      <c r="G185" s="68">
        <v>1667000</v>
      </c>
      <c r="H185" s="63"/>
      <c r="I185" s="240"/>
    </row>
    <row r="186" spans="2:9" ht="22.5" customHeight="1" x14ac:dyDescent="0.35">
      <c r="B186" s="44" t="s">
        <v>73</v>
      </c>
      <c r="C186" s="53" t="s">
        <v>170</v>
      </c>
      <c r="D186" s="61"/>
      <c r="F186" s="48"/>
      <c r="G186" s="68">
        <f>('TL Schd'!D10+'TL Schd'!E10)*10^5</f>
        <v>10683916.666666664</v>
      </c>
      <c r="I186" s="240"/>
    </row>
    <row r="187" spans="2:9" s="47" customFormat="1" ht="22.5" customHeight="1" x14ac:dyDescent="0.35">
      <c r="B187" s="77"/>
      <c r="C187" s="78" t="s">
        <v>5</v>
      </c>
      <c r="D187" s="77"/>
      <c r="E187" s="77"/>
      <c r="F187" s="77"/>
      <c r="G187" s="90">
        <f>SUM(G183:G186)</f>
        <v>12350916.666666664</v>
      </c>
    </row>
    <row r="188" spans="2:9" s="47" customFormat="1" ht="22.5" customHeight="1" x14ac:dyDescent="0.35">
      <c r="C188" s="438" t="s">
        <v>103</v>
      </c>
      <c r="D188" s="438"/>
      <c r="E188" s="438"/>
      <c r="G188" s="69">
        <f>(G181+G187)</f>
        <v>13930916.666666664</v>
      </c>
    </row>
    <row r="189" spans="2:9" s="47" customFormat="1" ht="22.5" customHeight="1" x14ac:dyDescent="0.35">
      <c r="C189" s="53" t="s">
        <v>511</v>
      </c>
      <c r="E189" s="64"/>
      <c r="G189" s="68" t="e">
        <f>'CoP-MoF'!#REF!</f>
        <v>#REF!</v>
      </c>
    </row>
    <row r="190" spans="2:9" s="47" customFormat="1" ht="22.5" customHeight="1" x14ac:dyDescent="0.35">
      <c r="B190" s="77"/>
      <c r="C190" s="91" t="s">
        <v>104</v>
      </c>
      <c r="D190" s="77"/>
      <c r="E190" s="92"/>
      <c r="F190" s="77"/>
      <c r="G190" s="90" t="e">
        <f>(G175+G188+G189+G9)</f>
        <v>#REF!</v>
      </c>
    </row>
    <row r="191" spans="2:9" ht="22.5" customHeight="1" x14ac:dyDescent="0.35">
      <c r="G191" s="69"/>
    </row>
    <row r="192" spans="2:9" s="47" customFormat="1" ht="22.5" customHeight="1" x14ac:dyDescent="0.35">
      <c r="B192" s="93"/>
      <c r="C192" s="94" t="s">
        <v>261</v>
      </c>
      <c r="D192" s="93"/>
      <c r="E192" s="93"/>
      <c r="F192" s="93"/>
      <c r="G192" s="95">
        <v>320000000</v>
      </c>
    </row>
    <row r="193" spans="3:7" x14ac:dyDescent="0.35">
      <c r="G193" s="65"/>
    </row>
    <row r="194" spans="3:7" x14ac:dyDescent="0.35">
      <c r="G194" s="65"/>
    </row>
    <row r="196" spans="3:7" x14ac:dyDescent="0.35">
      <c r="C196" s="44"/>
    </row>
    <row r="197" spans="3:7" x14ac:dyDescent="0.35">
      <c r="C197" s="44"/>
    </row>
    <row r="198" spans="3:7" x14ac:dyDescent="0.35">
      <c r="C198" s="44"/>
    </row>
    <row r="199" spans="3:7" x14ac:dyDescent="0.35">
      <c r="C199" s="44"/>
    </row>
    <row r="200" spans="3:7" x14ac:dyDescent="0.35">
      <c r="C200" s="44"/>
    </row>
    <row r="201" spans="3:7" x14ac:dyDescent="0.35">
      <c r="C201" s="44"/>
    </row>
    <row r="202" spans="3:7" x14ac:dyDescent="0.35">
      <c r="C202" s="44"/>
    </row>
    <row r="203" spans="3:7" x14ac:dyDescent="0.35">
      <c r="C203" s="44"/>
    </row>
    <row r="204" spans="3:7" x14ac:dyDescent="0.35">
      <c r="C204" s="44"/>
    </row>
  </sheetData>
  <customSheetViews>
    <customSheetView guid="{22475485-DA09-46DB-978D-BB94CE1E5597}" scale="130" hiddenRows="1">
      <selection activeCell="B4" sqref="B4"/>
      <pageMargins left="0.7" right="0.7" top="0.75" bottom="0.75" header="0.3" footer="0.3"/>
      <pageSetup paperSize="9" orientation="portrait" verticalDpi="300" r:id="rId1"/>
    </customSheetView>
  </customSheetViews>
  <mergeCells count="29">
    <mergeCell ref="C102:D102"/>
    <mergeCell ref="C115:D115"/>
    <mergeCell ref="C125:D125"/>
    <mergeCell ref="C136:D136"/>
    <mergeCell ref="C131:D131"/>
    <mergeCell ref="C150:D150"/>
    <mergeCell ref="C143:D143"/>
    <mergeCell ref="C128:D128"/>
    <mergeCell ref="C106:D106"/>
    <mergeCell ref="C119:D119"/>
    <mergeCell ref="C166:D166"/>
    <mergeCell ref="C177:D177"/>
    <mergeCell ref="C182:D182"/>
    <mergeCell ref="C188:E188"/>
    <mergeCell ref="C155:D155"/>
    <mergeCell ref="C176:G176"/>
    <mergeCell ref="C165:G165"/>
    <mergeCell ref="C162:D162"/>
    <mergeCell ref="C73:D73"/>
    <mergeCell ref="C61:D61"/>
    <mergeCell ref="C93:D93"/>
    <mergeCell ref="B2:G2"/>
    <mergeCell ref="C10:G10"/>
    <mergeCell ref="C4:G4"/>
    <mergeCell ref="C51:G51"/>
    <mergeCell ref="C85:D85"/>
    <mergeCell ref="F86:F90"/>
    <mergeCell ref="G86:G90"/>
    <mergeCell ref="D86:D90"/>
  </mergeCells>
  <pageMargins left="0.7" right="0.7" top="0.75" bottom="0.75" header="0.3" footer="0.3"/>
  <pageSetup paperSize="9" scale="75"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D53A-DF3C-4528-B18C-84CF3C256E57}">
  <dimension ref="B2:B7"/>
  <sheetViews>
    <sheetView workbookViewId="0">
      <selection activeCell="B7" sqref="B7"/>
    </sheetView>
  </sheetViews>
  <sheetFormatPr defaultRowHeight="14.5" x14ac:dyDescent="0.35"/>
  <sheetData>
    <row r="2" spans="2:2" x14ac:dyDescent="0.35">
      <c r="B2" s="319" t="s">
        <v>875</v>
      </c>
    </row>
    <row r="3" spans="2:2" x14ac:dyDescent="0.35">
      <c r="B3" s="319" t="s">
        <v>892</v>
      </c>
    </row>
    <row r="4" spans="2:2" x14ac:dyDescent="0.35">
      <c r="B4" s="319" t="s">
        <v>869</v>
      </c>
    </row>
    <row r="5" spans="2:2" x14ac:dyDescent="0.35">
      <c r="B5" s="319" t="s">
        <v>882</v>
      </c>
    </row>
    <row r="6" spans="2:2" x14ac:dyDescent="0.35">
      <c r="B6" s="319" t="s">
        <v>883</v>
      </c>
    </row>
    <row r="7" spans="2:2" x14ac:dyDescent="0.35">
      <c r="B7" s="319" t="s">
        <v>885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2:M34"/>
  <sheetViews>
    <sheetView showGridLines="0" topLeftCell="A13" workbookViewId="0">
      <selection activeCell="D20" sqref="D20"/>
    </sheetView>
  </sheetViews>
  <sheetFormatPr defaultColWidth="13" defaultRowHeight="14.5" x14ac:dyDescent="0.35"/>
  <cols>
    <col min="1" max="1" width="4.54296875" style="96" customWidth="1"/>
    <col min="2" max="2" width="10.7265625" style="97" customWidth="1"/>
    <col min="3" max="3" width="52.453125" style="97" customWidth="1"/>
    <col min="4" max="4" width="27.7265625" style="44" customWidth="1"/>
    <col min="5" max="5" width="13" style="321"/>
    <col min="6" max="6" width="18.453125" style="321" bestFit="1" customWidth="1"/>
    <col min="7" max="16384" width="13" style="321"/>
  </cols>
  <sheetData>
    <row r="2" spans="1:13" s="319" customFormat="1" ht="19.5" customHeight="1" x14ac:dyDescent="0.35">
      <c r="A2" s="97"/>
      <c r="B2" s="440" t="s">
        <v>9</v>
      </c>
      <c r="C2" s="440"/>
      <c r="D2" s="440"/>
    </row>
    <row r="3" spans="1:13" s="322" customFormat="1" ht="21" customHeight="1" x14ac:dyDescent="0.35">
      <c r="A3" s="101"/>
      <c r="B3" s="70" t="s">
        <v>590</v>
      </c>
      <c r="C3" s="70" t="s">
        <v>1</v>
      </c>
      <c r="D3" s="70" t="s">
        <v>7</v>
      </c>
      <c r="F3" s="390"/>
      <c r="H3" s="390"/>
    </row>
    <row r="4" spans="1:13" s="319" customFormat="1" ht="21" customHeight="1" x14ac:dyDescent="0.35">
      <c r="A4" s="97"/>
      <c r="B4" s="71" t="s">
        <v>72</v>
      </c>
      <c r="C4" s="103" t="s">
        <v>87</v>
      </c>
      <c r="D4" s="73"/>
      <c r="G4" s="321" t="s">
        <v>870</v>
      </c>
      <c r="H4" s="321" t="s">
        <v>884</v>
      </c>
      <c r="I4" s="321" t="s">
        <v>871</v>
      </c>
      <c r="J4" s="321" t="s">
        <v>872</v>
      </c>
    </row>
    <row r="5" spans="1:13" s="319" customFormat="1" ht="21" customHeight="1" x14ac:dyDescent="0.35">
      <c r="A5" s="97"/>
      <c r="B5" s="44">
        <v>1</v>
      </c>
      <c r="C5" s="97" t="s">
        <v>842</v>
      </c>
      <c r="D5" s="330">
        <f>19.02*A</f>
        <v>1902000</v>
      </c>
      <c r="E5" s="319" t="s">
        <v>918</v>
      </c>
      <c r="F5" s="317"/>
      <c r="G5" s="389">
        <v>45078</v>
      </c>
      <c r="H5" s="389">
        <v>46112</v>
      </c>
      <c r="I5" s="319">
        <f>50000*12</f>
        <v>600000</v>
      </c>
      <c r="J5" s="319">
        <f>YEARFRAC(G5,H5)*I5</f>
        <v>1700000</v>
      </c>
    </row>
    <row r="6" spans="1:13" s="319" customFormat="1" ht="21" customHeight="1" x14ac:dyDescent="0.35">
      <c r="A6" s="97"/>
      <c r="B6" s="44">
        <f>B5+1</f>
        <v>2</v>
      </c>
      <c r="C6" s="97" t="s">
        <v>843</v>
      </c>
      <c r="D6" s="330">
        <f>800*A</f>
        <v>80000000</v>
      </c>
      <c r="E6" s="319" t="s">
        <v>853</v>
      </c>
      <c r="F6" s="427" t="s">
        <v>917</v>
      </c>
      <c r="G6" s="385">
        <f>(0.0195+6.95+0.87)*1.18</f>
        <v>9.25061</v>
      </c>
    </row>
    <row r="7" spans="1:13" s="319" customFormat="1" ht="42" customHeight="1" x14ac:dyDescent="0.35">
      <c r="A7" s="97"/>
      <c r="B7" s="44">
        <f t="shared" ref="B7:B14" si="0">B6+1</f>
        <v>3</v>
      </c>
      <c r="C7" s="53" t="s">
        <v>849</v>
      </c>
      <c r="D7" s="384">
        <f>300*A</f>
        <v>30000000</v>
      </c>
      <c r="E7" s="319" t="s">
        <v>853</v>
      </c>
      <c r="F7" s="427" t="s">
        <v>917</v>
      </c>
      <c r="G7" s="385">
        <f>(0.87+1.4)*1.18</f>
        <v>2.6785999999999999</v>
      </c>
    </row>
    <row r="8" spans="1:13" s="319" customFormat="1" ht="21" customHeight="1" x14ac:dyDescent="0.35">
      <c r="A8" s="97"/>
      <c r="B8" s="44">
        <f t="shared" si="0"/>
        <v>4</v>
      </c>
      <c r="C8" s="97" t="s">
        <v>844</v>
      </c>
      <c r="D8" s="330">
        <f>14*A</f>
        <v>1400000</v>
      </c>
      <c r="E8" s="319" t="s">
        <v>854</v>
      </c>
      <c r="F8" s="317" t="s">
        <v>920</v>
      </c>
      <c r="G8" s="385"/>
    </row>
    <row r="9" spans="1:13" s="319" customFormat="1" ht="21" customHeight="1" x14ac:dyDescent="0.35">
      <c r="A9" s="97"/>
      <c r="B9" s="44">
        <f t="shared" si="0"/>
        <v>5</v>
      </c>
      <c r="C9" s="97" t="s">
        <v>845</v>
      </c>
      <c r="D9" s="330">
        <f>340*A</f>
        <v>34000000</v>
      </c>
      <c r="E9" s="319" t="s">
        <v>855</v>
      </c>
      <c r="F9" s="427" t="s">
        <v>917</v>
      </c>
      <c r="G9" s="385">
        <f>(1.95+0.3)*1.18</f>
        <v>2.6549999999999998</v>
      </c>
    </row>
    <row r="10" spans="1:13" s="319" customFormat="1" ht="32.5" customHeight="1" x14ac:dyDescent="0.35">
      <c r="A10" s="97"/>
      <c r="B10" s="44">
        <f t="shared" si="0"/>
        <v>6</v>
      </c>
      <c r="C10" s="53" t="s">
        <v>846</v>
      </c>
      <c r="D10" s="330">
        <f>25*A</f>
        <v>2500000</v>
      </c>
      <c r="E10" s="319" t="s">
        <v>854</v>
      </c>
      <c r="F10" s="427" t="s">
        <v>917</v>
      </c>
      <c r="G10" s="385">
        <f>(0.095+0.2492)*1.18</f>
        <v>0.40615599999999996</v>
      </c>
    </row>
    <row r="11" spans="1:13" s="319" customFormat="1" ht="21" customHeight="1" x14ac:dyDescent="0.35">
      <c r="A11" s="97"/>
      <c r="B11" s="44">
        <f t="shared" si="0"/>
        <v>7</v>
      </c>
      <c r="C11" s="97" t="s">
        <v>847</v>
      </c>
      <c r="D11" s="330">
        <f>1*A</f>
        <v>100000</v>
      </c>
      <c r="E11" s="319" t="s">
        <v>854</v>
      </c>
      <c r="F11" s="317" t="s">
        <v>920</v>
      </c>
    </row>
    <row r="12" spans="1:13" s="319" customFormat="1" ht="21" customHeight="1" x14ac:dyDescent="0.35">
      <c r="A12" s="97"/>
      <c r="B12" s="44">
        <f t="shared" si="0"/>
        <v>8</v>
      </c>
      <c r="C12" s="97" t="s">
        <v>494</v>
      </c>
      <c r="D12" s="330">
        <f>'TL Schd'!Q10*A</f>
        <v>10683916.666666664</v>
      </c>
      <c r="F12" s="422" t="s">
        <v>898</v>
      </c>
      <c r="M12" s="423">
        <f>15*17.5%</f>
        <v>2.625</v>
      </c>
    </row>
    <row r="13" spans="1:13" s="319" customFormat="1" ht="21" customHeight="1" x14ac:dyDescent="0.35">
      <c r="A13" s="97"/>
      <c r="B13" s="44">
        <f t="shared" si="0"/>
        <v>9</v>
      </c>
      <c r="C13" s="97" t="s">
        <v>848</v>
      </c>
      <c r="D13" s="330">
        <f>2.5*A</f>
        <v>250000</v>
      </c>
      <c r="F13" s="317" t="s">
        <v>921</v>
      </c>
    </row>
    <row r="14" spans="1:13" s="319" customFormat="1" ht="21" customHeight="1" x14ac:dyDescent="0.35">
      <c r="A14" s="97"/>
      <c r="B14" s="44">
        <f t="shared" si="0"/>
        <v>10</v>
      </c>
      <c r="C14" s="97" t="s">
        <v>801</v>
      </c>
      <c r="D14" s="330">
        <f>-MIN('P &amp; L'!D36*A,0)</f>
        <v>0</v>
      </c>
      <c r="F14" s="317"/>
    </row>
    <row r="15" spans="1:13" s="319" customFormat="1" x14ac:dyDescent="0.35">
      <c r="A15" s="97"/>
      <c r="B15" s="51"/>
      <c r="C15" s="97"/>
      <c r="D15" s="63"/>
      <c r="F15" s="317"/>
    </row>
    <row r="16" spans="1:13" s="323" customFormat="1" ht="21" customHeight="1" x14ac:dyDescent="0.35">
      <c r="A16" s="64"/>
      <c r="B16" s="103"/>
      <c r="C16" s="71" t="s">
        <v>39</v>
      </c>
      <c r="D16" s="104">
        <f>SUM(D5:D15)</f>
        <v>160835916.66666666</v>
      </c>
    </row>
    <row r="17" spans="1:6" s="319" customFormat="1" ht="21" customHeight="1" x14ac:dyDescent="0.35">
      <c r="A17" s="97"/>
      <c r="B17" s="71" t="s">
        <v>73</v>
      </c>
      <c r="C17" s="103" t="s">
        <v>216</v>
      </c>
      <c r="D17" s="105"/>
      <c r="E17" s="331"/>
    </row>
    <row r="18" spans="1:6" s="319" customFormat="1" x14ac:dyDescent="0.35">
      <c r="A18" s="97"/>
      <c r="B18" s="44"/>
      <c r="C18" s="97"/>
      <c r="D18" s="68"/>
    </row>
    <row r="19" spans="1:6" s="319" customFormat="1" ht="21" customHeight="1" x14ac:dyDescent="0.35">
      <c r="A19" s="97"/>
      <c r="B19" s="44">
        <v>1</v>
      </c>
      <c r="C19" s="97" t="s">
        <v>745</v>
      </c>
      <c r="D19" s="68">
        <f>100*A</f>
        <v>10000000</v>
      </c>
    </row>
    <row r="20" spans="1:6" s="319" customFormat="1" ht="35" customHeight="1" x14ac:dyDescent="0.35">
      <c r="A20" s="97"/>
      <c r="B20" s="44">
        <v>2</v>
      </c>
      <c r="C20" s="53" t="s">
        <v>850</v>
      </c>
      <c r="D20" s="330">
        <f>D16-D21-D19</f>
        <v>51835916.666666657</v>
      </c>
    </row>
    <row r="21" spans="1:6" s="319" customFormat="1" ht="21" customHeight="1" x14ac:dyDescent="0.35">
      <c r="A21" s="97"/>
      <c r="B21" s="44">
        <v>3</v>
      </c>
      <c r="C21" s="97" t="s">
        <v>851</v>
      </c>
      <c r="D21" s="330">
        <f>990*A</f>
        <v>99000000</v>
      </c>
    </row>
    <row r="22" spans="1:6" s="319" customFormat="1" ht="18" customHeight="1" x14ac:dyDescent="0.35">
      <c r="A22" s="97"/>
      <c r="B22" s="44">
        <v>4</v>
      </c>
      <c r="C22" s="97" t="s">
        <v>852</v>
      </c>
      <c r="D22" s="340"/>
    </row>
    <row r="23" spans="1:6" s="319" customFormat="1" ht="34.5" hidden="1" customHeight="1" x14ac:dyDescent="0.35">
      <c r="A23" s="97"/>
      <c r="B23" s="51"/>
      <c r="C23" s="53" t="s">
        <v>531</v>
      </c>
      <c r="D23" s="68"/>
    </row>
    <row r="24" spans="1:6" s="319" customFormat="1" ht="21" customHeight="1" x14ac:dyDescent="0.35">
      <c r="A24" s="97"/>
      <c r="B24" s="103"/>
      <c r="C24" s="71" t="s">
        <v>39</v>
      </c>
      <c r="D24" s="104">
        <f>SUM(D19:D23)</f>
        <v>160835916.66666666</v>
      </c>
      <c r="E24" s="426" t="s">
        <v>916</v>
      </c>
      <c r="F24" s="385">
        <f>(D22+D21)/(D19+D20)</f>
        <v>1.6010112785045372</v>
      </c>
    </row>
    <row r="25" spans="1:6" x14ac:dyDescent="0.35">
      <c r="D25" s="428"/>
    </row>
    <row r="26" spans="1:6" x14ac:dyDescent="0.35">
      <c r="C26" s="96"/>
      <c r="D26" s="96"/>
    </row>
    <row r="27" spans="1:6" x14ac:dyDescent="0.35">
      <c r="B27" s="106"/>
      <c r="C27" s="92" t="s">
        <v>447</v>
      </c>
      <c r="D27" s="90">
        <f>D21+D22</f>
        <v>99000000</v>
      </c>
    </row>
    <row r="30" spans="1:6" x14ac:dyDescent="0.35">
      <c r="D30" s="68"/>
    </row>
    <row r="31" spans="1:6" x14ac:dyDescent="0.35">
      <c r="D31" s="100"/>
    </row>
    <row r="32" spans="1:6" x14ac:dyDescent="0.35">
      <c r="D32" s="100"/>
    </row>
    <row r="33" spans="4:4" x14ac:dyDescent="0.35">
      <c r="D33" s="100"/>
    </row>
    <row r="34" spans="4:4" x14ac:dyDescent="0.35">
      <c r="D34" s="100"/>
    </row>
  </sheetData>
  <customSheetViews>
    <customSheetView guid="{22475485-DA09-46DB-978D-BB94CE1E5597}" topLeftCell="A7">
      <selection activeCell="B13" sqref="B13"/>
      <pageMargins left="0.7" right="0.7" top="0.75" bottom="0.75" header="0.3" footer="0.3"/>
      <pageSetup paperSize="9" orientation="portrait" verticalDpi="300" r:id="rId1"/>
    </customSheetView>
  </customSheetViews>
  <mergeCells count="1">
    <mergeCell ref="B2:D2"/>
  </mergeCells>
  <pageMargins left="0.7" right="0.7" top="0.75" bottom="0.75" header="0.3" footer="0.3"/>
  <pageSetup paperSize="9" orientation="portrait"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B2:L86"/>
  <sheetViews>
    <sheetView showGridLines="0" topLeftCell="A3" workbookViewId="0">
      <selection activeCell="D10" sqref="D10"/>
    </sheetView>
  </sheetViews>
  <sheetFormatPr defaultColWidth="13" defaultRowHeight="14.5" x14ac:dyDescent="0.35"/>
  <cols>
    <col min="1" max="1" width="4" style="96" customWidth="1"/>
    <col min="2" max="2" width="10" style="44" customWidth="1"/>
    <col min="3" max="3" width="56.453125" style="101" customWidth="1"/>
    <col min="4" max="4" width="22.81640625" style="44" customWidth="1"/>
    <col min="5" max="5" width="18.26953125" style="44" customWidth="1"/>
    <col min="6" max="6" width="12" style="96" customWidth="1"/>
    <col min="7" max="7" width="12.81640625" style="96" customWidth="1"/>
    <col min="8" max="8" width="16" style="96" customWidth="1"/>
    <col min="9" max="16384" width="13" style="96"/>
  </cols>
  <sheetData>
    <row r="2" spans="2:12" s="97" customFormat="1" ht="21" customHeight="1" x14ac:dyDescent="0.35">
      <c r="B2" s="440" t="s">
        <v>10</v>
      </c>
      <c r="C2" s="440"/>
      <c r="D2" s="440"/>
      <c r="E2" s="440"/>
    </row>
    <row r="3" spans="2:12" s="101" customFormat="1" ht="21" customHeight="1" x14ac:dyDescent="0.35">
      <c r="B3" s="70" t="s">
        <v>0</v>
      </c>
      <c r="C3" s="70" t="s">
        <v>66</v>
      </c>
      <c r="D3" s="70" t="s">
        <v>64</v>
      </c>
      <c r="E3" s="70" t="s">
        <v>65</v>
      </c>
      <c r="F3" s="66"/>
      <c r="G3" s="102"/>
      <c r="H3" s="96"/>
      <c r="I3" s="96"/>
      <c r="J3" s="96"/>
    </row>
    <row r="4" spans="2:12" s="97" customFormat="1" ht="21" customHeight="1" x14ac:dyDescent="0.35">
      <c r="B4" s="71" t="s">
        <v>67</v>
      </c>
      <c r="C4" s="109" t="s">
        <v>69</v>
      </c>
      <c r="D4" s="73"/>
      <c r="E4" s="73"/>
    </row>
    <row r="5" spans="2:12" s="97" customFormat="1" ht="21" customHeight="1" x14ac:dyDescent="0.35">
      <c r="B5" s="44">
        <v>1</v>
      </c>
      <c r="C5" s="53" t="s">
        <v>114</v>
      </c>
      <c r="D5" s="44">
        <v>24</v>
      </c>
      <c r="E5" s="44" t="s">
        <v>140</v>
      </c>
    </row>
    <row r="6" spans="2:12" s="97" customFormat="1" ht="21" customHeight="1" x14ac:dyDescent="0.35">
      <c r="B6" s="44">
        <v>2</v>
      </c>
      <c r="C6" s="53" t="s">
        <v>115</v>
      </c>
      <c r="D6" s="44">
        <v>365</v>
      </c>
      <c r="E6" s="44" t="s">
        <v>141</v>
      </c>
    </row>
    <row r="7" spans="2:12" s="97" customFormat="1" ht="21" customHeight="1" x14ac:dyDescent="0.35">
      <c r="B7" s="44">
        <v>3</v>
      </c>
      <c r="C7" s="53" t="s">
        <v>260</v>
      </c>
      <c r="D7" s="44">
        <v>330</v>
      </c>
      <c r="E7" s="44" t="s">
        <v>141</v>
      </c>
    </row>
    <row r="8" spans="2:12" s="97" customFormat="1" ht="21" customHeight="1" x14ac:dyDescent="0.35">
      <c r="B8" s="44">
        <v>4</v>
      </c>
      <c r="C8" s="53" t="s">
        <v>137</v>
      </c>
      <c r="D8" s="44" t="s">
        <v>712</v>
      </c>
      <c r="E8" s="44" t="s">
        <v>8</v>
      </c>
    </row>
    <row r="9" spans="2:12" s="97" customFormat="1" ht="21" customHeight="1" x14ac:dyDescent="0.35">
      <c r="B9" s="71" t="s">
        <v>68</v>
      </c>
      <c r="C9" s="109" t="s">
        <v>746</v>
      </c>
      <c r="D9" s="71"/>
      <c r="E9" s="71"/>
      <c r="F9" s="64"/>
      <c r="G9" s="64"/>
      <c r="H9" s="64"/>
      <c r="I9" s="64"/>
      <c r="J9" s="64"/>
      <c r="K9" s="64"/>
      <c r="L9" s="64"/>
    </row>
    <row r="10" spans="2:12" s="97" customFormat="1" ht="21" customHeight="1" x14ac:dyDescent="0.35">
      <c r="B10" s="44">
        <v>5</v>
      </c>
      <c r="C10" s="53" t="s">
        <v>713</v>
      </c>
      <c r="D10" s="48">
        <f>40000/0.7</f>
        <v>57142.857142857145</v>
      </c>
      <c r="E10" s="44" t="s">
        <v>144</v>
      </c>
    </row>
    <row r="11" spans="2:12" s="97" customFormat="1" ht="21" customHeight="1" x14ac:dyDescent="0.35">
      <c r="B11" s="44">
        <v>6</v>
      </c>
      <c r="C11" s="53" t="s">
        <v>521</v>
      </c>
      <c r="D11" s="48">
        <v>0</v>
      </c>
      <c r="E11" s="44" t="s">
        <v>138</v>
      </c>
    </row>
    <row r="12" spans="2:12" s="97" customFormat="1" ht="29" x14ac:dyDescent="0.35">
      <c r="B12" s="44">
        <v>7</v>
      </c>
      <c r="C12" s="53" t="s">
        <v>714</v>
      </c>
      <c r="D12" s="48">
        <v>0</v>
      </c>
      <c r="E12" s="44" t="s">
        <v>144</v>
      </c>
    </row>
    <row r="13" spans="2:12" s="97" customFormat="1" ht="21" customHeight="1" x14ac:dyDescent="0.35">
      <c r="B13" s="44">
        <v>8</v>
      </c>
      <c r="C13" s="53" t="s">
        <v>715</v>
      </c>
      <c r="D13" s="48">
        <f>D12*0.9</f>
        <v>0</v>
      </c>
      <c r="E13" s="44" t="s">
        <v>144</v>
      </c>
    </row>
    <row r="14" spans="2:12" s="97" customFormat="1" ht="21" customHeight="1" x14ac:dyDescent="0.35">
      <c r="B14" s="44">
        <v>9</v>
      </c>
      <c r="C14" s="53" t="s">
        <v>176</v>
      </c>
      <c r="D14" s="48">
        <v>0</v>
      </c>
      <c r="E14" s="44" t="s">
        <v>139</v>
      </c>
    </row>
    <row r="15" spans="2:12" s="97" customFormat="1" ht="21" customHeight="1" x14ac:dyDescent="0.35">
      <c r="B15" s="44">
        <v>10</v>
      </c>
      <c r="C15" s="53" t="s">
        <v>116</v>
      </c>
      <c r="D15" s="48">
        <v>0</v>
      </c>
      <c r="E15" s="44" t="s">
        <v>139</v>
      </c>
      <c r="G15" s="245" t="s">
        <v>708</v>
      </c>
      <c r="H15" s="246">
        <v>0.74</v>
      </c>
      <c r="I15" s="64"/>
      <c r="J15" s="64"/>
    </row>
    <row r="16" spans="2:12" s="97" customFormat="1" ht="21" customHeight="1" x14ac:dyDescent="0.35">
      <c r="B16" s="44">
        <v>11</v>
      </c>
      <c r="C16" s="53" t="s">
        <v>117</v>
      </c>
      <c r="D16" s="48">
        <v>40000</v>
      </c>
      <c r="E16" s="44" t="s">
        <v>138</v>
      </c>
      <c r="G16" s="247" t="s">
        <v>709</v>
      </c>
      <c r="H16" s="248">
        <f>0.74*7000</f>
        <v>5180</v>
      </c>
      <c r="I16" s="249" t="s">
        <v>710</v>
      </c>
      <c r="J16" s="250" t="s">
        <v>711</v>
      </c>
    </row>
    <row r="17" spans="2:12" s="97" customFormat="1" ht="21" customHeight="1" x14ac:dyDescent="0.35">
      <c r="B17" s="44">
        <v>12</v>
      </c>
      <c r="C17" s="53" t="s">
        <v>177</v>
      </c>
      <c r="D17" s="48">
        <v>0</v>
      </c>
      <c r="E17" s="44" t="s">
        <v>8</v>
      </c>
      <c r="G17" s="251"/>
      <c r="H17" s="252">
        <f>H16*90%</f>
        <v>4662</v>
      </c>
      <c r="I17" s="64"/>
      <c r="J17" s="64"/>
    </row>
    <row r="18" spans="2:12" s="97" customFormat="1" ht="21" customHeight="1" x14ac:dyDescent="0.35">
      <c r="B18" s="44">
        <v>13</v>
      </c>
      <c r="C18" s="53" t="s">
        <v>591</v>
      </c>
      <c r="D18" s="48">
        <v>0</v>
      </c>
      <c r="E18" s="44" t="s">
        <v>139</v>
      </c>
    </row>
    <row r="19" spans="2:12" s="97" customFormat="1" ht="21" customHeight="1" x14ac:dyDescent="0.35">
      <c r="B19" s="44">
        <v>14</v>
      </c>
      <c r="C19" s="53" t="s">
        <v>175</v>
      </c>
      <c r="D19" s="48">
        <v>0</v>
      </c>
      <c r="E19" s="44" t="s">
        <v>8</v>
      </c>
    </row>
    <row r="20" spans="2:12" s="97" customFormat="1" ht="21" customHeight="1" x14ac:dyDescent="0.35">
      <c r="B20" s="71" t="s">
        <v>70</v>
      </c>
      <c r="C20" s="109" t="s">
        <v>71</v>
      </c>
      <c r="D20" s="71"/>
      <c r="E20" s="71"/>
      <c r="F20" s="64"/>
      <c r="G20" s="64"/>
      <c r="H20" s="64"/>
      <c r="I20" s="64"/>
      <c r="J20" s="64"/>
      <c r="K20" s="64"/>
      <c r="L20" s="64"/>
    </row>
    <row r="21" spans="2:12" s="97" customFormat="1" ht="21" customHeight="1" x14ac:dyDescent="0.35">
      <c r="B21" s="44" t="s">
        <v>72</v>
      </c>
      <c r="C21" s="53" t="s">
        <v>118</v>
      </c>
      <c r="D21" s="44"/>
      <c r="E21" s="44"/>
    </row>
    <row r="22" spans="2:12" s="97" customFormat="1" ht="21" customHeight="1" x14ac:dyDescent="0.35">
      <c r="B22" s="44">
        <v>1</v>
      </c>
      <c r="C22" s="53" t="s">
        <v>501</v>
      </c>
      <c r="D22" s="48">
        <v>40000</v>
      </c>
      <c r="E22" s="44" t="s">
        <v>144</v>
      </c>
    </row>
    <row r="23" spans="2:12" s="97" customFormat="1" ht="21" customHeight="1" x14ac:dyDescent="0.35">
      <c r="B23" s="44" t="s">
        <v>73</v>
      </c>
      <c r="C23" s="53" t="s">
        <v>119</v>
      </c>
      <c r="D23" s="48"/>
      <c r="E23" s="44"/>
    </row>
    <row r="24" spans="2:12" s="97" customFormat="1" ht="21" customHeight="1" x14ac:dyDescent="0.35">
      <c r="B24" s="44">
        <v>2</v>
      </c>
      <c r="C24" s="53" t="s">
        <v>120</v>
      </c>
      <c r="D24" s="48">
        <v>0</v>
      </c>
      <c r="E24" s="44" t="s">
        <v>148</v>
      </c>
    </row>
    <row r="25" spans="2:12" s="97" customFormat="1" ht="21" customHeight="1" x14ac:dyDescent="0.35">
      <c r="B25" s="44">
        <v>3</v>
      </c>
      <c r="C25" s="53" t="s">
        <v>178</v>
      </c>
      <c r="D25" s="48">
        <v>0</v>
      </c>
      <c r="E25" s="44" t="s">
        <v>148</v>
      </c>
    </row>
    <row r="26" spans="2:12" s="97" customFormat="1" ht="21" customHeight="1" x14ac:dyDescent="0.35">
      <c r="B26" s="44">
        <v>4</v>
      </c>
      <c r="C26" s="53" t="s">
        <v>121</v>
      </c>
      <c r="D26" s="48">
        <v>0</v>
      </c>
      <c r="E26" s="44" t="s">
        <v>148</v>
      </c>
    </row>
    <row r="27" spans="2:12" s="97" customFormat="1" ht="21" customHeight="1" x14ac:dyDescent="0.35">
      <c r="B27" s="73" t="s">
        <v>74</v>
      </c>
      <c r="C27" s="109" t="s">
        <v>324</v>
      </c>
      <c r="D27" s="110"/>
      <c r="E27" s="73"/>
    </row>
    <row r="28" spans="2:12" s="97" customFormat="1" ht="21" customHeight="1" x14ac:dyDescent="0.35">
      <c r="B28" s="44">
        <v>5</v>
      </c>
      <c r="C28" s="53" t="s">
        <v>149</v>
      </c>
      <c r="D28" s="48">
        <v>10000</v>
      </c>
      <c r="E28" s="44" t="s">
        <v>148</v>
      </c>
    </row>
    <row r="29" spans="2:12" s="97" customFormat="1" ht="21" customHeight="1" x14ac:dyDescent="0.35">
      <c r="B29" s="44">
        <v>6</v>
      </c>
      <c r="C29" s="53" t="s">
        <v>357</v>
      </c>
      <c r="D29" s="48">
        <v>0</v>
      </c>
      <c r="E29" s="44" t="s">
        <v>148</v>
      </c>
    </row>
    <row r="30" spans="2:12" s="97" customFormat="1" ht="21" customHeight="1" x14ac:dyDescent="0.35">
      <c r="B30" s="44">
        <v>7</v>
      </c>
      <c r="C30" s="53" t="s">
        <v>122</v>
      </c>
      <c r="D30" s="48">
        <f>D28-D29</f>
        <v>10000</v>
      </c>
      <c r="E30" s="44" t="s">
        <v>148</v>
      </c>
    </row>
    <row r="31" spans="2:12" s="97" customFormat="1" ht="21" customHeight="1" x14ac:dyDescent="0.35">
      <c r="B31" s="441"/>
      <c r="C31" s="441"/>
      <c r="D31" s="441"/>
      <c r="E31" s="441"/>
      <c r="F31" s="441"/>
    </row>
    <row r="32" spans="2:12" s="53" customFormat="1" ht="21" customHeight="1" x14ac:dyDescent="0.35">
      <c r="B32" s="94" t="s">
        <v>0</v>
      </c>
      <c r="C32" s="94" t="s">
        <v>66</v>
      </c>
      <c r="D32" s="94" t="s">
        <v>64</v>
      </c>
      <c r="E32" s="94" t="s">
        <v>65</v>
      </c>
      <c r="F32" s="46"/>
      <c r="G32" s="97"/>
      <c r="H32" s="97"/>
    </row>
    <row r="33" spans="2:12" s="97" customFormat="1" ht="21" customHeight="1" x14ac:dyDescent="0.35">
      <c r="B33" s="71" t="s">
        <v>75</v>
      </c>
      <c r="C33" s="109" t="s">
        <v>76</v>
      </c>
      <c r="D33" s="73"/>
      <c r="E33" s="73"/>
    </row>
    <row r="34" spans="2:12" s="97" customFormat="1" ht="21" customHeight="1" x14ac:dyDescent="0.35">
      <c r="B34" s="44">
        <v>1</v>
      </c>
      <c r="C34" s="53" t="s">
        <v>546</v>
      </c>
      <c r="D34" s="48">
        <v>0</v>
      </c>
      <c r="E34" s="44" t="s">
        <v>143</v>
      </c>
      <c r="H34" s="97">
        <v>1000</v>
      </c>
      <c r="I34" s="97">
        <v>400</v>
      </c>
      <c r="J34" s="97">
        <v>20</v>
      </c>
    </row>
    <row r="35" spans="2:12" s="97" customFormat="1" ht="21" customHeight="1" x14ac:dyDescent="0.35">
      <c r="B35" s="44">
        <v>2</v>
      </c>
      <c r="C35" s="53" t="s">
        <v>547</v>
      </c>
      <c r="D35" s="48">
        <v>0</v>
      </c>
      <c r="E35" s="44" t="s">
        <v>143</v>
      </c>
      <c r="F35" s="97">
        <f>D34*90%</f>
        <v>0</v>
      </c>
      <c r="H35" s="97">
        <v>400</v>
      </c>
      <c r="I35" s="97">
        <f>J34/I34</f>
        <v>0.05</v>
      </c>
      <c r="J35" s="97">
        <f>I35*D36</f>
        <v>0</v>
      </c>
    </row>
    <row r="36" spans="2:12" s="97" customFormat="1" ht="21" customHeight="1" x14ac:dyDescent="0.35">
      <c r="B36" s="44">
        <v>3</v>
      </c>
      <c r="C36" s="53" t="s">
        <v>123</v>
      </c>
      <c r="D36" s="48">
        <v>0</v>
      </c>
      <c r="E36" s="44" t="s">
        <v>490</v>
      </c>
      <c r="H36" s="97">
        <f>H34/H35</f>
        <v>2.5</v>
      </c>
    </row>
    <row r="37" spans="2:12" s="97" customFormat="1" ht="21" customHeight="1" x14ac:dyDescent="0.35">
      <c r="B37" s="44">
        <v>4</v>
      </c>
      <c r="C37" s="53" t="s">
        <v>124</v>
      </c>
      <c r="D37" s="48">
        <v>0</v>
      </c>
      <c r="E37" s="44" t="s">
        <v>144</v>
      </c>
      <c r="H37" s="97">
        <f>H36*D36</f>
        <v>0</v>
      </c>
    </row>
    <row r="38" spans="2:12" s="97" customFormat="1" ht="21" customHeight="1" x14ac:dyDescent="0.35">
      <c r="B38" s="44">
        <v>5</v>
      </c>
      <c r="C38" s="53" t="s">
        <v>125</v>
      </c>
      <c r="D38" s="48">
        <v>0</v>
      </c>
      <c r="E38" s="44" t="s">
        <v>148</v>
      </c>
    </row>
    <row r="39" spans="2:12" s="97" customFormat="1" ht="21" customHeight="1" x14ac:dyDescent="0.35">
      <c r="B39" s="71" t="s">
        <v>77</v>
      </c>
      <c r="C39" s="109" t="s">
        <v>129</v>
      </c>
      <c r="D39" s="110"/>
      <c r="E39" s="71"/>
      <c r="F39" s="64"/>
      <c r="I39" s="64"/>
      <c r="J39" s="64"/>
      <c r="K39" s="64"/>
    </row>
    <row r="40" spans="2:12" s="97" customFormat="1" ht="21" customHeight="1" x14ac:dyDescent="0.35">
      <c r="B40" s="44">
        <v>1</v>
      </c>
      <c r="C40" s="53" t="s">
        <v>130</v>
      </c>
      <c r="D40" s="48">
        <v>300</v>
      </c>
      <c r="E40" s="44" t="s">
        <v>150</v>
      </c>
    </row>
    <row r="41" spans="2:12" s="97" customFormat="1" ht="21" customHeight="1" x14ac:dyDescent="0.35">
      <c r="B41" s="44">
        <v>2</v>
      </c>
      <c r="C41" s="53" t="s">
        <v>358</v>
      </c>
      <c r="D41" s="48">
        <v>0</v>
      </c>
      <c r="E41" s="44" t="s">
        <v>150</v>
      </c>
    </row>
    <row r="42" spans="2:12" s="97" customFormat="1" ht="21" customHeight="1" x14ac:dyDescent="0.35">
      <c r="B42" s="44">
        <v>3</v>
      </c>
      <c r="C42" s="53" t="s">
        <v>180</v>
      </c>
      <c r="D42" s="48">
        <v>0</v>
      </c>
      <c r="E42" s="44" t="s">
        <v>150</v>
      </c>
    </row>
    <row r="43" spans="2:12" s="97" customFormat="1" ht="21" customHeight="1" x14ac:dyDescent="0.35">
      <c r="B43" s="44"/>
      <c r="C43" s="53"/>
      <c r="D43" s="48"/>
      <c r="E43" s="44" t="s">
        <v>150</v>
      </c>
    </row>
    <row r="44" spans="2:12" s="97" customFormat="1" ht="21" customHeight="1" x14ac:dyDescent="0.35">
      <c r="B44" s="44">
        <v>4</v>
      </c>
      <c r="C44" s="53" t="s">
        <v>359</v>
      </c>
      <c r="D44" s="48">
        <v>0</v>
      </c>
      <c r="E44" s="44" t="s">
        <v>150</v>
      </c>
    </row>
    <row r="45" spans="2:12" s="97" customFormat="1" ht="21" customHeight="1" x14ac:dyDescent="0.35">
      <c r="B45" s="44"/>
      <c r="C45" s="46" t="s">
        <v>41</v>
      </c>
      <c r="D45" s="48">
        <f>SUM(D40:D44)</f>
        <v>300</v>
      </c>
      <c r="E45" s="44" t="s">
        <v>150</v>
      </c>
    </row>
    <row r="46" spans="2:12" s="97" customFormat="1" ht="21" customHeight="1" x14ac:dyDescent="0.35">
      <c r="B46" s="73"/>
      <c r="C46" s="111" t="s">
        <v>361</v>
      </c>
      <c r="D46" s="110">
        <v>190</v>
      </c>
      <c r="E46" s="73" t="s">
        <v>150</v>
      </c>
    </row>
    <row r="47" spans="2:12" s="97" customFormat="1" ht="21" customHeight="1" x14ac:dyDescent="0.35">
      <c r="B47" s="71" t="s">
        <v>78</v>
      </c>
      <c r="C47" s="109" t="s">
        <v>126</v>
      </c>
      <c r="D47" s="110"/>
      <c r="E47" s="71"/>
      <c r="F47" s="64"/>
      <c r="I47" s="64"/>
      <c r="J47" s="64"/>
      <c r="K47" s="64"/>
      <c r="L47" s="64"/>
    </row>
    <row r="48" spans="2:12" s="97" customFormat="1" ht="21" customHeight="1" x14ac:dyDescent="0.35">
      <c r="B48" s="44">
        <v>1</v>
      </c>
      <c r="C48" s="53" t="s">
        <v>716</v>
      </c>
      <c r="D48" s="48">
        <f>D13*D7</f>
        <v>0</v>
      </c>
      <c r="E48" s="44" t="s">
        <v>138</v>
      </c>
    </row>
    <row r="49" spans="2:11" s="97" customFormat="1" ht="21" customHeight="1" x14ac:dyDescent="0.35">
      <c r="B49" s="44">
        <v>2</v>
      </c>
      <c r="C49" s="53" t="s">
        <v>331</v>
      </c>
      <c r="D49" s="48">
        <f>(D16*D7)</f>
        <v>13200000</v>
      </c>
      <c r="E49" s="44" t="s">
        <v>138</v>
      </c>
    </row>
    <row r="50" spans="2:11" s="97" customFormat="1" ht="21" customHeight="1" x14ac:dyDescent="0.35">
      <c r="B50" s="44">
        <v>3</v>
      </c>
      <c r="C50" s="53" t="s">
        <v>332</v>
      </c>
      <c r="D50" s="48">
        <f>D7*D22</f>
        <v>13200000</v>
      </c>
      <c r="E50" s="44" t="s">
        <v>363</v>
      </c>
    </row>
    <row r="51" spans="2:11" s="97" customFormat="1" ht="21" customHeight="1" x14ac:dyDescent="0.35">
      <c r="B51" s="44">
        <v>4</v>
      </c>
      <c r="C51" s="53" t="s">
        <v>333</v>
      </c>
      <c r="D51" s="48">
        <f>(D38*D7)</f>
        <v>0</v>
      </c>
      <c r="E51" s="44" t="s">
        <v>264</v>
      </c>
    </row>
    <row r="52" spans="2:11" s="97" customFormat="1" ht="21" customHeight="1" x14ac:dyDescent="0.35">
      <c r="B52" s="71" t="s">
        <v>79</v>
      </c>
      <c r="C52" s="109" t="s">
        <v>127</v>
      </c>
      <c r="D52" s="110"/>
      <c r="E52" s="73"/>
      <c r="F52" s="64"/>
      <c r="I52" s="64"/>
      <c r="J52" s="64"/>
    </row>
    <row r="53" spans="2:11" s="97" customFormat="1" ht="21" customHeight="1" x14ac:dyDescent="0.35">
      <c r="B53" s="44">
        <v>1</v>
      </c>
      <c r="C53" s="53" t="s">
        <v>328</v>
      </c>
      <c r="D53" s="48">
        <f>(D10*D7)/1000</f>
        <v>18857.142857142859</v>
      </c>
      <c r="E53" s="44" t="s">
        <v>142</v>
      </c>
    </row>
    <row r="54" spans="2:11" s="97" customFormat="1" ht="21" customHeight="1" x14ac:dyDescent="0.35">
      <c r="B54" s="44">
        <v>2</v>
      </c>
      <c r="C54" s="53" t="s">
        <v>504</v>
      </c>
      <c r="D54" s="48">
        <f>(D11*D7)/1000</f>
        <v>0</v>
      </c>
      <c r="E54" s="44" t="s">
        <v>142</v>
      </c>
      <c r="F54" s="97">
        <v>800</v>
      </c>
      <c r="G54" s="182">
        <f>F54*F55</f>
        <v>596.79999999999995</v>
      </c>
      <c r="H54" s="97">
        <v>600</v>
      </c>
      <c r="I54" s="182">
        <f>H54/F55</f>
        <v>804.28954423592495</v>
      </c>
    </row>
    <row r="55" spans="2:11" s="97" customFormat="1" ht="21" customHeight="1" x14ac:dyDescent="0.35">
      <c r="B55" s="44">
        <v>3</v>
      </c>
      <c r="C55" s="53" t="s">
        <v>362</v>
      </c>
      <c r="D55" s="48">
        <f>D46*20*330</f>
        <v>1254000</v>
      </c>
      <c r="E55" s="44" t="s">
        <v>360</v>
      </c>
      <c r="F55" s="97">
        <v>0.746</v>
      </c>
    </row>
    <row r="56" spans="2:11" s="97" customFormat="1" ht="21" customHeight="1" x14ac:dyDescent="0.35">
      <c r="B56" s="44">
        <v>4</v>
      </c>
      <c r="C56" s="53" t="s">
        <v>327</v>
      </c>
      <c r="D56" s="48">
        <f>(D30*D7)/1000</f>
        <v>3300</v>
      </c>
      <c r="E56" s="44" t="s">
        <v>152</v>
      </c>
    </row>
    <row r="57" spans="2:11" s="97" customFormat="1" ht="21" customHeight="1" x14ac:dyDescent="0.35">
      <c r="B57" s="71" t="s">
        <v>80</v>
      </c>
      <c r="C57" s="109" t="s">
        <v>128</v>
      </c>
      <c r="D57" s="110"/>
      <c r="E57" s="71"/>
      <c r="F57" s="64"/>
      <c r="G57" s="64"/>
      <c r="H57" s="64"/>
      <c r="I57" s="64"/>
      <c r="J57" s="64"/>
      <c r="K57" s="64"/>
    </row>
    <row r="58" spans="2:11" s="97" customFormat="1" ht="21" customHeight="1" x14ac:dyDescent="0.35">
      <c r="B58" s="44">
        <v>1</v>
      </c>
      <c r="C58" s="53" t="s">
        <v>132</v>
      </c>
      <c r="D58" s="48">
        <v>11950</v>
      </c>
      <c r="E58" s="44" t="s">
        <v>153</v>
      </c>
    </row>
    <row r="59" spans="2:11" s="97" customFormat="1" ht="21" customHeight="1" x14ac:dyDescent="0.35">
      <c r="B59" s="44">
        <v>2</v>
      </c>
      <c r="C59" s="53" t="s">
        <v>133</v>
      </c>
      <c r="D59" s="48">
        <v>12870</v>
      </c>
      <c r="E59" s="44" t="s">
        <v>153</v>
      </c>
    </row>
    <row r="60" spans="2:11" s="97" customFormat="1" ht="21" customHeight="1" x14ac:dyDescent="0.35">
      <c r="B60" s="44">
        <v>3</v>
      </c>
      <c r="C60" s="53" t="s">
        <v>181</v>
      </c>
      <c r="D60" s="48" t="s">
        <v>155</v>
      </c>
      <c r="E60" s="44" t="s">
        <v>154</v>
      </c>
    </row>
    <row r="61" spans="2:11" s="97" customFormat="1" ht="21" customHeight="1" x14ac:dyDescent="0.35">
      <c r="B61" s="44">
        <v>4</v>
      </c>
      <c r="C61" s="53" t="s">
        <v>491</v>
      </c>
      <c r="D61" s="63">
        <v>102</v>
      </c>
      <c r="E61" s="44" t="s">
        <v>145</v>
      </c>
    </row>
    <row r="62" spans="2:11" s="97" customFormat="1" ht="21" customHeight="1" x14ac:dyDescent="0.35">
      <c r="B62" s="44">
        <v>5</v>
      </c>
      <c r="C62" s="53" t="s">
        <v>717</v>
      </c>
      <c r="D62" s="63">
        <v>9</v>
      </c>
      <c r="E62" s="44" t="s">
        <v>145</v>
      </c>
    </row>
    <row r="63" spans="2:11" s="97" customFormat="1" ht="21" customHeight="1" x14ac:dyDescent="0.35">
      <c r="B63" s="44">
        <v>6</v>
      </c>
      <c r="C63" s="53" t="s">
        <v>134</v>
      </c>
      <c r="D63" s="63">
        <v>9</v>
      </c>
      <c r="E63" s="44" t="s">
        <v>145</v>
      </c>
    </row>
    <row r="64" spans="2:11" s="97" customFormat="1" ht="21" customHeight="1" x14ac:dyDescent="0.35">
      <c r="B64" s="44">
        <v>7</v>
      </c>
      <c r="C64" s="53" t="s">
        <v>135</v>
      </c>
      <c r="D64" s="63">
        <v>0</v>
      </c>
      <c r="E64" s="44" t="s">
        <v>156</v>
      </c>
    </row>
    <row r="65" spans="2:12" s="97" customFormat="1" ht="21" customHeight="1" x14ac:dyDescent="0.35">
      <c r="B65" s="441"/>
      <c r="C65" s="441"/>
      <c r="D65" s="441"/>
      <c r="E65" s="441"/>
      <c r="F65" s="441"/>
    </row>
    <row r="66" spans="2:12" s="53" customFormat="1" ht="21" customHeight="1" x14ac:dyDescent="0.35">
      <c r="B66" s="46"/>
      <c r="C66" s="46"/>
      <c r="D66" s="46"/>
      <c r="E66" s="46"/>
      <c r="F66" s="46"/>
      <c r="G66" s="58"/>
    </row>
    <row r="67" spans="2:12" s="53" customFormat="1" ht="21" customHeight="1" x14ac:dyDescent="0.35">
      <c r="B67" s="47"/>
      <c r="D67" s="46"/>
      <c r="E67" s="46"/>
      <c r="F67" s="46"/>
      <c r="G67" s="58"/>
    </row>
    <row r="68" spans="2:12" s="97" customFormat="1" ht="21" customHeight="1" x14ac:dyDescent="0.35">
      <c r="B68" s="44"/>
      <c r="C68" s="53"/>
      <c r="D68" s="48"/>
      <c r="E68" s="44"/>
    </row>
    <row r="69" spans="2:12" s="97" customFormat="1" ht="21" customHeight="1" x14ac:dyDescent="0.35">
      <c r="B69" s="44"/>
      <c r="C69" s="53"/>
      <c r="D69" s="48"/>
      <c r="E69" s="44"/>
    </row>
    <row r="70" spans="2:12" s="97" customFormat="1" ht="21" customHeight="1" x14ac:dyDescent="0.35">
      <c r="B70" s="44"/>
      <c r="C70" s="53"/>
      <c r="D70" s="48"/>
      <c r="E70" s="44"/>
    </row>
    <row r="71" spans="2:12" s="97" customFormat="1" ht="21" customHeight="1" x14ac:dyDescent="0.35">
      <c r="B71" s="44"/>
      <c r="C71" s="53"/>
      <c r="D71" s="48"/>
      <c r="E71" s="44"/>
    </row>
    <row r="72" spans="2:12" s="97" customFormat="1" ht="21" customHeight="1" x14ac:dyDescent="0.35">
      <c r="B72" s="44"/>
      <c r="C72" s="53"/>
      <c r="D72" s="48"/>
      <c r="E72" s="44"/>
    </row>
    <row r="73" spans="2:12" s="97" customFormat="1" ht="21" customHeight="1" x14ac:dyDescent="0.35">
      <c r="B73" s="44"/>
      <c r="C73" s="53"/>
      <c r="D73" s="48"/>
      <c r="E73" s="44"/>
    </row>
    <row r="74" spans="2:12" s="97" customFormat="1" ht="21" customHeight="1" x14ac:dyDescent="0.35">
      <c r="B74" s="44"/>
      <c r="C74" s="53"/>
      <c r="D74" s="48"/>
      <c r="E74" s="44"/>
    </row>
    <row r="75" spans="2:12" s="97" customFormat="1" ht="21" customHeight="1" x14ac:dyDescent="0.35">
      <c r="B75" s="44"/>
      <c r="C75" s="53"/>
      <c r="D75" s="48"/>
      <c r="E75" s="44"/>
    </row>
    <row r="76" spans="2:12" s="97" customFormat="1" ht="22.5" customHeight="1" x14ac:dyDescent="0.35">
      <c r="B76" s="47"/>
      <c r="C76" s="442"/>
      <c r="D76" s="441"/>
      <c r="E76" s="47"/>
      <c r="F76" s="64"/>
      <c r="G76" s="64"/>
      <c r="H76" s="64"/>
      <c r="I76" s="64"/>
      <c r="J76" s="64"/>
      <c r="K76" s="64"/>
      <c r="L76" s="64"/>
    </row>
    <row r="77" spans="2:12" s="97" customFormat="1" ht="21" customHeight="1" x14ac:dyDescent="0.35">
      <c r="B77" s="44"/>
      <c r="C77" s="53"/>
      <c r="D77" s="48"/>
      <c r="E77" s="44"/>
    </row>
    <row r="78" spans="2:12" s="97" customFormat="1" ht="21" customHeight="1" x14ac:dyDescent="0.35">
      <c r="B78" s="44"/>
      <c r="C78" s="53"/>
      <c r="D78" s="48"/>
      <c r="E78" s="44"/>
    </row>
    <row r="79" spans="2:12" s="97" customFormat="1" ht="21" customHeight="1" x14ac:dyDescent="0.35">
      <c r="B79" s="44"/>
      <c r="C79" s="53"/>
      <c r="D79" s="48"/>
      <c r="E79" s="44"/>
    </row>
    <row r="80" spans="2:12" s="97" customFormat="1" ht="21" customHeight="1" x14ac:dyDescent="0.35">
      <c r="B80" s="44"/>
      <c r="C80" s="53"/>
      <c r="D80" s="48"/>
      <c r="E80" s="44"/>
    </row>
    <row r="81" spans="2:5" s="97" customFormat="1" ht="21" customHeight="1" x14ac:dyDescent="0.35">
      <c r="B81" s="44"/>
      <c r="C81" s="53"/>
      <c r="D81" s="48"/>
      <c r="E81" s="44"/>
    </row>
    <row r="82" spans="2:5" s="97" customFormat="1" ht="21" customHeight="1" x14ac:dyDescent="0.35">
      <c r="B82" s="44"/>
      <c r="C82" s="53"/>
      <c r="D82" s="48"/>
      <c r="E82" s="44"/>
    </row>
    <row r="83" spans="2:5" s="97" customFormat="1" ht="21" customHeight="1" x14ac:dyDescent="0.35">
      <c r="B83" s="44"/>
      <c r="C83" s="53"/>
      <c r="D83" s="48"/>
      <c r="E83" s="44"/>
    </row>
    <row r="84" spans="2:5" s="97" customFormat="1" ht="21" customHeight="1" x14ac:dyDescent="0.35">
      <c r="B84" s="44"/>
      <c r="C84" s="53"/>
      <c r="D84" s="48"/>
      <c r="E84" s="44"/>
    </row>
    <row r="85" spans="2:5" s="97" customFormat="1" ht="21" customHeight="1" x14ac:dyDescent="0.35">
      <c r="B85" s="44"/>
      <c r="C85" s="53"/>
      <c r="D85" s="48"/>
      <c r="E85" s="44"/>
    </row>
    <row r="86" spans="2:5" s="97" customFormat="1" ht="21" customHeight="1" x14ac:dyDescent="0.35">
      <c r="B86" s="44"/>
      <c r="C86" s="53"/>
      <c r="D86" s="48"/>
      <c r="E86" s="44"/>
    </row>
  </sheetData>
  <customSheetViews>
    <customSheetView guid="{22475485-DA09-46DB-978D-BB94CE1E5597}" topLeftCell="A13">
      <selection activeCell="A28" sqref="A28"/>
      <pageMargins left="0.7" right="0.7" top="0.75" bottom="0.75" header="0.3" footer="0.3"/>
      <pageSetup paperSize="9" orientation="portrait" verticalDpi="300" r:id="rId1"/>
    </customSheetView>
  </customSheetViews>
  <mergeCells count="4">
    <mergeCell ref="B2:E2"/>
    <mergeCell ref="B31:F31"/>
    <mergeCell ref="B65:F65"/>
    <mergeCell ref="C76:D76"/>
  </mergeCells>
  <pageMargins left="0.7" right="0.7" top="0.75" bottom="0.75" header="0.3" footer="0.3"/>
  <pageSetup paperSize="9" orientation="portrait"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B2:O42"/>
  <sheetViews>
    <sheetView showGridLines="0" topLeftCell="A10" workbookViewId="0">
      <selection activeCell="C22" sqref="C22"/>
    </sheetView>
  </sheetViews>
  <sheetFormatPr defaultColWidth="13" defaultRowHeight="14.5" x14ac:dyDescent="0.35"/>
  <cols>
    <col min="2" max="2" width="37.453125" style="345" bestFit="1" customWidth="1"/>
    <col min="3" max="3" width="14.1796875" bestFit="1" customWidth="1"/>
    <col min="4" max="4" width="13" style="11"/>
    <col min="5" max="6" width="13" style="234"/>
    <col min="7" max="7" width="30.453125" style="234" bestFit="1" customWidth="1"/>
  </cols>
  <sheetData>
    <row r="2" spans="2:15" x14ac:dyDescent="0.35">
      <c r="B2" s="377" t="s">
        <v>829</v>
      </c>
    </row>
    <row r="4" spans="2:15" x14ac:dyDescent="0.35">
      <c r="B4" s="378" t="s">
        <v>830</v>
      </c>
    </row>
    <row r="5" spans="2:15" ht="15" thickBot="1" x14ac:dyDescent="0.4"/>
    <row r="6" spans="2:15" ht="29.5" thickBot="1" x14ac:dyDescent="0.4">
      <c r="B6" s="408" t="s">
        <v>809</v>
      </c>
      <c r="C6" s="409" t="s">
        <v>819</v>
      </c>
      <c r="D6" s="409" t="s">
        <v>919</v>
      </c>
      <c r="E6" s="409" t="s">
        <v>810</v>
      </c>
      <c r="F6" s="409" t="s">
        <v>141</v>
      </c>
      <c r="G6" s="410" t="s">
        <v>811</v>
      </c>
    </row>
    <row r="7" spans="2:15" ht="15" thickBot="1" x14ac:dyDescent="0.4">
      <c r="B7" s="349" t="s">
        <v>812</v>
      </c>
      <c r="C7" s="350">
        <v>2</v>
      </c>
      <c r="D7" s="364">
        <v>3000</v>
      </c>
      <c r="E7" s="351">
        <v>0.5</v>
      </c>
      <c r="F7" s="359">
        <v>360</v>
      </c>
      <c r="G7" s="369">
        <f>C7*D7*E7*F7</f>
        <v>1080000</v>
      </c>
    </row>
    <row r="8" spans="2:15" ht="14.5" customHeight="1" thickBot="1" x14ac:dyDescent="0.4">
      <c r="B8" s="352" t="s">
        <v>816</v>
      </c>
      <c r="C8" s="353">
        <v>34</v>
      </c>
      <c r="D8" s="365">
        <v>3500</v>
      </c>
      <c r="E8" s="354">
        <v>0.5</v>
      </c>
      <c r="F8" s="360">
        <v>360</v>
      </c>
      <c r="G8" s="370">
        <f t="shared" ref="G8:G12" si="0">C8*D8*E8*F8</f>
        <v>21420000</v>
      </c>
    </row>
    <row r="9" spans="2:15" ht="15" thickBot="1" x14ac:dyDescent="0.4">
      <c r="B9" s="346" t="s">
        <v>817</v>
      </c>
      <c r="C9" s="347">
        <v>6</v>
      </c>
      <c r="D9" s="366">
        <v>5000</v>
      </c>
      <c r="E9" s="348">
        <v>0.5</v>
      </c>
      <c r="F9" s="361">
        <v>360</v>
      </c>
      <c r="G9" s="371">
        <f t="shared" si="0"/>
        <v>5400000</v>
      </c>
      <c r="H9" s="374">
        <f>SUM(G7:G9)</f>
        <v>27900000</v>
      </c>
      <c r="I9" t="s">
        <v>832</v>
      </c>
    </row>
    <row r="10" spans="2:15" ht="15" thickBot="1" x14ac:dyDescent="0.4">
      <c r="B10" s="349" t="s">
        <v>813</v>
      </c>
      <c r="C10" s="350">
        <v>42</v>
      </c>
      <c r="D10" s="364">
        <v>1000</v>
      </c>
      <c r="E10" s="351">
        <v>0.5</v>
      </c>
      <c r="F10" s="359">
        <v>360</v>
      </c>
      <c r="G10" s="370">
        <f t="shared" si="0"/>
        <v>7560000</v>
      </c>
    </row>
    <row r="11" spans="2:15" ht="15" thickBot="1" x14ac:dyDescent="0.4">
      <c r="B11" s="357" t="s">
        <v>814</v>
      </c>
      <c r="C11" s="363" t="s">
        <v>815</v>
      </c>
      <c r="D11" s="368">
        <v>250</v>
      </c>
      <c r="E11" s="358">
        <v>150</v>
      </c>
      <c r="F11" s="358">
        <v>360</v>
      </c>
      <c r="G11" s="372">
        <f>D11*E11*F11</f>
        <v>13500000</v>
      </c>
      <c r="H11" s="374"/>
    </row>
    <row r="12" spans="2:15" ht="15" thickBot="1" x14ac:dyDescent="0.4">
      <c r="B12" s="352" t="s">
        <v>821</v>
      </c>
      <c r="C12" s="353">
        <v>1</v>
      </c>
      <c r="D12" s="365">
        <v>950</v>
      </c>
      <c r="E12" s="353">
        <v>50</v>
      </c>
      <c r="F12" s="353">
        <v>295</v>
      </c>
      <c r="G12" s="370">
        <f t="shared" si="0"/>
        <v>14012500</v>
      </c>
      <c r="H12" s="374">
        <f>SUM(G10:G12)</f>
        <v>35072500</v>
      </c>
      <c r="I12" t="s">
        <v>833</v>
      </c>
    </row>
    <row r="13" spans="2:15" ht="15" thickBot="1" x14ac:dyDescent="0.4">
      <c r="B13" s="355" t="s">
        <v>818</v>
      </c>
      <c r="C13" s="356">
        <v>1</v>
      </c>
      <c r="D13" s="367">
        <v>1200</v>
      </c>
      <c r="E13" s="356">
        <v>800</v>
      </c>
      <c r="F13" s="362">
        <v>12</v>
      </c>
      <c r="G13" s="370">
        <f>D13*E13*F13</f>
        <v>11520000</v>
      </c>
      <c r="J13" t="s">
        <v>912</v>
      </c>
      <c r="O13">
        <f>4*200*1200*12</f>
        <v>11520000</v>
      </c>
    </row>
    <row r="14" spans="2:15" ht="15" thickBot="1" x14ac:dyDescent="0.4">
      <c r="B14" s="352" t="s">
        <v>820</v>
      </c>
      <c r="C14" s="375">
        <v>3</v>
      </c>
      <c r="D14" s="376">
        <v>500</v>
      </c>
      <c r="E14" s="375">
        <v>1200</v>
      </c>
      <c r="F14" s="375">
        <v>12</v>
      </c>
      <c r="G14" s="421">
        <f>D14*E14*F14</f>
        <v>7200000</v>
      </c>
      <c r="H14" s="374">
        <f>SUM(G13:G14)</f>
        <v>18720000</v>
      </c>
      <c r="I14" t="s">
        <v>834</v>
      </c>
      <c r="J14" t="s">
        <v>911</v>
      </c>
      <c r="O14">
        <f>4*3*100*500*12</f>
        <v>7200000</v>
      </c>
    </row>
    <row r="15" spans="2:15" ht="15" thickBot="1" x14ac:dyDescent="0.4">
      <c r="B15" s="379" t="s">
        <v>454</v>
      </c>
      <c r="C15" s="380"/>
      <c r="D15" s="381"/>
      <c r="E15" s="382"/>
      <c r="F15" s="382"/>
      <c r="G15" s="383">
        <f>SUM(G7:G14)</f>
        <v>81692500</v>
      </c>
      <c r="H15" s="373">
        <f>SUM(H7:H14)</f>
        <v>81692500</v>
      </c>
    </row>
    <row r="17" spans="2:8" x14ac:dyDescent="0.35">
      <c r="B17" s="378" t="s">
        <v>831</v>
      </c>
    </row>
    <row r="18" spans="2:8" ht="15" thickBot="1" x14ac:dyDescent="0.4"/>
    <row r="19" spans="2:8" ht="15" thickBot="1" x14ac:dyDescent="0.4">
      <c r="B19" s="400" t="s">
        <v>836</v>
      </c>
      <c r="C19" s="401" t="s">
        <v>840</v>
      </c>
      <c r="D19" s="402">
        <v>0.2</v>
      </c>
    </row>
    <row r="20" spans="2:8" ht="15" thickBot="1" x14ac:dyDescent="0.4">
      <c r="B20" s="400" t="s">
        <v>837</v>
      </c>
      <c r="C20" s="401" t="s">
        <v>840</v>
      </c>
      <c r="D20" s="402">
        <v>0.1</v>
      </c>
      <c r="E20" s="234" t="s">
        <v>914</v>
      </c>
      <c r="F20" s="234" t="s">
        <v>915</v>
      </c>
      <c r="G20" s="234" t="s">
        <v>922</v>
      </c>
    </row>
    <row r="21" spans="2:8" ht="15" thickBot="1" x14ac:dyDescent="0.4">
      <c r="B21" s="400" t="s">
        <v>838</v>
      </c>
      <c r="C21" s="401" t="s">
        <v>840</v>
      </c>
      <c r="D21" s="402">
        <v>0.19</v>
      </c>
      <c r="E21" s="424">
        <f>'P &amp; L'!F17</f>
        <v>155.21574999999999</v>
      </c>
      <c r="F21" s="234">
        <v>60</v>
      </c>
      <c r="G21" s="425">
        <f>E21/F21</f>
        <v>2.5869291666666663</v>
      </c>
    </row>
    <row r="22" spans="2:8" ht="15" thickBot="1" x14ac:dyDescent="0.4">
      <c r="B22" s="400" t="s">
        <v>839</v>
      </c>
      <c r="C22" s="401" t="s">
        <v>840</v>
      </c>
      <c r="D22" s="402">
        <v>0.08</v>
      </c>
    </row>
    <row r="23" spans="2:8" ht="15" thickBot="1" x14ac:dyDescent="0.4">
      <c r="B23" s="400" t="s">
        <v>886</v>
      </c>
      <c r="C23" s="401" t="s">
        <v>887</v>
      </c>
      <c r="D23" s="402">
        <v>0.02</v>
      </c>
    </row>
    <row r="24" spans="2:8" ht="15" thickBot="1" x14ac:dyDescent="0.4">
      <c r="B24" s="400" t="s">
        <v>924</v>
      </c>
      <c r="C24" s="401" t="s">
        <v>890</v>
      </c>
      <c r="D24" s="416">
        <v>600000</v>
      </c>
    </row>
    <row r="25" spans="2:8" ht="15" thickBot="1" x14ac:dyDescent="0.4">
      <c r="B25" s="400" t="s">
        <v>889</v>
      </c>
      <c r="C25" s="401" t="s">
        <v>890</v>
      </c>
      <c r="D25" s="416">
        <v>500000</v>
      </c>
      <c r="E25" s="234" t="s">
        <v>891</v>
      </c>
    </row>
    <row r="28" spans="2:8" x14ac:dyDescent="0.35">
      <c r="B28" s="378" t="s">
        <v>893</v>
      </c>
    </row>
    <row r="29" spans="2:8" x14ac:dyDescent="0.35">
      <c r="H29" t="s">
        <v>906</v>
      </c>
    </row>
    <row r="30" spans="2:8" x14ac:dyDescent="0.35">
      <c r="B30" s="404" t="s">
        <v>894</v>
      </c>
      <c r="C30" s="403" t="s">
        <v>897</v>
      </c>
      <c r="D30" s="403" t="s">
        <v>809</v>
      </c>
      <c r="E30" s="407" t="s">
        <v>52</v>
      </c>
      <c r="F30" s="407" t="s">
        <v>56</v>
      </c>
      <c r="G30" s="404" t="s">
        <v>895</v>
      </c>
      <c r="H30" s="404" t="s">
        <v>896</v>
      </c>
    </row>
    <row r="31" spans="2:8" x14ac:dyDescent="0.35">
      <c r="B31" s="411" t="s">
        <v>899</v>
      </c>
      <c r="C31" s="24">
        <v>2024</v>
      </c>
      <c r="D31" s="412">
        <v>107676.2</v>
      </c>
      <c r="E31" s="412">
        <v>52388.1</v>
      </c>
      <c r="F31" s="412">
        <v>18170.66</v>
      </c>
      <c r="G31" s="413">
        <f t="shared" ref="G31:G37" si="1">E31/D31</f>
        <v>0.48653370011200248</v>
      </c>
      <c r="H31" s="413">
        <f t="shared" ref="H31:H37" si="2">F31/D31</f>
        <v>0.16875279773989052</v>
      </c>
    </row>
    <row r="32" spans="2:8" x14ac:dyDescent="0.35">
      <c r="B32" s="411" t="s">
        <v>900</v>
      </c>
      <c r="C32" s="24">
        <v>2024</v>
      </c>
      <c r="D32" s="412">
        <v>31269.919999999998</v>
      </c>
      <c r="E32" s="412">
        <v>9516</v>
      </c>
      <c r="F32" s="414">
        <v>4736.3999999999996</v>
      </c>
      <c r="G32" s="413">
        <f t="shared" si="1"/>
        <v>0.3043180155241843</v>
      </c>
      <c r="H32" s="413">
        <f t="shared" si="2"/>
        <v>0.15146824807994391</v>
      </c>
    </row>
    <row r="33" spans="2:8" x14ac:dyDescent="0.35">
      <c r="B33" s="411" t="s">
        <v>901</v>
      </c>
      <c r="C33" s="24">
        <v>2024</v>
      </c>
      <c r="D33" s="412">
        <v>6512.59</v>
      </c>
      <c r="E33" s="405">
        <f>2542.54+487+104.62</f>
        <v>3134.16</v>
      </c>
      <c r="F33" s="414">
        <v>2054.19</v>
      </c>
      <c r="G33" s="413">
        <f t="shared" si="1"/>
        <v>0.48124632442699444</v>
      </c>
      <c r="H33" s="413">
        <f t="shared" si="2"/>
        <v>0.31541828980482417</v>
      </c>
    </row>
    <row r="34" spans="2:8" x14ac:dyDescent="0.35">
      <c r="B34" s="411" t="s">
        <v>902</v>
      </c>
      <c r="C34" s="24">
        <v>2024</v>
      </c>
      <c r="D34" s="405">
        <v>7215.36</v>
      </c>
      <c r="E34" s="406">
        <v>1623.17</v>
      </c>
      <c r="F34" s="406">
        <v>1030.49</v>
      </c>
      <c r="G34" s="413">
        <f t="shared" si="1"/>
        <v>0.22496036233812314</v>
      </c>
      <c r="H34" s="413">
        <f t="shared" si="2"/>
        <v>0.14281893072556326</v>
      </c>
    </row>
    <row r="35" spans="2:8" x14ac:dyDescent="0.35">
      <c r="B35" s="411" t="s">
        <v>903</v>
      </c>
      <c r="C35" s="24">
        <v>2024</v>
      </c>
      <c r="D35" s="405">
        <v>4359.04</v>
      </c>
      <c r="E35" s="406">
        <v>1182.8399999999999</v>
      </c>
      <c r="F35" s="406">
        <v>240.22</v>
      </c>
      <c r="G35" s="413">
        <f t="shared" si="1"/>
        <v>0.27135332550286301</v>
      </c>
      <c r="H35" s="413">
        <f t="shared" si="2"/>
        <v>5.5108464249008955E-2</v>
      </c>
    </row>
    <row r="36" spans="2:8" x14ac:dyDescent="0.35">
      <c r="B36" s="411" t="s">
        <v>904</v>
      </c>
      <c r="C36" s="24">
        <v>2024</v>
      </c>
      <c r="D36" s="405">
        <v>622.09</v>
      </c>
      <c r="E36" s="406">
        <f>22.17+23.96+65.62</f>
        <v>111.75</v>
      </c>
      <c r="F36" s="406">
        <v>14.05</v>
      </c>
      <c r="G36" s="413">
        <f t="shared" si="1"/>
        <v>0.17963638701795559</v>
      </c>
      <c r="H36" s="413">
        <f t="shared" si="2"/>
        <v>2.2585156488610973E-2</v>
      </c>
    </row>
    <row r="37" spans="2:8" x14ac:dyDescent="0.35">
      <c r="B37" s="411" t="s">
        <v>905</v>
      </c>
      <c r="C37" s="24">
        <v>2024</v>
      </c>
      <c r="D37" s="405">
        <v>770.13</v>
      </c>
      <c r="E37" s="406">
        <f>45.6+24.22</f>
        <v>69.819999999999993</v>
      </c>
      <c r="F37" s="406">
        <v>49.02</v>
      </c>
      <c r="G37" s="413">
        <f t="shared" si="1"/>
        <v>9.0660018438445455E-2</v>
      </c>
      <c r="H37" s="413">
        <f t="shared" si="2"/>
        <v>6.3651591289782247E-2</v>
      </c>
    </row>
    <row r="38" spans="2:8" x14ac:dyDescent="0.35">
      <c r="B38" s="443" t="s">
        <v>907</v>
      </c>
      <c r="C38" s="443"/>
      <c r="D38" s="443"/>
      <c r="E38" s="443"/>
      <c r="F38" s="443"/>
      <c r="G38" s="415">
        <f>AVERAGE(G31:G37)</f>
        <v>0.29124401905150982</v>
      </c>
      <c r="H38" s="415">
        <f>AVERAGE(H31:H37)</f>
        <v>0.13140049691108915</v>
      </c>
    </row>
    <row r="39" spans="2:8" x14ac:dyDescent="0.35">
      <c r="B39" s="443" t="s">
        <v>723</v>
      </c>
      <c r="C39" s="443"/>
      <c r="D39" s="443"/>
      <c r="E39" s="443"/>
      <c r="F39" s="443"/>
      <c r="G39" s="415">
        <f>AVERAGE(G32:G38)</f>
        <v>0.26334549318572509</v>
      </c>
      <c r="H39" s="415">
        <f>AVERAGE(H32:H38)</f>
        <v>0.12606445393554608</v>
      </c>
    </row>
    <row r="40" spans="2:8" x14ac:dyDescent="0.35">
      <c r="B40" s="444" t="s">
        <v>909</v>
      </c>
      <c r="C40" s="445"/>
      <c r="D40" s="445"/>
      <c r="E40" s="445"/>
      <c r="F40" s="446"/>
      <c r="G40" s="415">
        <f>MIN(G31:G37)</f>
        <v>9.0660018438445455E-2</v>
      </c>
      <c r="H40" s="415">
        <f>MIN(H31:H37)</f>
        <v>2.2585156488610973E-2</v>
      </c>
    </row>
    <row r="41" spans="2:8" x14ac:dyDescent="0.35">
      <c r="B41" s="444" t="s">
        <v>910</v>
      </c>
      <c r="C41" s="445"/>
      <c r="D41" s="445"/>
      <c r="E41" s="445"/>
      <c r="F41" s="446"/>
      <c r="G41" s="415">
        <f>MAX(G31:G37)</f>
        <v>0.48653370011200248</v>
      </c>
      <c r="H41" s="415">
        <f>MAX(H31:H37)</f>
        <v>0.31541828980482417</v>
      </c>
    </row>
    <row r="42" spans="2:8" x14ac:dyDescent="0.35">
      <c r="B42" s="443" t="s">
        <v>908</v>
      </c>
      <c r="C42" s="443"/>
      <c r="D42" s="443"/>
      <c r="E42" s="443"/>
      <c r="F42" s="443"/>
      <c r="G42" s="415">
        <f>AVERAGE('P &amp; L'!F48:P48)</f>
        <v>0.37941679801914441</v>
      </c>
      <c r="H42" s="415">
        <f>AVERAGE('P &amp; L'!F52:P52)</f>
        <v>0.17254137803380287</v>
      </c>
    </row>
  </sheetData>
  <customSheetViews>
    <customSheetView guid="{22475485-DA09-46DB-978D-BB94CE1E5597}">
      <selection activeCell="C4" sqref="C4"/>
      <pageMargins left="0.7" right="0.7" top="0.75" bottom="0.75" header="0.3" footer="0.3"/>
      <pageSetup paperSize="9" orientation="landscape" r:id="rId1"/>
    </customSheetView>
  </customSheetViews>
  <mergeCells count="5">
    <mergeCell ref="B38:F38"/>
    <mergeCell ref="B39:F39"/>
    <mergeCell ref="B42:F42"/>
    <mergeCell ref="B40:F40"/>
    <mergeCell ref="B41:F41"/>
  </mergeCell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45"/>
  <sheetViews>
    <sheetView topLeftCell="A124" workbookViewId="0">
      <selection activeCell="C140" sqref="C140"/>
    </sheetView>
  </sheetViews>
  <sheetFormatPr defaultRowHeight="14.5" x14ac:dyDescent="0.35"/>
  <cols>
    <col min="1" max="1" width="5.1796875" customWidth="1"/>
    <col min="2" max="2" width="7.453125" customWidth="1"/>
    <col min="3" max="3" width="25.81640625" customWidth="1"/>
    <col min="4" max="4" width="10" bestFit="1" customWidth="1"/>
    <col min="6" max="6" width="11.26953125" customWidth="1"/>
    <col min="15" max="15" width="16.81640625" bestFit="1" customWidth="1"/>
    <col min="17" max="17" width="14.26953125" bestFit="1" customWidth="1"/>
  </cols>
  <sheetData>
    <row r="2" spans="2:17" x14ac:dyDescent="0.35">
      <c r="B2" t="s">
        <v>623</v>
      </c>
    </row>
    <row r="4" spans="2:17" x14ac:dyDescent="0.35">
      <c r="B4" t="s">
        <v>624</v>
      </c>
    </row>
    <row r="6" spans="2:17" ht="15" thickBot="1" x14ac:dyDescent="0.4">
      <c r="B6" t="s">
        <v>625</v>
      </c>
    </row>
    <row r="7" spans="2:17" x14ac:dyDescent="0.35">
      <c r="B7" t="s">
        <v>626</v>
      </c>
      <c r="O7" s="447" t="s">
        <v>630</v>
      </c>
      <c r="P7" s="448"/>
      <c r="Q7" s="449"/>
    </row>
    <row r="8" spans="2:17" x14ac:dyDescent="0.35">
      <c r="O8" s="222"/>
      <c r="Q8" s="223"/>
    </row>
    <row r="9" spans="2:17" x14ac:dyDescent="0.35">
      <c r="B9" t="s">
        <v>627</v>
      </c>
      <c r="O9" s="224">
        <f>26*10^7</f>
        <v>260000000</v>
      </c>
      <c r="P9" s="219"/>
      <c r="Q9" s="225">
        <f>O9/O10</f>
        <v>32500000</v>
      </c>
    </row>
    <row r="10" spans="2:17" x14ac:dyDescent="0.35">
      <c r="O10" s="226">
        <v>8</v>
      </c>
      <c r="P10" s="220"/>
      <c r="Q10" s="227"/>
    </row>
    <row r="11" spans="2:17" x14ac:dyDescent="0.35">
      <c r="B11" t="s">
        <v>628</v>
      </c>
      <c r="O11" s="222"/>
      <c r="Q11" s="223"/>
    </row>
    <row r="12" spans="2:17" x14ac:dyDescent="0.35">
      <c r="O12" s="228">
        <f>32*10^7</f>
        <v>320000000</v>
      </c>
      <c r="P12" s="219"/>
      <c r="Q12" s="229">
        <f>O12/O13</f>
        <v>64000000</v>
      </c>
    </row>
    <row r="13" spans="2:17" x14ac:dyDescent="0.35">
      <c r="B13" t="s">
        <v>629</v>
      </c>
      <c r="O13" s="226">
        <v>5</v>
      </c>
      <c r="P13" s="220"/>
      <c r="Q13" s="227"/>
    </row>
    <row r="14" spans="2:17" x14ac:dyDescent="0.35">
      <c r="O14" s="222"/>
      <c r="Q14" s="223"/>
    </row>
    <row r="15" spans="2:17" x14ac:dyDescent="0.35">
      <c r="B15" t="s">
        <v>643</v>
      </c>
      <c r="O15" s="228">
        <f>150*10^7</f>
        <v>1500000000</v>
      </c>
      <c r="P15" s="219"/>
      <c r="Q15" s="229">
        <f>O15/O16</f>
        <v>83333333.333333328</v>
      </c>
    </row>
    <row r="16" spans="2:17" x14ac:dyDescent="0.35">
      <c r="O16" s="226">
        <v>18</v>
      </c>
      <c r="P16" s="220"/>
      <c r="Q16" s="227"/>
    </row>
    <row r="17" spans="2:17" x14ac:dyDescent="0.35">
      <c r="B17" t="s">
        <v>644</v>
      </c>
      <c r="O17" s="222"/>
      <c r="Q17" s="223"/>
    </row>
    <row r="18" spans="2:17" x14ac:dyDescent="0.35">
      <c r="O18" s="224">
        <f>230*10^7</f>
        <v>2300000000</v>
      </c>
      <c r="P18" s="219"/>
      <c r="Q18" s="229">
        <f>O18/O19</f>
        <v>69696969.696969703</v>
      </c>
    </row>
    <row r="19" spans="2:17" ht="15" thickBot="1" x14ac:dyDescent="0.4">
      <c r="C19" t="s">
        <v>684</v>
      </c>
      <c r="O19" s="230">
        <v>33</v>
      </c>
      <c r="P19" s="231"/>
      <c r="Q19" s="232"/>
    </row>
    <row r="21" spans="2:17" x14ac:dyDescent="0.35">
      <c r="C21" t="s">
        <v>685</v>
      </c>
    </row>
    <row r="22" spans="2:17" x14ac:dyDescent="0.35">
      <c r="C22" s="221" t="s">
        <v>631</v>
      </c>
      <c r="D22" s="221"/>
      <c r="E22" s="221"/>
      <c r="F22" s="221"/>
    </row>
    <row r="23" spans="2:17" x14ac:dyDescent="0.35">
      <c r="D23" s="450" t="s">
        <v>632</v>
      </c>
      <c r="E23" s="450"/>
      <c r="F23" t="s">
        <v>636</v>
      </c>
    </row>
    <row r="24" spans="2:17" x14ac:dyDescent="0.35">
      <c r="C24" t="s">
        <v>634</v>
      </c>
      <c r="D24" s="235">
        <v>22267</v>
      </c>
      <c r="E24" s="234" t="s">
        <v>633</v>
      </c>
      <c r="F24" s="11">
        <v>5</v>
      </c>
      <c r="G24" t="s">
        <v>637</v>
      </c>
    </row>
    <row r="25" spans="2:17" x14ac:dyDescent="0.35">
      <c r="C25" t="s">
        <v>635</v>
      </c>
      <c r="D25" s="233">
        <v>22540</v>
      </c>
      <c r="E25" s="11" t="s">
        <v>633</v>
      </c>
    </row>
    <row r="27" spans="2:17" x14ac:dyDescent="0.35">
      <c r="C27" s="236" t="s">
        <v>638</v>
      </c>
      <c r="D27" s="450" t="s">
        <v>639</v>
      </c>
      <c r="E27" s="450"/>
      <c r="F27" s="234" t="s">
        <v>640</v>
      </c>
    </row>
    <row r="29" spans="2:17" ht="130.5" x14ac:dyDescent="0.35">
      <c r="C29" s="238" t="s">
        <v>646</v>
      </c>
      <c r="D29" s="234">
        <v>4000</v>
      </c>
      <c r="E29" s="234" t="s">
        <v>633</v>
      </c>
      <c r="F29" s="234">
        <v>50</v>
      </c>
      <c r="G29" s="234" t="s">
        <v>645</v>
      </c>
    </row>
    <row r="31" spans="2:17" x14ac:dyDescent="0.35">
      <c r="D31">
        <v>50</v>
      </c>
      <c r="E31">
        <v>4000</v>
      </c>
    </row>
    <row r="32" spans="2:17" x14ac:dyDescent="0.35">
      <c r="D32">
        <v>1</v>
      </c>
      <c r="E32">
        <f>E31/D31</f>
        <v>80</v>
      </c>
    </row>
    <row r="33" spans="3:5" x14ac:dyDescent="0.35">
      <c r="D33">
        <v>700</v>
      </c>
      <c r="E33">
        <f>D33*E32</f>
        <v>56000</v>
      </c>
    </row>
    <row r="41" spans="3:5" x14ac:dyDescent="0.35">
      <c r="C41" t="s">
        <v>674</v>
      </c>
    </row>
    <row r="43" spans="3:5" x14ac:dyDescent="0.35">
      <c r="C43" t="s">
        <v>642</v>
      </c>
    </row>
    <row r="44" spans="3:5" x14ac:dyDescent="0.35">
      <c r="C44" t="s">
        <v>649</v>
      </c>
    </row>
    <row r="46" spans="3:5" x14ac:dyDescent="0.35">
      <c r="C46" t="s">
        <v>647</v>
      </c>
    </row>
    <row r="47" spans="3:5" x14ac:dyDescent="0.35">
      <c r="C47" t="s">
        <v>650</v>
      </c>
    </row>
    <row r="48" spans="3:5" x14ac:dyDescent="0.35">
      <c r="C48" t="s">
        <v>648</v>
      </c>
    </row>
    <row r="49" spans="3:3" x14ac:dyDescent="0.35">
      <c r="C49" t="s">
        <v>651</v>
      </c>
    </row>
    <row r="50" spans="3:3" x14ac:dyDescent="0.35">
      <c r="C50" t="s">
        <v>652</v>
      </c>
    </row>
    <row r="53" spans="3:3" x14ac:dyDescent="0.35">
      <c r="C53" t="s">
        <v>657</v>
      </c>
    </row>
    <row r="54" spans="3:3" x14ac:dyDescent="0.35">
      <c r="C54" t="s">
        <v>659</v>
      </c>
    </row>
    <row r="55" spans="3:3" x14ac:dyDescent="0.35">
      <c r="C55" t="s">
        <v>653</v>
      </c>
    </row>
    <row r="57" spans="3:3" x14ac:dyDescent="0.35">
      <c r="C57" t="s">
        <v>654</v>
      </c>
    </row>
    <row r="59" spans="3:3" x14ac:dyDescent="0.35">
      <c r="C59" t="s">
        <v>655</v>
      </c>
    </row>
    <row r="60" spans="3:3" x14ac:dyDescent="0.35">
      <c r="C60" t="s">
        <v>656</v>
      </c>
    </row>
    <row r="62" spans="3:3" x14ac:dyDescent="0.35">
      <c r="C62" t="s">
        <v>658</v>
      </c>
    </row>
    <row r="64" spans="3:3" x14ac:dyDescent="0.35">
      <c r="C64" t="s">
        <v>686</v>
      </c>
    </row>
    <row r="66" spans="3:4" x14ac:dyDescent="0.35">
      <c r="C66" t="s">
        <v>660</v>
      </c>
    </row>
    <row r="67" spans="3:4" x14ac:dyDescent="0.35">
      <c r="C67" t="s">
        <v>661</v>
      </c>
    </row>
    <row r="69" spans="3:4" x14ac:dyDescent="0.35">
      <c r="C69" t="s">
        <v>663</v>
      </c>
    </row>
    <row r="70" spans="3:4" x14ac:dyDescent="0.35">
      <c r="C70" t="s">
        <v>662</v>
      </c>
    </row>
    <row r="73" spans="3:4" x14ac:dyDescent="0.35">
      <c r="C73" t="s">
        <v>664</v>
      </c>
    </row>
    <row r="75" spans="3:4" x14ac:dyDescent="0.35">
      <c r="C75" t="s">
        <v>665</v>
      </c>
    </row>
    <row r="77" spans="3:4" x14ac:dyDescent="0.35">
      <c r="C77" t="s">
        <v>666</v>
      </c>
    </row>
    <row r="78" spans="3:4" x14ac:dyDescent="0.35">
      <c r="C78" t="s">
        <v>667</v>
      </c>
    </row>
    <row r="79" spans="3:4" x14ac:dyDescent="0.35">
      <c r="C79">
        <v>9626875</v>
      </c>
      <c r="D79">
        <v>9626874</v>
      </c>
    </row>
    <row r="80" spans="3:4" x14ac:dyDescent="0.35">
      <c r="C80" t="s">
        <v>662</v>
      </c>
    </row>
    <row r="82" spans="3:3" x14ac:dyDescent="0.35">
      <c r="C82" t="s">
        <v>668</v>
      </c>
    </row>
    <row r="85" spans="3:3" x14ac:dyDescent="0.35">
      <c r="C85" t="s">
        <v>669</v>
      </c>
    </row>
    <row r="86" spans="3:3" x14ac:dyDescent="0.35">
      <c r="C86" t="s">
        <v>670</v>
      </c>
    </row>
    <row r="88" spans="3:3" x14ac:dyDescent="0.35">
      <c r="C88" t="s">
        <v>667</v>
      </c>
    </row>
    <row r="89" spans="3:3" x14ac:dyDescent="0.35">
      <c r="C89" t="s">
        <v>671</v>
      </c>
    </row>
    <row r="91" spans="3:3" x14ac:dyDescent="0.35">
      <c r="C91" t="s">
        <v>672</v>
      </c>
    </row>
    <row r="92" spans="3:3" x14ac:dyDescent="0.35">
      <c r="C92" t="s">
        <v>673</v>
      </c>
    </row>
    <row r="94" spans="3:3" x14ac:dyDescent="0.35">
      <c r="C94" t="s">
        <v>683</v>
      </c>
    </row>
    <row r="95" spans="3:3" x14ac:dyDescent="0.35">
      <c r="C95" t="s">
        <v>681</v>
      </c>
    </row>
    <row r="96" spans="3:3" x14ac:dyDescent="0.35">
      <c r="C96" t="s">
        <v>675</v>
      </c>
    </row>
    <row r="97" spans="3:3" x14ac:dyDescent="0.35">
      <c r="C97" t="s">
        <v>676</v>
      </c>
    </row>
    <row r="99" spans="3:3" x14ac:dyDescent="0.35">
      <c r="C99" t="s">
        <v>677</v>
      </c>
    </row>
    <row r="100" spans="3:3" x14ac:dyDescent="0.35">
      <c r="C100" t="s">
        <v>682</v>
      </c>
    </row>
    <row r="101" spans="3:3" x14ac:dyDescent="0.35">
      <c r="C101" t="s">
        <v>678</v>
      </c>
    </row>
    <row r="102" spans="3:3" x14ac:dyDescent="0.35">
      <c r="C102" s="239" t="s">
        <v>679</v>
      </c>
    </row>
    <row r="103" spans="3:3" x14ac:dyDescent="0.35">
      <c r="C103" t="s">
        <v>680</v>
      </c>
    </row>
    <row r="107" spans="3:3" x14ac:dyDescent="0.35">
      <c r="C107" t="s">
        <v>690</v>
      </c>
    </row>
    <row r="110" spans="3:3" x14ac:dyDescent="0.35">
      <c r="C110" t="s">
        <v>689</v>
      </c>
    </row>
    <row r="111" spans="3:3" x14ac:dyDescent="0.35">
      <c r="C111" t="s">
        <v>691</v>
      </c>
    </row>
    <row r="114" spans="3:3" x14ac:dyDescent="0.35">
      <c r="C114" t="s">
        <v>692</v>
      </c>
    </row>
    <row r="120" spans="3:3" x14ac:dyDescent="0.35">
      <c r="C120" t="s">
        <v>693</v>
      </c>
    </row>
    <row r="122" spans="3:3" x14ac:dyDescent="0.35">
      <c r="C122" t="s">
        <v>694</v>
      </c>
    </row>
    <row r="126" spans="3:3" x14ac:dyDescent="0.35">
      <c r="C126" t="s">
        <v>698</v>
      </c>
    </row>
    <row r="127" spans="3:3" x14ac:dyDescent="0.35">
      <c r="C127" s="239" t="s">
        <v>697</v>
      </c>
    </row>
    <row r="128" spans="3:3" x14ac:dyDescent="0.35">
      <c r="C128" t="s">
        <v>696</v>
      </c>
    </row>
    <row r="130" spans="3:3" x14ac:dyDescent="0.35">
      <c r="C130" t="s">
        <v>695</v>
      </c>
    </row>
    <row r="131" spans="3:3" x14ac:dyDescent="0.35">
      <c r="C131" t="s">
        <v>701</v>
      </c>
    </row>
    <row r="132" spans="3:3" x14ac:dyDescent="0.35">
      <c r="C132" t="s">
        <v>700</v>
      </c>
    </row>
    <row r="133" spans="3:3" x14ac:dyDescent="0.35">
      <c r="C133" s="239" t="s">
        <v>699</v>
      </c>
    </row>
    <row r="134" spans="3:3" x14ac:dyDescent="0.35">
      <c r="C134" t="s">
        <v>702</v>
      </c>
    </row>
    <row r="136" spans="3:3" x14ac:dyDescent="0.35">
      <c r="C136" t="s">
        <v>706</v>
      </c>
    </row>
    <row r="138" spans="3:3" x14ac:dyDescent="0.35">
      <c r="C138" t="s">
        <v>703</v>
      </c>
    </row>
    <row r="140" spans="3:3" x14ac:dyDescent="0.35">
      <c r="C140" t="s">
        <v>707</v>
      </c>
    </row>
    <row r="142" spans="3:3" x14ac:dyDescent="0.35">
      <c r="C142" t="s">
        <v>704</v>
      </c>
    </row>
    <row r="145" spans="3:3" ht="409.5" x14ac:dyDescent="0.35">
      <c r="C145" s="244" t="s">
        <v>705</v>
      </c>
    </row>
  </sheetData>
  <mergeCells count="3">
    <mergeCell ref="O7:Q7"/>
    <mergeCell ref="D23:E23"/>
    <mergeCell ref="D27:E27"/>
  </mergeCells>
  <hyperlinks>
    <hyperlink ref="C29" r:id="rId1" location=":~:text=Feedstock%20storage,compartments%20and%20other%20auxiliary%20machinery." xr:uid="{00000000-0004-0000-0400-000000000000}"/>
    <hyperlink ref="C102" r:id="rId2" xr:uid="{00000000-0004-0000-0400-000001000000}"/>
    <hyperlink ref="C127" r:id="rId3" xr:uid="{00000000-0004-0000-0400-000002000000}"/>
    <hyperlink ref="C133" r:id="rId4" xr:uid="{00000000-0004-0000-0400-000003000000}"/>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sheetPr>
  <dimension ref="A1:P55"/>
  <sheetViews>
    <sheetView showGridLines="0" workbookViewId="0">
      <pane xSplit="2" ySplit="5" topLeftCell="D47" activePane="bottomRight" state="frozen"/>
      <selection activeCell="A2" sqref="A2"/>
      <selection pane="topRight" activeCell="B2" sqref="B2"/>
      <selection pane="bottomLeft" activeCell="A5" sqref="A5"/>
      <selection pane="bottomRight" activeCell="D49" sqref="D49:P49"/>
    </sheetView>
  </sheetViews>
  <sheetFormatPr defaultColWidth="32.26953125" defaultRowHeight="14.5" x14ac:dyDescent="0.35"/>
  <cols>
    <col min="1" max="1" width="4.81640625" style="96" customWidth="1"/>
    <col min="2" max="2" width="36.7265625" style="117" customWidth="1"/>
    <col min="3" max="3" width="8.453125" style="96" hidden="1" customWidth="1"/>
    <col min="4" max="16" width="11.7265625" style="96" customWidth="1"/>
    <col min="17" max="16384" width="32.26953125" style="96"/>
  </cols>
  <sheetData>
    <row r="1" spans="1:16" hidden="1" x14ac:dyDescent="0.35">
      <c r="B1" s="117">
        <v>100000</v>
      </c>
    </row>
    <row r="2" spans="1:16" x14ac:dyDescent="0.35">
      <c r="F2" s="96" t="s">
        <v>829</v>
      </c>
    </row>
    <row r="3" spans="1:16" s="97" customFormat="1" ht="19.5" customHeight="1" x14ac:dyDescent="0.35">
      <c r="B3" s="138" t="s">
        <v>184</v>
      </c>
      <c r="C3" s="138"/>
      <c r="D3" s="138"/>
      <c r="E3" s="138"/>
      <c r="F3" s="138"/>
      <c r="G3" s="138"/>
      <c r="H3" s="138"/>
      <c r="I3" s="138"/>
      <c r="J3" s="138"/>
      <c r="K3" s="138"/>
      <c r="L3" s="138"/>
      <c r="M3" s="138"/>
      <c r="N3" s="138"/>
      <c r="O3" s="138"/>
      <c r="P3" s="138"/>
    </row>
    <row r="4" spans="1:16" s="97" customFormat="1" ht="18.75" customHeight="1" x14ac:dyDescent="0.35">
      <c r="B4" s="118" t="s">
        <v>513</v>
      </c>
      <c r="C4" s="93">
        <v>0</v>
      </c>
      <c r="D4" s="93">
        <v>0</v>
      </c>
      <c r="E4" s="93">
        <v>0</v>
      </c>
      <c r="F4" s="93">
        <v>12</v>
      </c>
      <c r="G4" s="93">
        <v>12</v>
      </c>
      <c r="H4" s="93">
        <v>12</v>
      </c>
      <c r="I4" s="93">
        <v>12</v>
      </c>
      <c r="J4" s="93">
        <v>12</v>
      </c>
      <c r="K4" s="93">
        <v>12</v>
      </c>
      <c r="L4" s="93">
        <v>12</v>
      </c>
      <c r="M4" s="93">
        <v>12</v>
      </c>
      <c r="N4" s="93">
        <v>12</v>
      </c>
      <c r="O4" s="93">
        <v>12</v>
      </c>
      <c r="P4" s="93">
        <v>12</v>
      </c>
    </row>
    <row r="5" spans="1:16" s="58" customFormat="1" ht="19.5" customHeight="1" x14ac:dyDescent="0.35">
      <c r="B5" s="120" t="s">
        <v>11</v>
      </c>
      <c r="C5" s="121"/>
      <c r="D5" s="121">
        <v>2025</v>
      </c>
      <c r="E5" s="121">
        <f>D5+1</f>
        <v>2026</v>
      </c>
      <c r="F5" s="121">
        <f t="shared" ref="F5:J5" si="0">E5+1</f>
        <v>2027</v>
      </c>
      <c r="G5" s="121">
        <f t="shared" si="0"/>
        <v>2028</v>
      </c>
      <c r="H5" s="121">
        <f t="shared" si="0"/>
        <v>2029</v>
      </c>
      <c r="I5" s="121">
        <f t="shared" si="0"/>
        <v>2030</v>
      </c>
      <c r="J5" s="121">
        <f t="shared" si="0"/>
        <v>2031</v>
      </c>
      <c r="K5" s="121">
        <f>J5+1</f>
        <v>2032</v>
      </c>
      <c r="L5" s="121">
        <f>K5+1</f>
        <v>2033</v>
      </c>
      <c r="M5" s="121">
        <f t="shared" ref="M5:N5" si="1">L5+1</f>
        <v>2034</v>
      </c>
      <c r="N5" s="121">
        <f t="shared" si="1"/>
        <v>2035</v>
      </c>
      <c r="O5" s="121">
        <f t="shared" ref="O5:P5" si="2">N5+1</f>
        <v>2036</v>
      </c>
      <c r="P5" s="121">
        <f t="shared" si="2"/>
        <v>2037</v>
      </c>
    </row>
    <row r="6" spans="1:16" s="97" customFormat="1" ht="21" customHeight="1" x14ac:dyDescent="0.35">
      <c r="B6" s="329" t="s">
        <v>825</v>
      </c>
      <c r="C6" s="98"/>
      <c r="D6" s="100">
        <v>0</v>
      </c>
      <c r="E6" s="100">
        <v>0</v>
      </c>
      <c r="F6" s="100">
        <v>1</v>
      </c>
      <c r="G6" s="100">
        <f>(F6*1.08)</f>
        <v>1.08</v>
      </c>
      <c r="H6" s="100">
        <f t="shared" ref="H6:K6" si="3">(G6*1.08)</f>
        <v>1.1664000000000001</v>
      </c>
      <c r="I6" s="100">
        <f t="shared" si="3"/>
        <v>1.2597120000000002</v>
      </c>
      <c r="J6" s="100">
        <f t="shared" si="3"/>
        <v>1.3604889600000003</v>
      </c>
      <c r="K6" s="100">
        <f t="shared" si="3"/>
        <v>1.4693280768000003</v>
      </c>
      <c r="L6" s="100">
        <f t="shared" ref="L6:N6" si="4">(K6*1.08)</f>
        <v>1.5868743229440005</v>
      </c>
      <c r="M6" s="100">
        <f t="shared" si="4"/>
        <v>1.7138242687795207</v>
      </c>
      <c r="N6" s="100">
        <f t="shared" si="4"/>
        <v>1.8509302102818825</v>
      </c>
      <c r="O6" s="100">
        <f t="shared" ref="O6:P6" si="5">(N6*1.08)</f>
        <v>1.9990046271044333</v>
      </c>
      <c r="P6" s="100">
        <f t="shared" si="5"/>
        <v>2.1589249972727882</v>
      </c>
    </row>
    <row r="7" spans="1:16" s="97" customFormat="1" ht="21" customHeight="1" x14ac:dyDescent="0.35">
      <c r="B7" s="51" t="s">
        <v>822</v>
      </c>
      <c r="C7" s="98"/>
      <c r="D7" s="186">
        <v>0</v>
      </c>
      <c r="E7" s="186">
        <v>0</v>
      </c>
      <c r="F7" s="186">
        <f>Assump!H9/A</f>
        <v>279</v>
      </c>
      <c r="G7" s="186">
        <f>$F7*G$6*G$4/12</f>
        <v>301.32</v>
      </c>
      <c r="H7" s="186">
        <f t="shared" ref="H7:P9" si="6">$F7*H$6*H$4/12</f>
        <v>325.42560000000003</v>
      </c>
      <c r="I7" s="186">
        <f t="shared" si="6"/>
        <v>351.45964800000007</v>
      </c>
      <c r="J7" s="186">
        <f t="shared" si="6"/>
        <v>379.57641984000003</v>
      </c>
      <c r="K7" s="186">
        <f t="shared" si="6"/>
        <v>409.94253342720009</v>
      </c>
      <c r="L7" s="186">
        <f t="shared" si="6"/>
        <v>442.73793610137614</v>
      </c>
      <c r="M7" s="186">
        <f t="shared" si="6"/>
        <v>478.1569709894863</v>
      </c>
      <c r="N7" s="186">
        <f t="shared" si="6"/>
        <v>516.40952866864518</v>
      </c>
      <c r="O7" s="186">
        <f t="shared" si="6"/>
        <v>557.72229096213687</v>
      </c>
      <c r="P7" s="186">
        <f t="shared" si="6"/>
        <v>602.34007423910793</v>
      </c>
    </row>
    <row r="8" spans="1:16" s="97" customFormat="1" ht="21" customHeight="1" x14ac:dyDescent="0.35">
      <c r="B8" s="51" t="s">
        <v>823</v>
      </c>
      <c r="C8" s="98"/>
      <c r="D8" s="186">
        <v>0</v>
      </c>
      <c r="E8" s="186">
        <v>0</v>
      </c>
      <c r="F8" s="186">
        <f>Assump!H12/A</f>
        <v>350.72500000000002</v>
      </c>
      <c r="G8" s="186">
        <f t="shared" ref="G8:G9" si="7">$F8*G$6*G$4/12</f>
        <v>378.78300000000007</v>
      </c>
      <c r="H8" s="186">
        <f t="shared" si="6"/>
        <v>409.08564000000007</v>
      </c>
      <c r="I8" s="186">
        <f t="shared" si="6"/>
        <v>441.81249120000007</v>
      </c>
      <c r="J8" s="186">
        <f t="shared" si="6"/>
        <v>477.15749049600009</v>
      </c>
      <c r="K8" s="186">
        <f t="shared" si="6"/>
        <v>515.33008973568019</v>
      </c>
      <c r="L8" s="186">
        <f t="shared" si="6"/>
        <v>556.55649691453459</v>
      </c>
      <c r="M8" s="186">
        <f t="shared" si="6"/>
        <v>601.08101666769744</v>
      </c>
      <c r="N8" s="186">
        <f t="shared" si="6"/>
        <v>649.16749800111324</v>
      </c>
      <c r="O8" s="186">
        <f t="shared" si="6"/>
        <v>701.10089784120237</v>
      </c>
      <c r="P8" s="186">
        <f t="shared" si="6"/>
        <v>757.18896966849877</v>
      </c>
    </row>
    <row r="9" spans="1:16" s="97" customFormat="1" ht="21" customHeight="1" x14ac:dyDescent="0.35">
      <c r="B9" s="51" t="s">
        <v>824</v>
      </c>
      <c r="C9" s="98"/>
      <c r="D9" s="186">
        <v>0</v>
      </c>
      <c r="E9" s="186">
        <v>0</v>
      </c>
      <c r="F9" s="186">
        <f>Assump!H14/A</f>
        <v>187.2</v>
      </c>
      <c r="G9" s="186">
        <f t="shared" si="7"/>
        <v>202.17600000000002</v>
      </c>
      <c r="H9" s="186">
        <f t="shared" si="6"/>
        <v>218.35008000000002</v>
      </c>
      <c r="I9" s="186">
        <f t="shared" si="6"/>
        <v>235.8180864</v>
      </c>
      <c r="J9" s="186">
        <f t="shared" si="6"/>
        <v>254.68353331200004</v>
      </c>
      <c r="K9" s="186">
        <f t="shared" si="6"/>
        <v>275.05821597696007</v>
      </c>
      <c r="L9" s="186">
        <f t="shared" si="6"/>
        <v>297.06287325511687</v>
      </c>
      <c r="M9" s="186">
        <f t="shared" si="6"/>
        <v>320.82790311552623</v>
      </c>
      <c r="N9" s="186">
        <f t="shared" si="6"/>
        <v>346.4941353647684</v>
      </c>
      <c r="O9" s="186">
        <f t="shared" si="6"/>
        <v>374.2136661939499</v>
      </c>
      <c r="P9" s="186">
        <f t="shared" si="6"/>
        <v>404.15075948946588</v>
      </c>
    </row>
    <row r="10" spans="1:16" s="97" customFormat="1" ht="18" customHeight="1" x14ac:dyDescent="0.35">
      <c r="A10" s="237">
        <v>0</v>
      </c>
      <c r="B10" s="122" t="s">
        <v>48</v>
      </c>
      <c r="C10" s="123"/>
      <c r="D10" s="286">
        <f>SUM(D7:D9)*(1-$A$10)</f>
        <v>0</v>
      </c>
      <c r="E10" s="286">
        <f t="shared" ref="E10:K10" si="8">SUM(E7:E9)*(1-$A$10)</f>
        <v>0</v>
      </c>
      <c r="F10" s="286">
        <f t="shared" si="8"/>
        <v>816.92499999999995</v>
      </c>
      <c r="G10" s="286">
        <f t="shared" si="8"/>
        <v>882.27900000000011</v>
      </c>
      <c r="H10" s="286">
        <f t="shared" si="8"/>
        <v>952.86132000000009</v>
      </c>
      <c r="I10" s="286">
        <f t="shared" si="8"/>
        <v>1029.0902256000002</v>
      </c>
      <c r="J10" s="286">
        <f t="shared" si="8"/>
        <v>1111.4174436480002</v>
      </c>
      <c r="K10" s="286">
        <f t="shared" si="8"/>
        <v>1200.3308391398405</v>
      </c>
      <c r="L10" s="286">
        <f t="shared" ref="L10:N10" si="9">SUM(L7:L9)*(1-$A$10)</f>
        <v>1296.3573062710275</v>
      </c>
      <c r="M10" s="286">
        <f t="shared" si="9"/>
        <v>1400.06589077271</v>
      </c>
      <c r="N10" s="286">
        <f t="shared" si="9"/>
        <v>1512.0711620345269</v>
      </c>
      <c r="O10" s="286">
        <f t="shared" ref="O10:P10" si="10">SUM(O7:O9)*(1-$A$10)</f>
        <v>1633.0368549972891</v>
      </c>
      <c r="P10" s="286">
        <f t="shared" si="10"/>
        <v>1763.6798033970724</v>
      </c>
    </row>
    <row r="11" spans="1:16" s="97" customFormat="1" ht="21" customHeight="1" x14ac:dyDescent="0.35">
      <c r="B11" s="107" t="s">
        <v>835</v>
      </c>
      <c r="C11" s="98"/>
      <c r="D11" s="186"/>
      <c r="E11" s="186"/>
      <c r="F11" s="186"/>
      <c r="G11" s="186"/>
      <c r="H11" s="186"/>
      <c r="I11" s="186"/>
      <c r="J11" s="186"/>
      <c r="K11" s="186"/>
      <c r="L11" s="186"/>
      <c r="M11" s="186"/>
      <c r="N11" s="186"/>
      <c r="O11" s="186"/>
      <c r="P11" s="186"/>
    </row>
    <row r="12" spans="1:16" s="97" customFormat="1" ht="21" customHeight="1" x14ac:dyDescent="0.35">
      <c r="B12" s="51" t="s">
        <v>826</v>
      </c>
      <c r="C12" s="98"/>
      <c r="D12" s="186">
        <f>D10*Assump!$D$19</f>
        <v>0</v>
      </c>
      <c r="E12" s="186">
        <f>E10*Assump!$D$19</f>
        <v>0</v>
      </c>
      <c r="F12" s="186">
        <f>F10*Assump!$D$19</f>
        <v>163.38499999999999</v>
      </c>
      <c r="G12" s="186">
        <f>G10*Assump!$D$19</f>
        <v>176.45580000000004</v>
      </c>
      <c r="H12" s="186">
        <f>H10*Assump!$D$19</f>
        <v>190.57226400000002</v>
      </c>
      <c r="I12" s="186">
        <f>I10*Assump!$D$19</f>
        <v>205.81804512000005</v>
      </c>
      <c r="J12" s="186">
        <f>J10*Assump!$D$19</f>
        <v>222.28348872960007</v>
      </c>
      <c r="K12" s="186">
        <f>K10*Assump!$D$19</f>
        <v>240.06616782796812</v>
      </c>
      <c r="L12" s="186">
        <f>L10*Assump!$D$19</f>
        <v>259.27146125420552</v>
      </c>
      <c r="M12" s="186">
        <f>M10*Assump!$D$19</f>
        <v>280.013178154542</v>
      </c>
      <c r="N12" s="186">
        <f>N10*Assump!$D$19</f>
        <v>302.4142324069054</v>
      </c>
      <c r="O12" s="186">
        <f>O10*Assump!$D$19</f>
        <v>326.60737099945783</v>
      </c>
      <c r="P12" s="186">
        <f>P10*Assump!$D$19</f>
        <v>352.73596067941452</v>
      </c>
    </row>
    <row r="13" spans="1:16" s="97" customFormat="1" ht="21" customHeight="1" x14ac:dyDescent="0.35">
      <c r="B13" s="51" t="s">
        <v>827</v>
      </c>
      <c r="C13" s="98"/>
      <c r="D13" s="186">
        <f>D10*Assump!$D$20</f>
        <v>0</v>
      </c>
      <c r="E13" s="186">
        <f>E10*Assump!$D$20</f>
        <v>0</v>
      </c>
      <c r="F13" s="186">
        <f>F10*Assump!$D$20</f>
        <v>81.692499999999995</v>
      </c>
      <c r="G13" s="186">
        <f>G10*Assump!$D$20</f>
        <v>88.22790000000002</v>
      </c>
      <c r="H13" s="186">
        <f>H10*Assump!$D$20</f>
        <v>95.286132000000009</v>
      </c>
      <c r="I13" s="186">
        <f>I10*Assump!$D$20</f>
        <v>102.90902256000003</v>
      </c>
      <c r="J13" s="186">
        <f>J10*Assump!$D$20</f>
        <v>111.14174436480003</v>
      </c>
      <c r="K13" s="186">
        <f>K10*Assump!$D$20</f>
        <v>120.03308391398406</v>
      </c>
      <c r="L13" s="186">
        <f>L10*Assump!$D$20</f>
        <v>129.63573062710276</v>
      </c>
      <c r="M13" s="186">
        <f>M10*Assump!$D$20</f>
        <v>140.006589077271</v>
      </c>
      <c r="N13" s="186">
        <f>N10*Assump!$D$20</f>
        <v>151.2071162034527</v>
      </c>
      <c r="O13" s="186">
        <f>O10*Assump!$D$20</f>
        <v>163.30368549972891</v>
      </c>
      <c r="P13" s="186">
        <f>P10*Assump!$D$20</f>
        <v>176.36798033970726</v>
      </c>
    </row>
    <row r="14" spans="1:16" s="97" customFormat="1" ht="21" customHeight="1" x14ac:dyDescent="0.35">
      <c r="B14" s="51" t="s">
        <v>888</v>
      </c>
      <c r="C14" s="98"/>
      <c r="D14" s="186">
        <v>0</v>
      </c>
      <c r="E14" s="186">
        <v>0</v>
      </c>
      <c r="F14" s="186">
        <f>BS!E21*Assump!$D$23</f>
        <v>32.11718333333333</v>
      </c>
      <c r="G14" s="186">
        <f t="shared" ref="G14:P14" si="11">$F$14*G6</f>
        <v>34.686557999999998</v>
      </c>
      <c r="H14" s="186">
        <f t="shared" si="11"/>
        <v>37.46148264</v>
      </c>
      <c r="I14" s="186">
        <f t="shared" si="11"/>
        <v>40.458401251200002</v>
      </c>
      <c r="J14" s="186">
        <f t="shared" si="11"/>
        <v>43.695073351296003</v>
      </c>
      <c r="K14" s="186">
        <f t="shared" si="11"/>
        <v>47.190679219399684</v>
      </c>
      <c r="L14" s="186">
        <f t="shared" si="11"/>
        <v>50.965933556951668</v>
      </c>
      <c r="M14" s="186">
        <f t="shared" si="11"/>
        <v>55.043208241507799</v>
      </c>
      <c r="N14" s="186">
        <f t="shared" si="11"/>
        <v>59.446664900828431</v>
      </c>
      <c r="O14" s="186">
        <f t="shared" si="11"/>
        <v>64.202398092894711</v>
      </c>
      <c r="P14" s="186">
        <f t="shared" si="11"/>
        <v>69.338589940326301</v>
      </c>
    </row>
    <row r="15" spans="1:16" s="97" customFormat="1" ht="21" customHeight="1" x14ac:dyDescent="0.35">
      <c r="A15" s="237">
        <v>0</v>
      </c>
      <c r="B15" s="122" t="s">
        <v>49</v>
      </c>
      <c r="C15" s="123"/>
      <c r="D15" s="286">
        <f>SUM(D12:D14)*(1+$A$15)</f>
        <v>0</v>
      </c>
      <c r="E15" s="286">
        <f>SUM(E12:E14)*(1+$A$15)</f>
        <v>0</v>
      </c>
      <c r="F15" s="286">
        <f>SUM(F12:F14)*(1+$A$15)</f>
        <v>277.19468333333333</v>
      </c>
      <c r="G15" s="286">
        <f>SUM(G12:G14)*(1+$A$15)</f>
        <v>299.37025800000004</v>
      </c>
      <c r="H15" s="286">
        <f>SUM(H12:H14)*(1+$A$15)</f>
        <v>323.31987864000001</v>
      </c>
      <c r="I15" s="286">
        <f>SUM(I12:I14)*(1+$A$15)</f>
        <v>349.18546893120003</v>
      </c>
      <c r="J15" s="286">
        <f>SUM(J12:J14)*(1+$A$15)</f>
        <v>377.12030644569609</v>
      </c>
      <c r="K15" s="286">
        <f>SUM(K12:K14)*(1+$A$15)</f>
        <v>407.28993096135184</v>
      </c>
      <c r="L15" s="286">
        <f>SUM(L12:L14)*(1+$A$15)</f>
        <v>439.87312543825993</v>
      </c>
      <c r="M15" s="286">
        <f>SUM(M12:M14)*(1+$A$15)</f>
        <v>475.06297547332082</v>
      </c>
      <c r="N15" s="286">
        <f>SUM(N12:N14)*(1+$A$15)</f>
        <v>513.06801351118656</v>
      </c>
      <c r="O15" s="286">
        <f>SUM(O12:O14)*(1+$A$15)</f>
        <v>554.11345459208144</v>
      </c>
      <c r="P15" s="286">
        <f>SUM(P12:P14)*(1+$A$15)</f>
        <v>598.44253095944805</v>
      </c>
    </row>
    <row r="16" spans="1:16" s="97" customFormat="1" ht="21" customHeight="1" x14ac:dyDescent="0.35">
      <c r="B16" s="107" t="s">
        <v>50</v>
      </c>
      <c r="C16" s="99"/>
      <c r="D16" s="288"/>
      <c r="E16" s="288"/>
      <c r="F16" s="288"/>
      <c r="G16" s="288"/>
      <c r="H16" s="288"/>
      <c r="I16" s="288"/>
      <c r="J16" s="288"/>
      <c r="K16" s="288"/>
      <c r="L16" s="288"/>
      <c r="M16" s="288"/>
      <c r="N16" s="288"/>
      <c r="O16" s="288"/>
      <c r="P16" s="288"/>
    </row>
    <row r="17" spans="1:16" s="97" customFormat="1" ht="21" customHeight="1" x14ac:dyDescent="0.35">
      <c r="B17" s="51" t="s">
        <v>793</v>
      </c>
      <c r="C17" s="98"/>
      <c r="D17" s="289">
        <f>D10*Assump!$D$21</f>
        <v>0</v>
      </c>
      <c r="E17" s="289">
        <f>E10*Assump!$D$21</f>
        <v>0</v>
      </c>
      <c r="F17" s="289">
        <f>F10*Assump!$D$21</f>
        <v>155.21574999999999</v>
      </c>
      <c r="G17" s="289">
        <f>G10*Assump!$D$21</f>
        <v>167.63301000000001</v>
      </c>
      <c r="H17" s="289">
        <f>H10*Assump!$D$21</f>
        <v>181.04365080000002</v>
      </c>
      <c r="I17" s="289">
        <f>I10*Assump!$D$21</f>
        <v>195.52714286400004</v>
      </c>
      <c r="J17" s="289">
        <f>J10*Assump!$D$21</f>
        <v>211.16931429312004</v>
      </c>
      <c r="K17" s="289">
        <f>K10*Assump!$D$21</f>
        <v>228.06285943656968</v>
      </c>
      <c r="L17" s="289">
        <f>L10*Assump!$D$21</f>
        <v>246.30788819149524</v>
      </c>
      <c r="M17" s="289">
        <f>M10*Assump!$D$21</f>
        <v>266.01251924681492</v>
      </c>
      <c r="N17" s="289">
        <f>N10*Assump!$D$21</f>
        <v>287.29352078656012</v>
      </c>
      <c r="O17" s="289">
        <f>O10*Assump!$D$21</f>
        <v>310.27700244948494</v>
      </c>
      <c r="P17" s="289">
        <f>P10*Assump!$D$21</f>
        <v>335.09916264544376</v>
      </c>
    </row>
    <row r="18" spans="1:16" s="97" customFormat="1" ht="21" customHeight="1" x14ac:dyDescent="0.35">
      <c r="B18" s="51" t="s">
        <v>828</v>
      </c>
      <c r="C18" s="98"/>
      <c r="D18" s="289">
        <f>D10*Assump!$D$22</f>
        <v>0</v>
      </c>
      <c r="E18" s="289">
        <f>E10*Assump!$D$22</f>
        <v>0</v>
      </c>
      <c r="F18" s="289">
        <f>F10*Assump!$D$22</f>
        <v>65.353999999999999</v>
      </c>
      <c r="G18" s="289">
        <f>G10*Assump!$D$22</f>
        <v>70.58232000000001</v>
      </c>
      <c r="H18" s="289">
        <f>H10*Assump!$D$22</f>
        <v>76.228905600000004</v>
      </c>
      <c r="I18" s="289">
        <f>I10*Assump!$D$22</f>
        <v>82.32721804800002</v>
      </c>
      <c r="J18" s="289">
        <f>J10*Assump!$D$22</f>
        <v>88.913395491840021</v>
      </c>
      <c r="K18" s="289">
        <f>K10*Assump!$D$22</f>
        <v>96.026467131187246</v>
      </c>
      <c r="L18" s="289">
        <f>L10*Assump!$D$22</f>
        <v>103.7085845016822</v>
      </c>
      <c r="M18" s="289">
        <f>M10*Assump!$D$22</f>
        <v>112.0052712618168</v>
      </c>
      <c r="N18" s="289">
        <f>N10*Assump!$D$22</f>
        <v>120.96569296276215</v>
      </c>
      <c r="O18" s="289">
        <f>O10*Assump!$D$22</f>
        <v>130.64294839978314</v>
      </c>
      <c r="P18" s="289">
        <f>P10*Assump!$D$22</f>
        <v>141.09438427176579</v>
      </c>
    </row>
    <row r="19" spans="1:16" s="97" customFormat="1" ht="21" customHeight="1" x14ac:dyDescent="0.35">
      <c r="B19" s="51" t="s">
        <v>923</v>
      </c>
      <c r="C19" s="98"/>
      <c r="D19" s="289">
        <v>0</v>
      </c>
      <c r="E19" s="289">
        <v>0</v>
      </c>
      <c r="F19" s="289">
        <f>Assump!D24/A</f>
        <v>6</v>
      </c>
      <c r="G19" s="289">
        <f>F19</f>
        <v>6</v>
      </c>
      <c r="H19" s="289">
        <f t="shared" ref="H19:P19" si="12">G19</f>
        <v>6</v>
      </c>
      <c r="I19" s="289">
        <f t="shared" si="12"/>
        <v>6</v>
      </c>
      <c r="J19" s="289">
        <f t="shared" si="12"/>
        <v>6</v>
      </c>
      <c r="K19" s="289">
        <f t="shared" si="12"/>
        <v>6</v>
      </c>
      <c r="L19" s="289">
        <f t="shared" si="12"/>
        <v>6</v>
      </c>
      <c r="M19" s="289">
        <f t="shared" si="12"/>
        <v>6</v>
      </c>
      <c r="N19" s="289">
        <f t="shared" si="12"/>
        <v>6</v>
      </c>
      <c r="O19" s="289">
        <f t="shared" si="12"/>
        <v>6</v>
      </c>
      <c r="P19" s="289">
        <f t="shared" si="12"/>
        <v>6</v>
      </c>
    </row>
    <row r="20" spans="1:16" s="97" customFormat="1" ht="21" customHeight="1" x14ac:dyDescent="0.35">
      <c r="B20" s="51" t="s">
        <v>925</v>
      </c>
      <c r="C20" s="98"/>
      <c r="D20" s="289">
        <v>0</v>
      </c>
      <c r="E20" s="289">
        <v>0</v>
      </c>
      <c r="F20" s="289">
        <f>Assump!D25/A</f>
        <v>5</v>
      </c>
      <c r="G20" s="289">
        <f t="shared" ref="G20:P20" si="13">$F$20*G6</f>
        <v>5.4</v>
      </c>
      <c r="H20" s="289">
        <f t="shared" si="13"/>
        <v>5.8320000000000007</v>
      </c>
      <c r="I20" s="289">
        <f t="shared" si="13"/>
        <v>6.298560000000001</v>
      </c>
      <c r="J20" s="289">
        <f t="shared" si="13"/>
        <v>6.8024448000000017</v>
      </c>
      <c r="K20" s="289">
        <f t="shared" si="13"/>
        <v>7.3466403840000014</v>
      </c>
      <c r="L20" s="289">
        <f t="shared" si="13"/>
        <v>7.9343716147200025</v>
      </c>
      <c r="M20" s="289">
        <f t="shared" si="13"/>
        <v>8.5691213438976028</v>
      </c>
      <c r="N20" s="289">
        <f t="shared" si="13"/>
        <v>9.2546510514094127</v>
      </c>
      <c r="O20" s="289">
        <f t="shared" si="13"/>
        <v>9.9950231355221657</v>
      </c>
      <c r="P20" s="289">
        <f t="shared" si="13"/>
        <v>10.794624986363941</v>
      </c>
    </row>
    <row r="21" spans="1:16" s="97" customFormat="1" ht="18" customHeight="1" x14ac:dyDescent="0.35">
      <c r="B21" s="122" t="s">
        <v>51</v>
      </c>
      <c r="C21" s="124"/>
      <c r="D21" s="286">
        <f>SUM(D17:D20)</f>
        <v>0</v>
      </c>
      <c r="E21" s="286">
        <f t="shared" ref="E21:P21" si="14">SUM(E17:E20)</f>
        <v>0</v>
      </c>
      <c r="F21" s="286">
        <f t="shared" si="14"/>
        <v>231.56975</v>
      </c>
      <c r="G21" s="286">
        <f t="shared" si="14"/>
        <v>249.61533000000003</v>
      </c>
      <c r="H21" s="286">
        <f t="shared" si="14"/>
        <v>269.10455640000004</v>
      </c>
      <c r="I21" s="286">
        <f t="shared" si="14"/>
        <v>290.15292091200007</v>
      </c>
      <c r="J21" s="286">
        <f t="shared" si="14"/>
        <v>312.88515458496005</v>
      </c>
      <c r="K21" s="286">
        <f t="shared" si="14"/>
        <v>337.43596695175694</v>
      </c>
      <c r="L21" s="286">
        <f t="shared" si="14"/>
        <v>363.95084430789746</v>
      </c>
      <c r="M21" s="286">
        <f t="shared" si="14"/>
        <v>392.58691185252934</v>
      </c>
      <c r="N21" s="286">
        <f t="shared" si="14"/>
        <v>423.51386480073171</v>
      </c>
      <c r="O21" s="286">
        <f t="shared" si="14"/>
        <v>456.91497398479021</v>
      </c>
      <c r="P21" s="286">
        <f t="shared" si="14"/>
        <v>492.98817190357352</v>
      </c>
    </row>
    <row r="22" spans="1:16" s="97" customFormat="1" ht="21" customHeight="1" x14ac:dyDescent="0.35">
      <c r="B22" s="122" t="s">
        <v>841</v>
      </c>
      <c r="C22" s="123"/>
      <c r="D22" s="286">
        <f t="shared" ref="D22:P22" si="15">(D15+D21)</f>
        <v>0</v>
      </c>
      <c r="E22" s="286">
        <f t="shared" si="15"/>
        <v>0</v>
      </c>
      <c r="F22" s="286">
        <f t="shared" si="15"/>
        <v>508.76443333333333</v>
      </c>
      <c r="G22" s="286">
        <f t="shared" si="15"/>
        <v>548.98558800000001</v>
      </c>
      <c r="H22" s="286">
        <f t="shared" si="15"/>
        <v>592.42443504000005</v>
      </c>
      <c r="I22" s="286">
        <f t="shared" si="15"/>
        <v>639.33838984320005</v>
      </c>
      <c r="J22" s="286">
        <f t="shared" si="15"/>
        <v>690.00546103065608</v>
      </c>
      <c r="K22" s="286">
        <f t="shared" si="15"/>
        <v>744.72589791310884</v>
      </c>
      <c r="L22" s="286">
        <f t="shared" si="15"/>
        <v>803.82396974615745</v>
      </c>
      <c r="M22" s="286">
        <f t="shared" si="15"/>
        <v>867.64988732585016</v>
      </c>
      <c r="N22" s="286">
        <f t="shared" si="15"/>
        <v>936.58187831191822</v>
      </c>
      <c r="O22" s="286">
        <f t="shared" si="15"/>
        <v>1011.0284285768716</v>
      </c>
      <c r="P22" s="286">
        <f t="shared" si="15"/>
        <v>1091.4307028630215</v>
      </c>
    </row>
    <row r="23" spans="1:16" s="97" customFormat="1" ht="21" customHeight="1" x14ac:dyDescent="0.35">
      <c r="B23" s="51" t="s">
        <v>52</v>
      </c>
      <c r="C23" s="98"/>
      <c r="D23" s="186">
        <f t="shared" ref="D23:P23" si="16">(D10-D22)</f>
        <v>0</v>
      </c>
      <c r="E23" s="186">
        <f t="shared" si="16"/>
        <v>0</v>
      </c>
      <c r="F23" s="186">
        <f t="shared" si="16"/>
        <v>308.16056666666663</v>
      </c>
      <c r="G23" s="186">
        <f t="shared" si="16"/>
        <v>333.2934120000001</v>
      </c>
      <c r="H23" s="186">
        <f t="shared" si="16"/>
        <v>360.43688496000004</v>
      </c>
      <c r="I23" s="186">
        <f t="shared" si="16"/>
        <v>389.75183575680012</v>
      </c>
      <c r="J23" s="186">
        <f t="shared" si="16"/>
        <v>421.41198261734417</v>
      </c>
      <c r="K23" s="186">
        <f t="shared" si="16"/>
        <v>455.60494122673163</v>
      </c>
      <c r="L23" s="186">
        <f t="shared" si="16"/>
        <v>492.53333652487004</v>
      </c>
      <c r="M23" s="186">
        <f t="shared" si="16"/>
        <v>532.4160034468598</v>
      </c>
      <c r="N23" s="186">
        <f t="shared" si="16"/>
        <v>575.48928372260866</v>
      </c>
      <c r="O23" s="186">
        <f t="shared" si="16"/>
        <v>622.00842642041744</v>
      </c>
      <c r="P23" s="186">
        <f t="shared" si="16"/>
        <v>672.24910053405097</v>
      </c>
    </row>
    <row r="24" spans="1:16" s="97" customFormat="1" ht="21" customHeight="1" x14ac:dyDescent="0.35">
      <c r="B24" s="51" t="s">
        <v>53</v>
      </c>
      <c r="C24" s="98"/>
      <c r="D24" s="186">
        <f>'TL Schd'!D11</f>
        <v>0</v>
      </c>
      <c r="E24" s="186">
        <f>'TL Schd'!E11</f>
        <v>0</v>
      </c>
      <c r="F24" s="186">
        <f>'TL Schd'!F11</f>
        <v>100.6379166666666</v>
      </c>
      <c r="G24" s="186">
        <f>'TL Schd'!G11</f>
        <v>95.935729166666604</v>
      </c>
      <c r="H24" s="186">
        <f>'TL Schd'!H11</f>
        <v>89.683229166666635</v>
      </c>
      <c r="I24" s="186">
        <f>'TL Schd'!I11</f>
        <v>82.200729166666619</v>
      </c>
      <c r="J24" s="186">
        <f>'TL Schd'!J11</f>
        <v>73.488229166666628</v>
      </c>
      <c r="K24" s="186">
        <f>'TL Schd'!K11</f>
        <v>63.545729166666639</v>
      </c>
      <c r="L24" s="186">
        <f>'TL Schd'!L11</f>
        <v>52.368958333333296</v>
      </c>
      <c r="M24" s="186">
        <f>'TL Schd'!M11</f>
        <v>39.462499999999956</v>
      </c>
      <c r="N24" s="186">
        <f>'TL Schd'!N11</f>
        <v>25.932499999999955</v>
      </c>
      <c r="O24" s="186">
        <f>'TL Schd'!O11</f>
        <v>12.402499999999954</v>
      </c>
      <c r="P24" s="186">
        <f>'TL Schd'!P11</f>
        <v>1.174479166666621</v>
      </c>
    </row>
    <row r="25" spans="1:16" s="97" customFormat="1" ht="21" customHeight="1" x14ac:dyDescent="0.35">
      <c r="B25" s="51" t="s">
        <v>807</v>
      </c>
      <c r="C25" s="98"/>
      <c r="D25" s="186">
        <v>0</v>
      </c>
      <c r="E25" s="186">
        <v>0</v>
      </c>
      <c r="F25" s="186">
        <v>0</v>
      </c>
      <c r="G25" s="186">
        <v>0</v>
      </c>
      <c r="H25" s="186">
        <v>0</v>
      </c>
      <c r="I25" s="186">
        <v>0</v>
      </c>
      <c r="J25" s="186">
        <v>0</v>
      </c>
      <c r="K25" s="186">
        <v>0</v>
      </c>
      <c r="L25" s="186">
        <v>0</v>
      </c>
      <c r="M25" s="186">
        <v>0</v>
      </c>
      <c r="N25" s="186">
        <v>0</v>
      </c>
      <c r="O25" s="186">
        <v>0</v>
      </c>
      <c r="P25" s="186">
        <v>0</v>
      </c>
    </row>
    <row r="26" spans="1:16" s="97" customFormat="1" ht="21" customHeight="1" x14ac:dyDescent="0.35">
      <c r="B26" s="51" t="s">
        <v>54</v>
      </c>
      <c r="C26" s="98"/>
      <c r="D26" s="186">
        <v>0</v>
      </c>
      <c r="E26" s="186">
        <v>0</v>
      </c>
      <c r="F26" s="186">
        <f>Depr!C21</f>
        <v>160.82829391891892</v>
      </c>
      <c r="G26" s="186">
        <f>Depr!D21</f>
        <v>144.4238079391892</v>
      </c>
      <c r="H26" s="186">
        <f>Depr!E21</f>
        <v>129.70801904560813</v>
      </c>
      <c r="I26" s="186">
        <f>Depr!F21</f>
        <v>116.50482025633447</v>
      </c>
      <c r="J26" s="186">
        <f>Depr!G21</f>
        <v>104.65680087869511</v>
      </c>
      <c r="K26" s="186">
        <f>Depr!H21</f>
        <v>94.023214041620562</v>
      </c>
      <c r="L26" s="186">
        <f>Depr!I21</f>
        <v>84.478171900634237</v>
      </c>
      <c r="M26" s="186">
        <f>Depr!J21</f>
        <v>75.909042084270183</v>
      </c>
      <c r="N26" s="186">
        <f>Depr!K21</f>
        <v>68.21502214348763</v>
      </c>
      <c r="O26" s="186">
        <f>Depr!L21</f>
        <v>61.30587155663666</v>
      </c>
      <c r="P26" s="186">
        <f>Depr!M21</f>
        <v>55.100783284346114</v>
      </c>
    </row>
    <row r="27" spans="1:16" s="97" customFormat="1" ht="21" customHeight="1" x14ac:dyDescent="0.35">
      <c r="B27" s="51" t="s">
        <v>747</v>
      </c>
      <c r="C27" s="98"/>
      <c r="D27" s="186">
        <f>'CoP-MoF'!$D$13/A/5*D4/12</f>
        <v>0</v>
      </c>
      <c r="E27" s="186">
        <f>'CoP-MoF'!$D$13/A/5*E4/12</f>
        <v>0</v>
      </c>
      <c r="F27" s="186">
        <f>'CoP-MoF'!$D$13/A/5*F4/12</f>
        <v>0.5</v>
      </c>
      <c r="G27" s="186">
        <f t="shared" ref="G27:H27" si="17">F27</f>
        <v>0.5</v>
      </c>
      <c r="H27" s="186">
        <f t="shared" si="17"/>
        <v>0.5</v>
      </c>
      <c r="I27" s="289">
        <f>H27</f>
        <v>0.5</v>
      </c>
      <c r="J27" s="186">
        <f>I27</f>
        <v>0.5</v>
      </c>
      <c r="K27" s="186">
        <v>0</v>
      </c>
      <c r="L27" s="186">
        <v>0</v>
      </c>
      <c r="M27" s="186">
        <v>0</v>
      </c>
      <c r="N27" s="186">
        <v>0</v>
      </c>
      <c r="O27" s="186">
        <v>0</v>
      </c>
      <c r="P27" s="186">
        <v>0</v>
      </c>
    </row>
    <row r="28" spans="1:16" s="97" customFormat="1" ht="21" customHeight="1" x14ac:dyDescent="0.35">
      <c r="B28" s="51" t="s">
        <v>55</v>
      </c>
      <c r="C28" s="98"/>
      <c r="D28" s="186">
        <f>D23-D24-D26-D27</f>
        <v>0</v>
      </c>
      <c r="E28" s="186">
        <f t="shared" ref="E28:P28" si="18">E23-E24-E26-E27</f>
        <v>0</v>
      </c>
      <c r="F28" s="186">
        <f t="shared" si="18"/>
        <v>46.194356081081111</v>
      </c>
      <c r="G28" s="186">
        <f t="shared" si="18"/>
        <v>92.43387489414431</v>
      </c>
      <c r="H28" s="186">
        <f t="shared" si="18"/>
        <v>140.54563674772527</v>
      </c>
      <c r="I28" s="186">
        <f t="shared" si="18"/>
        <v>190.546286333799</v>
      </c>
      <c r="J28" s="186">
        <f t="shared" si="18"/>
        <v>242.76695257198242</v>
      </c>
      <c r="K28" s="186">
        <f t="shared" si="18"/>
        <v>298.03599801844439</v>
      </c>
      <c r="L28" s="186">
        <f t="shared" si="18"/>
        <v>355.68620629090253</v>
      </c>
      <c r="M28" s="186">
        <f t="shared" si="18"/>
        <v>417.04446136258963</v>
      </c>
      <c r="N28" s="186">
        <f t="shared" si="18"/>
        <v>481.341761579121</v>
      </c>
      <c r="O28" s="186">
        <f t="shared" si="18"/>
        <v>548.30005486378082</v>
      </c>
      <c r="P28" s="186">
        <f t="shared" si="18"/>
        <v>615.97383808303823</v>
      </c>
    </row>
    <row r="29" spans="1:16" s="97" customFormat="1" ht="21" customHeight="1" x14ac:dyDescent="0.35">
      <c r="A29" s="183">
        <v>0.25168000000000001</v>
      </c>
      <c r="B29" s="51" t="s">
        <v>751</v>
      </c>
      <c r="C29" s="98"/>
      <c r="D29" s="186">
        <f t="shared" ref="D29:G29" si="19">D28*$A$29</f>
        <v>0</v>
      </c>
      <c r="E29" s="186">
        <f t="shared" si="19"/>
        <v>0</v>
      </c>
      <c r="F29" s="186">
        <f t="shared" si="19"/>
        <v>11.626195538486495</v>
      </c>
      <c r="G29" s="186">
        <f t="shared" si="19"/>
        <v>23.263757633358242</v>
      </c>
      <c r="H29" s="186">
        <f t="shared" ref="H29:J29" si="20">H28*$A$29</f>
        <v>35.372525856667501</v>
      </c>
      <c r="I29" s="186">
        <f t="shared" si="20"/>
        <v>47.956689344490535</v>
      </c>
      <c r="J29" s="186">
        <f t="shared" si="20"/>
        <v>61.09958662331654</v>
      </c>
      <c r="K29" s="186">
        <f>K28*$A$29</f>
        <v>75.009699981282083</v>
      </c>
      <c r="L29" s="186">
        <f>L28*$A$29</f>
        <v>89.519104399294349</v>
      </c>
      <c r="M29" s="186">
        <f t="shared" ref="M29:N29" si="21">M28*$A$29</f>
        <v>104.96175003573656</v>
      </c>
      <c r="N29" s="186">
        <f t="shared" si="21"/>
        <v>121.14409455423318</v>
      </c>
      <c r="O29" s="186">
        <f t="shared" ref="O29" si="22">O28*$A$29</f>
        <v>137.99615780811635</v>
      </c>
      <c r="P29" s="186">
        <f t="shared" ref="P29" si="23">P28*$A$29</f>
        <v>155.02829556873908</v>
      </c>
    </row>
    <row r="30" spans="1:16" s="97" customFormat="1" ht="21" customHeight="1" x14ac:dyDescent="0.35">
      <c r="B30" s="125" t="s">
        <v>56</v>
      </c>
      <c r="C30" s="126"/>
      <c r="D30" s="290">
        <f t="shared" ref="D30:I30" si="24">D28-D29</f>
        <v>0</v>
      </c>
      <c r="E30" s="290">
        <f t="shared" si="24"/>
        <v>0</v>
      </c>
      <c r="F30" s="290">
        <f t="shared" si="24"/>
        <v>34.568160542594612</v>
      </c>
      <c r="G30" s="290">
        <f t="shared" si="24"/>
        <v>69.170117260786071</v>
      </c>
      <c r="H30" s="290">
        <f t="shared" si="24"/>
        <v>105.17311089105777</v>
      </c>
      <c r="I30" s="290">
        <f t="shared" si="24"/>
        <v>142.58959698930846</v>
      </c>
      <c r="J30" s="290">
        <f t="shared" ref="J30" si="25">J28-J29</f>
        <v>181.66736594866586</v>
      </c>
      <c r="K30" s="290">
        <f t="shared" ref="K30:P30" si="26">K28-K29</f>
        <v>223.02629803716229</v>
      </c>
      <c r="L30" s="290">
        <f t="shared" si="26"/>
        <v>266.16710189160818</v>
      </c>
      <c r="M30" s="290">
        <f t="shared" si="26"/>
        <v>312.08271132685309</v>
      </c>
      <c r="N30" s="290">
        <f t="shared" si="26"/>
        <v>360.19766702488783</v>
      </c>
      <c r="O30" s="290">
        <f t="shared" si="26"/>
        <v>410.30389705566449</v>
      </c>
      <c r="P30" s="290">
        <f t="shared" si="26"/>
        <v>460.94554251429918</v>
      </c>
    </row>
    <row r="31" spans="1:16" s="97" customFormat="1" ht="21" customHeight="1" x14ac:dyDescent="0.35">
      <c r="B31" s="51"/>
      <c r="C31" s="98"/>
      <c r="D31" s="186"/>
      <c r="E31" s="186"/>
      <c r="F31" s="186"/>
      <c r="G31" s="186"/>
      <c r="H31" s="186"/>
      <c r="I31" s="186"/>
      <c r="J31" s="186"/>
      <c r="K31" s="186"/>
      <c r="L31" s="186"/>
      <c r="M31" s="186"/>
      <c r="N31" s="186"/>
      <c r="O31" s="186"/>
      <c r="P31" s="186"/>
    </row>
    <row r="32" spans="1:16" s="97" customFormat="1" ht="21" customHeight="1" x14ac:dyDescent="0.35">
      <c r="B32" s="51" t="s">
        <v>57</v>
      </c>
      <c r="C32" s="98"/>
      <c r="D32" s="186">
        <f t="shared" ref="D32:I32" si="27">D26</f>
        <v>0</v>
      </c>
      <c r="E32" s="186">
        <f t="shared" si="27"/>
        <v>0</v>
      </c>
      <c r="F32" s="186">
        <f t="shared" si="27"/>
        <v>160.82829391891892</v>
      </c>
      <c r="G32" s="186">
        <f t="shared" si="27"/>
        <v>144.4238079391892</v>
      </c>
      <c r="H32" s="186">
        <f t="shared" si="27"/>
        <v>129.70801904560813</v>
      </c>
      <c r="I32" s="186">
        <f t="shared" si="27"/>
        <v>116.50482025633447</v>
      </c>
      <c r="J32" s="186">
        <f t="shared" ref="J32" si="28">J26</f>
        <v>104.65680087869511</v>
      </c>
      <c r="K32" s="186">
        <f t="shared" ref="K32:L32" si="29">K26</f>
        <v>94.023214041620562</v>
      </c>
      <c r="L32" s="186">
        <f t="shared" si="29"/>
        <v>84.478171900634237</v>
      </c>
      <c r="M32" s="186">
        <f t="shared" ref="M32:N32" si="30">M26</f>
        <v>75.909042084270183</v>
      </c>
      <c r="N32" s="186">
        <f t="shared" si="30"/>
        <v>68.21502214348763</v>
      </c>
      <c r="O32" s="186">
        <f t="shared" ref="O32:P32" si="31">O26</f>
        <v>61.30587155663666</v>
      </c>
      <c r="P32" s="186">
        <f t="shared" si="31"/>
        <v>55.100783284346114</v>
      </c>
    </row>
    <row r="33" spans="2:16" s="97" customFormat="1" ht="21" customHeight="1" x14ac:dyDescent="0.35">
      <c r="B33" s="51" t="s">
        <v>416</v>
      </c>
      <c r="C33" s="98"/>
      <c r="D33" s="186">
        <f t="shared" ref="D33:I33" si="32">D30+D32</f>
        <v>0</v>
      </c>
      <c r="E33" s="186">
        <f t="shared" si="32"/>
        <v>0</v>
      </c>
      <c r="F33" s="186">
        <f t="shared" si="32"/>
        <v>195.39645446151354</v>
      </c>
      <c r="G33" s="186">
        <f t="shared" si="32"/>
        <v>213.59392519997527</v>
      </c>
      <c r="H33" s="186">
        <f t="shared" si="32"/>
        <v>234.8811299366659</v>
      </c>
      <c r="I33" s="186">
        <f t="shared" si="32"/>
        <v>259.09441724564294</v>
      </c>
      <c r="J33" s="186">
        <f t="shared" ref="J33" si="33">J30+J32</f>
        <v>286.32416682736095</v>
      </c>
      <c r="K33" s="186">
        <f t="shared" ref="K33:L33" si="34">K30+K32</f>
        <v>317.04951207878287</v>
      </c>
      <c r="L33" s="186">
        <f t="shared" si="34"/>
        <v>350.64527379224239</v>
      </c>
      <c r="M33" s="186">
        <f t="shared" ref="M33:N33" si="35">M30+M32</f>
        <v>387.99175341112328</v>
      </c>
      <c r="N33" s="186">
        <f t="shared" si="35"/>
        <v>428.41268916837544</v>
      </c>
      <c r="O33" s="186">
        <f t="shared" ref="O33:P33" si="36">O30+O32</f>
        <v>471.60976861230114</v>
      </c>
      <c r="P33" s="186">
        <f t="shared" si="36"/>
        <v>516.04632579864528</v>
      </c>
    </row>
    <row r="34" spans="2:16" s="97" customFormat="1" ht="21" customHeight="1" x14ac:dyDescent="0.35">
      <c r="B34" s="51" t="s">
        <v>58</v>
      </c>
      <c r="C34" s="98"/>
      <c r="D34" s="186">
        <f>'Cash Flow'!C22</f>
        <v>0</v>
      </c>
      <c r="E34" s="186">
        <f>'Cash Flow'!D22</f>
        <v>0</v>
      </c>
      <c r="F34" s="186">
        <f>'Cash Flow'!E22</f>
        <v>28</v>
      </c>
      <c r="G34" s="186">
        <f>'Cash Flow'!F22</f>
        <v>55</v>
      </c>
      <c r="H34" s="186">
        <f>'Cash Flow'!G22</f>
        <v>67</v>
      </c>
      <c r="I34" s="186">
        <f>'Cash Flow'!H22</f>
        <v>79</v>
      </c>
      <c r="J34" s="186">
        <f>'Cash Flow'!I22</f>
        <v>91</v>
      </c>
      <c r="K34" s="186">
        <f>'Cash Flow'!J22</f>
        <v>103</v>
      </c>
      <c r="L34" s="186">
        <f>'Cash Flow'!K22</f>
        <v>116</v>
      </c>
      <c r="M34" s="186">
        <f>'Cash Flow'!L22</f>
        <v>132</v>
      </c>
      <c r="N34" s="186">
        <f>'Cash Flow'!M22</f>
        <v>132</v>
      </c>
      <c r="O34" s="186">
        <f>'Cash Flow'!N22</f>
        <v>132</v>
      </c>
      <c r="P34" s="186">
        <f>'Cash Flow'!O22</f>
        <v>55</v>
      </c>
    </row>
    <row r="35" spans="2:16" s="97" customFormat="1" ht="21" customHeight="1" x14ac:dyDescent="0.35">
      <c r="B35" s="51" t="s">
        <v>417</v>
      </c>
      <c r="C35" s="98"/>
      <c r="D35" s="186">
        <f t="shared" ref="D35:I35" si="37">D33-D34</f>
        <v>0</v>
      </c>
      <c r="E35" s="186">
        <f t="shared" si="37"/>
        <v>0</v>
      </c>
      <c r="F35" s="186">
        <f t="shared" si="37"/>
        <v>167.39645446151354</v>
      </c>
      <c r="G35" s="186">
        <f t="shared" si="37"/>
        <v>158.59392519997527</v>
      </c>
      <c r="H35" s="186">
        <f t="shared" si="37"/>
        <v>167.8811299366659</v>
      </c>
      <c r="I35" s="186">
        <f t="shared" si="37"/>
        <v>180.09441724564294</v>
      </c>
      <c r="J35" s="186">
        <f t="shared" ref="J35" si="38">J33-J34</f>
        <v>195.32416682736095</v>
      </c>
      <c r="K35" s="186">
        <f t="shared" ref="K35:L35" si="39">K33-K34</f>
        <v>214.04951207878287</v>
      </c>
      <c r="L35" s="186">
        <f t="shared" si="39"/>
        <v>234.64527379224239</v>
      </c>
      <c r="M35" s="186">
        <f t="shared" ref="M35:N35" si="40">M33-M34</f>
        <v>255.99175341112328</v>
      </c>
      <c r="N35" s="186">
        <f t="shared" si="40"/>
        <v>296.41268916837544</v>
      </c>
      <c r="O35" s="186">
        <f t="shared" ref="O35:P35" si="41">O33-O34</f>
        <v>339.60976861230114</v>
      </c>
      <c r="P35" s="186">
        <f t="shared" si="41"/>
        <v>461.04632579864528</v>
      </c>
    </row>
    <row r="36" spans="2:16" s="64" customFormat="1" ht="18.75" customHeight="1" x14ac:dyDescent="0.35">
      <c r="B36" s="128" t="s">
        <v>59</v>
      </c>
      <c r="C36" s="127"/>
      <c r="D36" s="291">
        <f>C36+D35</f>
        <v>0</v>
      </c>
      <c r="E36" s="291">
        <f>D36+E35</f>
        <v>0</v>
      </c>
      <c r="F36" s="291">
        <f t="shared" ref="F36:J36" si="42">E36+F35</f>
        <v>167.39645446151354</v>
      </c>
      <c r="G36" s="291">
        <f t="shared" si="42"/>
        <v>325.99037966148882</v>
      </c>
      <c r="H36" s="291">
        <f t="shared" si="42"/>
        <v>493.87150959815472</v>
      </c>
      <c r="I36" s="291">
        <f t="shared" si="42"/>
        <v>673.96592684379766</v>
      </c>
      <c r="J36" s="291">
        <f t="shared" si="42"/>
        <v>869.29009367115862</v>
      </c>
      <c r="K36" s="291">
        <f>J36+K35</f>
        <v>1083.3396057499415</v>
      </c>
      <c r="L36" s="291">
        <f>K36+L35</f>
        <v>1317.984879542184</v>
      </c>
      <c r="M36" s="291">
        <f t="shared" ref="M36:N36" si="43">L36+M35</f>
        <v>1573.9766329533072</v>
      </c>
      <c r="N36" s="291">
        <f t="shared" si="43"/>
        <v>1870.3893221216827</v>
      </c>
      <c r="O36" s="291">
        <f t="shared" ref="O36" si="44">N36+O35</f>
        <v>2209.9990907339838</v>
      </c>
      <c r="P36" s="291">
        <f t="shared" ref="P36" si="45">O36+P35</f>
        <v>2671.0454165326291</v>
      </c>
    </row>
    <row r="37" spans="2:16" s="97" customFormat="1" ht="21" customHeight="1" x14ac:dyDescent="0.35">
      <c r="B37" s="51"/>
      <c r="C37" s="98"/>
      <c r="D37" s="98"/>
      <c r="E37" s="98"/>
      <c r="F37" s="98"/>
      <c r="G37" s="98"/>
      <c r="H37" s="98"/>
      <c r="I37" s="98"/>
      <c r="J37" s="98"/>
      <c r="K37" s="98"/>
      <c r="L37" s="98"/>
      <c r="M37" s="98"/>
      <c r="N37" s="98"/>
      <c r="O37" s="98"/>
      <c r="P37" s="98"/>
    </row>
    <row r="38" spans="2:16" x14ac:dyDescent="0.35">
      <c r="C38" s="115"/>
      <c r="D38" s="115" t="e">
        <f t="shared" ref="D38:P38" si="46">D23/D10</f>
        <v>#DIV/0!</v>
      </c>
      <c r="E38" s="115" t="e">
        <f t="shared" si="46"/>
        <v>#DIV/0!</v>
      </c>
      <c r="F38" s="115">
        <f t="shared" si="46"/>
        <v>0.37722014464812148</v>
      </c>
      <c r="G38" s="115">
        <f t="shared" si="46"/>
        <v>0.37776419023914209</v>
      </c>
      <c r="H38" s="115">
        <f t="shared" si="46"/>
        <v>0.37826793615675364</v>
      </c>
      <c r="I38" s="115">
        <f t="shared" si="46"/>
        <v>0.37873436756194961</v>
      </c>
      <c r="J38" s="115">
        <f t="shared" si="46"/>
        <v>0.3791662484926866</v>
      </c>
      <c r="K38" s="115">
        <f t="shared" si="46"/>
        <v>0.37956613824336888</v>
      </c>
      <c r="L38" s="115">
        <f t="shared" si="46"/>
        <v>0.37993640653103772</v>
      </c>
      <c r="M38" s="115">
        <f t="shared" si="46"/>
        <v>0.38027924753813852</v>
      </c>
      <c r="N38" s="115">
        <f t="shared" si="46"/>
        <v>0.38059669291508375</v>
      </c>
      <c r="O38" s="115">
        <f t="shared" si="46"/>
        <v>0.38089062381966265</v>
      </c>
      <c r="P38" s="115">
        <f t="shared" si="46"/>
        <v>0.38116278206464316</v>
      </c>
    </row>
    <row r="39" spans="2:16" x14ac:dyDescent="0.35">
      <c r="C39" s="115"/>
      <c r="D39" s="115" t="e">
        <f t="shared" ref="D39:P39" si="47">D30/D10</f>
        <v>#DIV/0!</v>
      </c>
      <c r="E39" s="115" t="e">
        <f t="shared" si="47"/>
        <v>#DIV/0!</v>
      </c>
      <c r="F39" s="115">
        <f t="shared" si="47"/>
        <v>4.2314974498998827E-2</v>
      </c>
      <c r="G39" s="115">
        <f t="shared" si="47"/>
        <v>7.8399369429382387E-2</v>
      </c>
      <c r="H39" s="115">
        <f t="shared" si="47"/>
        <v>0.11037609427892169</v>
      </c>
      <c r="I39" s="115">
        <f t="shared" si="47"/>
        <v>0.13855888768759134</v>
      </c>
      <c r="J39" s="115">
        <f t="shared" si="47"/>
        <v>0.1634555647717566</v>
      </c>
      <c r="K39" s="115">
        <f t="shared" si="47"/>
        <v>0.18580402232853019</v>
      </c>
      <c r="L39" s="115">
        <f t="shared" si="47"/>
        <v>0.20531924385664782</v>
      </c>
      <c r="M39" s="115">
        <f t="shared" si="47"/>
        <v>0.2229057313542662</v>
      </c>
      <c r="N39" s="115">
        <f t="shared" si="47"/>
        <v>0.23821475871561065</v>
      </c>
      <c r="O39" s="115">
        <f t="shared" si="47"/>
        <v>0.25125207419543855</v>
      </c>
      <c r="P39" s="115">
        <f t="shared" si="47"/>
        <v>0.26135443725468716</v>
      </c>
    </row>
    <row r="43" spans="2:16" x14ac:dyDescent="0.35">
      <c r="B43" s="217" t="s">
        <v>617</v>
      </c>
      <c r="C43" s="116"/>
      <c r="D43" s="116">
        <f t="shared" ref="D43:P43" si="48">D10</f>
        <v>0</v>
      </c>
      <c r="E43" s="116">
        <f t="shared" si="48"/>
        <v>0</v>
      </c>
      <c r="F43" s="116">
        <f t="shared" si="48"/>
        <v>816.92499999999995</v>
      </c>
      <c r="G43" s="116">
        <f t="shared" si="48"/>
        <v>882.27900000000011</v>
      </c>
      <c r="H43" s="116">
        <f t="shared" si="48"/>
        <v>952.86132000000009</v>
      </c>
      <c r="I43" s="116">
        <f t="shared" si="48"/>
        <v>1029.0902256000002</v>
      </c>
      <c r="J43" s="116">
        <f t="shared" si="48"/>
        <v>1111.4174436480002</v>
      </c>
      <c r="K43" s="116">
        <f t="shared" si="48"/>
        <v>1200.3308391398405</v>
      </c>
      <c r="L43" s="116">
        <f t="shared" si="48"/>
        <v>1296.3573062710275</v>
      </c>
      <c r="M43" s="116">
        <f t="shared" si="48"/>
        <v>1400.06589077271</v>
      </c>
      <c r="N43" s="116">
        <f t="shared" si="48"/>
        <v>1512.0711620345269</v>
      </c>
      <c r="O43" s="116">
        <f t="shared" si="48"/>
        <v>1633.0368549972891</v>
      </c>
      <c r="P43" s="116">
        <f t="shared" si="48"/>
        <v>1763.6798033970724</v>
      </c>
    </row>
    <row r="44" spans="2:16" x14ac:dyDescent="0.35">
      <c r="B44" s="217" t="s">
        <v>616</v>
      </c>
      <c r="D44" s="116">
        <f t="shared" ref="D44:P44" si="49">D23</f>
        <v>0</v>
      </c>
      <c r="E44" s="116">
        <f t="shared" si="49"/>
        <v>0</v>
      </c>
      <c r="F44" s="116">
        <f t="shared" si="49"/>
        <v>308.16056666666663</v>
      </c>
      <c r="G44" s="116">
        <f t="shared" si="49"/>
        <v>333.2934120000001</v>
      </c>
      <c r="H44" s="116">
        <f t="shared" si="49"/>
        <v>360.43688496000004</v>
      </c>
      <c r="I44" s="116">
        <f t="shared" si="49"/>
        <v>389.75183575680012</v>
      </c>
      <c r="J44" s="116">
        <f t="shared" si="49"/>
        <v>421.41198261734417</v>
      </c>
      <c r="K44" s="116">
        <f t="shared" si="49"/>
        <v>455.60494122673163</v>
      </c>
      <c r="L44" s="116">
        <f t="shared" si="49"/>
        <v>492.53333652487004</v>
      </c>
      <c r="M44" s="116">
        <f t="shared" si="49"/>
        <v>532.4160034468598</v>
      </c>
      <c r="N44" s="116">
        <f t="shared" si="49"/>
        <v>575.48928372260866</v>
      </c>
      <c r="O44" s="116">
        <f t="shared" si="49"/>
        <v>622.00842642041744</v>
      </c>
      <c r="P44" s="116">
        <f t="shared" si="49"/>
        <v>672.24910053405097</v>
      </c>
    </row>
    <row r="45" spans="2:16" x14ac:dyDescent="0.35">
      <c r="B45" s="217" t="s">
        <v>557</v>
      </c>
      <c r="D45" s="116">
        <f>D44-D26</f>
        <v>0</v>
      </c>
      <c r="E45" s="116">
        <f t="shared" ref="E45:J45" si="50">E44-E26</f>
        <v>0</v>
      </c>
      <c r="F45" s="116">
        <f t="shared" si="50"/>
        <v>147.33227274774771</v>
      </c>
      <c r="G45" s="116">
        <f t="shared" si="50"/>
        <v>188.8696040608109</v>
      </c>
      <c r="H45" s="116">
        <f t="shared" si="50"/>
        <v>230.72886591439192</v>
      </c>
      <c r="I45" s="116">
        <f t="shared" si="50"/>
        <v>273.24701550046564</v>
      </c>
      <c r="J45" s="116">
        <f t="shared" si="50"/>
        <v>316.75518173864907</v>
      </c>
      <c r="K45" s="116">
        <f t="shared" ref="K45:L45" si="51">K44-K26</f>
        <v>361.58172718511105</v>
      </c>
      <c r="L45" s="116">
        <f t="shared" si="51"/>
        <v>408.05516462423577</v>
      </c>
      <c r="M45" s="116">
        <f t="shared" ref="M45:N45" si="52">M44-M26</f>
        <v>456.50696136258961</v>
      </c>
      <c r="N45" s="116">
        <f t="shared" si="52"/>
        <v>507.274261579121</v>
      </c>
      <c r="O45" s="116">
        <f t="shared" ref="O45:P45" si="53">O44-O26</f>
        <v>560.70255486378073</v>
      </c>
      <c r="P45" s="116">
        <f t="shared" si="53"/>
        <v>617.14831724970486</v>
      </c>
    </row>
    <row r="46" spans="2:16" x14ac:dyDescent="0.35">
      <c r="B46" s="217" t="s">
        <v>56</v>
      </c>
      <c r="D46" s="116">
        <f>D30</f>
        <v>0</v>
      </c>
      <c r="E46" s="116">
        <f t="shared" ref="E46:J46" si="54">E30</f>
        <v>0</v>
      </c>
      <c r="F46" s="116">
        <f t="shared" si="54"/>
        <v>34.568160542594612</v>
      </c>
      <c r="G46" s="116">
        <f t="shared" si="54"/>
        <v>69.170117260786071</v>
      </c>
      <c r="H46" s="116">
        <f t="shared" si="54"/>
        <v>105.17311089105777</v>
      </c>
      <c r="I46" s="116">
        <f t="shared" si="54"/>
        <v>142.58959698930846</v>
      </c>
      <c r="J46" s="116">
        <f t="shared" si="54"/>
        <v>181.66736594866586</v>
      </c>
      <c r="K46" s="116">
        <f t="shared" ref="K46:L46" si="55">K30</f>
        <v>223.02629803716229</v>
      </c>
      <c r="L46" s="116">
        <f t="shared" si="55"/>
        <v>266.16710189160818</v>
      </c>
      <c r="M46" s="116">
        <f t="shared" ref="M46:N46" si="56">M30</f>
        <v>312.08271132685309</v>
      </c>
      <c r="N46" s="116">
        <f t="shared" si="56"/>
        <v>360.19766702488783</v>
      </c>
      <c r="O46" s="116">
        <f t="shared" ref="O46:P46" si="57">O30</f>
        <v>410.30389705566449</v>
      </c>
      <c r="P46" s="116">
        <f t="shared" si="57"/>
        <v>460.94554251429918</v>
      </c>
    </row>
    <row r="47" spans="2:16" x14ac:dyDescent="0.35">
      <c r="B47" s="217"/>
    </row>
    <row r="48" spans="2:16" x14ac:dyDescent="0.35">
      <c r="B48" s="217" t="s">
        <v>618</v>
      </c>
      <c r="D48" s="292" t="e">
        <f>D44/D43</f>
        <v>#DIV/0!</v>
      </c>
      <c r="E48" s="292" t="e">
        <f t="shared" ref="E48:J48" si="58">E44/E43</f>
        <v>#DIV/0!</v>
      </c>
      <c r="F48" s="292">
        <f t="shared" si="58"/>
        <v>0.37722014464812148</v>
      </c>
      <c r="G48" s="292">
        <f t="shared" si="58"/>
        <v>0.37776419023914209</v>
      </c>
      <c r="H48" s="292">
        <f t="shared" si="58"/>
        <v>0.37826793615675364</v>
      </c>
      <c r="I48" s="292">
        <f t="shared" si="58"/>
        <v>0.37873436756194961</v>
      </c>
      <c r="J48" s="292">
        <f t="shared" si="58"/>
        <v>0.3791662484926866</v>
      </c>
      <c r="K48" s="292">
        <f t="shared" ref="K48:L48" si="59">K44/K43</f>
        <v>0.37956613824336888</v>
      </c>
      <c r="L48" s="292">
        <f t="shared" si="59"/>
        <v>0.37993640653103772</v>
      </c>
      <c r="M48" s="292">
        <f t="shared" ref="M48:N48" si="60">M44/M43</f>
        <v>0.38027924753813852</v>
      </c>
      <c r="N48" s="292">
        <f t="shared" si="60"/>
        <v>0.38059669291508375</v>
      </c>
      <c r="O48" s="292">
        <f t="shared" ref="O48:P48" si="61">O44/O43</f>
        <v>0.38089062381966265</v>
      </c>
      <c r="P48" s="292">
        <f t="shared" si="61"/>
        <v>0.38116278206464316</v>
      </c>
    </row>
    <row r="49" spans="2:16" x14ac:dyDescent="0.35">
      <c r="B49" s="217" t="s">
        <v>622</v>
      </c>
      <c r="D49" s="451">
        <f>AVERAGE(F48:P48)</f>
        <v>0.37941679801914441</v>
      </c>
      <c r="E49" s="451"/>
      <c r="F49" s="451"/>
      <c r="G49" s="451"/>
      <c r="H49" s="451"/>
      <c r="I49" s="451"/>
      <c r="J49" s="451"/>
      <c r="K49" s="451"/>
      <c r="L49" s="451"/>
      <c r="M49" s="451"/>
      <c r="N49" s="451"/>
      <c r="O49" s="451"/>
      <c r="P49" s="451"/>
    </row>
    <row r="50" spans="2:16" x14ac:dyDescent="0.35">
      <c r="B50" s="217" t="s">
        <v>619</v>
      </c>
      <c r="D50" s="292" t="e">
        <f>D45/D43</f>
        <v>#DIV/0!</v>
      </c>
      <c r="E50" s="292" t="e">
        <f t="shared" ref="E50:K50" si="62">E45/E43</f>
        <v>#DIV/0!</v>
      </c>
      <c r="F50" s="292">
        <f t="shared" si="62"/>
        <v>0.18034981515775342</v>
      </c>
      <c r="G50" s="292">
        <f t="shared" si="62"/>
        <v>0.2140701570147435</v>
      </c>
      <c r="H50" s="292">
        <f t="shared" si="62"/>
        <v>0.24214317558235221</v>
      </c>
      <c r="I50" s="292">
        <f t="shared" si="62"/>
        <v>0.2655228945947396</v>
      </c>
      <c r="J50" s="292">
        <f t="shared" si="62"/>
        <v>0.28500108896884419</v>
      </c>
      <c r="K50" s="292">
        <f t="shared" si="62"/>
        <v>0.3012350556986616</v>
      </c>
      <c r="L50" s="292">
        <f t="shared" ref="L50:N50" si="63">L45/L43</f>
        <v>0.31477059808302904</v>
      </c>
      <c r="M50" s="292">
        <f t="shared" si="63"/>
        <v>0.32606105496266247</v>
      </c>
      <c r="N50" s="292">
        <f t="shared" si="63"/>
        <v>0.33548306079495077</v>
      </c>
      <c r="O50" s="292">
        <f t="shared" ref="O50:P50" si="64">O45/O43</f>
        <v>0.34334960239749857</v>
      </c>
      <c r="P50" s="292">
        <f t="shared" si="64"/>
        <v>0.34992083940690277</v>
      </c>
    </row>
    <row r="51" spans="2:16" x14ac:dyDescent="0.35">
      <c r="B51" s="217" t="s">
        <v>622</v>
      </c>
      <c r="D51" s="451">
        <f>AVERAGE(F50:P50)</f>
        <v>0.28708248569655798</v>
      </c>
      <c r="E51" s="451"/>
      <c r="F51" s="451"/>
      <c r="G51" s="451"/>
      <c r="H51" s="451"/>
      <c r="I51" s="451"/>
      <c r="J51" s="451"/>
      <c r="K51" s="451"/>
      <c r="L51" s="451"/>
      <c r="M51" s="451"/>
      <c r="N51" s="451"/>
      <c r="O51" s="451"/>
      <c r="P51" s="451"/>
    </row>
    <row r="52" spans="2:16" x14ac:dyDescent="0.35">
      <c r="B52" s="217" t="s">
        <v>620</v>
      </c>
      <c r="D52" s="292" t="e">
        <f>D46/D43</f>
        <v>#DIV/0!</v>
      </c>
      <c r="E52" s="292" t="e">
        <f t="shared" ref="E52:K52" si="65">E46/E43</f>
        <v>#DIV/0!</v>
      </c>
      <c r="F52" s="292">
        <f t="shared" si="65"/>
        <v>4.2314974498998827E-2</v>
      </c>
      <c r="G52" s="292">
        <f t="shared" si="65"/>
        <v>7.8399369429382387E-2</v>
      </c>
      <c r="H52" s="292">
        <f t="shared" si="65"/>
        <v>0.11037609427892169</v>
      </c>
      <c r="I52" s="292">
        <f t="shared" si="65"/>
        <v>0.13855888768759134</v>
      </c>
      <c r="J52" s="292">
        <f t="shared" si="65"/>
        <v>0.1634555647717566</v>
      </c>
      <c r="K52" s="292">
        <f t="shared" si="65"/>
        <v>0.18580402232853019</v>
      </c>
      <c r="L52" s="292">
        <f t="shared" ref="L52:N52" si="66">L46/L43</f>
        <v>0.20531924385664782</v>
      </c>
      <c r="M52" s="292">
        <f t="shared" si="66"/>
        <v>0.2229057313542662</v>
      </c>
      <c r="N52" s="292">
        <f t="shared" si="66"/>
        <v>0.23821475871561065</v>
      </c>
      <c r="O52" s="292">
        <f t="shared" ref="O52:P52" si="67">O46/O43</f>
        <v>0.25125207419543855</v>
      </c>
      <c r="P52" s="292">
        <f t="shared" si="67"/>
        <v>0.26135443725468716</v>
      </c>
    </row>
    <row r="53" spans="2:16" x14ac:dyDescent="0.35">
      <c r="B53" s="217" t="s">
        <v>622</v>
      </c>
      <c r="D53" s="451">
        <f>AVERAGE(F52:P52)</f>
        <v>0.17254137803380287</v>
      </c>
      <c r="E53" s="451"/>
      <c r="F53" s="451"/>
      <c r="G53" s="451"/>
      <c r="H53" s="451"/>
      <c r="I53" s="451"/>
      <c r="J53" s="451"/>
      <c r="K53" s="451"/>
      <c r="L53" s="451"/>
      <c r="M53" s="451"/>
      <c r="N53" s="451"/>
      <c r="O53" s="451"/>
      <c r="P53" s="451"/>
    </row>
    <row r="54" spans="2:16" x14ac:dyDescent="0.35">
      <c r="B54" s="217" t="s">
        <v>621</v>
      </c>
      <c r="D54" s="218"/>
      <c r="E54" s="292" t="e">
        <f>E43/(D43)-1</f>
        <v>#DIV/0!</v>
      </c>
      <c r="F54" s="292" t="e">
        <f t="shared" ref="F54:J54" si="68">F43/E43-1</f>
        <v>#DIV/0!</v>
      </c>
      <c r="G54" s="292">
        <f t="shared" si="68"/>
        <v>8.0000000000000293E-2</v>
      </c>
      <c r="H54" s="292">
        <f t="shared" si="68"/>
        <v>8.0000000000000071E-2</v>
      </c>
      <c r="I54" s="292">
        <f t="shared" si="68"/>
        <v>8.0000000000000071E-2</v>
      </c>
      <c r="J54" s="292">
        <f t="shared" si="68"/>
        <v>8.0000000000000071E-2</v>
      </c>
      <c r="K54" s="292">
        <f>K43/J43-1</f>
        <v>8.0000000000000071E-2</v>
      </c>
      <c r="L54" s="292">
        <f>L43/K43-1</f>
        <v>7.9999999999999849E-2</v>
      </c>
      <c r="M54" s="292">
        <f t="shared" ref="M54:N54" si="69">M43/L43-1</f>
        <v>8.0000000000000293E-2</v>
      </c>
      <c r="N54" s="292">
        <f t="shared" si="69"/>
        <v>8.0000000000000071E-2</v>
      </c>
      <c r="O54" s="292">
        <f t="shared" ref="O54:P54" si="70">O43/N43-1</f>
        <v>8.0000000000000071E-2</v>
      </c>
      <c r="P54" s="292">
        <f t="shared" si="70"/>
        <v>8.0000000000000071E-2</v>
      </c>
    </row>
    <row r="55" spans="2:16" x14ac:dyDescent="0.35">
      <c r="B55" s="217" t="s">
        <v>622</v>
      </c>
      <c r="D55" s="451">
        <f>AVERAGE(G54:P54)</f>
        <v>8.0000000000000099E-2</v>
      </c>
      <c r="E55" s="451"/>
      <c r="F55" s="451"/>
      <c r="G55" s="451"/>
      <c r="H55" s="451"/>
      <c r="I55" s="451"/>
      <c r="J55" s="451"/>
      <c r="K55" s="451"/>
      <c r="L55" s="451"/>
      <c r="M55" s="451"/>
      <c r="N55" s="451"/>
      <c r="O55" s="451"/>
      <c r="P55" s="451"/>
    </row>
  </sheetData>
  <customSheetViews>
    <customSheetView guid="{22475485-DA09-46DB-978D-BB94CE1E5597}" hiddenRows="1">
      <pane xSplit="1" ySplit="4" topLeftCell="B5" activePane="bottomRight" state="frozen"/>
      <selection pane="bottomRight" activeCell="D3" sqref="D3"/>
      <pageMargins left="0.7" right="0.7" top="0.75" bottom="0.75" header="0.3" footer="0.3"/>
      <pageSetup paperSize="9" orientation="landscape" verticalDpi="300" r:id="rId1"/>
    </customSheetView>
  </customSheetViews>
  <mergeCells count="4">
    <mergeCell ref="D49:P49"/>
    <mergeCell ref="D51:P51"/>
    <mergeCell ref="D53:P53"/>
    <mergeCell ref="D55:P55"/>
  </mergeCells>
  <dataValidations count="1">
    <dataValidation type="list" allowBlank="1" showInputMessage="1" showErrorMessage="1" sqref="A15 A10" xr:uid="{00000000-0002-0000-0500-000000000000}">
      <formula1>"0%,10%"</formula1>
    </dataValidation>
  </dataValidations>
  <pageMargins left="0.7" right="0.7" top="0.75" bottom="0.75" header="0.3" footer="0.3"/>
  <pageSetup paperSize="9" orientation="landscape"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249977111117893"/>
  </sheetPr>
  <dimension ref="B1:O31"/>
  <sheetViews>
    <sheetView showGridLines="0" tabSelected="1" zoomScaleNormal="99" workbookViewId="0">
      <pane xSplit="2" ySplit="3" topLeftCell="G24" activePane="bottomRight" state="frozen"/>
      <selection activeCell="B8" sqref="B8"/>
      <selection pane="topRight" activeCell="B8" sqref="B8"/>
      <selection pane="bottomLeft" activeCell="B8" sqref="B8"/>
      <selection pane="bottomRight" activeCell="O31" sqref="O31"/>
    </sheetView>
  </sheetViews>
  <sheetFormatPr defaultColWidth="32.26953125" defaultRowHeight="14.5" x14ac:dyDescent="0.35"/>
  <cols>
    <col min="1" max="1" width="4.81640625" style="96" customWidth="1"/>
    <col min="2" max="2" width="40.453125" style="51" customWidth="1"/>
    <col min="3" max="5" width="12.7265625" style="96" customWidth="1"/>
    <col min="6" max="10" width="12.7265625" style="44" customWidth="1"/>
    <col min="11" max="15" width="12.7265625" style="96" customWidth="1"/>
    <col min="16" max="16384" width="32.26953125" style="96"/>
  </cols>
  <sheetData>
    <row r="1" spans="2:15" ht="15.75" customHeight="1" x14ac:dyDescent="0.35"/>
    <row r="2" spans="2:15" s="97" customFormat="1" ht="19.5" customHeight="1" x14ac:dyDescent="0.35">
      <c r="B2" s="138" t="s">
        <v>791</v>
      </c>
      <c r="C2" s="138"/>
      <c r="D2" s="138"/>
      <c r="E2" s="138"/>
      <c r="F2" s="138"/>
      <c r="G2" s="138"/>
      <c r="H2" s="138"/>
      <c r="I2" s="138"/>
      <c r="J2" s="138"/>
      <c r="K2" s="138"/>
      <c r="L2" s="138"/>
      <c r="M2" s="138"/>
      <c r="N2" s="138"/>
      <c r="O2" s="138"/>
    </row>
    <row r="3" spans="2:15" s="58" customFormat="1" ht="21" customHeight="1" x14ac:dyDescent="0.35">
      <c r="B3" s="119" t="s">
        <v>11</v>
      </c>
      <c r="C3" s="94">
        <v>2025</v>
      </c>
      <c r="D3" s="94">
        <f t="shared" ref="D3:I3" si="0">C3+1</f>
        <v>2026</v>
      </c>
      <c r="E3" s="94">
        <f t="shared" si="0"/>
        <v>2027</v>
      </c>
      <c r="F3" s="94">
        <f t="shared" si="0"/>
        <v>2028</v>
      </c>
      <c r="G3" s="94">
        <f t="shared" si="0"/>
        <v>2029</v>
      </c>
      <c r="H3" s="94">
        <f t="shared" si="0"/>
        <v>2030</v>
      </c>
      <c r="I3" s="94">
        <f t="shared" si="0"/>
        <v>2031</v>
      </c>
      <c r="J3" s="94">
        <f>I3+1</f>
        <v>2032</v>
      </c>
      <c r="K3" s="94">
        <f t="shared" ref="K3" si="1">J3+1</f>
        <v>2033</v>
      </c>
      <c r="L3" s="94">
        <f t="shared" ref="L3:O3" si="2">K3+1</f>
        <v>2034</v>
      </c>
      <c r="M3" s="94">
        <f t="shared" si="2"/>
        <v>2035</v>
      </c>
      <c r="N3" s="94">
        <f t="shared" si="2"/>
        <v>2036</v>
      </c>
      <c r="O3" s="94">
        <f t="shared" si="2"/>
        <v>2037</v>
      </c>
    </row>
    <row r="4" spans="2:15" s="58" customFormat="1" ht="21" customHeight="1" x14ac:dyDescent="0.35">
      <c r="B4" s="111" t="s">
        <v>366</v>
      </c>
      <c r="C4" s="71" t="s">
        <v>808</v>
      </c>
      <c r="D4" s="71" t="s">
        <v>808</v>
      </c>
      <c r="E4" s="71" t="s">
        <v>512</v>
      </c>
      <c r="F4" s="71" t="s">
        <v>512</v>
      </c>
      <c r="G4" s="71" t="s">
        <v>512</v>
      </c>
      <c r="H4" s="71" t="s">
        <v>512</v>
      </c>
      <c r="I4" s="71" t="s">
        <v>512</v>
      </c>
      <c r="J4" s="71" t="s">
        <v>512</v>
      </c>
      <c r="K4" s="71" t="s">
        <v>512</v>
      </c>
      <c r="L4" s="71" t="s">
        <v>512</v>
      </c>
      <c r="M4" s="71" t="s">
        <v>512</v>
      </c>
      <c r="N4" s="71" t="s">
        <v>512</v>
      </c>
      <c r="O4" s="71" t="s">
        <v>512</v>
      </c>
    </row>
    <row r="5" spans="2:15" s="97" customFormat="1" ht="21" customHeight="1" x14ac:dyDescent="0.35">
      <c r="B5" s="107" t="s">
        <v>38</v>
      </c>
      <c r="F5" s="44"/>
      <c r="G5" s="44"/>
      <c r="H5" s="44"/>
      <c r="I5" s="44"/>
      <c r="J5" s="44"/>
      <c r="K5" s="44"/>
      <c r="L5" s="44"/>
      <c r="M5" s="44"/>
      <c r="N5" s="44"/>
      <c r="O5" s="44"/>
    </row>
    <row r="6" spans="2:15" s="97" customFormat="1" ht="21" customHeight="1" x14ac:dyDescent="0.35">
      <c r="B6" s="51" t="s">
        <v>545</v>
      </c>
      <c r="C6" s="186">
        <f>'CoP-MoF'!D19/A</f>
        <v>100</v>
      </c>
      <c r="D6" s="186">
        <f>C6</f>
        <v>100</v>
      </c>
      <c r="E6" s="186">
        <f t="shared" ref="E6:I6" si="3">D6</f>
        <v>100</v>
      </c>
      <c r="F6" s="186">
        <f t="shared" si="3"/>
        <v>100</v>
      </c>
      <c r="G6" s="186">
        <f t="shared" si="3"/>
        <v>100</v>
      </c>
      <c r="H6" s="186">
        <f t="shared" si="3"/>
        <v>100</v>
      </c>
      <c r="I6" s="186">
        <f t="shared" si="3"/>
        <v>100</v>
      </c>
      <c r="J6" s="186">
        <f>I6</f>
        <v>100</v>
      </c>
      <c r="K6" s="186">
        <f t="shared" ref="K6" si="4">J6</f>
        <v>100</v>
      </c>
      <c r="L6" s="186">
        <f t="shared" ref="L6:O6" si="5">K6</f>
        <v>100</v>
      </c>
      <c r="M6" s="186">
        <f t="shared" si="5"/>
        <v>100</v>
      </c>
      <c r="N6" s="186">
        <f t="shared" si="5"/>
        <v>100</v>
      </c>
      <c r="O6" s="186">
        <f t="shared" si="5"/>
        <v>100</v>
      </c>
    </row>
    <row r="7" spans="2:15" s="97" customFormat="1" ht="21" customHeight="1" x14ac:dyDescent="0.35">
      <c r="B7" s="51" t="s">
        <v>403</v>
      </c>
      <c r="C7" s="186">
        <f>'P &amp; L'!D30</f>
        <v>0</v>
      </c>
      <c r="D7" s="186">
        <f>C7+'P &amp; L'!E30</f>
        <v>0</v>
      </c>
      <c r="E7" s="186">
        <f>D7+'P &amp; L'!F30</f>
        <v>34.568160542594612</v>
      </c>
      <c r="F7" s="186">
        <f>E7+'P &amp; L'!G30</f>
        <v>103.73827780338068</v>
      </c>
      <c r="G7" s="186">
        <f>F7+'P &amp; L'!H30</f>
        <v>208.91138869443847</v>
      </c>
      <c r="H7" s="186">
        <f>G7+'P &amp; L'!I30</f>
        <v>351.50098568374693</v>
      </c>
      <c r="I7" s="186">
        <f>H7+'P &amp; L'!J30</f>
        <v>533.16835163241285</v>
      </c>
      <c r="J7" s="186">
        <f>I7+'P &amp; L'!K30</f>
        <v>756.19464966957514</v>
      </c>
      <c r="K7" s="186">
        <f>J7+'P &amp; L'!L30</f>
        <v>1022.3617515611834</v>
      </c>
      <c r="L7" s="186">
        <f>K7+'P &amp; L'!M30</f>
        <v>1334.4444628880365</v>
      </c>
      <c r="M7" s="186">
        <f>L7+'P &amp; L'!N30</f>
        <v>1694.6421299129242</v>
      </c>
      <c r="N7" s="186">
        <f>M7+'P &amp; L'!O30</f>
        <v>2104.9460269685887</v>
      </c>
      <c r="O7" s="186">
        <f>N7+'P &amp; L'!P30</f>
        <v>2565.8915694828879</v>
      </c>
    </row>
    <row r="8" spans="2:15" s="97" customFormat="1" ht="21" customHeight="1" x14ac:dyDescent="0.35">
      <c r="B8" s="51" t="s">
        <v>402</v>
      </c>
      <c r="C8" s="186">
        <f>'Cash Flow'!C8-C12-'Cash Flow'!C22</f>
        <v>490</v>
      </c>
      <c r="D8" s="186">
        <f>C8+'Cash Flow'!D8-D12</f>
        <v>962.00000000000023</v>
      </c>
      <c r="E8" s="186">
        <f>D8+'Cash Flow'!E8-E12</f>
        <v>907.00000000000023</v>
      </c>
      <c r="F8" s="186">
        <f>E8+'Cash Flow'!F8-F12</f>
        <v>840.00000000000023</v>
      </c>
      <c r="G8" s="186">
        <f>F8+'Cash Flow'!G8-G12</f>
        <v>761.00000000000023</v>
      </c>
      <c r="H8" s="186">
        <f>G8+'Cash Flow'!H8-H12</f>
        <v>670.00000000000023</v>
      </c>
      <c r="I8" s="186">
        <f>H8+'Cash Flow'!I8-I12</f>
        <v>567.00000000000023</v>
      </c>
      <c r="J8" s="186">
        <f>I8+'Cash Flow'!J8-J12</f>
        <v>451.00000000000023</v>
      </c>
      <c r="K8" s="186">
        <f>J8+'Cash Flow'!K8-K12</f>
        <v>319.00000000000023</v>
      </c>
      <c r="L8" s="186">
        <f>K8+'Cash Flow'!L8-L12</f>
        <v>187.00000000000023</v>
      </c>
      <c r="M8" s="186">
        <f>L8+'Cash Flow'!M8-M12</f>
        <v>55.000000000000227</v>
      </c>
      <c r="N8" s="186">
        <f>M8+'Cash Flow'!N8-N12</f>
        <v>2.2737367544323206E-13</v>
      </c>
      <c r="O8" s="186">
        <f>N8+'Cash Flow'!O8-O12</f>
        <v>2.2737367544323206E-13</v>
      </c>
    </row>
    <row r="9" spans="2:15" s="97" customFormat="1" ht="21" customHeight="1" x14ac:dyDescent="0.35">
      <c r="B9" s="51" t="s">
        <v>799</v>
      </c>
      <c r="C9" s="253">
        <v>144.5</v>
      </c>
      <c r="D9" s="186">
        <f>'CoP-MoF'!D20/A</f>
        <v>518.35916666666651</v>
      </c>
      <c r="E9" s="186">
        <f>D9</f>
        <v>518.35916666666651</v>
      </c>
      <c r="F9" s="186">
        <f t="shared" ref="F9:I9" si="6">E9</f>
        <v>518.35916666666651</v>
      </c>
      <c r="G9" s="186">
        <f t="shared" si="6"/>
        <v>518.35916666666651</v>
      </c>
      <c r="H9" s="186">
        <f t="shared" si="6"/>
        <v>518.35916666666651</v>
      </c>
      <c r="I9" s="186">
        <f t="shared" si="6"/>
        <v>518.35916666666651</v>
      </c>
      <c r="J9" s="186">
        <f>I9</f>
        <v>518.35916666666651</v>
      </c>
      <c r="K9" s="186">
        <f t="shared" ref="K9" si="7">J9</f>
        <v>518.35916666666651</v>
      </c>
      <c r="L9" s="186">
        <f t="shared" ref="L9:O9" si="8">K9</f>
        <v>518.35916666666651</v>
      </c>
      <c r="M9" s="186">
        <f t="shared" si="8"/>
        <v>518.35916666666651</v>
      </c>
      <c r="N9" s="186">
        <f t="shared" si="8"/>
        <v>518.35916666666651</v>
      </c>
      <c r="O9" s="186">
        <f t="shared" si="8"/>
        <v>518.35916666666651</v>
      </c>
    </row>
    <row r="10" spans="2:15" s="97" customFormat="1" ht="21" customHeight="1" x14ac:dyDescent="0.35">
      <c r="B10" s="107" t="s">
        <v>380</v>
      </c>
      <c r="C10" s="186"/>
      <c r="D10" s="186"/>
      <c r="E10" s="186"/>
      <c r="F10" s="186"/>
      <c r="G10" s="186"/>
      <c r="H10" s="186"/>
      <c r="I10" s="186"/>
      <c r="J10" s="186"/>
      <c r="K10" s="186"/>
      <c r="L10" s="186"/>
      <c r="M10" s="186"/>
      <c r="N10" s="186"/>
      <c r="O10" s="186"/>
    </row>
    <row r="11" spans="2:15" s="97" customFormat="1" ht="21" customHeight="1" x14ac:dyDescent="0.35">
      <c r="B11" s="51" t="s">
        <v>719</v>
      </c>
      <c r="C11" s="186">
        <f>WC!D26</f>
        <v>0</v>
      </c>
      <c r="D11" s="186">
        <f>WC!E26</f>
        <v>0</v>
      </c>
      <c r="E11" s="186">
        <f>WC!F26</f>
        <v>39.176486301369863</v>
      </c>
      <c r="F11" s="186">
        <f>WC!G26</f>
        <v>42.271153150684938</v>
      </c>
      <c r="G11" s="186">
        <f>WC!H26</f>
        <v>45.613393347945205</v>
      </c>
      <c r="H11" s="186">
        <f>WC!I26</f>
        <v>49.223012760986308</v>
      </c>
      <c r="I11" s="186">
        <f>WC!J26</f>
        <v>53.12140172707069</v>
      </c>
      <c r="J11" s="186">
        <f>WC!K26</f>
        <v>57.331661810441844</v>
      </c>
      <c r="K11" s="186">
        <f>WC!L26</f>
        <v>61.878742700482661</v>
      </c>
      <c r="L11" s="186">
        <f>WC!M26</f>
        <v>66.78959006172677</v>
      </c>
      <c r="M11" s="186">
        <f>WC!N26</f>
        <v>72.093305211870401</v>
      </c>
      <c r="N11" s="186">
        <f>WC!O26</f>
        <v>77.8213175740255</v>
      </c>
      <c r="O11" s="186">
        <f>WC!P26</f>
        <v>84.007570925153033</v>
      </c>
    </row>
    <row r="12" spans="2:15" s="97" customFormat="1" ht="30.75" customHeight="1" x14ac:dyDescent="0.35">
      <c r="B12" s="45" t="s">
        <v>544</v>
      </c>
      <c r="C12" s="186">
        <f>'TL Schd'!E7</f>
        <v>0</v>
      </c>
      <c r="D12" s="186">
        <f>'TL Schd'!F7</f>
        <v>28</v>
      </c>
      <c r="E12" s="186">
        <f>'TL Schd'!G7</f>
        <v>55</v>
      </c>
      <c r="F12" s="186">
        <f>'TL Schd'!H7</f>
        <v>67</v>
      </c>
      <c r="G12" s="186">
        <f>'TL Schd'!I7</f>
        <v>79</v>
      </c>
      <c r="H12" s="186">
        <f>'TL Schd'!J7</f>
        <v>91</v>
      </c>
      <c r="I12" s="186">
        <f>'TL Schd'!K7</f>
        <v>103</v>
      </c>
      <c r="J12" s="186">
        <f>'TL Schd'!L7</f>
        <v>116</v>
      </c>
      <c r="K12" s="186">
        <f>'TL Schd'!M7</f>
        <v>132</v>
      </c>
      <c r="L12" s="186">
        <f>'TL Schd'!N7</f>
        <v>132</v>
      </c>
      <c r="M12" s="186">
        <f>'TL Schd'!O7</f>
        <v>132</v>
      </c>
      <c r="N12" s="186">
        <f>'TL Schd'!P7</f>
        <v>55</v>
      </c>
      <c r="O12" s="186">
        <v>0</v>
      </c>
    </row>
    <row r="13" spans="2:15" s="97" customFormat="1" ht="21" customHeight="1" x14ac:dyDescent="0.35">
      <c r="B13" s="118" t="s">
        <v>39</v>
      </c>
      <c r="C13" s="293">
        <f t="shared" ref="C13:O13" si="9">SUM(C6:C12)</f>
        <v>734.5</v>
      </c>
      <c r="D13" s="293">
        <f t="shared" si="9"/>
        <v>1608.3591666666666</v>
      </c>
      <c r="E13" s="293">
        <f t="shared" si="9"/>
        <v>1654.1038135106312</v>
      </c>
      <c r="F13" s="293">
        <f t="shared" si="9"/>
        <v>1671.3685976207323</v>
      </c>
      <c r="G13" s="293">
        <f t="shared" si="9"/>
        <v>1712.8839487090506</v>
      </c>
      <c r="H13" s="293">
        <f t="shared" si="9"/>
        <v>1780.0831651113999</v>
      </c>
      <c r="I13" s="293">
        <f t="shared" si="9"/>
        <v>1874.6489200261501</v>
      </c>
      <c r="J13" s="293">
        <f t="shared" si="9"/>
        <v>1998.8854781466839</v>
      </c>
      <c r="K13" s="293">
        <f t="shared" si="9"/>
        <v>2153.5996609283329</v>
      </c>
      <c r="L13" s="293">
        <f t="shared" si="9"/>
        <v>2338.5932196164299</v>
      </c>
      <c r="M13" s="293">
        <f t="shared" si="9"/>
        <v>2572.0946017914612</v>
      </c>
      <c r="N13" s="293">
        <f t="shared" si="9"/>
        <v>2856.126511209281</v>
      </c>
      <c r="O13" s="293">
        <f t="shared" si="9"/>
        <v>3268.2583070747082</v>
      </c>
    </row>
    <row r="14" spans="2:15" s="97" customFormat="1" ht="21" customHeight="1" x14ac:dyDescent="0.35">
      <c r="B14" s="107" t="s">
        <v>398</v>
      </c>
      <c r="C14" s="186" t="s">
        <v>752</v>
      </c>
      <c r="D14" s="186"/>
      <c r="E14" s="186"/>
      <c r="F14" s="186"/>
      <c r="G14" s="186"/>
      <c r="H14" s="186"/>
      <c r="I14" s="186"/>
      <c r="J14" s="186"/>
      <c r="K14" s="186"/>
      <c r="L14" s="186"/>
      <c r="M14" s="186"/>
      <c r="N14" s="186"/>
      <c r="O14" s="186"/>
    </row>
    <row r="15" spans="2:15" s="97" customFormat="1" ht="14.5" hidden="1" customHeight="1" x14ac:dyDescent="0.35">
      <c r="B15" s="51"/>
      <c r="C15" s="186"/>
      <c r="D15" s="186"/>
      <c r="E15" s="186"/>
      <c r="F15" s="186"/>
      <c r="G15" s="186"/>
      <c r="H15" s="186"/>
      <c r="I15" s="186"/>
      <c r="J15" s="186"/>
      <c r="K15" s="186"/>
      <c r="L15" s="186"/>
      <c r="M15" s="186"/>
      <c r="N15" s="186"/>
      <c r="O15" s="186"/>
    </row>
    <row r="16" spans="2:15" s="97" customFormat="1" ht="14.5" customHeight="1" x14ac:dyDescent="0.35">
      <c r="B16" s="51"/>
      <c r="C16" s="186"/>
      <c r="D16" s="186"/>
      <c r="E16" s="186"/>
      <c r="F16" s="186"/>
      <c r="G16" s="186"/>
      <c r="H16" s="186"/>
      <c r="I16" s="186"/>
      <c r="J16" s="186"/>
      <c r="K16" s="186"/>
      <c r="L16" s="186"/>
      <c r="M16" s="186"/>
      <c r="N16" s="186"/>
      <c r="O16" s="186"/>
    </row>
    <row r="17" spans="2:15" s="97" customFormat="1" ht="14.5" customHeight="1" x14ac:dyDescent="0.35">
      <c r="B17" s="51" t="s">
        <v>794</v>
      </c>
      <c r="C17" s="186">
        <f>Depr!E27</f>
        <v>13.02</v>
      </c>
      <c r="D17" s="186">
        <f>C17+Depr!H27</f>
        <v>19.02</v>
      </c>
      <c r="E17" s="186">
        <f t="shared" ref="E17:I17" si="10">D17</f>
        <v>19.02</v>
      </c>
      <c r="F17" s="186">
        <f t="shared" si="10"/>
        <v>19.02</v>
      </c>
      <c r="G17" s="186">
        <f t="shared" si="10"/>
        <v>19.02</v>
      </c>
      <c r="H17" s="186">
        <f t="shared" si="10"/>
        <v>19.02</v>
      </c>
      <c r="I17" s="186">
        <f t="shared" si="10"/>
        <v>19.02</v>
      </c>
      <c r="J17" s="186">
        <f t="shared" ref="J17:J20" si="11">I17</f>
        <v>19.02</v>
      </c>
      <c r="K17" s="186">
        <f t="shared" ref="K17:K20" si="12">J17</f>
        <v>19.02</v>
      </c>
      <c r="L17" s="186">
        <f t="shared" ref="L17:L20" si="13">K17</f>
        <v>19.02</v>
      </c>
      <c r="M17" s="186">
        <f t="shared" ref="M17:M20" si="14">L17</f>
        <v>19.02</v>
      </c>
      <c r="N17" s="186">
        <f t="shared" ref="N17:N20" si="15">M17</f>
        <v>19.02</v>
      </c>
      <c r="O17" s="186">
        <f t="shared" ref="O17:O20" si="16">N17</f>
        <v>19.02</v>
      </c>
    </row>
    <row r="18" spans="2:15" s="97" customFormat="1" ht="21" customHeight="1" x14ac:dyDescent="0.35">
      <c r="B18" s="51" t="s">
        <v>413</v>
      </c>
      <c r="C18" s="186">
        <f>Depr!E28</f>
        <v>717.91191155492152</v>
      </c>
      <c r="D18" s="186">
        <f>C18+Depr!H28</f>
        <v>1163.5610343619392</v>
      </c>
      <c r="E18" s="186">
        <f t="shared" ref="E18:I18" si="17">D18</f>
        <v>1163.5610343619392</v>
      </c>
      <c r="F18" s="186">
        <f t="shared" si="17"/>
        <v>1163.5610343619392</v>
      </c>
      <c r="G18" s="186">
        <f t="shared" si="17"/>
        <v>1163.5610343619392</v>
      </c>
      <c r="H18" s="186">
        <f t="shared" si="17"/>
        <v>1163.5610343619392</v>
      </c>
      <c r="I18" s="186">
        <f t="shared" si="17"/>
        <v>1163.5610343619392</v>
      </c>
      <c r="J18" s="186">
        <f t="shared" si="11"/>
        <v>1163.5610343619392</v>
      </c>
      <c r="K18" s="186">
        <f t="shared" si="12"/>
        <v>1163.5610343619392</v>
      </c>
      <c r="L18" s="186">
        <f t="shared" si="13"/>
        <v>1163.5610343619392</v>
      </c>
      <c r="M18" s="186">
        <f t="shared" si="14"/>
        <v>1163.5610343619392</v>
      </c>
      <c r="N18" s="186">
        <f t="shared" si="15"/>
        <v>1163.5610343619392</v>
      </c>
      <c r="O18" s="186">
        <f t="shared" si="16"/>
        <v>1163.5610343619392</v>
      </c>
    </row>
    <row r="19" spans="2:15" s="97" customFormat="1" ht="21" customHeight="1" x14ac:dyDescent="0.35">
      <c r="B19" s="51" t="s">
        <v>95</v>
      </c>
      <c r="C19" s="186">
        <f>Depr!E29</f>
        <v>1.0255884450784594</v>
      </c>
      <c r="D19" s="186">
        <f>C19+Depr!H29</f>
        <v>44.476377918762672</v>
      </c>
      <c r="E19" s="186">
        <f t="shared" ref="E19:I19" si="18">D19</f>
        <v>44.476377918762672</v>
      </c>
      <c r="F19" s="186">
        <f t="shared" si="18"/>
        <v>44.476377918762672</v>
      </c>
      <c r="G19" s="186">
        <f t="shared" si="18"/>
        <v>44.476377918762672</v>
      </c>
      <c r="H19" s="186">
        <f t="shared" si="18"/>
        <v>44.476377918762672</v>
      </c>
      <c r="I19" s="186">
        <f t="shared" si="18"/>
        <v>44.476377918762672</v>
      </c>
      <c r="J19" s="186">
        <f t="shared" si="11"/>
        <v>44.476377918762672</v>
      </c>
      <c r="K19" s="186">
        <f t="shared" si="12"/>
        <v>44.476377918762672</v>
      </c>
      <c r="L19" s="186">
        <f t="shared" si="13"/>
        <v>44.476377918762672</v>
      </c>
      <c r="M19" s="186">
        <f t="shared" si="14"/>
        <v>44.476377918762672</v>
      </c>
      <c r="N19" s="186">
        <f t="shared" si="15"/>
        <v>44.476377918762672</v>
      </c>
      <c r="O19" s="186">
        <f t="shared" si="16"/>
        <v>44.476377918762672</v>
      </c>
    </row>
    <row r="20" spans="2:15" s="97" customFormat="1" ht="21" customHeight="1" x14ac:dyDescent="0.35">
      <c r="B20" s="51" t="s">
        <v>795</v>
      </c>
      <c r="C20" s="186">
        <f>Depr!E30</f>
        <v>0</v>
      </c>
      <c r="D20" s="186">
        <f>C20+Depr!H30</f>
        <v>378.8017543859649</v>
      </c>
      <c r="E20" s="186">
        <f t="shared" ref="E20" si="19">D20</f>
        <v>378.8017543859649</v>
      </c>
      <c r="F20" s="186">
        <f t="shared" ref="F20" si="20">E20</f>
        <v>378.8017543859649</v>
      </c>
      <c r="G20" s="186">
        <f t="shared" ref="G20" si="21">F20</f>
        <v>378.8017543859649</v>
      </c>
      <c r="H20" s="186">
        <f t="shared" ref="H20" si="22">G20</f>
        <v>378.8017543859649</v>
      </c>
      <c r="I20" s="186">
        <f t="shared" ref="I20" si="23">H20</f>
        <v>378.8017543859649</v>
      </c>
      <c r="J20" s="186">
        <f t="shared" si="11"/>
        <v>378.8017543859649</v>
      </c>
      <c r="K20" s="186">
        <f t="shared" si="12"/>
        <v>378.8017543859649</v>
      </c>
      <c r="L20" s="186">
        <f t="shared" si="13"/>
        <v>378.8017543859649</v>
      </c>
      <c r="M20" s="186">
        <f t="shared" si="14"/>
        <v>378.8017543859649</v>
      </c>
      <c r="N20" s="186">
        <f t="shared" si="15"/>
        <v>378.8017543859649</v>
      </c>
      <c r="O20" s="186">
        <f t="shared" si="16"/>
        <v>378.8017543859649</v>
      </c>
    </row>
    <row r="21" spans="2:15" s="97" customFormat="1" ht="21" customHeight="1" x14ac:dyDescent="0.35">
      <c r="B21" s="107" t="s">
        <v>400</v>
      </c>
      <c r="C21" s="294">
        <f>SUM(C15:C20)</f>
        <v>731.95749999999998</v>
      </c>
      <c r="D21" s="294">
        <f t="shared" ref="D21:J21" si="24">SUM(D15:D20)</f>
        <v>1605.8591666666666</v>
      </c>
      <c r="E21" s="294">
        <f t="shared" si="24"/>
        <v>1605.8591666666666</v>
      </c>
      <c r="F21" s="294">
        <f t="shared" si="24"/>
        <v>1605.8591666666666</v>
      </c>
      <c r="G21" s="294">
        <f t="shared" si="24"/>
        <v>1605.8591666666666</v>
      </c>
      <c r="H21" s="294">
        <f t="shared" si="24"/>
        <v>1605.8591666666666</v>
      </c>
      <c r="I21" s="294">
        <f t="shared" si="24"/>
        <v>1605.8591666666666</v>
      </c>
      <c r="J21" s="294">
        <f t="shared" si="24"/>
        <v>1605.8591666666666</v>
      </c>
      <c r="K21" s="294">
        <f t="shared" ref="K21" si="25">SUM(K15:K20)</f>
        <v>1605.8591666666666</v>
      </c>
      <c r="L21" s="294">
        <f t="shared" ref="L21:O21" si="26">SUM(L15:L20)</f>
        <v>1605.8591666666666</v>
      </c>
      <c r="M21" s="294">
        <f t="shared" si="26"/>
        <v>1605.8591666666666</v>
      </c>
      <c r="N21" s="294">
        <f t="shared" si="26"/>
        <v>1605.8591666666666</v>
      </c>
      <c r="O21" s="294">
        <f t="shared" si="26"/>
        <v>1605.8591666666666</v>
      </c>
    </row>
    <row r="22" spans="2:15" s="97" customFormat="1" ht="21" customHeight="1" x14ac:dyDescent="0.35">
      <c r="B22" s="51" t="s">
        <v>230</v>
      </c>
      <c r="C22" s="186">
        <f>'P &amp; L'!D26</f>
        <v>0</v>
      </c>
      <c r="D22" s="186">
        <f>C22+'P &amp; L'!E26</f>
        <v>0</v>
      </c>
      <c r="E22" s="186">
        <f>D22+'P &amp; L'!F26</f>
        <v>160.82829391891892</v>
      </c>
      <c r="F22" s="186">
        <f>E22+'P &amp; L'!G26</f>
        <v>305.25210185810812</v>
      </c>
      <c r="G22" s="186">
        <f>F22+'P &amp; L'!H26</f>
        <v>434.96012090371624</v>
      </c>
      <c r="H22" s="186">
        <f>G22+'P &amp; L'!I26</f>
        <v>551.46494116005067</v>
      </c>
      <c r="I22" s="186">
        <f>H22+'P &amp; L'!J26</f>
        <v>656.12174203874577</v>
      </c>
      <c r="J22" s="186">
        <f>I22+'P &amp; L'!K26</f>
        <v>750.14495608036634</v>
      </c>
      <c r="K22" s="186">
        <f>J22+'P &amp; L'!L26</f>
        <v>834.62312798100061</v>
      </c>
      <c r="L22" s="186">
        <f>K22+'P &amp; L'!M26</f>
        <v>910.53217006527075</v>
      </c>
      <c r="M22" s="186">
        <f>L22+'P &amp; L'!N26</f>
        <v>978.74719220875841</v>
      </c>
      <c r="N22" s="186">
        <f>M22+'P &amp; L'!O26</f>
        <v>1040.0530637653951</v>
      </c>
      <c r="O22" s="186">
        <f>N22+'P &amp; L'!P26</f>
        <v>1095.1538470497412</v>
      </c>
    </row>
    <row r="23" spans="2:15" s="97" customFormat="1" ht="21" customHeight="1" x14ac:dyDescent="0.35">
      <c r="B23" s="107" t="s">
        <v>414</v>
      </c>
      <c r="C23" s="294">
        <f t="shared" ref="C23:H23" si="27">C21-C22</f>
        <v>731.95749999999998</v>
      </c>
      <c r="D23" s="294">
        <f t="shared" si="27"/>
        <v>1605.8591666666666</v>
      </c>
      <c r="E23" s="294">
        <f t="shared" si="27"/>
        <v>1445.0308727477477</v>
      </c>
      <c r="F23" s="294">
        <f t="shared" si="27"/>
        <v>1300.6070648085586</v>
      </c>
      <c r="G23" s="294">
        <f t="shared" si="27"/>
        <v>1170.8990457629504</v>
      </c>
      <c r="H23" s="294">
        <f t="shared" si="27"/>
        <v>1054.3942255066158</v>
      </c>
      <c r="I23" s="294">
        <f t="shared" ref="I23:J23" si="28">I21-I22</f>
        <v>949.73742462792086</v>
      </c>
      <c r="J23" s="294">
        <f t="shared" si="28"/>
        <v>855.71421058630028</v>
      </c>
      <c r="K23" s="294">
        <f t="shared" ref="K23" si="29">K21-K22</f>
        <v>771.23603868566602</v>
      </c>
      <c r="L23" s="294">
        <f t="shared" ref="L23:O23" si="30">L21-L22</f>
        <v>695.32699660139588</v>
      </c>
      <c r="M23" s="294">
        <f t="shared" si="30"/>
        <v>627.11197445790822</v>
      </c>
      <c r="N23" s="294">
        <f t="shared" si="30"/>
        <v>565.80610290127152</v>
      </c>
      <c r="O23" s="294">
        <f t="shared" si="30"/>
        <v>510.70531961692541</v>
      </c>
    </row>
    <row r="24" spans="2:15" s="97" customFormat="1" ht="21" customHeight="1" x14ac:dyDescent="0.35">
      <c r="B24" s="107" t="s">
        <v>401</v>
      </c>
      <c r="C24" s="294">
        <f t="shared" ref="C24:H24" si="31">SUM(C25:C27)</f>
        <v>4.250000000001819E-2</v>
      </c>
      <c r="D24" s="294">
        <f t="shared" si="31"/>
        <v>0</v>
      </c>
      <c r="E24" s="294">
        <f t="shared" si="31"/>
        <v>207.07294076288341</v>
      </c>
      <c r="F24" s="294">
        <f t="shared" si="31"/>
        <v>369.26153281217375</v>
      </c>
      <c r="G24" s="294">
        <f t="shared" si="31"/>
        <v>540.98490294609996</v>
      </c>
      <c r="H24" s="294">
        <f t="shared" si="31"/>
        <v>725.18893960478397</v>
      </c>
      <c r="I24" s="294">
        <f t="shared" ref="I24:J24" si="32">SUM(I25:I27)</f>
        <v>924.91149539822925</v>
      </c>
      <c r="J24" s="294">
        <f t="shared" si="32"/>
        <v>1143.1712675603831</v>
      </c>
      <c r="K24" s="294">
        <f t="shared" ref="K24" si="33">SUM(K25:K27)</f>
        <v>1382.3636222426662</v>
      </c>
      <c r="L24" s="294">
        <f t="shared" ref="L24:O24" si="34">SUM(L25:L27)</f>
        <v>1643.2662230150336</v>
      </c>
      <c r="M24" s="294">
        <f t="shared" si="34"/>
        <v>1944.9826273335527</v>
      </c>
      <c r="N24" s="294">
        <f t="shared" si="34"/>
        <v>2290.3204083080091</v>
      </c>
      <c r="O24" s="294">
        <f t="shared" si="34"/>
        <v>2757.5529874577819</v>
      </c>
    </row>
    <row r="25" spans="2:15" s="97" customFormat="1" ht="21" customHeight="1" x14ac:dyDescent="0.35">
      <c r="B25" s="51" t="s">
        <v>376</v>
      </c>
      <c r="C25" s="186">
        <f>WC!D29</f>
        <v>0</v>
      </c>
      <c r="D25" s="186">
        <f>WC!E29</f>
        <v>0</v>
      </c>
      <c r="E25" s="186">
        <f>WC!F29</f>
        <v>22.38150684931507</v>
      </c>
      <c r="F25" s="186">
        <f>WC!G29</f>
        <v>24.172027397260276</v>
      </c>
      <c r="G25" s="186">
        <f>WC!H29</f>
        <v>26.105789589041102</v>
      </c>
      <c r="H25" s="186">
        <f>WC!I29</f>
        <v>28.194252756164389</v>
      </c>
      <c r="I25" s="186">
        <f>WC!J29</f>
        <v>30.449792976657545</v>
      </c>
      <c r="J25" s="186">
        <f>WC!K29</f>
        <v>32.885776414790151</v>
      </c>
      <c r="K25" s="186">
        <f>WC!L29</f>
        <v>35.516638527973356</v>
      </c>
      <c r="L25" s="186">
        <f>WC!M29</f>
        <v>38.357969610211235</v>
      </c>
      <c r="M25" s="186">
        <f>WC!N29</f>
        <v>41.426607179028132</v>
      </c>
      <c r="N25" s="186">
        <f>WC!O29</f>
        <v>44.740735753350386</v>
      </c>
      <c r="O25" s="186">
        <f>WC!P29</f>
        <v>48.319994613618427</v>
      </c>
    </row>
    <row r="26" spans="2:15" s="97" customFormat="1" ht="21" customHeight="1" x14ac:dyDescent="0.35">
      <c r="B26" s="51" t="s">
        <v>377</v>
      </c>
      <c r="C26" s="186">
        <f>WC!D31</f>
        <v>0</v>
      </c>
      <c r="D26" s="186">
        <f>WC!E31</f>
        <v>0</v>
      </c>
      <c r="E26" s="186">
        <f>WC!F31</f>
        <v>13.428904109589039</v>
      </c>
      <c r="F26" s="186">
        <f>WC!G31</f>
        <v>14.503216438356167</v>
      </c>
      <c r="G26" s="186">
        <f>WC!H31</f>
        <v>15.663473753424659</v>
      </c>
      <c r="H26" s="186">
        <f>WC!I31</f>
        <v>16.916551653698633</v>
      </c>
      <c r="I26" s="186">
        <f>WC!J31</f>
        <v>18.269875785994525</v>
      </c>
      <c r="J26" s="186">
        <f>WC!K31</f>
        <v>19.731465848874091</v>
      </c>
      <c r="K26" s="186">
        <f>WC!L31</f>
        <v>21.309983116784014</v>
      </c>
      <c r="L26" s="186">
        <f>WC!M31</f>
        <v>23.014781766126738</v>
      </c>
      <c r="M26" s="186">
        <f>WC!N31</f>
        <v>24.855964307416883</v>
      </c>
      <c r="N26" s="186">
        <f>WC!O31</f>
        <v>26.84444145201023</v>
      </c>
      <c r="O26" s="186">
        <f>WC!P31</f>
        <v>28.991996768171056</v>
      </c>
    </row>
    <row r="27" spans="2:15" s="97" customFormat="1" ht="21" customHeight="1" x14ac:dyDescent="0.35">
      <c r="B27" s="51" t="s">
        <v>415</v>
      </c>
      <c r="C27" s="186">
        <f>'Cash Flow'!C31</f>
        <v>4.250000000001819E-2</v>
      </c>
      <c r="D27" s="186">
        <f>'Cash Flow'!D31</f>
        <v>0</v>
      </c>
      <c r="E27" s="186">
        <f>'Cash Flow'!E31</f>
        <v>171.26252980397931</v>
      </c>
      <c r="F27" s="186">
        <f>'Cash Flow'!F31</f>
        <v>330.58628897655728</v>
      </c>
      <c r="G27" s="186">
        <f>'Cash Flow'!G31</f>
        <v>499.21563960363414</v>
      </c>
      <c r="H27" s="186">
        <f>'Cash Flow'!H31</f>
        <v>680.07813519492095</v>
      </c>
      <c r="I27" s="186">
        <f>'Cash Flow'!I31</f>
        <v>876.19182663557717</v>
      </c>
      <c r="J27" s="186">
        <f>'Cash Flow'!J31</f>
        <v>1090.5540252967189</v>
      </c>
      <c r="K27" s="186">
        <f>'Cash Flow'!K31</f>
        <v>1325.5370005979089</v>
      </c>
      <c r="L27" s="186">
        <f>'Cash Flow'!L31</f>
        <v>1581.8934716386957</v>
      </c>
      <c r="M27" s="186">
        <f>'Cash Flow'!M31</f>
        <v>1878.7000558471077</v>
      </c>
      <c r="N27" s="186">
        <f>'Cash Flow'!N31</f>
        <v>2218.7352311026484</v>
      </c>
      <c r="O27" s="186">
        <f>'Cash Flow'!O31</f>
        <v>2680.2409960759924</v>
      </c>
    </row>
    <row r="28" spans="2:15" s="97" customFormat="1" ht="21" customHeight="1" x14ac:dyDescent="0.35">
      <c r="B28" s="51" t="s">
        <v>406</v>
      </c>
      <c r="C28" s="186">
        <f>'CoP-MoF'!D13/A-'P &amp; L'!D27</f>
        <v>2.5</v>
      </c>
      <c r="D28" s="186">
        <f>C28-'P &amp; L'!E27</f>
        <v>2.5</v>
      </c>
      <c r="E28" s="186">
        <f>D28-'P &amp; L'!F27</f>
        <v>2</v>
      </c>
      <c r="F28" s="186">
        <f>E28-'P &amp; L'!G27</f>
        <v>1.5</v>
      </c>
      <c r="G28" s="186">
        <f>F28-'P &amp; L'!H27</f>
        <v>1</v>
      </c>
      <c r="H28" s="186">
        <f>G28-'P &amp; L'!I27</f>
        <v>0.5</v>
      </c>
      <c r="I28" s="186">
        <f>H28-'P &amp; L'!J27</f>
        <v>0</v>
      </c>
      <c r="J28" s="186">
        <f>I28-'P &amp; L'!K27</f>
        <v>0</v>
      </c>
      <c r="K28" s="186">
        <f>J28-'P &amp; L'!L27</f>
        <v>0</v>
      </c>
      <c r="L28" s="186">
        <f>K28-'P &amp; L'!M27</f>
        <v>0</v>
      </c>
      <c r="M28" s="186">
        <f>L28-'P &amp; L'!N27</f>
        <v>0</v>
      </c>
      <c r="N28" s="186">
        <f>M28-'P &amp; L'!O27</f>
        <v>0</v>
      </c>
      <c r="O28" s="186">
        <f>N28-'P &amp; L'!P27</f>
        <v>0</v>
      </c>
    </row>
    <row r="29" spans="2:15" s="97" customFormat="1" ht="21" customHeight="1" x14ac:dyDescent="0.35">
      <c r="B29" s="118" t="s">
        <v>39</v>
      </c>
      <c r="C29" s="293">
        <f>C23+C24+C28</f>
        <v>734.5</v>
      </c>
      <c r="D29" s="293">
        <f t="shared" ref="D29:J29" si="35">D23+D24+D28</f>
        <v>1608.3591666666666</v>
      </c>
      <c r="E29" s="293">
        <f t="shared" si="35"/>
        <v>1654.1038135106312</v>
      </c>
      <c r="F29" s="293">
        <f t="shared" si="35"/>
        <v>1671.3685976207323</v>
      </c>
      <c r="G29" s="293">
        <f t="shared" si="35"/>
        <v>1712.8839487090504</v>
      </c>
      <c r="H29" s="293">
        <f t="shared" si="35"/>
        <v>1780.0831651113999</v>
      </c>
      <c r="I29" s="293">
        <f t="shared" si="35"/>
        <v>1874.6489200261501</v>
      </c>
      <c r="J29" s="293">
        <f t="shared" si="35"/>
        <v>1998.8854781466835</v>
      </c>
      <c r="K29" s="293">
        <f t="shared" ref="K29" si="36">K23+K24+K28</f>
        <v>2153.599660928332</v>
      </c>
      <c r="L29" s="293">
        <f t="shared" ref="L29:O29" si="37">L23+L24+L28</f>
        <v>2338.5932196164295</v>
      </c>
      <c r="M29" s="293">
        <f t="shared" si="37"/>
        <v>2572.0946017914612</v>
      </c>
      <c r="N29" s="293">
        <f t="shared" si="37"/>
        <v>2856.1265112092806</v>
      </c>
      <c r="O29" s="293">
        <f t="shared" si="37"/>
        <v>3268.2583070747073</v>
      </c>
    </row>
    <row r="31" spans="2:15" x14ac:dyDescent="0.35">
      <c r="B31" s="130" t="s">
        <v>411</v>
      </c>
      <c r="C31" s="129">
        <f t="shared" ref="C31:O31" si="38">C29-C13</f>
        <v>0</v>
      </c>
      <c r="D31" s="129">
        <f t="shared" si="38"/>
        <v>0</v>
      </c>
      <c r="E31" s="129">
        <f t="shared" si="38"/>
        <v>0</v>
      </c>
      <c r="F31" s="129">
        <f t="shared" si="38"/>
        <v>0</v>
      </c>
      <c r="G31" s="129">
        <f t="shared" si="38"/>
        <v>0</v>
      </c>
      <c r="H31" s="129">
        <f t="shared" si="38"/>
        <v>0</v>
      </c>
      <c r="I31" s="129">
        <f t="shared" si="38"/>
        <v>0</v>
      </c>
      <c r="J31" s="129">
        <f t="shared" si="38"/>
        <v>0</v>
      </c>
      <c r="K31" s="129">
        <f t="shared" si="38"/>
        <v>0</v>
      </c>
      <c r="L31" s="129">
        <f t="shared" si="38"/>
        <v>0</v>
      </c>
      <c r="M31" s="129">
        <f t="shared" si="38"/>
        <v>0</v>
      </c>
      <c r="N31" s="129">
        <f t="shared" si="38"/>
        <v>0</v>
      </c>
      <c r="O31" s="129">
        <f t="shared" si="38"/>
        <v>0</v>
      </c>
    </row>
  </sheetData>
  <customSheetViews>
    <customSheetView guid="{22475485-DA09-46DB-978D-BB94CE1E5597}">
      <pane xSplit="1" ySplit="2" topLeftCell="B20" activePane="bottomRight" state="frozen"/>
      <selection pane="bottomRight" activeCell="C22" sqref="C22"/>
      <pageMargins left="0.43" right="0.7" top="0.75" bottom="0.75" header="0.3" footer="0.3"/>
      <pageSetup paperSize="9" orientation="landscape" verticalDpi="300" r:id="rId1"/>
    </customSheetView>
  </customSheetViews>
  <pageMargins left="0.43" right="0.7" top="0.75" bottom="0.75" header="0.3" footer="0.3"/>
  <pageSetup paperSize="9" orientation="landscape"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O31"/>
  <sheetViews>
    <sheetView showGridLines="0" zoomScaleNormal="100" workbookViewId="0">
      <pane xSplit="2" ySplit="3" topLeftCell="G22" activePane="bottomRight" state="frozen"/>
      <selection pane="topRight" activeCell="B1" sqref="B1"/>
      <selection pane="bottomLeft" activeCell="A3" sqref="A3"/>
      <selection pane="bottomRight" activeCell="J28" sqref="J28:O31"/>
    </sheetView>
  </sheetViews>
  <sheetFormatPr defaultColWidth="32.26953125" defaultRowHeight="14.5" x14ac:dyDescent="0.35"/>
  <cols>
    <col min="1" max="1" width="4.7265625" style="96" customWidth="1"/>
    <col min="2" max="2" width="40.26953125" style="97" customWidth="1"/>
    <col min="3" max="15" width="12.7265625" style="44" customWidth="1"/>
    <col min="16" max="16384" width="32.26953125" style="96"/>
  </cols>
  <sheetData>
    <row r="1" spans="2:15" ht="18.75" customHeight="1" x14ac:dyDescent="0.35"/>
    <row r="2" spans="2:15" ht="17.25" customHeight="1" x14ac:dyDescent="0.35">
      <c r="B2" s="138" t="s">
        <v>412</v>
      </c>
      <c r="C2" s="138"/>
      <c r="D2" s="138"/>
      <c r="E2" s="138"/>
      <c r="F2" s="138"/>
      <c r="G2" s="138"/>
      <c r="H2" s="138"/>
      <c r="I2" s="138"/>
      <c r="J2" s="138"/>
      <c r="K2" s="138"/>
      <c r="L2" s="138"/>
      <c r="M2" s="138"/>
      <c r="N2" s="138"/>
      <c r="O2" s="138"/>
    </row>
    <row r="3" spans="2:15" s="58" customFormat="1" ht="18.75" customHeight="1" x14ac:dyDescent="0.35">
      <c r="B3" s="132" t="s">
        <v>11</v>
      </c>
      <c r="C3" s="94">
        <v>2025</v>
      </c>
      <c r="D3" s="94">
        <f t="shared" ref="D3:I3" si="0">C3+1</f>
        <v>2026</v>
      </c>
      <c r="E3" s="94">
        <f t="shared" si="0"/>
        <v>2027</v>
      </c>
      <c r="F3" s="94">
        <f t="shared" si="0"/>
        <v>2028</v>
      </c>
      <c r="G3" s="94">
        <f t="shared" si="0"/>
        <v>2029</v>
      </c>
      <c r="H3" s="94">
        <f t="shared" si="0"/>
        <v>2030</v>
      </c>
      <c r="I3" s="94">
        <f t="shared" si="0"/>
        <v>2031</v>
      </c>
      <c r="J3" s="94">
        <f>I3+1</f>
        <v>2032</v>
      </c>
      <c r="K3" s="94">
        <f t="shared" ref="K3:O3" si="1">J3+1</f>
        <v>2033</v>
      </c>
      <c r="L3" s="94">
        <f t="shared" si="1"/>
        <v>2034</v>
      </c>
      <c r="M3" s="94">
        <f t="shared" si="1"/>
        <v>2035</v>
      </c>
      <c r="N3" s="94">
        <f t="shared" si="1"/>
        <v>2036</v>
      </c>
      <c r="O3" s="94">
        <f t="shared" si="1"/>
        <v>2037</v>
      </c>
    </row>
    <row r="4" spans="2:15" s="97" customFormat="1" ht="21" customHeight="1" x14ac:dyDescent="0.35">
      <c r="B4" s="103" t="s">
        <v>366</v>
      </c>
      <c r="C4" s="71" t="s">
        <v>808</v>
      </c>
      <c r="D4" s="71" t="s">
        <v>808</v>
      </c>
      <c r="E4" s="71" t="s">
        <v>512</v>
      </c>
      <c r="F4" s="71" t="s">
        <v>512</v>
      </c>
      <c r="G4" s="71" t="s">
        <v>512</v>
      </c>
      <c r="H4" s="71" t="s">
        <v>512</v>
      </c>
      <c r="I4" s="71" t="s">
        <v>512</v>
      </c>
      <c r="J4" s="71" t="s">
        <v>512</v>
      </c>
      <c r="K4" s="71" t="s">
        <v>512</v>
      </c>
      <c r="L4" s="71" t="s">
        <v>512</v>
      </c>
      <c r="M4" s="71" t="s">
        <v>512</v>
      </c>
      <c r="N4" s="71" t="s">
        <v>512</v>
      </c>
      <c r="O4" s="71" t="s">
        <v>512</v>
      </c>
    </row>
    <row r="5" spans="2:15" s="97" customFormat="1" ht="21" customHeight="1" x14ac:dyDescent="0.35">
      <c r="B5" s="64" t="s">
        <v>40</v>
      </c>
      <c r="C5" s="44"/>
      <c r="D5" s="44"/>
      <c r="E5" s="44"/>
      <c r="F5" s="44"/>
      <c r="G5" s="44"/>
      <c r="H5" s="44"/>
      <c r="I5" s="44"/>
      <c r="J5" s="44"/>
      <c r="K5" s="44"/>
      <c r="L5" s="44"/>
      <c r="M5" s="44"/>
      <c r="N5" s="44"/>
      <c r="O5" s="44"/>
    </row>
    <row r="6" spans="2:15" s="97" customFormat="1" ht="21" customHeight="1" x14ac:dyDescent="0.35">
      <c r="B6" s="97" t="s">
        <v>408</v>
      </c>
      <c r="C6" s="186">
        <f>'P &amp; L'!D30</f>
        <v>0</v>
      </c>
      <c r="D6" s="186">
        <f>'P &amp; L'!E30</f>
        <v>0</v>
      </c>
      <c r="E6" s="186">
        <f>'P &amp; L'!F30</f>
        <v>34.568160542594612</v>
      </c>
      <c r="F6" s="186">
        <f>'P &amp; L'!G30</f>
        <v>69.170117260786071</v>
      </c>
      <c r="G6" s="186">
        <f>'P &amp; L'!H30</f>
        <v>105.17311089105777</v>
      </c>
      <c r="H6" s="186">
        <f>'P &amp; L'!I30</f>
        <v>142.58959698930846</v>
      </c>
      <c r="I6" s="186">
        <f>'P &amp; L'!J30</f>
        <v>181.66736594866586</v>
      </c>
      <c r="J6" s="186">
        <f>'P &amp; L'!K30</f>
        <v>223.02629803716229</v>
      </c>
      <c r="K6" s="186">
        <f>'P &amp; L'!L30</f>
        <v>266.16710189160818</v>
      </c>
      <c r="L6" s="186">
        <f>'P &amp; L'!M30</f>
        <v>312.08271132685309</v>
      </c>
      <c r="M6" s="186">
        <f>'P &amp; L'!N30</f>
        <v>360.19766702488783</v>
      </c>
      <c r="N6" s="186">
        <f>'P &amp; L'!O30</f>
        <v>410.30389705566449</v>
      </c>
      <c r="O6" s="186">
        <f>'P &amp; L'!P30</f>
        <v>460.94554251429918</v>
      </c>
    </row>
    <row r="7" spans="2:15" s="97" customFormat="1" ht="21" customHeight="1" x14ac:dyDescent="0.35">
      <c r="B7" s="97" t="s">
        <v>548</v>
      </c>
      <c r="C7" s="186">
        <f>BS!C6</f>
        <v>100</v>
      </c>
      <c r="D7" s="186">
        <f>BS!D6-BS!C6</f>
        <v>0</v>
      </c>
      <c r="E7" s="186">
        <f>BS!E6-BS!D6</f>
        <v>0</v>
      </c>
      <c r="F7" s="186">
        <f>BS!F6-BS!E6</f>
        <v>0</v>
      </c>
      <c r="G7" s="186">
        <f>BS!G6-BS!F6</f>
        <v>0</v>
      </c>
      <c r="H7" s="186">
        <f>BS!H6-BS!G6</f>
        <v>0</v>
      </c>
      <c r="I7" s="186">
        <f>BS!I6-BS!H6</f>
        <v>0</v>
      </c>
      <c r="J7" s="186">
        <f>BS!J6-BS!I6</f>
        <v>0</v>
      </c>
      <c r="K7" s="186">
        <f>BS!K6-BS!J6</f>
        <v>0</v>
      </c>
      <c r="L7" s="186">
        <f>BS!L6-BS!K6</f>
        <v>0</v>
      </c>
      <c r="M7" s="186">
        <f>BS!M6-BS!L6</f>
        <v>0</v>
      </c>
      <c r="N7" s="186">
        <f>BS!N6-BS!M6</f>
        <v>0</v>
      </c>
      <c r="O7" s="186">
        <f>BS!O6-BS!N6</f>
        <v>0</v>
      </c>
    </row>
    <row r="8" spans="2:15" s="97" customFormat="1" ht="21" customHeight="1" x14ac:dyDescent="0.35">
      <c r="B8" s="97" t="s">
        <v>461</v>
      </c>
      <c r="C8" s="186">
        <f>'TL Schd'!D6</f>
        <v>490</v>
      </c>
      <c r="D8" s="186">
        <f>'TL Schd'!E6</f>
        <v>500.00000000000017</v>
      </c>
      <c r="E8" s="186">
        <f>'TL Schd'!F6</f>
        <v>0</v>
      </c>
      <c r="F8" s="186">
        <f>'TL Schd'!G6</f>
        <v>0</v>
      </c>
      <c r="G8" s="186">
        <f>'TL Schd'!H6</f>
        <v>0</v>
      </c>
      <c r="H8" s="186">
        <f>'TL Schd'!I6</f>
        <v>0</v>
      </c>
      <c r="I8" s="186">
        <f>'TL Schd'!J6</f>
        <v>0</v>
      </c>
      <c r="J8" s="186">
        <f>'TL Schd'!K6</f>
        <v>0</v>
      </c>
      <c r="K8" s="186">
        <f>'TL Schd'!L6</f>
        <v>0</v>
      </c>
      <c r="L8" s="186">
        <f>'TL Schd'!M6</f>
        <v>0</v>
      </c>
      <c r="M8" s="186">
        <f>'TL Schd'!N6</f>
        <v>0</v>
      </c>
      <c r="N8" s="186">
        <f>'TL Schd'!O6</f>
        <v>0</v>
      </c>
      <c r="O8" s="186">
        <f>'TL Schd'!P6</f>
        <v>0</v>
      </c>
    </row>
    <row r="9" spans="2:15" s="97" customFormat="1" ht="21" customHeight="1" x14ac:dyDescent="0.35">
      <c r="B9" s="97" t="s">
        <v>800</v>
      </c>
      <c r="C9" s="186">
        <f>BS!C9</f>
        <v>144.5</v>
      </c>
      <c r="D9" s="186">
        <f>BS!D9-BS!C9</f>
        <v>373.85916666666651</v>
      </c>
      <c r="E9" s="186">
        <f>BS!E9-BS!D9</f>
        <v>0</v>
      </c>
      <c r="F9" s="186">
        <f>BS!F9-BS!E9</f>
        <v>0</v>
      </c>
      <c r="G9" s="186">
        <f>BS!G9-BS!F9</f>
        <v>0</v>
      </c>
      <c r="H9" s="186">
        <f>BS!H9-BS!G9</f>
        <v>0</v>
      </c>
      <c r="I9" s="186">
        <f>BS!I9-BS!H9</f>
        <v>0</v>
      </c>
      <c r="J9" s="186">
        <f>BS!J9-BS!I9</f>
        <v>0</v>
      </c>
      <c r="K9" s="186">
        <f>BS!K9-BS!J9</f>
        <v>0</v>
      </c>
      <c r="L9" s="186">
        <f>BS!L9-BS!K9</f>
        <v>0</v>
      </c>
      <c r="M9" s="186">
        <f>BS!M9-BS!L9</f>
        <v>0</v>
      </c>
      <c r="N9" s="186">
        <f>BS!N9-BS!M9</f>
        <v>0</v>
      </c>
      <c r="O9" s="186">
        <f>BS!O9-BS!N9</f>
        <v>0</v>
      </c>
    </row>
    <row r="10" spans="2:15" s="97" customFormat="1" ht="21" customHeight="1" x14ac:dyDescent="0.35">
      <c r="B10" s="97" t="s">
        <v>753</v>
      </c>
      <c r="C10" s="289">
        <v>0</v>
      </c>
      <c r="D10" s="289">
        <v>0</v>
      </c>
      <c r="E10" s="289">
        <v>0</v>
      </c>
      <c r="F10" s="289">
        <v>0</v>
      </c>
      <c r="G10" s="289">
        <v>0</v>
      </c>
      <c r="H10" s="289">
        <v>0</v>
      </c>
      <c r="I10" s="289">
        <v>0</v>
      </c>
      <c r="J10" s="289">
        <v>0</v>
      </c>
      <c r="K10" s="289">
        <v>0</v>
      </c>
      <c r="L10" s="289">
        <v>0</v>
      </c>
      <c r="M10" s="289">
        <v>0</v>
      </c>
      <c r="N10" s="289">
        <v>0</v>
      </c>
      <c r="O10" s="289">
        <v>0</v>
      </c>
    </row>
    <row r="11" spans="2:15" s="97" customFormat="1" ht="21" customHeight="1" x14ac:dyDescent="0.35">
      <c r="B11" s="97" t="s">
        <v>754</v>
      </c>
      <c r="C11" s="289">
        <v>0</v>
      </c>
      <c r="D11" s="289">
        <v>0</v>
      </c>
      <c r="E11" s="289">
        <v>0</v>
      </c>
      <c r="F11" s="289">
        <v>0</v>
      </c>
      <c r="G11" s="289">
        <v>0</v>
      </c>
      <c r="H11" s="289">
        <v>0</v>
      </c>
      <c r="I11" s="289">
        <v>0</v>
      </c>
      <c r="J11" s="289">
        <v>0</v>
      </c>
      <c r="K11" s="289">
        <v>0</v>
      </c>
      <c r="L11" s="289">
        <v>0</v>
      </c>
      <c r="M11" s="289">
        <v>0</v>
      </c>
      <c r="N11" s="289">
        <v>0</v>
      </c>
      <c r="O11" s="289">
        <v>0</v>
      </c>
    </row>
    <row r="12" spans="2:15" s="97" customFormat="1" ht="21" customHeight="1" x14ac:dyDescent="0.35">
      <c r="B12" s="97" t="s">
        <v>54</v>
      </c>
      <c r="C12" s="186">
        <f>'P &amp; L'!D32</f>
        <v>0</v>
      </c>
      <c r="D12" s="186">
        <f>'P &amp; L'!E32</f>
        <v>0</v>
      </c>
      <c r="E12" s="186">
        <f>'P &amp; L'!F32</f>
        <v>160.82829391891892</v>
      </c>
      <c r="F12" s="186">
        <f>'P &amp; L'!G32</f>
        <v>144.4238079391892</v>
      </c>
      <c r="G12" s="186">
        <f>'P &amp; L'!H32</f>
        <v>129.70801904560813</v>
      </c>
      <c r="H12" s="186">
        <f>'P &amp; L'!I32</f>
        <v>116.50482025633447</v>
      </c>
      <c r="I12" s="186">
        <f>'P &amp; L'!J32</f>
        <v>104.65680087869511</v>
      </c>
      <c r="J12" s="186">
        <f>'P &amp; L'!K32</f>
        <v>94.023214041620562</v>
      </c>
      <c r="K12" s="186">
        <f>'P &amp; L'!L32</f>
        <v>84.478171900634237</v>
      </c>
      <c r="L12" s="186">
        <f>'P &amp; L'!M32</f>
        <v>75.909042084270183</v>
      </c>
      <c r="M12" s="186">
        <f>'P &amp; L'!N32</f>
        <v>68.21502214348763</v>
      </c>
      <c r="N12" s="186">
        <f>'P &amp; L'!O32</f>
        <v>61.30587155663666</v>
      </c>
      <c r="O12" s="186">
        <f>'P &amp; L'!P32</f>
        <v>55.100783284346114</v>
      </c>
    </row>
    <row r="13" spans="2:15" s="97" customFormat="1" ht="21" customHeight="1" x14ac:dyDescent="0.35">
      <c r="B13" s="97" t="s">
        <v>788</v>
      </c>
      <c r="C13" s="186">
        <f>'P &amp; L'!D27</f>
        <v>0</v>
      </c>
      <c r="D13" s="186">
        <f>'P &amp; L'!E27</f>
        <v>0</v>
      </c>
      <c r="E13" s="186">
        <f>'P &amp; L'!F27</f>
        <v>0.5</v>
      </c>
      <c r="F13" s="186">
        <f>'P &amp; L'!G27</f>
        <v>0.5</v>
      </c>
      <c r="G13" s="186">
        <f>'P &amp; L'!H27</f>
        <v>0.5</v>
      </c>
      <c r="H13" s="186">
        <f>'P &amp; L'!I27</f>
        <v>0.5</v>
      </c>
      <c r="I13" s="186">
        <f>'P &amp; L'!J27</f>
        <v>0.5</v>
      </c>
      <c r="J13" s="186">
        <f>'P &amp; L'!K27</f>
        <v>0</v>
      </c>
      <c r="K13" s="186">
        <f>'P &amp; L'!L27</f>
        <v>0</v>
      </c>
      <c r="L13" s="186">
        <f>'P &amp; L'!M27</f>
        <v>0</v>
      </c>
      <c r="M13" s="186">
        <f>'P &amp; L'!N27</f>
        <v>0</v>
      </c>
      <c r="N13" s="186">
        <f>'P &amp; L'!O27</f>
        <v>0</v>
      </c>
      <c r="O13" s="186">
        <f>'P &amp; L'!P27</f>
        <v>0</v>
      </c>
    </row>
    <row r="14" spans="2:15" s="97" customFormat="1" ht="21" customHeight="1" x14ac:dyDescent="0.35">
      <c r="B14" s="97" t="s">
        <v>755</v>
      </c>
      <c r="C14" s="186">
        <f>BS!C11</f>
        <v>0</v>
      </c>
      <c r="D14" s="186">
        <f>BS!D11-BS!C11</f>
        <v>0</v>
      </c>
      <c r="E14" s="186">
        <f>BS!E11-BS!D11</f>
        <v>39.176486301369863</v>
      </c>
      <c r="F14" s="186">
        <f>BS!F11-BS!E11</f>
        <v>3.0946668493150753</v>
      </c>
      <c r="G14" s="186">
        <f>BS!G11-BS!F11</f>
        <v>3.3422401972602671</v>
      </c>
      <c r="H14" s="186">
        <f>BS!H11-BS!G11</f>
        <v>3.6096194130411021</v>
      </c>
      <c r="I14" s="186">
        <f>BS!I11-BS!H11</f>
        <v>3.8983889660843829</v>
      </c>
      <c r="J14" s="186">
        <f>BS!J11-BS!I11</f>
        <v>4.2102600833711534</v>
      </c>
      <c r="K14" s="186">
        <f>BS!K11-BS!J11</f>
        <v>4.5470808900408173</v>
      </c>
      <c r="L14" s="186">
        <f>BS!L11-BS!K11</f>
        <v>4.9108473612441088</v>
      </c>
      <c r="M14" s="186">
        <f>BS!M11-BS!L11</f>
        <v>5.3037151501436313</v>
      </c>
      <c r="N14" s="186">
        <f>BS!N11-BS!M11</f>
        <v>5.7280123621550985</v>
      </c>
      <c r="O14" s="186">
        <f>BS!O11-BS!N11</f>
        <v>6.1862533511275331</v>
      </c>
    </row>
    <row r="15" spans="2:15" s="97" customFormat="1" ht="21" customHeight="1" x14ac:dyDescent="0.35">
      <c r="B15" s="97" t="s">
        <v>720</v>
      </c>
      <c r="C15" s="186">
        <v>0</v>
      </c>
      <c r="D15" s="186">
        <v>0</v>
      </c>
      <c r="E15" s="186">
        <v>0</v>
      </c>
      <c r="F15" s="186">
        <v>0</v>
      </c>
      <c r="G15" s="186">
        <v>0</v>
      </c>
      <c r="H15" s="186">
        <v>0</v>
      </c>
      <c r="I15" s="186">
        <v>0</v>
      </c>
      <c r="J15" s="186">
        <v>0</v>
      </c>
      <c r="K15" s="186">
        <v>0</v>
      </c>
      <c r="L15" s="186">
        <v>0</v>
      </c>
      <c r="M15" s="186">
        <v>0</v>
      </c>
      <c r="N15" s="186">
        <v>0</v>
      </c>
      <c r="O15" s="186">
        <v>0</v>
      </c>
    </row>
    <row r="16" spans="2:15" s="97" customFormat="1" ht="21" hidden="1" customHeight="1" x14ac:dyDescent="0.35">
      <c r="B16" s="97" t="s">
        <v>421</v>
      </c>
      <c r="C16" s="100">
        <v>0</v>
      </c>
      <c r="D16" s="100">
        <v>0</v>
      </c>
      <c r="E16" s="100">
        <v>0</v>
      </c>
      <c r="F16" s="100"/>
      <c r="G16" s="100"/>
      <c r="H16" s="100"/>
      <c r="I16" s="100"/>
      <c r="J16" s="100"/>
      <c r="K16" s="100"/>
      <c r="L16" s="100"/>
      <c r="M16" s="100"/>
      <c r="N16" s="100"/>
      <c r="O16" s="100"/>
    </row>
    <row r="17" spans="2:15" s="97" customFormat="1" ht="21" customHeight="1" x14ac:dyDescent="0.35">
      <c r="B17" s="92" t="s">
        <v>41</v>
      </c>
      <c r="C17" s="295">
        <f t="shared" ref="C17:O17" si="2">SUM(C6:C16)</f>
        <v>734.5</v>
      </c>
      <c r="D17" s="295">
        <f t="shared" si="2"/>
        <v>873.85916666666662</v>
      </c>
      <c r="E17" s="295">
        <f t="shared" si="2"/>
        <v>235.07294076288341</v>
      </c>
      <c r="F17" s="295">
        <f t="shared" si="2"/>
        <v>217.18859204929035</v>
      </c>
      <c r="G17" s="295">
        <f t="shared" si="2"/>
        <v>238.72337013392615</v>
      </c>
      <c r="H17" s="295">
        <f t="shared" si="2"/>
        <v>263.20403665868406</v>
      </c>
      <c r="I17" s="295">
        <f t="shared" si="2"/>
        <v>290.72255579344534</v>
      </c>
      <c r="J17" s="295">
        <f t="shared" si="2"/>
        <v>321.25977216215404</v>
      </c>
      <c r="K17" s="295">
        <f t="shared" si="2"/>
        <v>355.19235468228322</v>
      </c>
      <c r="L17" s="295">
        <f t="shared" si="2"/>
        <v>392.90260077236741</v>
      </c>
      <c r="M17" s="295">
        <f t="shared" si="2"/>
        <v>433.71640431851904</v>
      </c>
      <c r="N17" s="295">
        <f t="shared" si="2"/>
        <v>477.33778097445622</v>
      </c>
      <c r="O17" s="295">
        <f t="shared" si="2"/>
        <v>522.23257914977285</v>
      </c>
    </row>
    <row r="18" spans="2:15" s="97" customFormat="1" ht="21" customHeight="1" x14ac:dyDescent="0.35">
      <c r="B18" s="97" t="s">
        <v>42</v>
      </c>
      <c r="C18" s="44"/>
      <c r="D18" s="44"/>
      <c r="E18" s="44"/>
      <c r="F18" s="44"/>
      <c r="G18" s="44"/>
      <c r="H18" s="44"/>
      <c r="I18" s="44"/>
      <c r="J18" s="44"/>
      <c r="K18" s="44"/>
      <c r="L18" s="44"/>
      <c r="M18" s="44"/>
      <c r="N18" s="44"/>
      <c r="O18" s="44"/>
    </row>
    <row r="19" spans="2:15" s="97" customFormat="1" ht="21" customHeight="1" x14ac:dyDescent="0.35">
      <c r="C19" s="44"/>
      <c r="D19" s="44"/>
      <c r="E19" s="44"/>
      <c r="F19" s="44"/>
      <c r="G19" s="44"/>
      <c r="H19" s="44"/>
      <c r="I19" s="44"/>
      <c r="J19" s="44"/>
      <c r="K19" s="44"/>
      <c r="L19" s="44"/>
      <c r="M19" s="44"/>
      <c r="N19" s="44"/>
      <c r="O19" s="44"/>
    </row>
    <row r="20" spans="2:15" s="97" customFormat="1" ht="21" customHeight="1" x14ac:dyDescent="0.35">
      <c r="B20" s="97" t="s">
        <v>407</v>
      </c>
      <c r="C20" s="186">
        <f>BS!C21</f>
        <v>731.95749999999998</v>
      </c>
      <c r="D20" s="186">
        <f>BS!D21-BS!C21</f>
        <v>873.90166666666664</v>
      </c>
      <c r="E20" s="186">
        <v>0</v>
      </c>
      <c r="F20" s="186">
        <v>0</v>
      </c>
      <c r="G20" s="186">
        <v>0</v>
      </c>
      <c r="H20" s="186">
        <v>0</v>
      </c>
      <c r="I20" s="186">
        <v>0</v>
      </c>
      <c r="J20" s="186">
        <v>0</v>
      </c>
      <c r="K20" s="186">
        <v>0</v>
      </c>
      <c r="L20" s="186">
        <v>0</v>
      </c>
      <c r="M20" s="186">
        <v>0</v>
      </c>
      <c r="N20" s="186">
        <v>0</v>
      </c>
      <c r="O20" s="186">
        <v>0</v>
      </c>
    </row>
    <row r="21" spans="2:15" s="97" customFormat="1" ht="21" customHeight="1" x14ac:dyDescent="0.35">
      <c r="B21" s="97" t="s">
        <v>747</v>
      </c>
      <c r="C21" s="186">
        <f>'CoP-MoF'!D13/A</f>
        <v>2.5</v>
      </c>
      <c r="D21" s="186">
        <v>0</v>
      </c>
      <c r="E21" s="186">
        <v>0</v>
      </c>
      <c r="F21" s="186">
        <v>0</v>
      </c>
      <c r="G21" s="186">
        <v>0</v>
      </c>
      <c r="H21" s="186">
        <v>0</v>
      </c>
      <c r="I21" s="186">
        <v>0</v>
      </c>
      <c r="J21" s="186">
        <v>0</v>
      </c>
      <c r="K21" s="186">
        <v>0</v>
      </c>
      <c r="L21" s="186">
        <v>0</v>
      </c>
      <c r="M21" s="186">
        <v>0</v>
      </c>
      <c r="N21" s="186">
        <v>0</v>
      </c>
      <c r="O21" s="186">
        <v>0</v>
      </c>
    </row>
    <row r="22" spans="2:15" s="97" customFormat="1" ht="21" customHeight="1" x14ac:dyDescent="0.35">
      <c r="B22" s="97" t="s">
        <v>409</v>
      </c>
      <c r="C22" s="186">
        <f>'TL Schd'!D7</f>
        <v>0</v>
      </c>
      <c r="D22" s="186">
        <f>'TL Schd'!E7</f>
        <v>0</v>
      </c>
      <c r="E22" s="186">
        <f>'TL Schd'!F7</f>
        <v>28</v>
      </c>
      <c r="F22" s="186">
        <f>'TL Schd'!G7</f>
        <v>55</v>
      </c>
      <c r="G22" s="186">
        <f>'TL Schd'!H7</f>
        <v>67</v>
      </c>
      <c r="H22" s="186">
        <f>'TL Schd'!I7</f>
        <v>79</v>
      </c>
      <c r="I22" s="186">
        <f>'TL Schd'!J7</f>
        <v>91</v>
      </c>
      <c r="J22" s="186">
        <f>'TL Schd'!K7</f>
        <v>103</v>
      </c>
      <c r="K22" s="186">
        <f>'TL Schd'!L7</f>
        <v>116</v>
      </c>
      <c r="L22" s="186">
        <f>'TL Schd'!M7</f>
        <v>132</v>
      </c>
      <c r="M22" s="186">
        <f>'TL Schd'!N7</f>
        <v>132</v>
      </c>
      <c r="N22" s="186">
        <f>'TL Schd'!O7</f>
        <v>132</v>
      </c>
      <c r="O22" s="186">
        <f>'TL Schd'!P7</f>
        <v>55</v>
      </c>
    </row>
    <row r="23" spans="2:15" s="97" customFormat="1" ht="21" customHeight="1" x14ac:dyDescent="0.35">
      <c r="B23" s="97" t="s">
        <v>749</v>
      </c>
      <c r="C23" s="186">
        <v>0</v>
      </c>
      <c r="D23" s="186">
        <v>0</v>
      </c>
      <c r="E23" s="186">
        <v>0</v>
      </c>
      <c r="F23" s="186">
        <v>0</v>
      </c>
      <c r="G23" s="186">
        <v>0</v>
      </c>
      <c r="H23" s="186">
        <v>0</v>
      </c>
      <c r="I23" s="186">
        <v>0</v>
      </c>
      <c r="J23" s="186">
        <v>0</v>
      </c>
      <c r="K23" s="186">
        <v>0</v>
      </c>
      <c r="L23" s="186">
        <v>0</v>
      </c>
      <c r="M23" s="186">
        <v>0</v>
      </c>
      <c r="N23" s="186">
        <v>0</v>
      </c>
      <c r="O23" s="186">
        <v>0</v>
      </c>
    </row>
    <row r="24" spans="2:15" s="97" customFormat="1" ht="21" customHeight="1" x14ac:dyDescent="0.35">
      <c r="B24" s="97" t="s">
        <v>404</v>
      </c>
      <c r="C24" s="186">
        <f>BS!C25</f>
        <v>0</v>
      </c>
      <c r="D24" s="186">
        <f>BS!D25-BS!C25</f>
        <v>0</v>
      </c>
      <c r="E24" s="186">
        <f>BS!E25-BS!D25</f>
        <v>22.38150684931507</v>
      </c>
      <c r="F24" s="186">
        <f>BS!F25-BS!E25</f>
        <v>1.7905205479452064</v>
      </c>
      <c r="G24" s="186">
        <f>BS!G25-BS!F25</f>
        <v>1.9337621917808256</v>
      </c>
      <c r="H24" s="186">
        <f>BS!H25-BS!G25</f>
        <v>2.0884631671232867</v>
      </c>
      <c r="I24" s="186">
        <f>BS!I25-BS!H25</f>
        <v>2.2555402204931561</v>
      </c>
      <c r="J24" s="186">
        <f>BS!J25-BS!I25</f>
        <v>2.435983438132606</v>
      </c>
      <c r="K24" s="186">
        <f>BS!K25-BS!J25</f>
        <v>2.6308621131832055</v>
      </c>
      <c r="L24" s="186">
        <f>BS!L25-BS!K25</f>
        <v>2.841331082237879</v>
      </c>
      <c r="M24" s="186">
        <f>BS!M25-BS!L25</f>
        <v>3.0686375688168965</v>
      </c>
      <c r="N24" s="186">
        <f>BS!N25-BS!M25</f>
        <v>3.3141285743222539</v>
      </c>
      <c r="O24" s="186">
        <f>BS!O25-BS!N25</f>
        <v>3.5792588602680411</v>
      </c>
    </row>
    <row r="25" spans="2:15" s="97" customFormat="1" ht="21" customHeight="1" x14ac:dyDescent="0.35">
      <c r="B25" s="97" t="s">
        <v>755</v>
      </c>
      <c r="C25" s="186">
        <v>0</v>
      </c>
      <c r="D25" s="186">
        <v>0</v>
      </c>
      <c r="E25" s="186">
        <v>0</v>
      </c>
      <c r="F25" s="186">
        <v>0</v>
      </c>
      <c r="G25" s="186">
        <v>0</v>
      </c>
      <c r="H25" s="186">
        <v>0</v>
      </c>
      <c r="I25" s="186">
        <v>0</v>
      </c>
      <c r="J25" s="186">
        <v>0</v>
      </c>
      <c r="K25" s="186">
        <v>0</v>
      </c>
      <c r="L25" s="186">
        <v>0</v>
      </c>
      <c r="M25" s="186">
        <v>0</v>
      </c>
      <c r="N25" s="186">
        <v>0</v>
      </c>
      <c r="O25" s="186">
        <v>0</v>
      </c>
    </row>
    <row r="26" spans="2:15" s="97" customFormat="1" ht="21" customHeight="1" x14ac:dyDescent="0.35">
      <c r="B26" s="97" t="s">
        <v>405</v>
      </c>
      <c r="C26" s="186">
        <f>BS!C26</f>
        <v>0</v>
      </c>
      <c r="D26" s="186">
        <f>BS!D26-BS!C26</f>
        <v>0</v>
      </c>
      <c r="E26" s="186">
        <f>BS!E26-BS!D26</f>
        <v>13.428904109589039</v>
      </c>
      <c r="F26" s="186">
        <f>BS!F26-BS!E26</f>
        <v>1.0743123287671281</v>
      </c>
      <c r="G26" s="186">
        <f>BS!G26-BS!F26</f>
        <v>1.1602573150684918</v>
      </c>
      <c r="H26" s="186">
        <f>BS!H26-BS!G26</f>
        <v>1.2530779002739738</v>
      </c>
      <c r="I26" s="186">
        <f>BS!I26-BS!H26</f>
        <v>1.3533241322958922</v>
      </c>
      <c r="J26" s="186">
        <f>BS!J26-BS!I26</f>
        <v>1.4615900628795657</v>
      </c>
      <c r="K26" s="186">
        <f>BS!K26-BS!J26</f>
        <v>1.5785172679099233</v>
      </c>
      <c r="L26" s="186">
        <f>BS!L26-BS!K26</f>
        <v>1.7047986493427238</v>
      </c>
      <c r="M26" s="186">
        <f>BS!M26-BS!L26</f>
        <v>1.841182541290145</v>
      </c>
      <c r="N26" s="186">
        <f>BS!N26-BS!M26</f>
        <v>1.9884771445933467</v>
      </c>
      <c r="O26" s="186">
        <f>BS!O26-BS!N26</f>
        <v>2.1475553161608261</v>
      </c>
    </row>
    <row r="27" spans="2:15" s="97" customFormat="1" ht="21" hidden="1" customHeight="1" x14ac:dyDescent="0.35">
      <c r="B27" s="97" t="s">
        <v>399</v>
      </c>
      <c r="C27" s="186"/>
      <c r="D27" s="186"/>
      <c r="E27" s="186"/>
      <c r="F27" s="186"/>
      <c r="G27" s="186"/>
      <c r="H27" s="186"/>
      <c r="I27" s="186"/>
      <c r="J27" s="186"/>
      <c r="K27" s="186"/>
      <c r="L27" s="186"/>
      <c r="M27" s="186"/>
      <c r="N27" s="186"/>
      <c r="O27" s="186"/>
    </row>
    <row r="28" spans="2:15" s="97" customFormat="1" ht="21" customHeight="1" x14ac:dyDescent="0.35">
      <c r="B28" s="92" t="s">
        <v>39</v>
      </c>
      <c r="C28" s="295">
        <f t="shared" ref="C28:J28" si="3">SUM(C20:C27)</f>
        <v>734.45749999999998</v>
      </c>
      <c r="D28" s="295">
        <f t="shared" si="3"/>
        <v>873.90166666666664</v>
      </c>
      <c r="E28" s="295">
        <f t="shared" si="3"/>
        <v>63.810410958904114</v>
      </c>
      <c r="F28" s="295">
        <f t="shared" si="3"/>
        <v>57.864832876712335</v>
      </c>
      <c r="G28" s="295">
        <f t="shared" si="3"/>
        <v>70.094019506849321</v>
      </c>
      <c r="H28" s="295">
        <f t="shared" si="3"/>
        <v>82.341541067397259</v>
      </c>
      <c r="I28" s="295">
        <f t="shared" si="3"/>
        <v>94.608864352789055</v>
      </c>
      <c r="J28" s="295">
        <f t="shared" si="3"/>
        <v>106.89757350101218</v>
      </c>
      <c r="K28" s="295">
        <f t="shared" ref="K28:O28" si="4">SUM(K20:K27)</f>
        <v>120.20937938109313</v>
      </c>
      <c r="L28" s="295">
        <f t="shared" si="4"/>
        <v>136.54612973158061</v>
      </c>
      <c r="M28" s="295">
        <f t="shared" si="4"/>
        <v>136.90982011010703</v>
      </c>
      <c r="N28" s="295">
        <f t="shared" si="4"/>
        <v>137.30260571891557</v>
      </c>
      <c r="O28" s="295">
        <f t="shared" si="4"/>
        <v>60.726814176428867</v>
      </c>
    </row>
    <row r="29" spans="2:15" s="97" customFormat="1" ht="21" customHeight="1" x14ac:dyDescent="0.35">
      <c r="B29" s="97" t="s">
        <v>410</v>
      </c>
      <c r="C29" s="186">
        <v>0</v>
      </c>
      <c r="D29" s="186">
        <f t="shared" ref="D29:I29" si="5">C31</f>
        <v>4.250000000001819E-2</v>
      </c>
      <c r="E29" s="186">
        <f t="shared" si="5"/>
        <v>0</v>
      </c>
      <c r="F29" s="186">
        <f t="shared" si="5"/>
        <v>171.26252980397931</v>
      </c>
      <c r="G29" s="186">
        <f t="shared" si="5"/>
        <v>330.58628897655728</v>
      </c>
      <c r="H29" s="186">
        <f t="shared" si="5"/>
        <v>499.21563960363414</v>
      </c>
      <c r="I29" s="186">
        <f t="shared" si="5"/>
        <v>680.07813519492095</v>
      </c>
      <c r="J29" s="186">
        <f>I31</f>
        <v>876.19182663557717</v>
      </c>
      <c r="K29" s="186">
        <f t="shared" ref="K29:O29" si="6">J31</f>
        <v>1090.5540252967189</v>
      </c>
      <c r="L29" s="186">
        <f t="shared" si="6"/>
        <v>1325.5370005979089</v>
      </c>
      <c r="M29" s="186">
        <f t="shared" si="6"/>
        <v>1581.8934716386957</v>
      </c>
      <c r="N29" s="186">
        <f t="shared" si="6"/>
        <v>1878.7000558471077</v>
      </c>
      <c r="O29" s="186">
        <f t="shared" si="6"/>
        <v>2218.7352311026484</v>
      </c>
    </row>
    <row r="30" spans="2:15" s="97" customFormat="1" ht="21" customHeight="1" x14ac:dyDescent="0.35">
      <c r="B30" s="97" t="s">
        <v>43</v>
      </c>
      <c r="C30" s="186">
        <f t="shared" ref="C30:J30" si="7">C17-C28</f>
        <v>4.250000000001819E-2</v>
      </c>
      <c r="D30" s="186">
        <f t="shared" si="7"/>
        <v>-4.250000000001819E-2</v>
      </c>
      <c r="E30" s="186">
        <f t="shared" si="7"/>
        <v>171.26252980397931</v>
      </c>
      <c r="F30" s="186">
        <f t="shared" si="7"/>
        <v>159.32375917257801</v>
      </c>
      <c r="G30" s="186">
        <f t="shared" si="7"/>
        <v>168.62935062707683</v>
      </c>
      <c r="H30" s="186">
        <f t="shared" si="7"/>
        <v>180.8624955912868</v>
      </c>
      <c r="I30" s="186">
        <f t="shared" si="7"/>
        <v>196.11369144065628</v>
      </c>
      <c r="J30" s="186">
        <f t="shared" si="7"/>
        <v>214.36219866114186</v>
      </c>
      <c r="K30" s="186">
        <f t="shared" ref="K30:O30" si="8">K17-K28</f>
        <v>234.98297530119009</v>
      </c>
      <c r="L30" s="186">
        <f t="shared" si="8"/>
        <v>256.3564710407868</v>
      </c>
      <c r="M30" s="186">
        <f t="shared" si="8"/>
        <v>296.806584208412</v>
      </c>
      <c r="N30" s="186">
        <f t="shared" si="8"/>
        <v>340.03517525554065</v>
      </c>
      <c r="O30" s="186">
        <f t="shared" si="8"/>
        <v>461.50576497334396</v>
      </c>
    </row>
    <row r="31" spans="2:15" s="97" customFormat="1" ht="21" customHeight="1" x14ac:dyDescent="0.35">
      <c r="B31" s="135" t="s">
        <v>44</v>
      </c>
      <c r="C31" s="293">
        <f t="shared" ref="C31:G31" si="9">C29+C30</f>
        <v>4.250000000001819E-2</v>
      </c>
      <c r="D31" s="293">
        <f t="shared" si="9"/>
        <v>0</v>
      </c>
      <c r="E31" s="293">
        <f t="shared" si="9"/>
        <v>171.26252980397931</v>
      </c>
      <c r="F31" s="293">
        <f t="shared" si="9"/>
        <v>330.58628897655728</v>
      </c>
      <c r="G31" s="293">
        <f t="shared" si="9"/>
        <v>499.21563960363414</v>
      </c>
      <c r="H31" s="293">
        <f t="shared" ref="H31:I31" si="10">H29+H30</f>
        <v>680.07813519492095</v>
      </c>
      <c r="I31" s="293">
        <f t="shared" si="10"/>
        <v>876.19182663557717</v>
      </c>
      <c r="J31" s="293">
        <f t="shared" ref="J31:O31" si="11">J29+J30</f>
        <v>1090.5540252967189</v>
      </c>
      <c r="K31" s="293">
        <f t="shared" si="11"/>
        <v>1325.5370005979089</v>
      </c>
      <c r="L31" s="293">
        <f t="shared" si="11"/>
        <v>1581.8934716386957</v>
      </c>
      <c r="M31" s="293">
        <f t="shared" si="11"/>
        <v>1878.7000558471077</v>
      </c>
      <c r="N31" s="293">
        <f t="shared" si="11"/>
        <v>2218.7352311026484</v>
      </c>
      <c r="O31" s="293">
        <f t="shared" si="11"/>
        <v>2680.2409960759924</v>
      </c>
    </row>
  </sheetData>
  <customSheetViews>
    <customSheetView guid="{22475485-DA09-46DB-978D-BB94CE1E5597}">
      <pane xSplit="2" ySplit="2" topLeftCell="C20" activePane="bottomRight" state="frozen"/>
      <selection pane="bottomRight" activeCell="A28" sqref="A28"/>
      <pageMargins left="0.35" right="0.7" top="0.75" bottom="0.75" header="0.3" footer="0.3"/>
      <pageSetup paperSize="9" orientation="landscape" verticalDpi="300" r:id="rId1"/>
    </customSheetView>
  </customSheetViews>
  <pageMargins left="0.35" right="0.7" top="0.75" bottom="0.75" header="0.3" footer="0.3"/>
  <pageSetup paperSize="9" orientation="landscape" verticalDpi="3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B2:O54"/>
  <sheetViews>
    <sheetView showGridLines="0" topLeftCell="C1" workbookViewId="0">
      <selection activeCell="E5" sqref="E5:O12"/>
    </sheetView>
  </sheetViews>
  <sheetFormatPr defaultColWidth="9.1796875" defaultRowHeight="14.5" x14ac:dyDescent="0.35"/>
  <cols>
    <col min="1" max="1" width="4.453125" style="137" customWidth="1"/>
    <col min="2" max="2" width="27" style="153" customWidth="1"/>
    <col min="3" max="10" width="12.7265625" style="143" customWidth="1"/>
    <col min="11" max="16384" width="9.1796875" style="137"/>
  </cols>
  <sheetData>
    <row r="2" spans="2:15" ht="18" customHeight="1" x14ac:dyDescent="0.35">
      <c r="B2" s="145" t="s">
        <v>573</v>
      </c>
      <c r="C2" s="131"/>
      <c r="D2" s="131"/>
      <c r="E2" s="131"/>
      <c r="F2" s="131"/>
      <c r="G2" s="131"/>
      <c r="H2" s="131"/>
      <c r="I2" s="131"/>
      <c r="J2" s="131"/>
      <c r="K2" s="131"/>
      <c r="L2" s="131"/>
      <c r="M2" s="131"/>
      <c r="N2" s="131"/>
      <c r="O2" s="131"/>
    </row>
    <row r="3" spans="2:15" x14ac:dyDescent="0.35">
      <c r="B3" s="146"/>
      <c r="C3" s="155"/>
      <c r="D3" s="155"/>
      <c r="E3" s="155"/>
      <c r="F3" s="155"/>
      <c r="G3" s="155"/>
      <c r="H3" s="155"/>
      <c r="I3" s="155"/>
      <c r="K3" s="143"/>
      <c r="L3" s="143"/>
      <c r="M3" s="143"/>
      <c r="N3" s="143"/>
      <c r="O3" s="143"/>
    </row>
    <row r="4" spans="2:15" ht="20.25" customHeight="1" x14ac:dyDescent="0.35">
      <c r="B4" s="118" t="s">
        <v>592</v>
      </c>
      <c r="C4" s="93">
        <v>2025</v>
      </c>
      <c r="D4" s="93">
        <f t="shared" ref="D4:I4" si="0">C4+1</f>
        <v>2026</v>
      </c>
      <c r="E4" s="93">
        <f t="shared" si="0"/>
        <v>2027</v>
      </c>
      <c r="F4" s="93">
        <f t="shared" si="0"/>
        <v>2028</v>
      </c>
      <c r="G4" s="93">
        <f t="shared" si="0"/>
        <v>2029</v>
      </c>
      <c r="H4" s="93">
        <f t="shared" si="0"/>
        <v>2030</v>
      </c>
      <c r="I4" s="93">
        <f t="shared" si="0"/>
        <v>2031</v>
      </c>
      <c r="J4" s="93">
        <f>I4+1</f>
        <v>2032</v>
      </c>
      <c r="K4" s="93">
        <f t="shared" ref="K4:O4" si="1">J4+1</f>
        <v>2033</v>
      </c>
      <c r="L4" s="93">
        <f t="shared" si="1"/>
        <v>2034</v>
      </c>
      <c r="M4" s="93">
        <f t="shared" si="1"/>
        <v>2035</v>
      </c>
      <c r="N4" s="93">
        <f t="shared" si="1"/>
        <v>2036</v>
      </c>
      <c r="O4" s="93">
        <f t="shared" si="1"/>
        <v>2037</v>
      </c>
    </row>
    <row r="5" spans="2:15" ht="20.149999999999999" customHeight="1" x14ac:dyDescent="0.35">
      <c r="B5" s="147" t="s">
        <v>574</v>
      </c>
      <c r="C5" s="301">
        <f>'P &amp; L'!D10</f>
        <v>0</v>
      </c>
      <c r="D5" s="301">
        <f>'P &amp; L'!E10</f>
        <v>0</v>
      </c>
      <c r="E5" s="301">
        <f>'P &amp; L'!F10</f>
        <v>816.92499999999995</v>
      </c>
      <c r="F5" s="301">
        <f>'P &amp; L'!G10</f>
        <v>882.27900000000011</v>
      </c>
      <c r="G5" s="301">
        <f>'P &amp; L'!H10</f>
        <v>952.86132000000009</v>
      </c>
      <c r="H5" s="301">
        <f>'P &amp; L'!I10</f>
        <v>1029.0902256000002</v>
      </c>
      <c r="I5" s="301">
        <f>'P &amp; L'!J10</f>
        <v>1111.4174436480002</v>
      </c>
      <c r="J5" s="301">
        <f>'P &amp; L'!K10</f>
        <v>1200.3308391398405</v>
      </c>
      <c r="K5" s="301">
        <f>'P &amp; L'!L10</f>
        <v>1296.3573062710275</v>
      </c>
      <c r="L5" s="301">
        <f>'P &amp; L'!M10</f>
        <v>1400.06589077271</v>
      </c>
      <c r="M5" s="301">
        <f>'P &amp; L'!N10</f>
        <v>1512.0711620345269</v>
      </c>
      <c r="N5" s="301">
        <f>'P &amp; L'!O10</f>
        <v>1633.0368549972891</v>
      </c>
      <c r="O5" s="301">
        <f>'P &amp; L'!P10</f>
        <v>1763.6798033970724</v>
      </c>
    </row>
    <row r="6" spans="2:15" ht="20.149999999999999" customHeight="1" x14ac:dyDescent="0.35">
      <c r="B6" s="147" t="s">
        <v>575</v>
      </c>
      <c r="C6" s="301">
        <f>'P &amp; L'!D15</f>
        <v>0</v>
      </c>
      <c r="D6" s="301">
        <f>'P &amp; L'!E15</f>
        <v>0</v>
      </c>
      <c r="E6" s="301">
        <f>'P &amp; L'!F15</f>
        <v>277.19468333333333</v>
      </c>
      <c r="F6" s="301">
        <f>'P &amp; L'!G15</f>
        <v>299.37025800000004</v>
      </c>
      <c r="G6" s="301">
        <f>'P &amp; L'!H15</f>
        <v>323.31987864000001</v>
      </c>
      <c r="H6" s="301">
        <f>'P &amp; L'!I15</f>
        <v>349.18546893120003</v>
      </c>
      <c r="I6" s="301">
        <f>'P &amp; L'!J15</f>
        <v>377.12030644569609</v>
      </c>
      <c r="J6" s="301">
        <f>'P &amp; L'!K15</f>
        <v>407.28993096135184</v>
      </c>
      <c r="K6" s="301">
        <f>'P &amp; L'!L15</f>
        <v>439.87312543825993</v>
      </c>
      <c r="L6" s="301">
        <f>'P &amp; L'!M15</f>
        <v>475.06297547332082</v>
      </c>
      <c r="M6" s="301">
        <f>'P &amp; L'!N15</f>
        <v>513.06801351118656</v>
      </c>
      <c r="N6" s="301">
        <f>'P &amp; L'!O15</f>
        <v>554.11345459208144</v>
      </c>
      <c r="O6" s="301">
        <f>'P &amp; L'!P15</f>
        <v>598.44253095944805</v>
      </c>
    </row>
    <row r="7" spans="2:15" ht="20.149999999999999" customHeight="1" x14ac:dyDescent="0.35">
      <c r="B7" s="147" t="s">
        <v>576</v>
      </c>
      <c r="C7" s="301">
        <f>C5-C6</f>
        <v>0</v>
      </c>
      <c r="D7" s="301">
        <f t="shared" ref="D7:J7" si="2">D5-D6</f>
        <v>0</v>
      </c>
      <c r="E7" s="301">
        <f t="shared" si="2"/>
        <v>539.73031666666657</v>
      </c>
      <c r="F7" s="301">
        <f t="shared" si="2"/>
        <v>582.90874200000007</v>
      </c>
      <c r="G7" s="301">
        <f t="shared" si="2"/>
        <v>629.54144136000014</v>
      </c>
      <c r="H7" s="301">
        <f t="shared" si="2"/>
        <v>679.90475666880013</v>
      </c>
      <c r="I7" s="301">
        <f t="shared" si="2"/>
        <v>734.29713720230416</v>
      </c>
      <c r="J7" s="301">
        <f t="shared" si="2"/>
        <v>793.04090817848862</v>
      </c>
      <c r="K7" s="301">
        <f t="shared" ref="K7:O7" si="3">K5-K6</f>
        <v>856.48418083276761</v>
      </c>
      <c r="L7" s="301">
        <f t="shared" si="3"/>
        <v>925.00291529938909</v>
      </c>
      <c r="M7" s="301">
        <f t="shared" si="3"/>
        <v>999.00314852334031</v>
      </c>
      <c r="N7" s="301">
        <f t="shared" si="3"/>
        <v>1078.9234004052078</v>
      </c>
      <c r="O7" s="301">
        <f t="shared" si="3"/>
        <v>1165.2372724376244</v>
      </c>
    </row>
    <row r="8" spans="2:15" ht="29" x14ac:dyDescent="0.35">
      <c r="B8" s="148" t="s">
        <v>756</v>
      </c>
      <c r="C8" s="301">
        <f>'P &amp; L'!D21+'P &amp; L'!D24+'P &amp; L'!D26</f>
        <v>0</v>
      </c>
      <c r="D8" s="301">
        <f>'P &amp; L'!E21+'P &amp; L'!E24+'P &amp; L'!E26</f>
        <v>0</v>
      </c>
      <c r="E8" s="301">
        <f>'P &amp; L'!F21+'P &amp; L'!F24+'P &amp; L'!F26</f>
        <v>493.03596058558549</v>
      </c>
      <c r="F8" s="301">
        <f>'P &amp; L'!G21+'P &amp; L'!G24+'P &amp; L'!G26</f>
        <v>489.97486710585582</v>
      </c>
      <c r="G8" s="301">
        <f>'P &amp; L'!H21+'P &amp; L'!H24+'P &amp; L'!H26</f>
        <v>488.49580461227481</v>
      </c>
      <c r="H8" s="301">
        <f>'P &amp; L'!I21+'P &amp; L'!I24+'P &amp; L'!I26</f>
        <v>488.85847033500119</v>
      </c>
      <c r="I8" s="301">
        <f>'P &amp; L'!J21+'P &amp; L'!J24+'P &amp; L'!J26</f>
        <v>491.03018463032174</v>
      </c>
      <c r="J8" s="301">
        <f>'P &amp; L'!K21+'P &amp; L'!K24+'P &amp; L'!K26</f>
        <v>495.00491016004418</v>
      </c>
      <c r="K8" s="301">
        <f>'P &amp; L'!L21+'P &amp; L'!L24+'P &amp; L'!L26</f>
        <v>500.79797454186496</v>
      </c>
      <c r="L8" s="301">
        <f>'P &amp; L'!M21+'P &amp; L'!M24+'P &amp; L'!M26</f>
        <v>507.95845393679951</v>
      </c>
      <c r="M8" s="301">
        <f>'P &amp; L'!N21+'P &amp; L'!N24+'P &amp; L'!N26</f>
        <v>517.66138694421932</v>
      </c>
      <c r="N8" s="301">
        <f>'P &amp; L'!O21+'P &amp; L'!O24+'P &amp; L'!O26</f>
        <v>530.62334554142683</v>
      </c>
      <c r="O8" s="301">
        <f>'P &amp; L'!P21+'P &amp; L'!P24+'P &amp; L'!P26</f>
        <v>549.26343435458625</v>
      </c>
    </row>
    <row r="9" spans="2:15" ht="20.149999999999999" customHeight="1" x14ac:dyDescent="0.35">
      <c r="B9" s="147" t="s">
        <v>439</v>
      </c>
      <c r="C9" s="301">
        <f t="shared" ref="C9:J9" si="4">C7-C8</f>
        <v>0</v>
      </c>
      <c r="D9" s="301">
        <f t="shared" si="4"/>
        <v>0</v>
      </c>
      <c r="E9" s="301">
        <f t="shared" si="4"/>
        <v>46.694356081081082</v>
      </c>
      <c r="F9" s="301">
        <f t="shared" si="4"/>
        <v>92.933874894144253</v>
      </c>
      <c r="G9" s="301">
        <f t="shared" si="4"/>
        <v>141.04563674772533</v>
      </c>
      <c r="H9" s="301">
        <f t="shared" si="4"/>
        <v>191.04628633379895</v>
      </c>
      <c r="I9" s="301">
        <f t="shared" si="4"/>
        <v>243.26695257198242</v>
      </c>
      <c r="J9" s="301">
        <f t="shared" si="4"/>
        <v>298.03599801844445</v>
      </c>
      <c r="K9" s="301">
        <f t="shared" ref="K9:O9" si="5">K7-K8</f>
        <v>355.68620629090265</v>
      </c>
      <c r="L9" s="301">
        <f t="shared" si="5"/>
        <v>417.04446136258957</v>
      </c>
      <c r="M9" s="301">
        <f t="shared" si="5"/>
        <v>481.341761579121</v>
      </c>
      <c r="N9" s="301">
        <f t="shared" si="5"/>
        <v>548.30005486378093</v>
      </c>
      <c r="O9" s="301">
        <f t="shared" si="5"/>
        <v>615.97383808303812</v>
      </c>
    </row>
    <row r="10" spans="2:15" ht="20.149999999999999" customHeight="1" x14ac:dyDescent="0.35">
      <c r="B10" s="166" t="s">
        <v>577</v>
      </c>
      <c r="C10" s="303" t="e">
        <f t="shared" ref="C10:J10" si="6">C7/C5</f>
        <v>#DIV/0!</v>
      </c>
      <c r="D10" s="303" t="e">
        <f t="shared" si="6"/>
        <v>#DIV/0!</v>
      </c>
      <c r="E10" s="303">
        <f t="shared" si="6"/>
        <v>0.66068527302587954</v>
      </c>
      <c r="F10" s="303">
        <f t="shared" si="6"/>
        <v>0.66068527302587954</v>
      </c>
      <c r="G10" s="303">
        <f t="shared" si="6"/>
        <v>0.66068527302587965</v>
      </c>
      <c r="H10" s="303">
        <f t="shared" si="6"/>
        <v>0.66068527302587954</v>
      </c>
      <c r="I10" s="303">
        <f t="shared" si="6"/>
        <v>0.66068527302587954</v>
      </c>
      <c r="J10" s="303">
        <f t="shared" si="6"/>
        <v>0.66068527302587954</v>
      </c>
      <c r="K10" s="303">
        <f t="shared" ref="K10:O10" si="7">K7/K5</f>
        <v>0.66068527302587965</v>
      </c>
      <c r="L10" s="303">
        <f t="shared" si="7"/>
        <v>0.66068527302587954</v>
      </c>
      <c r="M10" s="303">
        <f t="shared" si="7"/>
        <v>0.66068527302587954</v>
      </c>
      <c r="N10" s="303">
        <f t="shared" si="7"/>
        <v>0.66068527302587965</v>
      </c>
      <c r="O10" s="303">
        <f t="shared" si="7"/>
        <v>0.66068527302587954</v>
      </c>
    </row>
    <row r="11" spans="2:15" ht="30" customHeight="1" x14ac:dyDescent="0.35">
      <c r="B11" s="148" t="s">
        <v>578</v>
      </c>
      <c r="C11" s="299" t="e">
        <f t="shared" ref="C11:J11" si="8">(C8/C7)*C5</f>
        <v>#DIV/0!</v>
      </c>
      <c r="D11" s="299" t="e">
        <f t="shared" si="8"/>
        <v>#DIV/0!</v>
      </c>
      <c r="E11" s="299">
        <f t="shared" si="8"/>
        <v>746.2493576215569</v>
      </c>
      <c r="F11" s="299">
        <f t="shared" si="8"/>
        <v>741.61614782453785</v>
      </c>
      <c r="G11" s="299">
        <f t="shared" si="8"/>
        <v>739.37746845030699</v>
      </c>
      <c r="H11" s="299">
        <f t="shared" si="8"/>
        <v>739.92639202637747</v>
      </c>
      <c r="I11" s="299">
        <f t="shared" si="8"/>
        <v>743.21345529838641</v>
      </c>
      <c r="J11" s="299">
        <f t="shared" si="8"/>
        <v>749.22952027213478</v>
      </c>
      <c r="K11" s="299">
        <f t="shared" ref="K11:O11" si="9">(K8/K7)*K5</f>
        <v>757.99778652285522</v>
      </c>
      <c r="L11" s="299">
        <f t="shared" si="9"/>
        <v>768.83574475694786</v>
      </c>
      <c r="M11" s="299">
        <f t="shared" si="9"/>
        <v>783.52190986999972</v>
      </c>
      <c r="N11" s="299">
        <f t="shared" si="9"/>
        <v>803.14087085855454</v>
      </c>
      <c r="O11" s="299">
        <f t="shared" si="9"/>
        <v>831.35413604575865</v>
      </c>
    </row>
    <row r="12" spans="2:15" s="167" customFormat="1" ht="20.149999999999999" customHeight="1" x14ac:dyDescent="0.35">
      <c r="B12" s="166" t="s">
        <v>579</v>
      </c>
      <c r="C12" s="304" t="e">
        <f t="shared" ref="C12:J12" si="10">C11/C5</f>
        <v>#DIV/0!</v>
      </c>
      <c r="D12" s="304" t="e">
        <f t="shared" si="10"/>
        <v>#DIV/0!</v>
      </c>
      <c r="E12" s="304">
        <f t="shared" si="10"/>
        <v>0.91348576383579516</v>
      </c>
      <c r="F12" s="304">
        <f t="shared" si="10"/>
        <v>0.84056874052826569</v>
      </c>
      <c r="G12" s="304">
        <f t="shared" si="10"/>
        <v>0.77595496105383621</v>
      </c>
      <c r="H12" s="304">
        <f t="shared" si="10"/>
        <v>0.71901022244669677</v>
      </c>
      <c r="I12" s="304">
        <f t="shared" si="10"/>
        <v>0.66870774752188555</v>
      </c>
      <c r="J12" s="304">
        <f t="shared" si="10"/>
        <v>0.62418584596979465</v>
      </c>
      <c r="K12" s="304">
        <f t="shared" ref="K12:O12" si="11">K11/K5</f>
        <v>0.58471363015127076</v>
      </c>
      <c r="L12" s="304">
        <f t="shared" si="11"/>
        <v>0.54914254380743466</v>
      </c>
      <c r="M12" s="304">
        <f t="shared" si="11"/>
        <v>0.51817793338228391</v>
      </c>
      <c r="N12" s="304">
        <f t="shared" si="11"/>
        <v>0.49180817224108991</v>
      </c>
      <c r="O12" s="304">
        <f t="shared" si="11"/>
        <v>0.47137475546551277</v>
      </c>
    </row>
    <row r="13" spans="2:15" ht="20.149999999999999" customHeight="1" x14ac:dyDescent="0.35">
      <c r="B13" s="149"/>
      <c r="C13" s="156"/>
      <c r="D13" s="141"/>
      <c r="E13" s="156"/>
      <c r="F13" s="157"/>
      <c r="G13" s="158"/>
      <c r="H13" s="136"/>
      <c r="I13" s="158"/>
    </row>
    <row r="14" spans="2:15" x14ac:dyDescent="0.35">
      <c r="B14" s="149"/>
      <c r="C14" s="159"/>
      <c r="D14" s="159"/>
      <c r="E14" s="159"/>
      <c r="F14" s="159"/>
      <c r="G14" s="159"/>
      <c r="H14" s="160"/>
      <c r="I14" s="160"/>
    </row>
    <row r="15" spans="2:15" hidden="1" x14ac:dyDescent="0.35">
      <c r="B15" s="150"/>
      <c r="C15" s="161"/>
      <c r="D15" s="161"/>
      <c r="E15" s="161"/>
      <c r="F15" s="161"/>
      <c r="G15" s="161"/>
      <c r="H15" s="158"/>
      <c r="I15" s="158"/>
    </row>
    <row r="16" spans="2:15" hidden="1" x14ac:dyDescent="0.35">
      <c r="B16" s="452" t="s">
        <v>564</v>
      </c>
      <c r="C16" s="452"/>
      <c r="D16" s="452"/>
      <c r="E16" s="452"/>
      <c r="F16" s="452"/>
      <c r="G16" s="452"/>
      <c r="H16" s="452"/>
      <c r="I16" s="452"/>
    </row>
    <row r="17" spans="2:10" hidden="1" x14ac:dyDescent="0.35">
      <c r="B17" s="140" t="s">
        <v>565</v>
      </c>
      <c r="C17" s="139">
        <f t="shared" ref="C17:J17" si="12">C4</f>
        <v>2025</v>
      </c>
      <c r="D17" s="139">
        <f t="shared" si="12"/>
        <v>2026</v>
      </c>
      <c r="E17" s="139">
        <f t="shared" si="12"/>
        <v>2027</v>
      </c>
      <c r="F17" s="139">
        <f t="shared" si="12"/>
        <v>2028</v>
      </c>
      <c r="G17" s="139">
        <f t="shared" si="12"/>
        <v>2029</v>
      </c>
      <c r="H17" s="139">
        <f t="shared" si="12"/>
        <v>2030</v>
      </c>
      <c r="I17" s="139">
        <f t="shared" si="12"/>
        <v>2031</v>
      </c>
      <c r="J17" s="139">
        <f t="shared" si="12"/>
        <v>2032</v>
      </c>
    </row>
    <row r="18" spans="2:10" hidden="1" x14ac:dyDescent="0.35">
      <c r="B18" s="151" t="s">
        <v>566</v>
      </c>
      <c r="C18" s="142">
        <v>0.13</v>
      </c>
      <c r="D18" s="142">
        <f>C18</f>
        <v>0.13</v>
      </c>
      <c r="E18" s="142">
        <f t="shared" ref="E18:I18" si="13">D18</f>
        <v>0.13</v>
      </c>
      <c r="F18" s="142">
        <f t="shared" si="13"/>
        <v>0.13</v>
      </c>
      <c r="G18" s="142">
        <f t="shared" si="13"/>
        <v>0.13</v>
      </c>
      <c r="H18" s="142">
        <f t="shared" si="13"/>
        <v>0.13</v>
      </c>
      <c r="I18" s="142">
        <f t="shared" si="13"/>
        <v>0.13</v>
      </c>
      <c r="J18" s="142">
        <f>I18</f>
        <v>0.13</v>
      </c>
    </row>
    <row r="19" spans="2:10" hidden="1" x14ac:dyDescent="0.35">
      <c r="B19" s="151" t="s">
        <v>567</v>
      </c>
      <c r="C19" s="142">
        <v>0.2</v>
      </c>
      <c r="D19" s="142">
        <v>0.2</v>
      </c>
      <c r="E19" s="142">
        <v>0.2</v>
      </c>
      <c r="F19" s="142">
        <v>0.2</v>
      </c>
      <c r="G19" s="142">
        <v>0.2</v>
      </c>
      <c r="H19" s="142">
        <v>0.2</v>
      </c>
      <c r="I19" s="142">
        <v>0.2</v>
      </c>
      <c r="J19" s="142">
        <v>0.2</v>
      </c>
    </row>
    <row r="20" spans="2:10" hidden="1" x14ac:dyDescent="0.35">
      <c r="B20" s="151" t="s">
        <v>568</v>
      </c>
      <c r="C20" s="162">
        <v>0</v>
      </c>
      <c r="D20" s="162">
        <v>0</v>
      </c>
      <c r="E20" s="162">
        <v>0</v>
      </c>
      <c r="F20" s="162">
        <v>0</v>
      </c>
      <c r="G20" s="162">
        <v>0</v>
      </c>
      <c r="H20" s="162">
        <v>0</v>
      </c>
      <c r="I20" s="162">
        <v>0</v>
      </c>
      <c r="J20" s="162">
        <v>0</v>
      </c>
    </row>
    <row r="21" spans="2:10" hidden="1" x14ac:dyDescent="0.35">
      <c r="B21" s="151" t="s">
        <v>569</v>
      </c>
      <c r="C21" s="162">
        <v>0.33989999999999998</v>
      </c>
      <c r="D21" s="162">
        <v>0.33989999999999998</v>
      </c>
      <c r="E21" s="162">
        <v>0.33989999999999998</v>
      </c>
      <c r="F21" s="162">
        <v>0.33989999999999998</v>
      </c>
      <c r="G21" s="162">
        <v>0.33989999999999998</v>
      </c>
      <c r="H21" s="162">
        <v>0.33989999999999998</v>
      </c>
      <c r="I21" s="162">
        <v>0.33989999999999998</v>
      </c>
      <c r="J21" s="162">
        <v>0.33989999999999998</v>
      </c>
    </row>
    <row r="22" spans="2:10" hidden="1" x14ac:dyDescent="0.35">
      <c r="B22" s="152" t="s">
        <v>570</v>
      </c>
      <c r="C22" s="163">
        <f>C18*C20*(1-C21)+C19*(1-C20)</f>
        <v>0.2</v>
      </c>
      <c r="D22" s="163">
        <f>D18*D20*(1-D21)+D19*(1-D20)</f>
        <v>0.2</v>
      </c>
      <c r="E22" s="163">
        <f>E18*E20*(1-E21)+E19*(1-E20)</f>
        <v>0.2</v>
      </c>
      <c r="F22" s="163">
        <f t="shared" ref="F22:J22" si="14">F18*F20*(1-F21)+F19*(1-F20)</f>
        <v>0.2</v>
      </c>
      <c r="G22" s="163">
        <f t="shared" si="14"/>
        <v>0.2</v>
      </c>
      <c r="H22" s="163">
        <f t="shared" si="14"/>
        <v>0.2</v>
      </c>
      <c r="I22" s="163">
        <f t="shared" si="14"/>
        <v>0.2</v>
      </c>
      <c r="J22" s="163">
        <f t="shared" si="14"/>
        <v>0.2</v>
      </c>
    </row>
    <row r="23" spans="2:10" hidden="1" x14ac:dyDescent="0.35">
      <c r="B23" s="151" t="s">
        <v>571</v>
      </c>
      <c r="E23" s="144">
        <f>1/(1+E22)</f>
        <v>0.83333333333333337</v>
      </c>
      <c r="F23" s="164">
        <f t="shared" ref="F23:I23" si="15">E23/(1+F22)</f>
        <v>0.69444444444444453</v>
      </c>
      <c r="G23" s="164">
        <f t="shared" si="15"/>
        <v>0.57870370370370383</v>
      </c>
      <c r="H23" s="164">
        <f t="shared" si="15"/>
        <v>0.48225308641975323</v>
      </c>
      <c r="I23" s="164">
        <f t="shared" si="15"/>
        <v>0.40187757201646102</v>
      </c>
      <c r="J23" s="164">
        <f>I23/(1+J22)</f>
        <v>0.33489797668038418</v>
      </c>
    </row>
    <row r="24" spans="2:10" hidden="1" x14ac:dyDescent="0.35">
      <c r="E24" s="165"/>
      <c r="F24" s="165"/>
      <c r="G24" s="165"/>
      <c r="H24" s="165"/>
      <c r="I24" s="165"/>
    </row>
    <row r="25" spans="2:10" hidden="1" x14ac:dyDescent="0.35">
      <c r="E25" s="165"/>
      <c r="F25" s="165"/>
      <c r="G25" s="165"/>
      <c r="H25" s="165"/>
      <c r="I25" s="165"/>
    </row>
    <row r="26" spans="2:10" hidden="1" x14ac:dyDescent="0.35">
      <c r="B26" s="149"/>
    </row>
    <row r="27" spans="2:10" hidden="1" x14ac:dyDescent="0.35">
      <c r="B27" s="149"/>
    </row>
    <row r="28" spans="2:10" hidden="1" x14ac:dyDescent="0.35"/>
    <row r="29" spans="2:10" hidden="1" x14ac:dyDescent="0.35"/>
    <row r="30" spans="2:10" hidden="1" x14ac:dyDescent="0.35">
      <c r="E30" s="165"/>
      <c r="F30" s="165"/>
      <c r="G30" s="165"/>
      <c r="H30" s="165"/>
      <c r="I30" s="165"/>
      <c r="J30" s="165"/>
    </row>
    <row r="31" spans="2:10" hidden="1" x14ac:dyDescent="0.35">
      <c r="B31" s="149"/>
      <c r="C31" s="141"/>
      <c r="D31" s="141"/>
    </row>
    <row r="32" spans="2:10" hidden="1" x14ac:dyDescent="0.35">
      <c r="B32" s="154"/>
      <c r="C32" s="142"/>
      <c r="D32" s="142"/>
    </row>
    <row r="33" spans="2:9" hidden="1" x14ac:dyDescent="0.35">
      <c r="B33" s="154"/>
      <c r="C33" s="142"/>
      <c r="D33" s="142"/>
    </row>
    <row r="34" spans="2:9" hidden="1" x14ac:dyDescent="0.35">
      <c r="B34" s="154"/>
      <c r="C34" s="142"/>
      <c r="D34" s="142"/>
    </row>
    <row r="35" spans="2:9" x14ac:dyDescent="0.35">
      <c r="B35" s="154"/>
      <c r="C35" s="142"/>
      <c r="D35" s="142"/>
      <c r="E35" s="165"/>
      <c r="F35" s="165"/>
      <c r="G35" s="165"/>
      <c r="H35" s="165"/>
      <c r="I35" s="165"/>
    </row>
    <row r="36" spans="2:9" x14ac:dyDescent="0.35">
      <c r="B36" s="154"/>
      <c r="C36" s="142"/>
      <c r="D36" s="142"/>
    </row>
    <row r="37" spans="2:9" x14ac:dyDescent="0.35">
      <c r="B37" s="154"/>
      <c r="C37" s="142"/>
      <c r="D37" s="142"/>
    </row>
    <row r="38" spans="2:9" x14ac:dyDescent="0.35">
      <c r="B38" s="154"/>
      <c r="C38" s="142"/>
      <c r="D38" s="142"/>
    </row>
    <row r="39" spans="2:9" x14ac:dyDescent="0.35">
      <c r="B39" s="154"/>
      <c r="C39" s="142"/>
      <c r="D39" s="142"/>
      <c r="E39" s="142"/>
      <c r="F39" s="142"/>
    </row>
    <row r="41" spans="2:9" x14ac:dyDescent="0.35">
      <c r="B41" s="154"/>
      <c r="C41" s="142"/>
      <c r="D41" s="142"/>
    </row>
    <row r="43" spans="2:9" x14ac:dyDescent="0.35">
      <c r="B43" s="453"/>
      <c r="C43" s="453"/>
      <c r="D43" s="453"/>
    </row>
    <row r="44" spans="2:9" x14ac:dyDescent="0.35">
      <c r="B44" s="149"/>
      <c r="C44" s="141"/>
      <c r="D44" s="141"/>
    </row>
    <row r="45" spans="2:9" x14ac:dyDescent="0.35">
      <c r="B45" s="149"/>
      <c r="C45" s="142"/>
      <c r="D45" s="142"/>
    </row>
    <row r="46" spans="2:9" x14ac:dyDescent="0.35">
      <c r="B46" s="149"/>
      <c r="C46" s="142"/>
      <c r="D46" s="142"/>
    </row>
    <row r="47" spans="2:9" x14ac:dyDescent="0.35">
      <c r="B47" s="149"/>
      <c r="D47" s="142"/>
    </row>
    <row r="48" spans="2:9" x14ac:dyDescent="0.35">
      <c r="B48" s="149"/>
    </row>
    <row r="49" spans="2:4" x14ac:dyDescent="0.35">
      <c r="B49" s="149"/>
    </row>
    <row r="50" spans="2:4" x14ac:dyDescent="0.35">
      <c r="B50" s="453"/>
      <c r="C50" s="453"/>
      <c r="D50" s="453"/>
    </row>
    <row r="51" spans="2:4" x14ac:dyDescent="0.35">
      <c r="C51" s="141"/>
      <c r="D51" s="141"/>
    </row>
    <row r="52" spans="2:4" x14ac:dyDescent="0.35">
      <c r="B52" s="149"/>
      <c r="D52" s="144"/>
    </row>
    <row r="53" spans="2:4" x14ac:dyDescent="0.35">
      <c r="B53" s="149"/>
      <c r="C53" s="142"/>
      <c r="D53" s="142"/>
    </row>
    <row r="54" spans="2:4" x14ac:dyDescent="0.35">
      <c r="B54" s="149"/>
      <c r="C54" s="142"/>
      <c r="D54" s="142"/>
    </row>
  </sheetData>
  <mergeCells count="3">
    <mergeCell ref="B16:I16"/>
    <mergeCell ref="B43:D43"/>
    <mergeCell ref="B50:D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Q95"/>
  <sheetViews>
    <sheetView showGridLines="0" topLeftCell="A14" workbookViewId="0">
      <selection activeCell="A14" sqref="A14"/>
    </sheetView>
  </sheetViews>
  <sheetFormatPr defaultColWidth="9.1796875" defaultRowHeight="14.5" x14ac:dyDescent="0.35"/>
  <cols>
    <col min="1" max="1" width="6.1796875" style="137" bestFit="1" customWidth="1"/>
    <col min="2" max="2" width="37.453125" style="153" customWidth="1"/>
    <col min="3" max="3" width="12.81640625" style="153" customWidth="1"/>
    <col min="4" max="16" width="11.7265625" style="143" customWidth="1"/>
    <col min="17" max="16384" width="9.1796875" style="137"/>
  </cols>
  <sheetData>
    <row r="1" spans="2:17" ht="18" customHeight="1" x14ac:dyDescent="0.35"/>
    <row r="2" spans="2:17" ht="21" customHeight="1" x14ac:dyDescent="0.35">
      <c r="B2" s="145" t="s">
        <v>572</v>
      </c>
      <c r="C2" s="145"/>
      <c r="D2" s="131"/>
      <c r="E2" s="131"/>
      <c r="F2" s="131"/>
      <c r="G2" s="131"/>
      <c r="H2" s="131"/>
      <c r="I2" s="131"/>
      <c r="J2" s="131"/>
      <c r="K2" s="131"/>
      <c r="L2" s="131"/>
      <c r="M2" s="131"/>
      <c r="N2" s="131"/>
      <c r="O2" s="131"/>
      <c r="P2" s="131"/>
    </row>
    <row r="3" spans="2:17" ht="15" customHeight="1" x14ac:dyDescent="0.35">
      <c r="B3" s="146"/>
      <c r="C3" s="333"/>
      <c r="D3" s="333">
        <v>45747</v>
      </c>
      <c r="E3" s="333">
        <f>EDATE(D3,12)</f>
        <v>46112</v>
      </c>
      <c r="F3" s="333">
        <f t="shared" ref="F3:P3" si="0">EDATE(E3,12)</f>
        <v>46477</v>
      </c>
      <c r="G3" s="333">
        <f t="shared" si="0"/>
        <v>46843</v>
      </c>
      <c r="H3" s="333">
        <f t="shared" si="0"/>
        <v>47208</v>
      </c>
      <c r="I3" s="333">
        <f t="shared" si="0"/>
        <v>47573</v>
      </c>
      <c r="J3" s="333">
        <f t="shared" si="0"/>
        <v>47938</v>
      </c>
      <c r="K3" s="333">
        <f t="shared" si="0"/>
        <v>48304</v>
      </c>
      <c r="L3" s="333">
        <f t="shared" si="0"/>
        <v>48669</v>
      </c>
      <c r="M3" s="333">
        <f t="shared" si="0"/>
        <v>49034</v>
      </c>
      <c r="N3" s="333">
        <f t="shared" si="0"/>
        <v>49399</v>
      </c>
      <c r="O3" s="333">
        <f t="shared" si="0"/>
        <v>49765</v>
      </c>
      <c r="P3" s="333">
        <f t="shared" si="0"/>
        <v>50130</v>
      </c>
    </row>
    <row r="4" spans="2:17" ht="22.5" customHeight="1" x14ac:dyDescent="0.35">
      <c r="B4" s="118" t="s">
        <v>592</v>
      </c>
      <c r="C4" s="118"/>
      <c r="D4" s="93">
        <v>2025</v>
      </c>
      <c r="E4" s="93">
        <f t="shared" ref="E4:J4" si="1">D4+1</f>
        <v>2026</v>
      </c>
      <c r="F4" s="93">
        <f t="shared" si="1"/>
        <v>2027</v>
      </c>
      <c r="G4" s="93">
        <f t="shared" si="1"/>
        <v>2028</v>
      </c>
      <c r="H4" s="93">
        <f t="shared" si="1"/>
        <v>2029</v>
      </c>
      <c r="I4" s="93">
        <f t="shared" si="1"/>
        <v>2030</v>
      </c>
      <c r="J4" s="93">
        <f t="shared" si="1"/>
        <v>2031</v>
      </c>
      <c r="K4" s="93">
        <f t="shared" ref="K4" si="2">J4+1</f>
        <v>2032</v>
      </c>
      <c r="L4" s="93">
        <f t="shared" ref="L4" si="3">K4+1</f>
        <v>2033</v>
      </c>
      <c r="M4" s="93">
        <f t="shared" ref="M4" si="4">L4+1</f>
        <v>2034</v>
      </c>
      <c r="N4" s="93">
        <f t="shared" ref="N4" si="5">M4+1</f>
        <v>2035</v>
      </c>
      <c r="O4" s="93">
        <f t="shared" ref="O4:P4" si="6">N4+1</f>
        <v>2036</v>
      </c>
      <c r="P4" s="93">
        <f t="shared" si="6"/>
        <v>2037</v>
      </c>
    </row>
    <row r="5" spans="2:17" ht="18.75" customHeight="1" x14ac:dyDescent="0.35">
      <c r="B5" s="154" t="s">
        <v>603</v>
      </c>
      <c r="C5" s="154"/>
      <c r="D5" s="299">
        <v>0</v>
      </c>
      <c r="E5" s="299">
        <f>12</f>
        <v>12</v>
      </c>
      <c r="F5" s="299">
        <f>E5</f>
        <v>12</v>
      </c>
      <c r="G5" s="299">
        <f t="shared" ref="G5:J5" si="7">F5</f>
        <v>12</v>
      </c>
      <c r="H5" s="299">
        <f t="shared" si="7"/>
        <v>12</v>
      </c>
      <c r="I5" s="299">
        <f t="shared" si="7"/>
        <v>12</v>
      </c>
      <c r="J5" s="299">
        <f t="shared" si="7"/>
        <v>12</v>
      </c>
      <c r="K5" s="299">
        <f t="shared" ref="K5" si="8">J5</f>
        <v>12</v>
      </c>
      <c r="L5" s="299">
        <f t="shared" ref="L5" si="9">K5</f>
        <v>12</v>
      </c>
      <c r="M5" s="299">
        <f t="shared" ref="M5" si="10">L5</f>
        <v>12</v>
      </c>
      <c r="N5" s="299">
        <f t="shared" ref="N5" si="11">M5</f>
        <v>12</v>
      </c>
      <c r="O5" s="299">
        <f t="shared" ref="O5:P5" si="12">N5</f>
        <v>12</v>
      </c>
      <c r="P5" s="299">
        <f t="shared" si="12"/>
        <v>12</v>
      </c>
    </row>
    <row r="6" spans="2:17" ht="19.5" customHeight="1" x14ac:dyDescent="0.35">
      <c r="B6" s="146" t="s">
        <v>557</v>
      </c>
      <c r="C6" s="146"/>
      <c r="D6" s="299">
        <f>'P &amp; L'!D28+'P &amp; L'!D24</f>
        <v>0</v>
      </c>
      <c r="E6" s="299">
        <f>'P &amp; L'!E28+'P &amp; L'!E24</f>
        <v>0</v>
      </c>
      <c r="F6" s="299">
        <f>'P &amp; L'!F28+'P &amp; L'!F24</f>
        <v>146.83227274774771</v>
      </c>
      <c r="G6" s="299">
        <f>'P &amp; L'!G28+'P &amp; L'!G24</f>
        <v>188.3696040608109</v>
      </c>
      <c r="H6" s="299">
        <f>'P &amp; L'!H28+'P &amp; L'!H24</f>
        <v>230.22886591439192</v>
      </c>
      <c r="I6" s="299">
        <f>'P &amp; L'!I28+'P &amp; L'!I24</f>
        <v>272.74701550046564</v>
      </c>
      <c r="J6" s="299">
        <f>'P &amp; L'!J28+'P &amp; L'!J24</f>
        <v>316.25518173864907</v>
      </c>
      <c r="K6" s="299">
        <f>'P &amp; L'!K28+'P &amp; L'!K24</f>
        <v>361.58172718511105</v>
      </c>
      <c r="L6" s="299">
        <f>'P &amp; L'!L28+'P &amp; L'!L24</f>
        <v>408.05516462423583</v>
      </c>
      <c r="M6" s="299">
        <f>'P &amp; L'!M28+'P &amp; L'!M24</f>
        <v>456.50696136258961</v>
      </c>
      <c r="N6" s="299">
        <f>'P &amp; L'!N28+'P &amp; L'!N24</f>
        <v>507.27426157912095</v>
      </c>
      <c r="O6" s="299">
        <f>'P &amp; L'!O28+'P &amp; L'!O24</f>
        <v>560.70255486378073</v>
      </c>
      <c r="P6" s="299">
        <f>'P &amp; L'!P28+'P &amp; L'!P24</f>
        <v>617.14831724970486</v>
      </c>
    </row>
    <row r="7" spans="2:17" ht="19.5" customHeight="1" x14ac:dyDescent="0.35">
      <c r="B7" s="146" t="s">
        <v>558</v>
      </c>
      <c r="C7" s="146"/>
      <c r="D7" s="299">
        <f>'P &amp; L'!D29</f>
        <v>0</v>
      </c>
      <c r="E7" s="299">
        <f>'P &amp; L'!E29</f>
        <v>0</v>
      </c>
      <c r="F7" s="299">
        <f>'P &amp; L'!F29</f>
        <v>11.626195538486495</v>
      </c>
      <c r="G7" s="299">
        <f>'P &amp; L'!G29</f>
        <v>23.263757633358242</v>
      </c>
      <c r="H7" s="299">
        <f>'P &amp; L'!H29</f>
        <v>35.372525856667501</v>
      </c>
      <c r="I7" s="299">
        <f>'P &amp; L'!I29</f>
        <v>47.956689344490535</v>
      </c>
      <c r="J7" s="299">
        <f>'P &amp; L'!J29</f>
        <v>61.09958662331654</v>
      </c>
      <c r="K7" s="299">
        <f>'P &amp; L'!K29</f>
        <v>75.009699981282083</v>
      </c>
      <c r="L7" s="299">
        <f>'P &amp; L'!L29</f>
        <v>89.519104399294349</v>
      </c>
      <c r="M7" s="299">
        <f>'P &amp; L'!M29</f>
        <v>104.96175003573656</v>
      </c>
      <c r="N7" s="299">
        <f>'P &amp; L'!N29</f>
        <v>121.14409455423318</v>
      </c>
      <c r="O7" s="299">
        <f>'P &amp; L'!O29</f>
        <v>137.99615780811635</v>
      </c>
      <c r="P7" s="299">
        <f>'P &amp; L'!P29</f>
        <v>155.02829556873908</v>
      </c>
    </row>
    <row r="8" spans="2:17" ht="19.5" customHeight="1" x14ac:dyDescent="0.35">
      <c r="B8" s="168" t="s">
        <v>559</v>
      </c>
      <c r="C8" s="168"/>
      <c r="D8" s="299">
        <f>'P &amp; L'!D26</f>
        <v>0</v>
      </c>
      <c r="E8" s="299">
        <f>'P &amp; L'!E26</f>
        <v>0</v>
      </c>
      <c r="F8" s="299">
        <f>'P &amp; L'!F26</f>
        <v>160.82829391891892</v>
      </c>
      <c r="G8" s="299">
        <f>'P &amp; L'!G26</f>
        <v>144.4238079391892</v>
      </c>
      <c r="H8" s="299">
        <f>'P &amp; L'!H26</f>
        <v>129.70801904560813</v>
      </c>
      <c r="I8" s="299">
        <f>'P &amp; L'!I26</f>
        <v>116.50482025633447</v>
      </c>
      <c r="J8" s="299">
        <f>'P &amp; L'!J26</f>
        <v>104.65680087869511</v>
      </c>
      <c r="K8" s="299">
        <f>'P &amp; L'!K26</f>
        <v>94.023214041620562</v>
      </c>
      <c r="L8" s="299">
        <f>'P &amp; L'!L26</f>
        <v>84.478171900634237</v>
      </c>
      <c r="M8" s="299">
        <f>'P &amp; L'!M26</f>
        <v>75.909042084270183</v>
      </c>
      <c r="N8" s="299">
        <f>'P &amp; L'!N26</f>
        <v>68.21502214348763</v>
      </c>
      <c r="O8" s="299">
        <f>'P &amp; L'!O26</f>
        <v>61.30587155663666</v>
      </c>
      <c r="P8" s="299">
        <f>'P &amp; L'!P26</f>
        <v>55.100783284346114</v>
      </c>
    </row>
    <row r="9" spans="2:17" ht="19.5" customHeight="1" x14ac:dyDescent="0.35">
      <c r="B9" s="169" t="s">
        <v>560</v>
      </c>
      <c r="C9" s="169"/>
      <c r="D9" s="300">
        <f t="shared" ref="D9:J9" si="13">D6-D7+D8</f>
        <v>0</v>
      </c>
      <c r="E9" s="300">
        <f t="shared" si="13"/>
        <v>0</v>
      </c>
      <c r="F9" s="300">
        <f t="shared" si="13"/>
        <v>296.03437112818017</v>
      </c>
      <c r="G9" s="300">
        <f t="shared" si="13"/>
        <v>309.52965436664186</v>
      </c>
      <c r="H9" s="300">
        <f t="shared" si="13"/>
        <v>324.56435910333255</v>
      </c>
      <c r="I9" s="300">
        <f t="shared" si="13"/>
        <v>341.29514641230958</v>
      </c>
      <c r="J9" s="300">
        <f t="shared" si="13"/>
        <v>359.81239599402761</v>
      </c>
      <c r="K9" s="300">
        <f t="shared" ref="K9:O9" si="14">K6-K7+K8</f>
        <v>380.59524124544953</v>
      </c>
      <c r="L9" s="300">
        <f t="shared" si="14"/>
        <v>403.01423212557575</v>
      </c>
      <c r="M9" s="300">
        <f t="shared" si="14"/>
        <v>427.45425341112326</v>
      </c>
      <c r="N9" s="300">
        <f t="shared" si="14"/>
        <v>454.34518916837544</v>
      </c>
      <c r="O9" s="300">
        <f t="shared" si="14"/>
        <v>484.01226861230106</v>
      </c>
      <c r="P9" s="300">
        <f t="shared" ref="P9" si="15">P6-P7+P8</f>
        <v>517.22080496531191</v>
      </c>
    </row>
    <row r="10" spans="2:17" ht="19.5" customHeight="1" x14ac:dyDescent="0.35">
      <c r="B10" s="168" t="s">
        <v>561</v>
      </c>
      <c r="C10" s="168"/>
      <c r="D10" s="301">
        <f>WC!D35</f>
        <v>0</v>
      </c>
      <c r="E10" s="301">
        <f>WC!E35-WC!D35</f>
        <v>0</v>
      </c>
      <c r="F10" s="301">
        <f>WC!F35-WC!E35</f>
        <v>-3.3660753424657557</v>
      </c>
      <c r="G10" s="301">
        <f>WC!G35-WC!F35</f>
        <v>-0.22983397260274074</v>
      </c>
      <c r="H10" s="301">
        <f>WC!H35-WC!G35</f>
        <v>-0.24822069041094608</v>
      </c>
      <c r="I10" s="301">
        <f>WC!I35-WC!H35</f>
        <v>-0.26807834564384336</v>
      </c>
      <c r="J10" s="301">
        <f>WC!J35-WC!I35</f>
        <v>-0.28952461329533463</v>
      </c>
      <c r="K10" s="301">
        <f>WC!K35-WC!J35</f>
        <v>-0.31268658235898528</v>
      </c>
      <c r="L10" s="301">
        <f>WC!L35-WC!K35</f>
        <v>-0.33770150894768847</v>
      </c>
      <c r="M10" s="301">
        <f>WC!M35-WC!L35</f>
        <v>-0.36471762966350241</v>
      </c>
      <c r="N10" s="301">
        <f>WC!N35-WC!M35</f>
        <v>-0.3938950400365826</v>
      </c>
      <c r="O10" s="301">
        <f>WC!O35-WC!N35</f>
        <v>-0.42540664323949784</v>
      </c>
      <c r="P10" s="301">
        <f>WC!P35-WC!O35</f>
        <v>-0.45943917469867301</v>
      </c>
    </row>
    <row r="11" spans="2:17" ht="19.5" customHeight="1" x14ac:dyDescent="0.35">
      <c r="B11" s="168" t="s">
        <v>721</v>
      </c>
      <c r="C11" s="168"/>
      <c r="D11" s="301">
        <f>'Cash Flow'!C20</f>
        <v>731.95749999999998</v>
      </c>
      <c r="E11" s="301">
        <f>BS!D21-BS!C21</f>
        <v>873.90166666666664</v>
      </c>
      <c r="F11" s="301">
        <f>BS!E21-BS!D21</f>
        <v>0</v>
      </c>
      <c r="G11" s="301">
        <f>BS!F21-BS!E21</f>
        <v>0</v>
      </c>
      <c r="H11" s="301">
        <f>BS!G21-BS!F21</f>
        <v>0</v>
      </c>
      <c r="I11" s="301">
        <f>BS!H21-BS!G21</f>
        <v>0</v>
      </c>
      <c r="J11" s="301">
        <f>BS!I21-BS!H21</f>
        <v>0</v>
      </c>
      <c r="K11" s="301">
        <f>BS!J21-BS!I21</f>
        <v>0</v>
      </c>
      <c r="L11" s="301">
        <f>BS!K21-BS!J21</f>
        <v>0</v>
      </c>
      <c r="M11" s="301">
        <f>BS!L21-BS!K21</f>
        <v>0</v>
      </c>
      <c r="N11" s="301">
        <f>BS!M21-BS!L21</f>
        <v>0</v>
      </c>
      <c r="O11" s="301">
        <f>BS!N21-BS!M21</f>
        <v>0</v>
      </c>
      <c r="P11" s="301">
        <f>BS!O21-BS!N21</f>
        <v>0</v>
      </c>
    </row>
    <row r="12" spans="2:17" ht="19.5" customHeight="1" x14ac:dyDescent="0.35">
      <c r="B12" s="169" t="s">
        <v>562</v>
      </c>
      <c r="C12" s="169"/>
      <c r="D12" s="302">
        <f>D9-D10-D11</f>
        <v>-731.95749999999998</v>
      </c>
      <c r="E12" s="302">
        <f t="shared" ref="E12:J12" si="16">E9-E10-E11</f>
        <v>-873.90166666666664</v>
      </c>
      <c r="F12" s="302">
        <f t="shared" si="16"/>
        <v>299.40044647064593</v>
      </c>
      <c r="G12" s="302">
        <f t="shared" si="16"/>
        <v>309.75948833924463</v>
      </c>
      <c r="H12" s="302">
        <f t="shared" si="16"/>
        <v>324.81257979374351</v>
      </c>
      <c r="I12" s="302">
        <f t="shared" si="16"/>
        <v>341.56322475795344</v>
      </c>
      <c r="J12" s="302">
        <f t="shared" si="16"/>
        <v>360.10192060732294</v>
      </c>
      <c r="K12" s="302">
        <f t="shared" ref="K12:O12" si="17">K9-K10-K11</f>
        <v>380.90792782780852</v>
      </c>
      <c r="L12" s="302">
        <f t="shared" si="17"/>
        <v>403.35193363452345</v>
      </c>
      <c r="M12" s="302">
        <f t="shared" si="17"/>
        <v>427.81897104078678</v>
      </c>
      <c r="N12" s="302">
        <f t="shared" si="17"/>
        <v>454.73908420841201</v>
      </c>
      <c r="O12" s="302">
        <f t="shared" si="17"/>
        <v>484.43767525554057</v>
      </c>
      <c r="P12" s="302">
        <f t="shared" ref="P12" si="18">P9-P10-P11</f>
        <v>517.68024414001059</v>
      </c>
    </row>
    <row r="13" spans="2:17" ht="19.5" customHeight="1" x14ac:dyDescent="0.35">
      <c r="B13" s="169" t="s">
        <v>803</v>
      </c>
      <c r="C13" s="169"/>
      <c r="D13" s="332"/>
      <c r="E13" s="332"/>
      <c r="F13" s="332"/>
      <c r="G13" s="332"/>
      <c r="H13" s="332"/>
      <c r="I13" s="332"/>
      <c r="J13" s="332"/>
      <c r="K13" s="332"/>
      <c r="L13" s="332"/>
      <c r="M13" s="332"/>
      <c r="N13" s="332"/>
      <c r="O13" s="332"/>
      <c r="P13" s="332">
        <f>(P9-P10-P8)*(1+$D$40)/($D$19-$D$40)</f>
        <v>5550.9535302679733</v>
      </c>
      <c r="Q13" s="137" t="s">
        <v>805</v>
      </c>
    </row>
    <row r="14" spans="2:17" ht="19.5" customHeight="1" x14ac:dyDescent="0.35">
      <c r="B14" s="120" t="s">
        <v>804</v>
      </c>
      <c r="C14" s="120"/>
      <c r="D14" s="332">
        <f>D12+D13</f>
        <v>-731.95749999999998</v>
      </c>
      <c r="E14" s="332">
        <f t="shared" ref="E14:P14" si="19">E12+E13</f>
        <v>-873.90166666666664</v>
      </c>
      <c r="F14" s="332">
        <f t="shared" si="19"/>
        <v>299.40044647064593</v>
      </c>
      <c r="G14" s="332">
        <f t="shared" si="19"/>
        <v>309.75948833924463</v>
      </c>
      <c r="H14" s="332">
        <f t="shared" si="19"/>
        <v>324.81257979374351</v>
      </c>
      <c r="I14" s="332">
        <f t="shared" si="19"/>
        <v>341.56322475795344</v>
      </c>
      <c r="J14" s="332">
        <f t="shared" si="19"/>
        <v>360.10192060732294</v>
      </c>
      <c r="K14" s="332">
        <f t="shared" ref="K14:O14" si="20">K12+K13</f>
        <v>380.90792782780852</v>
      </c>
      <c r="L14" s="332">
        <f t="shared" si="20"/>
        <v>403.35193363452345</v>
      </c>
      <c r="M14" s="332">
        <f t="shared" si="20"/>
        <v>427.81897104078678</v>
      </c>
      <c r="N14" s="332">
        <f t="shared" si="20"/>
        <v>454.73908420841201</v>
      </c>
      <c r="O14" s="332">
        <f t="shared" si="20"/>
        <v>484.43767525554057</v>
      </c>
      <c r="P14" s="332">
        <f t="shared" si="19"/>
        <v>6068.6337744079838</v>
      </c>
    </row>
    <row r="15" spans="2:17" s="167" customFormat="1" ht="21" customHeight="1" x14ac:dyDescent="0.35">
      <c r="B15" s="118" t="s">
        <v>563</v>
      </c>
      <c r="C15" s="118"/>
      <c r="D15" s="341">
        <f>IRR(D14:P14)</f>
        <v>0.24619457599755057</v>
      </c>
      <c r="E15" s="341"/>
      <c r="F15" s="341"/>
      <c r="G15" s="341"/>
      <c r="H15" s="341"/>
      <c r="I15" s="341"/>
      <c r="J15" s="341"/>
      <c r="K15" s="341"/>
      <c r="L15" s="341"/>
      <c r="M15" s="341"/>
      <c r="N15" s="341"/>
      <c r="O15" s="341"/>
      <c r="P15" s="341"/>
    </row>
    <row r="16" spans="2:17" customFormat="1" ht="21" customHeight="1" x14ac:dyDescent="0.35">
      <c r="C16" s="334"/>
      <c r="D16" s="334">
        <f>D14</f>
        <v>-731.95749999999998</v>
      </c>
      <c r="E16" s="334">
        <f>E14</f>
        <v>-873.90166666666664</v>
      </c>
      <c r="F16" s="334">
        <f t="shared" ref="F16:P16" si="21">F14</f>
        <v>299.40044647064593</v>
      </c>
      <c r="G16" s="334">
        <f t="shared" si="21"/>
        <v>309.75948833924463</v>
      </c>
      <c r="H16" s="334">
        <f t="shared" si="21"/>
        <v>324.81257979374351</v>
      </c>
      <c r="I16" s="334">
        <f t="shared" si="21"/>
        <v>341.56322475795344</v>
      </c>
      <c r="J16" s="334">
        <f t="shared" si="21"/>
        <v>360.10192060732294</v>
      </c>
      <c r="K16" s="334">
        <f t="shared" si="21"/>
        <v>380.90792782780852</v>
      </c>
      <c r="L16" s="334">
        <f t="shared" si="21"/>
        <v>403.35193363452345</v>
      </c>
      <c r="M16" s="334">
        <f t="shared" si="21"/>
        <v>427.81897104078678</v>
      </c>
      <c r="N16" s="334">
        <f t="shared" si="21"/>
        <v>454.73908420841201</v>
      </c>
      <c r="O16" s="334">
        <f t="shared" si="21"/>
        <v>484.43767525554057</v>
      </c>
      <c r="P16" s="334">
        <f t="shared" si="21"/>
        <v>6068.6337744079838</v>
      </c>
      <c r="Q16" s="334"/>
    </row>
    <row r="17" spans="1:16" customFormat="1" ht="21" customHeight="1" x14ac:dyDescent="0.35">
      <c r="B17" s="338" t="s">
        <v>563</v>
      </c>
      <c r="C17" s="335">
        <f>XIRR(D16:P16,D3:P3)</f>
        <v>0.24600424170494081</v>
      </c>
    </row>
    <row r="18" spans="1:16" x14ac:dyDescent="0.35">
      <c r="B18" s="149"/>
      <c r="C18" s="149"/>
      <c r="D18" s="156"/>
      <c r="E18" s="141"/>
      <c r="F18" s="156"/>
      <c r="G18" s="157"/>
      <c r="H18" s="158"/>
      <c r="I18" s="136"/>
      <c r="J18" s="158"/>
      <c r="K18" s="158"/>
      <c r="L18" s="158"/>
      <c r="M18" s="158"/>
      <c r="N18" s="158"/>
      <c r="O18" s="158"/>
    </row>
    <row r="19" spans="1:16" x14ac:dyDescent="0.35">
      <c r="A19" s="209">
        <v>0.02</v>
      </c>
      <c r="B19" s="137" t="s">
        <v>601</v>
      </c>
      <c r="C19" s="137"/>
      <c r="D19" s="209">
        <f>E60</f>
        <v>0.13750000000000001</v>
      </c>
      <c r="E19" s="137"/>
      <c r="F19" s="137"/>
      <c r="G19" s="137"/>
      <c r="H19" s="137"/>
      <c r="I19" s="137"/>
      <c r="J19" s="137"/>
      <c r="K19" s="137"/>
      <c r="L19" s="137"/>
      <c r="M19" s="137"/>
      <c r="N19" s="137"/>
      <c r="O19" s="137"/>
      <c r="P19" s="255"/>
    </row>
    <row r="20" spans="1:16" ht="15" hidden="1" customHeight="1" x14ac:dyDescent="0.35">
      <c r="B20" s="137"/>
      <c r="C20" s="137"/>
      <c r="D20" s="137"/>
      <c r="E20" s="137"/>
      <c r="F20" s="137"/>
      <c r="G20" s="137"/>
      <c r="H20" s="137"/>
      <c r="I20" s="137"/>
      <c r="J20" s="137"/>
      <c r="K20" s="137"/>
      <c r="L20" s="137"/>
      <c r="M20" s="137"/>
      <c r="N20" s="137"/>
      <c r="O20" s="137"/>
    </row>
    <row r="21" spans="1:16" ht="15" hidden="1" customHeight="1" x14ac:dyDescent="0.35">
      <c r="B21" s="137" t="s">
        <v>564</v>
      </c>
      <c r="C21" s="137"/>
      <c r="D21" s="137"/>
      <c r="E21" s="137"/>
      <c r="F21" s="137"/>
      <c r="G21" s="137"/>
      <c r="H21" s="137"/>
      <c r="I21" s="137"/>
      <c r="J21" s="137"/>
      <c r="K21" s="137"/>
      <c r="L21" s="137"/>
      <c r="M21" s="137"/>
      <c r="N21" s="137"/>
      <c r="O21" s="137"/>
    </row>
    <row r="22" spans="1:16" ht="15" hidden="1" customHeight="1" x14ac:dyDescent="0.35">
      <c r="B22" s="137" t="s">
        <v>565</v>
      </c>
      <c r="C22" s="137"/>
      <c r="D22" s="137">
        <f t="shared" ref="D22:J22" si="22">D4</f>
        <v>2025</v>
      </c>
      <c r="E22" s="137">
        <f t="shared" si="22"/>
        <v>2026</v>
      </c>
      <c r="F22" s="137">
        <f t="shared" si="22"/>
        <v>2027</v>
      </c>
      <c r="G22" s="137">
        <f t="shared" si="22"/>
        <v>2028</v>
      </c>
      <c r="H22" s="137">
        <f t="shared" si="22"/>
        <v>2029</v>
      </c>
      <c r="I22" s="137">
        <f t="shared" si="22"/>
        <v>2030</v>
      </c>
      <c r="J22" s="137">
        <f t="shared" si="22"/>
        <v>2031</v>
      </c>
      <c r="K22" s="137"/>
      <c r="L22" s="137"/>
      <c r="M22" s="137"/>
      <c r="N22" s="137"/>
      <c r="O22" s="137"/>
      <c r="P22" s="139"/>
    </row>
    <row r="23" spans="1:16" ht="15" hidden="1" customHeight="1" x14ac:dyDescent="0.35">
      <c r="B23" s="137" t="s">
        <v>566</v>
      </c>
      <c r="C23" s="137"/>
      <c r="D23" s="137">
        <v>0.13</v>
      </c>
      <c r="E23" s="137">
        <f>D23</f>
        <v>0.13</v>
      </c>
      <c r="F23" s="137">
        <f t="shared" ref="F23:J23" si="23">E23</f>
        <v>0.13</v>
      </c>
      <c r="G23" s="137">
        <f t="shared" si="23"/>
        <v>0.13</v>
      </c>
      <c r="H23" s="137">
        <f t="shared" si="23"/>
        <v>0.13</v>
      </c>
      <c r="I23" s="137">
        <f t="shared" si="23"/>
        <v>0.13</v>
      </c>
      <c r="J23" s="137">
        <f t="shared" si="23"/>
        <v>0.13</v>
      </c>
      <c r="K23" s="137"/>
      <c r="L23" s="137"/>
      <c r="M23" s="137"/>
      <c r="N23" s="137"/>
      <c r="O23" s="137"/>
      <c r="P23" s="142"/>
    </row>
    <row r="24" spans="1:16" ht="15" hidden="1" customHeight="1" x14ac:dyDescent="0.35">
      <c r="B24" s="137" t="s">
        <v>567</v>
      </c>
      <c r="C24" s="137"/>
      <c r="D24" s="137">
        <v>0.2</v>
      </c>
      <c r="E24" s="137">
        <v>0.2</v>
      </c>
      <c r="F24" s="137">
        <v>0.2</v>
      </c>
      <c r="G24" s="137">
        <v>0.2</v>
      </c>
      <c r="H24" s="137">
        <v>0.2</v>
      </c>
      <c r="I24" s="137">
        <v>0.2</v>
      </c>
      <c r="J24" s="137">
        <v>0.2</v>
      </c>
      <c r="K24" s="137"/>
      <c r="L24" s="137"/>
      <c r="M24" s="137"/>
      <c r="N24" s="137"/>
      <c r="O24" s="137"/>
      <c r="P24" s="142"/>
    </row>
    <row r="25" spans="1:16" ht="15" hidden="1" customHeight="1" x14ac:dyDescent="0.35">
      <c r="B25" s="137" t="s">
        <v>568</v>
      </c>
      <c r="C25" s="137"/>
      <c r="D25" s="137">
        <v>0</v>
      </c>
      <c r="E25" s="137">
        <v>0</v>
      </c>
      <c r="F25" s="137">
        <v>0</v>
      </c>
      <c r="G25" s="137">
        <v>0</v>
      </c>
      <c r="H25" s="137">
        <v>0</v>
      </c>
      <c r="I25" s="137">
        <v>0</v>
      </c>
      <c r="J25" s="137">
        <v>0</v>
      </c>
      <c r="K25" s="137"/>
      <c r="L25" s="137"/>
      <c r="M25" s="137"/>
      <c r="N25" s="137"/>
      <c r="O25" s="137"/>
      <c r="P25" s="162"/>
    </row>
    <row r="26" spans="1:16" ht="15" hidden="1" customHeight="1" x14ac:dyDescent="0.35">
      <c r="B26" s="137" t="s">
        <v>569</v>
      </c>
      <c r="C26" s="137"/>
      <c r="D26" s="137">
        <v>0.33989999999999998</v>
      </c>
      <c r="E26" s="137">
        <v>0.33989999999999998</v>
      </c>
      <c r="F26" s="137">
        <v>0.33989999999999998</v>
      </c>
      <c r="G26" s="137">
        <v>0.33989999999999998</v>
      </c>
      <c r="H26" s="137">
        <v>0.33989999999999998</v>
      </c>
      <c r="I26" s="137">
        <v>0.33989999999999998</v>
      </c>
      <c r="J26" s="137">
        <v>0.33989999999999998</v>
      </c>
      <c r="K26" s="137"/>
      <c r="L26" s="137"/>
      <c r="M26" s="137"/>
      <c r="N26" s="137"/>
      <c r="O26" s="137"/>
      <c r="P26" s="162"/>
    </row>
    <row r="27" spans="1:16" ht="15" hidden="1" customHeight="1" x14ac:dyDescent="0.35">
      <c r="B27" s="137" t="s">
        <v>570</v>
      </c>
      <c r="C27" s="137"/>
      <c r="D27" s="137">
        <f>D23*D25*(1-D26)+D24*(1-D25)</f>
        <v>0.2</v>
      </c>
      <c r="E27" s="137">
        <f>E23*E25*(1-E26)+E24*(1-E25)</f>
        <v>0.2</v>
      </c>
      <c r="F27" s="137">
        <f>F23*F25*(1-F26)+F24*(1-F25)</f>
        <v>0.2</v>
      </c>
      <c r="G27" s="137">
        <f t="shared" ref="G27:J27" si="24">G23*G25*(1-G26)+G24*(1-G25)</f>
        <v>0.2</v>
      </c>
      <c r="H27" s="137">
        <f t="shared" si="24"/>
        <v>0.2</v>
      </c>
      <c r="I27" s="137">
        <f t="shared" si="24"/>
        <v>0.2</v>
      </c>
      <c r="J27" s="137">
        <f t="shared" si="24"/>
        <v>0.2</v>
      </c>
      <c r="K27" s="137"/>
      <c r="L27" s="137"/>
      <c r="M27" s="137"/>
      <c r="N27" s="137"/>
      <c r="O27" s="137"/>
      <c r="P27" s="163"/>
    </row>
    <row r="28" spans="1:16" ht="15" hidden="1" customHeight="1" x14ac:dyDescent="0.35">
      <c r="B28" s="137" t="s">
        <v>571</v>
      </c>
      <c r="C28" s="137"/>
      <c r="D28" s="137"/>
      <c r="E28" s="137"/>
      <c r="F28" s="137">
        <f>1/(1+F27)</f>
        <v>0.83333333333333337</v>
      </c>
      <c r="G28" s="137">
        <f t="shared" ref="G28:J28" si="25">F28/(1+G27)</f>
        <v>0.69444444444444453</v>
      </c>
      <c r="H28" s="137">
        <f t="shared" si="25"/>
        <v>0.57870370370370383</v>
      </c>
      <c r="I28" s="137">
        <f t="shared" si="25"/>
        <v>0.48225308641975323</v>
      </c>
      <c r="J28" s="137">
        <f t="shared" si="25"/>
        <v>0.40187757201646102</v>
      </c>
      <c r="K28" s="137"/>
      <c r="L28" s="137"/>
      <c r="M28" s="137"/>
      <c r="N28" s="137"/>
      <c r="O28" s="137"/>
      <c r="P28" s="164"/>
    </row>
    <row r="29" spans="1:16" ht="15" hidden="1" customHeight="1" x14ac:dyDescent="0.35">
      <c r="B29" s="137"/>
      <c r="C29" s="137"/>
      <c r="D29" s="137"/>
      <c r="E29" s="137"/>
      <c r="F29" s="137"/>
      <c r="G29" s="137"/>
      <c r="H29" s="137"/>
      <c r="I29" s="137"/>
      <c r="J29" s="137"/>
      <c r="K29" s="137"/>
      <c r="L29" s="137"/>
      <c r="M29" s="137"/>
      <c r="N29" s="137"/>
      <c r="O29" s="137"/>
    </row>
    <row r="30" spans="1:16" ht="15" hidden="1" customHeight="1" x14ac:dyDescent="0.35">
      <c r="B30" s="137"/>
      <c r="C30" s="137"/>
      <c r="D30" s="137"/>
      <c r="E30" s="137"/>
      <c r="F30" s="137"/>
      <c r="G30" s="137"/>
      <c r="H30" s="137"/>
      <c r="I30" s="137"/>
      <c r="J30" s="137"/>
      <c r="K30" s="137"/>
      <c r="L30" s="137"/>
      <c r="M30" s="137"/>
      <c r="N30" s="137"/>
      <c r="O30" s="137"/>
    </row>
    <row r="31" spans="1:16" ht="15" hidden="1" customHeight="1" x14ac:dyDescent="0.35">
      <c r="B31" s="137"/>
      <c r="C31" s="137"/>
      <c r="D31" s="137"/>
      <c r="E31" s="137"/>
      <c r="F31" s="137"/>
      <c r="G31" s="137"/>
      <c r="H31" s="137"/>
      <c r="I31" s="137"/>
      <c r="J31" s="137"/>
      <c r="K31" s="137"/>
      <c r="L31" s="137"/>
      <c r="M31" s="137"/>
      <c r="N31" s="137"/>
      <c r="O31" s="137"/>
    </row>
    <row r="32" spans="1:16" ht="15" hidden="1" customHeight="1" x14ac:dyDescent="0.35">
      <c r="B32" s="137"/>
      <c r="C32" s="137"/>
      <c r="D32" s="137"/>
      <c r="E32" s="137"/>
      <c r="F32" s="137"/>
      <c r="G32" s="137"/>
      <c r="H32" s="137"/>
      <c r="I32" s="137"/>
      <c r="J32" s="137"/>
      <c r="K32" s="137"/>
      <c r="L32" s="137"/>
      <c r="M32" s="137"/>
      <c r="N32" s="137"/>
      <c r="O32" s="137"/>
    </row>
    <row r="33" spans="2:16" ht="15" hidden="1" customHeight="1" x14ac:dyDescent="0.35">
      <c r="B33" s="137"/>
      <c r="C33" s="137"/>
      <c r="D33" s="137"/>
      <c r="E33" s="137"/>
      <c r="F33" s="137"/>
      <c r="G33" s="137"/>
      <c r="H33" s="137"/>
      <c r="I33" s="137"/>
      <c r="J33" s="137"/>
      <c r="K33" s="137"/>
      <c r="L33" s="137"/>
      <c r="M33" s="137"/>
      <c r="N33" s="137"/>
      <c r="O33" s="137"/>
    </row>
    <row r="34" spans="2:16" ht="15" hidden="1" customHeight="1" x14ac:dyDescent="0.35">
      <c r="B34" s="137"/>
      <c r="C34" s="137"/>
      <c r="D34" s="137"/>
      <c r="E34" s="137"/>
      <c r="F34" s="137"/>
      <c r="G34" s="137"/>
      <c r="H34" s="137"/>
      <c r="I34" s="137"/>
      <c r="J34" s="137"/>
      <c r="K34" s="137"/>
      <c r="L34" s="137"/>
      <c r="M34" s="137"/>
      <c r="N34" s="137"/>
      <c r="O34" s="137"/>
    </row>
    <row r="35" spans="2:16" ht="15" hidden="1" customHeight="1" x14ac:dyDescent="0.35">
      <c r="B35" s="137"/>
      <c r="C35" s="137"/>
      <c r="D35" s="137"/>
      <c r="E35" s="137"/>
      <c r="F35" s="137"/>
      <c r="G35" s="137"/>
      <c r="H35" s="137"/>
      <c r="I35" s="137"/>
      <c r="J35" s="137"/>
      <c r="K35" s="137"/>
      <c r="L35" s="137"/>
      <c r="M35" s="137"/>
      <c r="N35" s="137"/>
      <c r="O35" s="137"/>
      <c r="P35" s="165"/>
    </row>
    <row r="36" spans="2:16" ht="15" hidden="1" customHeight="1" x14ac:dyDescent="0.35">
      <c r="B36" s="137"/>
      <c r="C36" s="137"/>
      <c r="D36" s="137"/>
      <c r="E36" s="137"/>
      <c r="F36" s="137"/>
      <c r="G36" s="137"/>
      <c r="H36" s="137"/>
      <c r="I36" s="137"/>
      <c r="J36" s="137"/>
      <c r="K36" s="137"/>
      <c r="L36" s="137"/>
      <c r="M36" s="137"/>
      <c r="N36" s="137"/>
      <c r="O36" s="137"/>
    </row>
    <row r="37" spans="2:16" ht="15" hidden="1" customHeight="1" x14ac:dyDescent="0.35">
      <c r="B37" s="137"/>
      <c r="C37" s="137"/>
      <c r="D37" s="137"/>
      <c r="E37" s="137"/>
      <c r="F37" s="137"/>
      <c r="G37" s="137"/>
      <c r="H37" s="137"/>
      <c r="I37" s="137"/>
      <c r="J37" s="137"/>
      <c r="K37" s="137"/>
      <c r="L37" s="137"/>
      <c r="M37" s="137"/>
      <c r="N37" s="137"/>
      <c r="O37" s="137"/>
    </row>
    <row r="38" spans="2:16" ht="15" hidden="1" customHeight="1" x14ac:dyDescent="0.35">
      <c r="B38" s="137"/>
      <c r="C38" s="137"/>
      <c r="D38" s="137"/>
      <c r="E38" s="137"/>
      <c r="F38" s="137"/>
      <c r="G38" s="137"/>
      <c r="H38" s="137"/>
      <c r="I38" s="137"/>
      <c r="J38" s="137"/>
      <c r="K38" s="137"/>
      <c r="L38" s="137"/>
      <c r="M38" s="137"/>
      <c r="N38" s="137"/>
      <c r="O38" s="137"/>
    </row>
    <row r="39" spans="2:16" ht="15" hidden="1" customHeight="1" x14ac:dyDescent="0.35">
      <c r="B39" s="137"/>
      <c r="C39" s="137"/>
      <c r="D39" s="137"/>
      <c r="E39" s="137"/>
      <c r="F39" s="137"/>
      <c r="G39" s="137"/>
      <c r="H39" s="137"/>
      <c r="I39" s="137"/>
      <c r="J39" s="137"/>
      <c r="K39" s="137"/>
      <c r="L39" s="137"/>
      <c r="M39" s="137"/>
      <c r="N39" s="137"/>
      <c r="O39" s="137"/>
    </row>
    <row r="40" spans="2:16" x14ac:dyDescent="0.35">
      <c r="B40" s="206" t="s">
        <v>602</v>
      </c>
      <c r="C40" s="206"/>
      <c r="D40" s="210">
        <v>0.05</v>
      </c>
      <c r="E40" s="137"/>
      <c r="F40" s="137"/>
      <c r="G40" s="137"/>
      <c r="H40" s="137"/>
      <c r="I40" s="137"/>
      <c r="J40" s="137"/>
      <c r="K40" s="137"/>
      <c r="L40" s="137"/>
      <c r="M40" s="137"/>
      <c r="N40" s="137"/>
      <c r="O40" s="137"/>
      <c r="P40" s="142"/>
    </row>
    <row r="41" spans="2:16" x14ac:dyDescent="0.35">
      <c r="B41" s="206"/>
      <c r="C41" s="206"/>
      <c r="D41" s="210"/>
      <c r="E41" s="137"/>
      <c r="F41" s="137"/>
      <c r="G41" s="137"/>
      <c r="H41" s="137"/>
      <c r="I41" s="137"/>
      <c r="J41" s="137"/>
      <c r="K41" s="137"/>
      <c r="L41" s="137"/>
      <c r="M41" s="137"/>
      <c r="N41" s="137"/>
      <c r="O41" s="137"/>
      <c r="P41" s="142"/>
    </row>
    <row r="42" spans="2:16" x14ac:dyDescent="0.35">
      <c r="B42" s="256" t="s">
        <v>722</v>
      </c>
      <c r="C42" s="256"/>
      <c r="D42" s="257" t="s">
        <v>723</v>
      </c>
      <c r="E42" s="258">
        <v>0.10483405005819738</v>
      </c>
      <c r="F42" s="259"/>
      <c r="G42" s="285" t="s">
        <v>881</v>
      </c>
      <c r="H42" s="137"/>
      <c r="I42" s="137"/>
      <c r="J42" s="137"/>
      <c r="K42" s="137"/>
      <c r="L42" s="137"/>
      <c r="M42" s="137"/>
      <c r="N42" s="137"/>
      <c r="O42" s="137"/>
      <c r="P42" s="142"/>
    </row>
    <row r="43" spans="2:16" x14ac:dyDescent="0.35">
      <c r="B43" s="260" t="s">
        <v>724</v>
      </c>
      <c r="C43" s="260"/>
      <c r="D43" s="261" t="str">
        <f>D42</f>
        <v>Median</v>
      </c>
      <c r="E43" s="262">
        <v>0.70349922204635218</v>
      </c>
      <c r="F43" s="263"/>
      <c r="G43" s="285" t="s">
        <v>881</v>
      </c>
      <c r="H43" s="137"/>
      <c r="I43" s="137"/>
      <c r="J43" s="137"/>
      <c r="K43" s="137"/>
      <c r="L43" s="137"/>
      <c r="M43" s="137"/>
      <c r="N43" s="137"/>
      <c r="O43" s="137"/>
      <c r="P43" s="142"/>
    </row>
    <row r="44" spans="2:16" x14ac:dyDescent="0.35">
      <c r="B44" s="260" t="s">
        <v>725</v>
      </c>
      <c r="C44" s="260"/>
      <c r="D44" s="261"/>
      <c r="E44" s="264">
        <v>0.25168000000000001</v>
      </c>
      <c r="F44" s="263"/>
      <c r="G44" s="263"/>
      <c r="H44" s="137"/>
      <c r="I44" s="137"/>
      <c r="J44" s="137"/>
      <c r="K44" s="137"/>
      <c r="L44" s="137"/>
      <c r="M44" s="137"/>
      <c r="N44" s="137"/>
      <c r="O44" s="137"/>
      <c r="P44" s="142"/>
    </row>
    <row r="45" spans="2:16" x14ac:dyDescent="0.35">
      <c r="B45" s="265" t="s">
        <v>726</v>
      </c>
      <c r="C45" s="265"/>
      <c r="D45" s="261" t="s">
        <v>742</v>
      </c>
      <c r="E45" s="262">
        <f>E43*(1+(1-E44)*E42)</f>
        <v>0.75868832541121611</v>
      </c>
      <c r="F45" s="263"/>
      <c r="G45" s="263"/>
      <c r="H45" s="137"/>
      <c r="I45" s="137"/>
      <c r="J45" s="137"/>
      <c r="K45" s="137"/>
      <c r="L45" s="137"/>
      <c r="M45" s="137"/>
      <c r="N45" s="137"/>
      <c r="O45" s="137"/>
      <c r="P45" s="142"/>
    </row>
    <row r="46" spans="2:16" x14ac:dyDescent="0.35">
      <c r="B46" s="260"/>
      <c r="C46" s="260"/>
      <c r="D46" s="261"/>
      <c r="E46" s="266"/>
      <c r="F46" s="266"/>
      <c r="G46" s="266"/>
      <c r="H46" s="137"/>
      <c r="I46" s="137"/>
      <c r="J46" s="137"/>
      <c r="K46" s="137"/>
      <c r="L46" s="137"/>
      <c r="M46" s="137"/>
      <c r="N46" s="137"/>
      <c r="O46" s="137"/>
      <c r="P46" s="142"/>
    </row>
    <row r="47" spans="2:16" x14ac:dyDescent="0.35">
      <c r="B47" s="267" t="s">
        <v>727</v>
      </c>
      <c r="C47" s="267"/>
      <c r="D47" s="261"/>
      <c r="E47" s="266"/>
      <c r="F47" s="266"/>
      <c r="G47" s="266"/>
      <c r="H47" s="137"/>
      <c r="I47" s="137"/>
      <c r="J47" s="137"/>
      <c r="K47" s="137"/>
      <c r="L47" s="137"/>
      <c r="M47" s="137"/>
      <c r="N47" s="137"/>
      <c r="O47" s="137"/>
      <c r="P47" s="142"/>
    </row>
    <row r="48" spans="2:16" x14ac:dyDescent="0.35">
      <c r="B48" s="260" t="s">
        <v>728</v>
      </c>
      <c r="C48" s="260"/>
      <c r="D48" s="261"/>
      <c r="E48" s="328">
        <v>7.1900000000000006E-2</v>
      </c>
      <c r="F48" s="268" t="s">
        <v>879</v>
      </c>
      <c r="G48" s="266"/>
      <c r="H48" s="137"/>
      <c r="I48" s="137"/>
      <c r="J48" s="137"/>
      <c r="K48" s="137"/>
      <c r="L48" s="137"/>
      <c r="M48" s="137"/>
      <c r="N48" s="137"/>
      <c r="O48" s="137"/>
      <c r="P48" s="142"/>
    </row>
    <row r="49" spans="2:16" x14ac:dyDescent="0.35">
      <c r="B49" s="260" t="s">
        <v>729</v>
      </c>
      <c r="C49" s="260"/>
      <c r="D49" s="261"/>
      <c r="E49" s="269">
        <f>+E48+E50</f>
        <v>0.13990000000000002</v>
      </c>
      <c r="F49" s="270" t="s">
        <v>730</v>
      </c>
      <c r="G49" s="266"/>
      <c r="H49" s="137"/>
      <c r="I49" s="137"/>
      <c r="J49" s="137"/>
      <c r="K49" s="137"/>
      <c r="L49" s="137"/>
      <c r="M49" s="137"/>
      <c r="N49" s="137"/>
      <c r="O49" s="137"/>
      <c r="P49" s="142"/>
    </row>
    <row r="50" spans="2:16" x14ac:dyDescent="0.35">
      <c r="B50" s="260" t="s">
        <v>731</v>
      </c>
      <c r="C50" s="260"/>
      <c r="D50" s="261"/>
      <c r="E50" s="266">
        <v>6.8000000000000005E-2</v>
      </c>
      <c r="F50" s="270" t="s">
        <v>880</v>
      </c>
      <c r="G50" s="266"/>
      <c r="H50" s="137"/>
      <c r="I50" s="137"/>
      <c r="J50" s="137"/>
      <c r="K50" s="137"/>
      <c r="L50" s="137"/>
      <c r="M50" s="137"/>
      <c r="N50" s="137"/>
      <c r="O50" s="137"/>
      <c r="P50" s="142"/>
    </row>
    <row r="51" spans="2:16" x14ac:dyDescent="0.35">
      <c r="B51" s="260" t="s">
        <v>732</v>
      </c>
      <c r="C51" s="260"/>
      <c r="D51" s="261"/>
      <c r="E51" s="271">
        <f>E45</f>
        <v>0.75868832541121611</v>
      </c>
      <c r="F51" s="272" t="s">
        <v>587</v>
      </c>
      <c r="G51" s="273"/>
      <c r="H51" s="137"/>
      <c r="I51" s="137"/>
      <c r="J51" s="137"/>
      <c r="K51" s="137"/>
      <c r="L51" s="137"/>
      <c r="M51" s="137"/>
      <c r="N51" s="137"/>
      <c r="O51" s="137"/>
      <c r="P51" s="142"/>
    </row>
    <row r="52" spans="2:16" x14ac:dyDescent="0.35">
      <c r="B52" s="260" t="s">
        <v>733</v>
      </c>
      <c r="C52" s="260"/>
      <c r="D52" s="261"/>
      <c r="E52" s="274">
        <v>0.02</v>
      </c>
      <c r="F52" s="270" t="s">
        <v>734</v>
      </c>
      <c r="G52" s="273"/>
      <c r="H52" s="137"/>
      <c r="I52" s="137"/>
      <c r="J52" s="137"/>
      <c r="K52" s="137"/>
      <c r="L52" s="137"/>
      <c r="M52" s="137"/>
      <c r="N52" s="137"/>
      <c r="O52" s="137"/>
      <c r="P52" s="142"/>
    </row>
    <row r="53" spans="2:16" x14ac:dyDescent="0.3">
      <c r="B53" s="275" t="s">
        <v>727</v>
      </c>
      <c r="C53" s="275"/>
      <c r="D53" s="275"/>
      <c r="E53" s="276">
        <f>E48+(E51*E50)+E52</f>
        <v>0.14349080612796269</v>
      </c>
      <c r="F53" s="277" t="s">
        <v>587</v>
      </c>
      <c r="G53" s="273"/>
      <c r="H53" s="137"/>
      <c r="I53" s="137"/>
      <c r="J53" s="137"/>
      <c r="K53" s="137"/>
      <c r="L53" s="137"/>
      <c r="M53" s="137"/>
      <c r="N53" s="137"/>
      <c r="O53" s="137"/>
      <c r="P53" s="142"/>
    </row>
    <row r="54" spans="2:16" x14ac:dyDescent="0.35">
      <c r="B54" s="267" t="s">
        <v>735</v>
      </c>
      <c r="C54" s="267"/>
      <c r="D54" s="278"/>
      <c r="E54" s="279"/>
      <c r="F54" s="280"/>
      <c r="G54" s="273"/>
      <c r="H54" s="137"/>
      <c r="I54" s="137"/>
      <c r="J54" s="137"/>
      <c r="K54" s="137"/>
      <c r="L54" s="137"/>
      <c r="M54" s="137"/>
      <c r="N54" s="137"/>
      <c r="O54" s="137"/>
      <c r="P54" s="142"/>
    </row>
    <row r="55" spans="2:16" x14ac:dyDescent="0.35">
      <c r="B55" s="260" t="s">
        <v>736</v>
      </c>
      <c r="C55" s="260"/>
      <c r="D55" s="261"/>
      <c r="E55" s="266">
        <f>'TL Schd'!B9</f>
        <v>0.10249999999999999</v>
      </c>
      <c r="F55" s="270" t="s">
        <v>737</v>
      </c>
      <c r="G55" s="273"/>
      <c r="H55" s="137"/>
      <c r="I55" s="137"/>
      <c r="J55" s="137"/>
      <c r="K55" s="137"/>
      <c r="L55" s="137"/>
      <c r="M55" s="137"/>
      <c r="N55" s="137"/>
      <c r="O55" s="137"/>
      <c r="P55" s="142"/>
    </row>
    <row r="56" spans="2:16" x14ac:dyDescent="0.35">
      <c r="B56" s="260" t="s">
        <v>738</v>
      </c>
      <c r="C56" s="260"/>
      <c r="D56" s="261"/>
      <c r="E56" s="281">
        <v>0.25168000000000001</v>
      </c>
      <c r="F56" s="282" t="s">
        <v>739</v>
      </c>
      <c r="G56" s="273"/>
      <c r="H56" s="137"/>
      <c r="I56" s="137"/>
      <c r="J56" s="137"/>
      <c r="K56" s="137"/>
      <c r="L56" s="137"/>
      <c r="M56" s="137"/>
      <c r="N56" s="137"/>
      <c r="O56" s="137"/>
      <c r="P56" s="142"/>
    </row>
    <row r="57" spans="2:16" x14ac:dyDescent="0.35">
      <c r="B57" s="260" t="s">
        <v>740</v>
      </c>
      <c r="C57" s="260"/>
      <c r="D57" s="261"/>
      <c r="E57" s="266">
        <f>E55*(1-E56)</f>
        <v>7.6702799999999988E-2</v>
      </c>
      <c r="F57" s="277" t="s">
        <v>587</v>
      </c>
      <c r="G57" s="273"/>
      <c r="H57" s="137"/>
      <c r="I57" s="137"/>
      <c r="J57" s="137"/>
      <c r="K57" s="137"/>
      <c r="L57" s="137"/>
      <c r="M57" s="137"/>
      <c r="N57" s="137"/>
      <c r="O57" s="137"/>
      <c r="P57" s="142"/>
    </row>
    <row r="58" spans="2:16" x14ac:dyDescent="0.35">
      <c r="B58" s="260" t="s">
        <v>741</v>
      </c>
      <c r="C58" s="260"/>
      <c r="D58" s="261" t="s">
        <v>742</v>
      </c>
      <c r="E58" s="271">
        <f>E42</f>
        <v>0.10483405005819738</v>
      </c>
      <c r="F58" s="272" t="s">
        <v>587</v>
      </c>
      <c r="G58" s="283"/>
      <c r="H58" s="137"/>
      <c r="I58" s="137"/>
      <c r="J58" s="137"/>
      <c r="K58" s="137"/>
      <c r="L58" s="137"/>
      <c r="M58" s="137"/>
      <c r="N58" s="137"/>
      <c r="O58" s="137"/>
      <c r="P58" s="142"/>
    </row>
    <row r="59" spans="2:16" x14ac:dyDescent="0.3">
      <c r="B59" s="275" t="s">
        <v>570</v>
      </c>
      <c r="C59" s="275"/>
      <c r="D59" s="275"/>
      <c r="E59" s="276">
        <f>(E53*(1/(1+E58)))+(E57*(E58/(1+E58)))</f>
        <v>0.13715351305002285</v>
      </c>
      <c r="F59" s="284" t="s">
        <v>743</v>
      </c>
      <c r="G59" s="273"/>
      <c r="H59" s="137"/>
      <c r="I59" s="137"/>
      <c r="J59" s="137"/>
      <c r="K59" s="137"/>
      <c r="L59" s="137"/>
      <c r="M59" s="137"/>
      <c r="N59" s="137"/>
      <c r="O59" s="137"/>
      <c r="P59" s="142"/>
    </row>
    <row r="60" spans="2:16" x14ac:dyDescent="0.3">
      <c r="B60" s="275" t="s">
        <v>744</v>
      </c>
      <c r="C60" s="275"/>
      <c r="D60" s="275"/>
      <c r="E60" s="276">
        <f>ROUND(E59*4,2)/4</f>
        <v>0.13750000000000001</v>
      </c>
      <c r="F60" s="284" t="s">
        <v>587</v>
      </c>
      <c r="G60" s="273"/>
      <c r="H60" s="137"/>
      <c r="I60" s="137"/>
      <c r="J60" s="137"/>
      <c r="K60" s="137"/>
      <c r="L60" s="137"/>
      <c r="M60" s="137"/>
      <c r="N60" s="137"/>
      <c r="O60" s="137"/>
      <c r="P60" s="142"/>
    </row>
    <row r="61" spans="2:16" x14ac:dyDescent="0.35">
      <c r="B61" s="137"/>
      <c r="C61" s="137"/>
      <c r="D61" s="397">
        <v>45535</v>
      </c>
      <c r="E61" s="398">
        <f>YEARFRAC(D61,D3)</f>
        <v>0.58333333333333337</v>
      </c>
      <c r="F61" s="137"/>
      <c r="G61" s="137"/>
      <c r="H61" s="137"/>
      <c r="I61" s="137"/>
      <c r="J61" s="137"/>
      <c r="K61" s="137"/>
      <c r="L61" s="137"/>
      <c r="M61" s="137"/>
      <c r="N61" s="137"/>
      <c r="O61" s="137"/>
      <c r="P61" s="137"/>
    </row>
    <row r="62" spans="2:16" x14ac:dyDescent="0.35">
      <c r="B62" s="154" t="s">
        <v>604</v>
      </c>
      <c r="C62" s="154"/>
      <c r="D62" s="299">
        <f>E61</f>
        <v>0.58333333333333337</v>
      </c>
      <c r="E62" s="299">
        <f>D62+1</f>
        <v>1.5833333333333335</v>
      </c>
      <c r="F62" s="299">
        <f t="shared" ref="F62:J62" si="26">E62+1</f>
        <v>2.5833333333333335</v>
      </c>
      <c r="G62" s="299">
        <f t="shared" si="26"/>
        <v>3.5833333333333335</v>
      </c>
      <c r="H62" s="299">
        <f t="shared" si="26"/>
        <v>4.5833333333333339</v>
      </c>
      <c r="I62" s="299">
        <f t="shared" si="26"/>
        <v>5.5833333333333339</v>
      </c>
      <c r="J62" s="299">
        <f t="shared" si="26"/>
        <v>6.5833333333333339</v>
      </c>
      <c r="K62" s="299">
        <f t="shared" ref="K62" si="27">J62+1</f>
        <v>7.5833333333333339</v>
      </c>
      <c r="L62" s="299">
        <f t="shared" ref="L62" si="28">K62+1</f>
        <v>8.5833333333333339</v>
      </c>
      <c r="M62" s="299">
        <f t="shared" ref="M62" si="29">L62+1</f>
        <v>9.5833333333333339</v>
      </c>
      <c r="N62" s="299">
        <f t="shared" ref="N62" si="30">M62+1</f>
        <v>10.583333333333334</v>
      </c>
      <c r="O62" s="299">
        <f t="shared" ref="O62:P62" si="31">N62+1</f>
        <v>11.583333333333334</v>
      </c>
      <c r="P62" s="299">
        <f t="shared" si="31"/>
        <v>12.583333333333334</v>
      </c>
    </row>
    <row r="63" spans="2:16" x14ac:dyDescent="0.35">
      <c r="B63" s="154"/>
      <c r="C63" s="154"/>
      <c r="D63" s="142"/>
      <c r="E63" s="142"/>
    </row>
    <row r="64" spans="2:16" x14ac:dyDescent="0.35">
      <c r="B64" s="154" t="s">
        <v>605</v>
      </c>
      <c r="C64" s="154"/>
      <c r="D64" s="211">
        <f>1/(1+$D$19)^D62</f>
        <v>0.92760200828000916</v>
      </c>
      <c r="E64" s="211">
        <f t="shared" ref="E64:J64" si="32">1/(1+$D$19)^E62</f>
        <v>0.81547429299341467</v>
      </c>
      <c r="F64" s="211">
        <f t="shared" si="32"/>
        <v>0.71690047735684814</v>
      </c>
      <c r="G64" s="211">
        <f t="shared" si="32"/>
        <v>0.63024217789613024</v>
      </c>
      <c r="H64" s="211">
        <f t="shared" si="32"/>
        <v>0.55405905749110351</v>
      </c>
      <c r="I64" s="211">
        <f t="shared" si="32"/>
        <v>0.48708488570646469</v>
      </c>
      <c r="J64" s="211">
        <f t="shared" si="32"/>
        <v>0.42820649292876017</v>
      </c>
      <c r="K64" s="211">
        <f t="shared" ref="K64:O64" si="33">1/(1+$D$19)^K62</f>
        <v>0.37644526850880017</v>
      </c>
      <c r="L64" s="211">
        <f t="shared" si="33"/>
        <v>0.33094089539235177</v>
      </c>
      <c r="M64" s="211">
        <f t="shared" si="33"/>
        <v>0.29093705089437522</v>
      </c>
      <c r="N64" s="211">
        <f t="shared" si="33"/>
        <v>0.25576883595109912</v>
      </c>
      <c r="O64" s="211">
        <f t="shared" si="33"/>
        <v>0.22485172391305422</v>
      </c>
      <c r="P64" s="211">
        <f t="shared" ref="P64" si="34">1/(1+$D$19)^P62</f>
        <v>0.1976718451982894</v>
      </c>
    </row>
    <row r="66" spans="2:16" x14ac:dyDescent="0.35">
      <c r="B66" s="206" t="s">
        <v>606</v>
      </c>
      <c r="C66" s="206"/>
      <c r="D66" s="299">
        <f t="shared" ref="D66:J66" si="35">D12*D64</f>
        <v>-678.96524697561483</v>
      </c>
      <c r="E66" s="299">
        <f t="shared" si="35"/>
        <v>-712.64434377076668</v>
      </c>
      <c r="F66" s="299">
        <f t="shared" si="35"/>
        <v>214.64032299565952</v>
      </c>
      <c r="G66" s="299">
        <f t="shared" si="35"/>
        <v>195.2234945549165</v>
      </c>
      <c r="H66" s="299">
        <f t="shared" si="35"/>
        <v>179.96535182177539</v>
      </c>
      <c r="I66" s="299">
        <f t="shared" si="35"/>
        <v>166.37028429275927</v>
      </c>
      <c r="J66" s="299">
        <f t="shared" si="35"/>
        <v>154.19798052017259</v>
      </c>
      <c r="K66" s="299">
        <f t="shared" ref="K66:O66" si="36">K12*K64</f>
        <v>143.39098716827004</v>
      </c>
      <c r="L66" s="299">
        <f t="shared" si="36"/>
        <v>133.48565007524564</v>
      </c>
      <c r="M66" s="299">
        <f t="shared" si="36"/>
        <v>124.46838975127262</v>
      </c>
      <c r="N66" s="299">
        <f t="shared" si="36"/>
        <v>116.30808622945437</v>
      </c>
      <c r="O66" s="299">
        <f t="shared" si="36"/>
        <v>108.92664640964063</v>
      </c>
      <c r="P66" s="299">
        <f t="shared" ref="P66" si="37">P12*P64</f>
        <v>102.33080908185684</v>
      </c>
    </row>
    <row r="67" spans="2:16" x14ac:dyDescent="0.35">
      <c r="B67" s="206" t="s">
        <v>607</v>
      </c>
      <c r="C67" s="206"/>
      <c r="D67" s="211"/>
      <c r="P67" s="336">
        <f t="shared" ref="P67" si="38">P13</f>
        <v>5550.9535302679733</v>
      </c>
    </row>
    <row r="68" spans="2:16" x14ac:dyDescent="0.35">
      <c r="B68" s="206" t="s">
        <v>608</v>
      </c>
      <c r="C68" s="206"/>
      <c r="D68" s="211"/>
      <c r="E68" s="205"/>
      <c r="P68" s="336">
        <f t="shared" ref="P68" si="39">P67*P64</f>
        <v>1097.2672269380289</v>
      </c>
    </row>
    <row r="69" spans="2:16" x14ac:dyDescent="0.35">
      <c r="B69" s="206" t="s">
        <v>609</v>
      </c>
      <c r="C69" s="206"/>
      <c r="D69" s="337">
        <f>D66+D68</f>
        <v>-678.96524697561483</v>
      </c>
      <c r="E69" s="337">
        <f t="shared" ref="E69:P69" si="40">E66+E68</f>
        <v>-712.64434377076668</v>
      </c>
      <c r="F69" s="337">
        <f t="shared" si="40"/>
        <v>214.64032299565952</v>
      </c>
      <c r="G69" s="337">
        <f t="shared" si="40"/>
        <v>195.2234945549165</v>
      </c>
      <c r="H69" s="337">
        <f t="shared" si="40"/>
        <v>179.96535182177539</v>
      </c>
      <c r="I69" s="337">
        <f t="shared" si="40"/>
        <v>166.37028429275927</v>
      </c>
      <c r="J69" s="337">
        <f t="shared" si="40"/>
        <v>154.19798052017259</v>
      </c>
      <c r="K69" s="337">
        <f t="shared" ref="K69:O69" si="41">K66+K68</f>
        <v>143.39098716827004</v>
      </c>
      <c r="L69" s="337">
        <f t="shared" si="41"/>
        <v>133.48565007524564</v>
      </c>
      <c r="M69" s="337">
        <f t="shared" si="41"/>
        <v>124.46838975127262</v>
      </c>
      <c r="N69" s="337">
        <f t="shared" si="41"/>
        <v>116.30808622945437</v>
      </c>
      <c r="O69" s="337">
        <f t="shared" si="41"/>
        <v>108.92664640964063</v>
      </c>
      <c r="P69" s="337">
        <f t="shared" si="40"/>
        <v>1199.5980360198857</v>
      </c>
    </row>
    <row r="70" spans="2:16" x14ac:dyDescent="0.35">
      <c r="B70" s="149"/>
      <c r="C70" s="149"/>
      <c r="D70" s="142"/>
      <c r="E70" s="142"/>
    </row>
    <row r="71" spans="2:16" x14ac:dyDescent="0.35">
      <c r="B71" s="118" t="s">
        <v>254</v>
      </c>
      <c r="C71" s="118"/>
      <c r="D71" s="342">
        <f>SUM(D69:P69)</f>
        <v>1344.9656390926707</v>
      </c>
      <c r="E71" s="342"/>
      <c r="F71" s="342"/>
      <c r="G71" s="342"/>
      <c r="H71" s="342"/>
      <c r="I71" s="342"/>
      <c r="J71" s="342"/>
      <c r="K71" s="342"/>
      <c r="L71" s="342"/>
      <c r="M71" s="342"/>
      <c r="N71" s="342"/>
      <c r="O71" s="342"/>
      <c r="P71" s="342"/>
    </row>
    <row r="72" spans="2:16" customFormat="1" x14ac:dyDescent="0.35"/>
    <row r="73" spans="2:16" x14ac:dyDescent="0.35">
      <c r="B73" s="338" t="s">
        <v>806</v>
      </c>
      <c r="C73" s="339">
        <f>XNPV(D19,D16:P16,D3:P3)</f>
        <v>1447.7867961701716</v>
      </c>
      <c r="D73" s="137"/>
      <c r="E73" s="142"/>
    </row>
    <row r="74" spans="2:16" x14ac:dyDescent="0.35">
      <c r="B74" s="149"/>
      <c r="C74" s="149"/>
      <c r="D74" s="142"/>
    </row>
    <row r="75" spans="2:16" x14ac:dyDescent="0.35">
      <c r="B75" s="112" t="s">
        <v>245</v>
      </c>
      <c r="C75" s="112"/>
      <c r="D75" s="93">
        <f t="shared" ref="D75:J75" si="42">D4</f>
        <v>2025</v>
      </c>
      <c r="E75" s="93">
        <f t="shared" si="42"/>
        <v>2026</v>
      </c>
      <c r="F75" s="93">
        <f t="shared" si="42"/>
        <v>2027</v>
      </c>
      <c r="G75" s="93">
        <f t="shared" si="42"/>
        <v>2028</v>
      </c>
      <c r="H75" s="93">
        <f t="shared" si="42"/>
        <v>2029</v>
      </c>
      <c r="I75" s="93">
        <f t="shared" si="42"/>
        <v>2030</v>
      </c>
      <c r="J75" s="93">
        <f t="shared" si="42"/>
        <v>2031</v>
      </c>
      <c r="K75" s="93">
        <f t="shared" ref="K75:P75" si="43">K4</f>
        <v>2032</v>
      </c>
      <c r="L75" s="93">
        <f t="shared" si="43"/>
        <v>2033</v>
      </c>
      <c r="M75" s="93">
        <f t="shared" si="43"/>
        <v>2034</v>
      </c>
      <c r="N75" s="93">
        <f t="shared" si="43"/>
        <v>2035</v>
      </c>
      <c r="O75" s="93">
        <f t="shared" si="43"/>
        <v>2036</v>
      </c>
      <c r="P75" s="93">
        <f t="shared" si="43"/>
        <v>2037</v>
      </c>
    </row>
    <row r="76" spans="2:16" x14ac:dyDescent="0.35">
      <c r="B76" s="212"/>
      <c r="C76" s="212"/>
      <c r="D76" s="212"/>
      <c r="E76" s="207"/>
      <c r="F76" s="213"/>
      <c r="G76" s="208"/>
      <c r="H76" s="208"/>
      <c r="I76" s="208"/>
      <c r="J76" s="208"/>
      <c r="K76" s="208"/>
      <c r="L76" s="208"/>
      <c r="M76" s="208"/>
      <c r="N76" s="208"/>
      <c r="O76" s="208"/>
      <c r="P76" s="208"/>
    </row>
    <row r="77" spans="2:16" x14ac:dyDescent="0.35">
      <c r="B77" s="117" t="s">
        <v>610</v>
      </c>
      <c r="C77" s="117"/>
      <c r="D77" s="399">
        <v>0</v>
      </c>
      <c r="E77" s="399">
        <v>0</v>
      </c>
      <c r="F77" s="211">
        <f t="shared" ref="F77:J77" si="44">E77+1</f>
        <v>1</v>
      </c>
      <c r="G77" s="211">
        <f t="shared" si="44"/>
        <v>2</v>
      </c>
      <c r="H77" s="211">
        <f t="shared" si="44"/>
        <v>3</v>
      </c>
      <c r="I77" s="211">
        <f t="shared" si="44"/>
        <v>4</v>
      </c>
      <c r="J77" s="211">
        <f t="shared" si="44"/>
        <v>5</v>
      </c>
      <c r="K77" s="211">
        <f t="shared" ref="K77" si="45">J77+1</f>
        <v>6</v>
      </c>
      <c r="L77" s="211">
        <f t="shared" ref="L77" si="46">K77+1</f>
        <v>7</v>
      </c>
      <c r="M77" s="211">
        <f t="shared" ref="M77" si="47">L77+1</f>
        <v>8</v>
      </c>
      <c r="N77" s="211">
        <f t="shared" ref="N77" si="48">M77+1</f>
        <v>9</v>
      </c>
      <c r="O77" s="211">
        <f t="shared" ref="O77" si="49">N77+1</f>
        <v>10</v>
      </c>
      <c r="P77" s="211">
        <f t="shared" ref="P77" si="50">O77+1</f>
        <v>11</v>
      </c>
    </row>
    <row r="78" spans="2:16" x14ac:dyDescent="0.35">
      <c r="B78" s="117" t="s">
        <v>611</v>
      </c>
      <c r="C78" s="117"/>
      <c r="D78" s="211">
        <f>DSCR!C5+DSCR!C6</f>
        <v>0</v>
      </c>
      <c r="E78" s="211">
        <f>DSCR!D5+DSCR!D6</f>
        <v>0</v>
      </c>
      <c r="F78" s="211">
        <f>DSCR!E5+DSCR!E6</f>
        <v>195.39645446151354</v>
      </c>
      <c r="G78" s="211">
        <f>DSCR!F5+DSCR!F6</f>
        <v>213.59392519997527</v>
      </c>
      <c r="H78" s="211">
        <f>DSCR!G5+DSCR!G6</f>
        <v>234.8811299366659</v>
      </c>
      <c r="I78" s="211">
        <f>DSCR!H5+DSCR!H6</f>
        <v>259.09441724564294</v>
      </c>
      <c r="J78" s="211">
        <f>DSCR!I5+DSCR!I6</f>
        <v>286.32416682736095</v>
      </c>
      <c r="K78" s="211">
        <f>DSCR!J5+DSCR!J6</f>
        <v>317.04951207878287</v>
      </c>
      <c r="L78" s="211">
        <f>DSCR!K5+DSCR!K6</f>
        <v>350.64527379224239</v>
      </c>
      <c r="M78" s="211">
        <f>DSCR!L5+DSCR!L6</f>
        <v>387.99175341112328</v>
      </c>
      <c r="N78" s="211">
        <f>DSCR!M5+DSCR!M6</f>
        <v>428.41268916837544</v>
      </c>
      <c r="O78" s="211">
        <f>DSCR!N5+DSCR!N6</f>
        <v>471.60976861230114</v>
      </c>
      <c r="P78" s="211">
        <f>DSCR!O5+DSCR!O6</f>
        <v>516.04632579864528</v>
      </c>
    </row>
    <row r="79" spans="2:16" x14ac:dyDescent="0.35">
      <c r="B79" s="117" t="s">
        <v>612</v>
      </c>
      <c r="C79" s="117"/>
      <c r="D79" s="211">
        <f>D78</f>
        <v>0</v>
      </c>
      <c r="E79" s="211">
        <f>D79+E78</f>
        <v>0</v>
      </c>
      <c r="F79" s="211">
        <f t="shared" ref="F79:J79" si="51">E79+F78</f>
        <v>195.39645446151354</v>
      </c>
      <c r="G79" s="211">
        <f t="shared" si="51"/>
        <v>408.99037966148882</v>
      </c>
      <c r="H79" s="211">
        <f t="shared" si="51"/>
        <v>643.87150959815472</v>
      </c>
      <c r="I79" s="211">
        <f t="shared" si="51"/>
        <v>902.96592684379766</v>
      </c>
      <c r="J79" s="211">
        <f t="shared" si="51"/>
        <v>1189.2900936711585</v>
      </c>
      <c r="K79" s="211">
        <f t="shared" ref="K79" si="52">J79+K78</f>
        <v>1506.3396057499413</v>
      </c>
      <c r="L79" s="211">
        <f t="shared" ref="L79" si="53">K79+L78</f>
        <v>1856.9848795421835</v>
      </c>
      <c r="M79" s="211">
        <f t="shared" ref="M79" si="54">L79+M78</f>
        <v>2244.9766329533068</v>
      </c>
      <c r="N79" s="211">
        <f t="shared" ref="N79" si="55">M79+N78</f>
        <v>2673.3893221216822</v>
      </c>
      <c r="O79" s="211">
        <f t="shared" ref="O79" si="56">N79+O78</f>
        <v>3144.9990907339834</v>
      </c>
      <c r="P79" s="211">
        <f t="shared" ref="P79" si="57">O79+P78</f>
        <v>3661.0454165326287</v>
      </c>
    </row>
    <row r="80" spans="2:16" x14ac:dyDescent="0.35">
      <c r="B80" s="117" t="s">
        <v>613</v>
      </c>
      <c r="C80" s="117"/>
      <c r="D80" s="211">
        <f>'CoP-MoF'!D16/10^5</f>
        <v>1608.3591666666666</v>
      </c>
      <c r="E80" s="211"/>
      <c r="F80" s="211"/>
      <c r="G80" s="211"/>
      <c r="H80" s="211"/>
      <c r="I80" s="211"/>
      <c r="J80" s="211"/>
      <c r="K80" s="211"/>
      <c r="L80" s="211"/>
      <c r="M80" s="211"/>
      <c r="N80" s="211"/>
      <c r="O80" s="211"/>
      <c r="P80" s="211"/>
    </row>
    <row r="81" spans="2:16" x14ac:dyDescent="0.35">
      <c r="B81" s="214" t="s">
        <v>614</v>
      </c>
      <c r="C81" s="214"/>
      <c r="D81" s="216">
        <f>K77+(D80-K79)/L78</f>
        <v>6.2909480564599658</v>
      </c>
      <c r="E81" s="216" t="s">
        <v>615</v>
      </c>
      <c r="F81" s="215"/>
      <c r="G81" s="215"/>
      <c r="H81" s="215"/>
      <c r="I81" s="215"/>
      <c r="J81" s="215"/>
      <c r="K81" s="215"/>
      <c r="L81" s="215"/>
      <c r="M81" s="215"/>
      <c r="N81" s="215"/>
      <c r="O81" s="215"/>
      <c r="P81" s="215"/>
    </row>
    <row r="83" spans="2:16" x14ac:dyDescent="0.35">
      <c r="D83" s="211"/>
      <c r="E83" s="211"/>
      <c r="J83" s="254"/>
      <c r="K83" s="254"/>
      <c r="L83" s="254"/>
      <c r="M83" s="254"/>
      <c r="N83" s="254"/>
      <c r="O83" s="254"/>
    </row>
    <row r="84" spans="2:16" x14ac:dyDescent="0.35">
      <c r="D84" s="211"/>
      <c r="E84" s="211"/>
      <c r="J84" s="254"/>
      <c r="K84" s="254"/>
      <c r="L84" s="254"/>
      <c r="M84" s="254"/>
      <c r="N84" s="254"/>
      <c r="O84" s="254"/>
    </row>
    <row r="85" spans="2:16" x14ac:dyDescent="0.35">
      <c r="D85" s="211"/>
      <c r="E85" s="211"/>
      <c r="F85" s="211">
        <v>195.39645446151354</v>
      </c>
      <c r="G85" s="211">
        <v>195.39645446151354</v>
      </c>
      <c r="J85" s="254"/>
      <c r="K85" s="254"/>
      <c r="L85" s="254"/>
      <c r="M85" s="254"/>
      <c r="N85" s="254"/>
      <c r="O85" s="254"/>
    </row>
    <row r="86" spans="2:16" x14ac:dyDescent="0.35">
      <c r="D86" s="211"/>
      <c r="E86" s="211"/>
      <c r="F86" s="211">
        <v>213.59392519997527</v>
      </c>
      <c r="G86" s="211">
        <v>408.99037966148882</v>
      </c>
    </row>
    <row r="87" spans="2:16" x14ac:dyDescent="0.35">
      <c r="D87" s="211"/>
      <c r="E87" s="211"/>
      <c r="F87" s="211">
        <v>234.8811299366659</v>
      </c>
      <c r="G87" s="211">
        <v>643.87150959815472</v>
      </c>
    </row>
    <row r="88" spans="2:16" x14ac:dyDescent="0.35">
      <c r="D88" s="211"/>
      <c r="E88" s="211"/>
      <c r="F88" s="211">
        <v>259.09441724564294</v>
      </c>
      <c r="G88" s="211">
        <v>902.96592684379766</v>
      </c>
    </row>
    <row r="89" spans="2:16" x14ac:dyDescent="0.35">
      <c r="D89" s="211"/>
      <c r="E89" s="211"/>
      <c r="F89" s="211">
        <v>286.32416682736095</v>
      </c>
      <c r="G89" s="211">
        <v>1189.2900936711585</v>
      </c>
    </row>
    <row r="90" spans="2:16" x14ac:dyDescent="0.35">
      <c r="D90" s="211"/>
      <c r="E90" s="211"/>
      <c r="F90" s="211">
        <v>317.04951207878287</v>
      </c>
      <c r="G90" s="211">
        <v>1506.3396057499413</v>
      </c>
    </row>
    <row r="91" spans="2:16" x14ac:dyDescent="0.35">
      <c r="D91" s="211"/>
      <c r="E91" s="211"/>
      <c r="F91" s="211">
        <v>350.64527379224239</v>
      </c>
      <c r="G91" s="211">
        <v>1856.9848795421835</v>
      </c>
    </row>
    <row r="92" spans="2:16" x14ac:dyDescent="0.35">
      <c r="F92" s="211">
        <v>387.99175341112328</v>
      </c>
      <c r="G92" s="211">
        <v>2244.9766329533068</v>
      </c>
    </row>
    <row r="93" spans="2:16" x14ac:dyDescent="0.35">
      <c r="F93" s="211">
        <v>428.41268916837544</v>
      </c>
      <c r="G93" s="211">
        <v>2673.3893221216822</v>
      </c>
    </row>
    <row r="94" spans="2:16" x14ac:dyDescent="0.35">
      <c r="F94" s="211">
        <v>471.60976861230114</v>
      </c>
      <c r="G94" s="211">
        <v>3144.9990907339834</v>
      </c>
    </row>
    <row r="95" spans="2:16" x14ac:dyDescent="0.35">
      <c r="F95" s="211">
        <v>516.04632579864528</v>
      </c>
      <c r="G95" s="211">
        <v>3661.0454165326287</v>
      </c>
    </row>
  </sheetData>
  <dataValidations count="1">
    <dataValidation type="list" allowBlank="1" showInputMessage="1" showErrorMessage="1" sqref="D42" xr:uid="{7C66EB21-F63C-48B1-B483-CE8C5BDC9E38}">
      <formula1>$B$22:$B$23</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6" tint="-0.499984740745262"/>
  </sheetPr>
  <dimension ref="B1:O27"/>
  <sheetViews>
    <sheetView showGridLines="0" topLeftCell="C2" workbookViewId="0">
      <selection activeCell="K12" sqref="K12"/>
    </sheetView>
  </sheetViews>
  <sheetFormatPr defaultColWidth="8.81640625" defaultRowHeight="14.5" x14ac:dyDescent="0.35"/>
  <cols>
    <col min="1" max="1" width="5.453125" style="96" customWidth="1"/>
    <col min="2" max="2" width="35" style="51" customWidth="1"/>
    <col min="3" max="15" width="12.1796875" style="44" customWidth="1"/>
    <col min="16" max="246" width="8.81640625" style="96"/>
    <col min="247" max="247" width="22.453125" style="96" customWidth="1"/>
    <col min="248" max="256" width="8.81640625" style="96"/>
    <col min="257" max="257" width="0" style="96" hidden="1" customWidth="1"/>
    <col min="258" max="502" width="8.81640625" style="96"/>
    <col min="503" max="503" width="22.453125" style="96" customWidth="1"/>
    <col min="504" max="512" width="8.81640625" style="96"/>
    <col min="513" max="513" width="0" style="96" hidden="1" customWidth="1"/>
    <col min="514" max="758" width="8.81640625" style="96"/>
    <col min="759" max="759" width="22.453125" style="96" customWidth="1"/>
    <col min="760" max="768" width="8.81640625" style="96"/>
    <col min="769" max="769" width="0" style="96" hidden="1" customWidth="1"/>
    <col min="770" max="1014" width="8.81640625" style="96"/>
    <col min="1015" max="1015" width="22.453125" style="96" customWidth="1"/>
    <col min="1016" max="1024" width="8.81640625" style="96"/>
    <col min="1025" max="1025" width="0" style="96" hidden="1" customWidth="1"/>
    <col min="1026" max="1270" width="8.81640625" style="96"/>
    <col min="1271" max="1271" width="22.453125" style="96" customWidth="1"/>
    <col min="1272" max="1280" width="8.81640625" style="96"/>
    <col min="1281" max="1281" width="0" style="96" hidden="1" customWidth="1"/>
    <col min="1282" max="1526" width="8.81640625" style="96"/>
    <col min="1527" max="1527" width="22.453125" style="96" customWidth="1"/>
    <col min="1528" max="1536" width="8.81640625" style="96"/>
    <col min="1537" max="1537" width="0" style="96" hidden="1" customWidth="1"/>
    <col min="1538" max="1782" width="8.81640625" style="96"/>
    <col min="1783" max="1783" width="22.453125" style="96" customWidth="1"/>
    <col min="1784" max="1792" width="8.81640625" style="96"/>
    <col min="1793" max="1793" width="0" style="96" hidden="1" customWidth="1"/>
    <col min="1794" max="2038" width="8.81640625" style="96"/>
    <col min="2039" max="2039" width="22.453125" style="96" customWidth="1"/>
    <col min="2040" max="2048" width="8.81640625" style="96"/>
    <col min="2049" max="2049" width="0" style="96" hidden="1" customWidth="1"/>
    <col min="2050" max="2294" width="8.81640625" style="96"/>
    <col min="2295" max="2295" width="22.453125" style="96" customWidth="1"/>
    <col min="2296" max="2304" width="8.81640625" style="96"/>
    <col min="2305" max="2305" width="0" style="96" hidden="1" customWidth="1"/>
    <col min="2306" max="2550" width="8.81640625" style="96"/>
    <col min="2551" max="2551" width="22.453125" style="96" customWidth="1"/>
    <col min="2552" max="2560" width="8.81640625" style="96"/>
    <col min="2561" max="2561" width="0" style="96" hidden="1" customWidth="1"/>
    <col min="2562" max="2806" width="8.81640625" style="96"/>
    <col min="2807" max="2807" width="22.453125" style="96" customWidth="1"/>
    <col min="2808" max="2816" width="8.81640625" style="96"/>
    <col min="2817" max="2817" width="0" style="96" hidden="1" customWidth="1"/>
    <col min="2818" max="3062" width="8.81640625" style="96"/>
    <col min="3063" max="3063" width="22.453125" style="96" customWidth="1"/>
    <col min="3064" max="3072" width="8.81640625" style="96"/>
    <col min="3073" max="3073" width="0" style="96" hidden="1" customWidth="1"/>
    <col min="3074" max="3318" width="8.81640625" style="96"/>
    <col min="3319" max="3319" width="22.453125" style="96" customWidth="1"/>
    <col min="3320" max="3328" width="8.81640625" style="96"/>
    <col min="3329" max="3329" width="0" style="96" hidden="1" customWidth="1"/>
    <col min="3330" max="3574" width="8.81640625" style="96"/>
    <col min="3575" max="3575" width="22.453125" style="96" customWidth="1"/>
    <col min="3576" max="3584" width="8.81640625" style="96"/>
    <col min="3585" max="3585" width="0" style="96" hidden="1" customWidth="1"/>
    <col min="3586" max="3830" width="8.81640625" style="96"/>
    <col min="3831" max="3831" width="22.453125" style="96" customWidth="1"/>
    <col min="3832" max="3840" width="8.81640625" style="96"/>
    <col min="3841" max="3841" width="0" style="96" hidden="1" customWidth="1"/>
    <col min="3842" max="4086" width="8.81640625" style="96"/>
    <col min="4087" max="4087" width="22.453125" style="96" customWidth="1"/>
    <col min="4088" max="4096" width="8.81640625" style="96"/>
    <col min="4097" max="4097" width="0" style="96" hidden="1" customWidth="1"/>
    <col min="4098" max="4342" width="8.81640625" style="96"/>
    <col min="4343" max="4343" width="22.453125" style="96" customWidth="1"/>
    <col min="4344" max="4352" width="8.81640625" style="96"/>
    <col min="4353" max="4353" width="0" style="96" hidden="1" customWidth="1"/>
    <col min="4354" max="4598" width="8.81640625" style="96"/>
    <col min="4599" max="4599" width="22.453125" style="96" customWidth="1"/>
    <col min="4600" max="4608" width="8.81640625" style="96"/>
    <col min="4609" max="4609" width="0" style="96" hidden="1" customWidth="1"/>
    <col min="4610" max="4854" width="8.81640625" style="96"/>
    <col min="4855" max="4855" width="22.453125" style="96" customWidth="1"/>
    <col min="4856" max="4864" width="8.81640625" style="96"/>
    <col min="4865" max="4865" width="0" style="96" hidden="1" customWidth="1"/>
    <col min="4866" max="5110" width="8.81640625" style="96"/>
    <col min="5111" max="5111" width="22.453125" style="96" customWidth="1"/>
    <col min="5112" max="5120" width="8.81640625" style="96"/>
    <col min="5121" max="5121" width="0" style="96" hidden="1" customWidth="1"/>
    <col min="5122" max="5366" width="8.81640625" style="96"/>
    <col min="5367" max="5367" width="22.453125" style="96" customWidth="1"/>
    <col min="5368" max="5376" width="8.81640625" style="96"/>
    <col min="5377" max="5377" width="0" style="96" hidden="1" customWidth="1"/>
    <col min="5378" max="5622" width="8.81640625" style="96"/>
    <col min="5623" max="5623" width="22.453125" style="96" customWidth="1"/>
    <col min="5624" max="5632" width="8.81640625" style="96"/>
    <col min="5633" max="5633" width="0" style="96" hidden="1" customWidth="1"/>
    <col min="5634" max="5878" width="8.81640625" style="96"/>
    <col min="5879" max="5879" width="22.453125" style="96" customWidth="1"/>
    <col min="5880" max="5888" width="8.81640625" style="96"/>
    <col min="5889" max="5889" width="0" style="96" hidden="1" customWidth="1"/>
    <col min="5890" max="6134" width="8.81640625" style="96"/>
    <col min="6135" max="6135" width="22.453125" style="96" customWidth="1"/>
    <col min="6136" max="6144" width="8.81640625" style="96"/>
    <col min="6145" max="6145" width="0" style="96" hidden="1" customWidth="1"/>
    <col min="6146" max="6390" width="8.81640625" style="96"/>
    <col min="6391" max="6391" width="22.453125" style="96" customWidth="1"/>
    <col min="6392" max="6400" width="8.81640625" style="96"/>
    <col min="6401" max="6401" width="0" style="96" hidden="1" customWidth="1"/>
    <col min="6402" max="6646" width="8.81640625" style="96"/>
    <col min="6647" max="6647" width="22.453125" style="96" customWidth="1"/>
    <col min="6648" max="6656" width="8.81640625" style="96"/>
    <col min="6657" max="6657" width="0" style="96" hidden="1" customWidth="1"/>
    <col min="6658" max="6902" width="8.81640625" style="96"/>
    <col min="6903" max="6903" width="22.453125" style="96" customWidth="1"/>
    <col min="6904" max="6912" width="8.81640625" style="96"/>
    <col min="6913" max="6913" width="0" style="96" hidden="1" customWidth="1"/>
    <col min="6914" max="7158" width="8.81640625" style="96"/>
    <col min="7159" max="7159" width="22.453125" style="96" customWidth="1"/>
    <col min="7160" max="7168" width="8.81640625" style="96"/>
    <col min="7169" max="7169" width="0" style="96" hidden="1" customWidth="1"/>
    <col min="7170" max="7414" width="8.81640625" style="96"/>
    <col min="7415" max="7415" width="22.453125" style="96" customWidth="1"/>
    <col min="7416" max="7424" width="8.81640625" style="96"/>
    <col min="7425" max="7425" width="0" style="96" hidden="1" customWidth="1"/>
    <col min="7426" max="7670" width="8.81640625" style="96"/>
    <col min="7671" max="7671" width="22.453125" style="96" customWidth="1"/>
    <col min="7672" max="7680" width="8.81640625" style="96"/>
    <col min="7681" max="7681" width="0" style="96" hidden="1" customWidth="1"/>
    <col min="7682" max="7926" width="8.81640625" style="96"/>
    <col min="7927" max="7927" width="22.453125" style="96" customWidth="1"/>
    <col min="7928" max="7936" width="8.81640625" style="96"/>
    <col min="7937" max="7937" width="0" style="96" hidden="1" customWidth="1"/>
    <col min="7938" max="8182" width="8.81640625" style="96"/>
    <col min="8183" max="8183" width="22.453125" style="96" customWidth="1"/>
    <col min="8184" max="8192" width="8.81640625" style="96"/>
    <col min="8193" max="8193" width="0" style="96" hidden="1" customWidth="1"/>
    <col min="8194" max="8438" width="8.81640625" style="96"/>
    <col min="8439" max="8439" width="22.453125" style="96" customWidth="1"/>
    <col min="8440" max="8448" width="8.81640625" style="96"/>
    <col min="8449" max="8449" width="0" style="96" hidden="1" customWidth="1"/>
    <col min="8450" max="8694" width="8.81640625" style="96"/>
    <col min="8695" max="8695" width="22.453125" style="96" customWidth="1"/>
    <col min="8696" max="8704" width="8.81640625" style="96"/>
    <col min="8705" max="8705" width="0" style="96" hidden="1" customWidth="1"/>
    <col min="8706" max="8950" width="8.81640625" style="96"/>
    <col min="8951" max="8951" width="22.453125" style="96" customWidth="1"/>
    <col min="8952" max="8960" width="8.81640625" style="96"/>
    <col min="8961" max="8961" width="0" style="96" hidden="1" customWidth="1"/>
    <col min="8962" max="9206" width="8.81640625" style="96"/>
    <col min="9207" max="9207" width="22.453125" style="96" customWidth="1"/>
    <col min="9208" max="9216" width="8.81640625" style="96"/>
    <col min="9217" max="9217" width="0" style="96" hidden="1" customWidth="1"/>
    <col min="9218" max="9462" width="8.81640625" style="96"/>
    <col min="9463" max="9463" width="22.453125" style="96" customWidth="1"/>
    <col min="9464" max="9472" width="8.81640625" style="96"/>
    <col min="9473" max="9473" width="0" style="96" hidden="1" customWidth="1"/>
    <col min="9474" max="9718" width="8.81640625" style="96"/>
    <col min="9719" max="9719" width="22.453125" style="96" customWidth="1"/>
    <col min="9720" max="9728" width="8.81640625" style="96"/>
    <col min="9729" max="9729" width="0" style="96" hidden="1" customWidth="1"/>
    <col min="9730" max="9974" width="8.81640625" style="96"/>
    <col min="9975" max="9975" width="22.453125" style="96" customWidth="1"/>
    <col min="9976" max="9984" width="8.81640625" style="96"/>
    <col min="9985" max="9985" width="0" style="96" hidden="1" customWidth="1"/>
    <col min="9986" max="10230" width="8.81640625" style="96"/>
    <col min="10231" max="10231" width="22.453125" style="96" customWidth="1"/>
    <col min="10232" max="10240" width="8.81640625" style="96"/>
    <col min="10241" max="10241" width="0" style="96" hidden="1" customWidth="1"/>
    <col min="10242" max="10486" width="8.81640625" style="96"/>
    <col min="10487" max="10487" width="22.453125" style="96" customWidth="1"/>
    <col min="10488" max="10496" width="8.81640625" style="96"/>
    <col min="10497" max="10497" width="0" style="96" hidden="1" customWidth="1"/>
    <col min="10498" max="10742" width="8.81640625" style="96"/>
    <col min="10743" max="10743" width="22.453125" style="96" customWidth="1"/>
    <col min="10744" max="10752" width="8.81640625" style="96"/>
    <col min="10753" max="10753" width="0" style="96" hidden="1" customWidth="1"/>
    <col min="10754" max="10998" width="8.81640625" style="96"/>
    <col min="10999" max="10999" width="22.453125" style="96" customWidth="1"/>
    <col min="11000" max="11008" width="8.81640625" style="96"/>
    <col min="11009" max="11009" width="0" style="96" hidden="1" customWidth="1"/>
    <col min="11010" max="11254" width="8.81640625" style="96"/>
    <col min="11255" max="11255" width="22.453125" style="96" customWidth="1"/>
    <col min="11256" max="11264" width="8.81640625" style="96"/>
    <col min="11265" max="11265" width="0" style="96" hidden="1" customWidth="1"/>
    <col min="11266" max="11510" width="8.81640625" style="96"/>
    <col min="11511" max="11511" width="22.453125" style="96" customWidth="1"/>
    <col min="11512" max="11520" width="8.81640625" style="96"/>
    <col min="11521" max="11521" width="0" style="96" hidden="1" customWidth="1"/>
    <col min="11522" max="11766" width="8.81640625" style="96"/>
    <col min="11767" max="11767" width="22.453125" style="96" customWidth="1"/>
    <col min="11768" max="11776" width="8.81640625" style="96"/>
    <col min="11777" max="11777" width="0" style="96" hidden="1" customWidth="1"/>
    <col min="11778" max="12022" width="8.81640625" style="96"/>
    <col min="12023" max="12023" width="22.453125" style="96" customWidth="1"/>
    <col min="12024" max="12032" width="8.81640625" style="96"/>
    <col min="12033" max="12033" width="0" style="96" hidden="1" customWidth="1"/>
    <col min="12034" max="12278" width="8.81640625" style="96"/>
    <col min="12279" max="12279" width="22.453125" style="96" customWidth="1"/>
    <col min="12280" max="12288" width="8.81640625" style="96"/>
    <col min="12289" max="12289" width="0" style="96" hidden="1" customWidth="1"/>
    <col min="12290" max="12534" width="8.81640625" style="96"/>
    <col min="12535" max="12535" width="22.453125" style="96" customWidth="1"/>
    <col min="12536" max="12544" width="8.81640625" style="96"/>
    <col min="12545" max="12545" width="0" style="96" hidden="1" customWidth="1"/>
    <col min="12546" max="12790" width="8.81640625" style="96"/>
    <col min="12791" max="12791" width="22.453125" style="96" customWidth="1"/>
    <col min="12792" max="12800" width="8.81640625" style="96"/>
    <col min="12801" max="12801" width="0" style="96" hidden="1" customWidth="1"/>
    <col min="12802" max="13046" width="8.81640625" style="96"/>
    <col min="13047" max="13047" width="22.453125" style="96" customWidth="1"/>
    <col min="13048" max="13056" width="8.81640625" style="96"/>
    <col min="13057" max="13057" width="0" style="96" hidden="1" customWidth="1"/>
    <col min="13058" max="13302" width="8.81640625" style="96"/>
    <col min="13303" max="13303" width="22.453125" style="96" customWidth="1"/>
    <col min="13304" max="13312" width="8.81640625" style="96"/>
    <col min="13313" max="13313" width="0" style="96" hidden="1" customWidth="1"/>
    <col min="13314" max="13558" width="8.81640625" style="96"/>
    <col min="13559" max="13559" width="22.453125" style="96" customWidth="1"/>
    <col min="13560" max="13568" width="8.81640625" style="96"/>
    <col min="13569" max="13569" width="0" style="96" hidden="1" customWidth="1"/>
    <col min="13570" max="13814" width="8.81640625" style="96"/>
    <col min="13815" max="13815" width="22.453125" style="96" customWidth="1"/>
    <col min="13816" max="13824" width="8.81640625" style="96"/>
    <col min="13825" max="13825" width="0" style="96" hidden="1" customWidth="1"/>
    <col min="13826" max="14070" width="8.81640625" style="96"/>
    <col min="14071" max="14071" width="22.453125" style="96" customWidth="1"/>
    <col min="14072" max="14080" width="8.81640625" style="96"/>
    <col min="14081" max="14081" width="0" style="96" hidden="1" customWidth="1"/>
    <col min="14082" max="14326" width="8.81640625" style="96"/>
    <col min="14327" max="14327" width="22.453125" style="96" customWidth="1"/>
    <col min="14328" max="14336" width="8.81640625" style="96"/>
    <col min="14337" max="14337" width="0" style="96" hidden="1" customWidth="1"/>
    <col min="14338" max="14582" width="8.81640625" style="96"/>
    <col min="14583" max="14583" width="22.453125" style="96" customWidth="1"/>
    <col min="14584" max="14592" width="8.81640625" style="96"/>
    <col min="14593" max="14593" width="0" style="96" hidden="1" customWidth="1"/>
    <col min="14594" max="14838" width="8.81640625" style="96"/>
    <col min="14839" max="14839" width="22.453125" style="96" customWidth="1"/>
    <col min="14840" max="14848" width="8.81640625" style="96"/>
    <col min="14849" max="14849" width="0" style="96" hidden="1" customWidth="1"/>
    <col min="14850" max="15094" width="8.81640625" style="96"/>
    <col min="15095" max="15095" width="22.453125" style="96" customWidth="1"/>
    <col min="15096" max="15104" width="8.81640625" style="96"/>
    <col min="15105" max="15105" width="0" style="96" hidden="1" customWidth="1"/>
    <col min="15106" max="15350" width="8.81640625" style="96"/>
    <col min="15351" max="15351" width="22.453125" style="96" customWidth="1"/>
    <col min="15352" max="15360" width="8.81640625" style="96"/>
    <col min="15361" max="15361" width="0" style="96" hidden="1" customWidth="1"/>
    <col min="15362" max="15606" width="8.81640625" style="96"/>
    <col min="15607" max="15607" width="22.453125" style="96" customWidth="1"/>
    <col min="15608" max="15616" width="8.81640625" style="96"/>
    <col min="15617" max="15617" width="0" style="96" hidden="1" customWidth="1"/>
    <col min="15618" max="15862" width="8.81640625" style="96"/>
    <col min="15863" max="15863" width="22.453125" style="96" customWidth="1"/>
    <col min="15864" max="15872" width="8.81640625" style="96"/>
    <col min="15873" max="15873" width="0" style="96" hidden="1" customWidth="1"/>
    <col min="15874" max="16118" width="8.81640625" style="96"/>
    <col min="16119" max="16119" width="22.453125" style="96" customWidth="1"/>
    <col min="16120" max="16128" width="8.81640625" style="96"/>
    <col min="16129" max="16129" width="0" style="96" hidden="1" customWidth="1"/>
    <col min="16130" max="16384" width="8.81640625" style="96"/>
  </cols>
  <sheetData>
    <row r="1" spans="2:15" x14ac:dyDescent="0.35">
      <c r="C1" s="174"/>
      <c r="D1" s="174"/>
      <c r="E1" s="174"/>
      <c r="F1" s="174"/>
      <c r="G1" s="174"/>
      <c r="H1" s="174"/>
    </row>
    <row r="2" spans="2:15" ht="21" customHeight="1" x14ac:dyDescent="0.35">
      <c r="B2" s="175" t="s">
        <v>369</v>
      </c>
      <c r="C2" s="131"/>
      <c r="D2" s="131"/>
      <c r="E2" s="131"/>
      <c r="F2" s="131"/>
      <c r="G2" s="131"/>
      <c r="H2" s="131"/>
      <c r="I2" s="131"/>
      <c r="J2" s="131"/>
      <c r="K2" s="131"/>
      <c r="L2" s="131"/>
      <c r="M2" s="131"/>
      <c r="N2" s="131"/>
      <c r="O2" s="131"/>
    </row>
    <row r="3" spans="2:15" ht="15" customHeight="1" x14ac:dyDescent="0.35">
      <c r="B3" s="171"/>
      <c r="C3" s="173"/>
      <c r="D3" s="173"/>
      <c r="E3" s="173"/>
      <c r="F3" s="173"/>
      <c r="G3" s="173"/>
      <c r="H3" s="173"/>
      <c r="I3" s="173"/>
      <c r="J3" s="173"/>
      <c r="K3" s="173"/>
      <c r="L3" s="173"/>
      <c r="M3" s="173"/>
      <c r="N3" s="173"/>
      <c r="O3" s="173"/>
    </row>
    <row r="4" spans="2:15" ht="18.75" customHeight="1" x14ac:dyDescent="0.35">
      <c r="B4" s="119" t="s">
        <v>366</v>
      </c>
      <c r="C4" s="429">
        <v>2025</v>
      </c>
      <c r="D4" s="429">
        <f t="shared" ref="D4:I4" si="0">C4+1</f>
        <v>2026</v>
      </c>
      <c r="E4" s="429">
        <f t="shared" si="0"/>
        <v>2027</v>
      </c>
      <c r="F4" s="429">
        <f t="shared" si="0"/>
        <v>2028</v>
      </c>
      <c r="G4" s="429">
        <f t="shared" si="0"/>
        <v>2029</v>
      </c>
      <c r="H4" s="429">
        <f t="shared" si="0"/>
        <v>2030</v>
      </c>
      <c r="I4" s="429">
        <f t="shared" si="0"/>
        <v>2031</v>
      </c>
      <c r="J4" s="429">
        <f>I4+1</f>
        <v>2032</v>
      </c>
      <c r="K4" s="429">
        <f t="shared" ref="K4:O4" si="1">J4+1</f>
        <v>2033</v>
      </c>
      <c r="L4" s="429">
        <f t="shared" si="1"/>
        <v>2034</v>
      </c>
      <c r="M4" s="429">
        <f t="shared" si="1"/>
        <v>2035</v>
      </c>
      <c r="N4" s="429">
        <f t="shared" si="1"/>
        <v>2036</v>
      </c>
      <c r="O4" s="429">
        <f t="shared" si="1"/>
        <v>2037</v>
      </c>
    </row>
    <row r="5" spans="2:15" ht="18.75" customHeight="1" x14ac:dyDescent="0.35">
      <c r="B5" s="172" t="s">
        <v>370</v>
      </c>
      <c r="C5" s="296">
        <f>'P &amp; L'!D30</f>
        <v>0</v>
      </c>
      <c r="D5" s="296">
        <f>'P &amp; L'!E30</f>
        <v>0</v>
      </c>
      <c r="E5" s="296">
        <f>'P &amp; L'!F30</f>
        <v>34.568160542594612</v>
      </c>
      <c r="F5" s="296">
        <f>'P &amp; L'!G30</f>
        <v>69.170117260786071</v>
      </c>
      <c r="G5" s="296">
        <f>'P &amp; L'!H30</f>
        <v>105.17311089105777</v>
      </c>
      <c r="H5" s="296">
        <f>'P &amp; L'!I30</f>
        <v>142.58959698930846</v>
      </c>
      <c r="I5" s="296">
        <f>'P &amp; L'!J30</f>
        <v>181.66736594866586</v>
      </c>
      <c r="J5" s="296">
        <f>'P &amp; L'!K30</f>
        <v>223.02629803716229</v>
      </c>
      <c r="K5" s="296">
        <f>'P &amp; L'!L30</f>
        <v>266.16710189160818</v>
      </c>
      <c r="L5" s="296">
        <f>'P &amp; L'!M30</f>
        <v>312.08271132685309</v>
      </c>
      <c r="M5" s="296">
        <f>'P &amp; L'!N30</f>
        <v>360.19766702488783</v>
      </c>
      <c r="N5" s="296">
        <f>'P &amp; L'!O30</f>
        <v>410.30389705566449</v>
      </c>
      <c r="O5" s="296">
        <f>'P &amp; L'!P30</f>
        <v>460.94554251429918</v>
      </c>
    </row>
    <row r="6" spans="2:15" x14ac:dyDescent="0.35">
      <c r="B6" s="204" t="s">
        <v>230</v>
      </c>
      <c r="C6" s="296">
        <f>'P &amp; L'!D26</f>
        <v>0</v>
      </c>
      <c r="D6" s="296">
        <f>'P &amp; L'!E26</f>
        <v>0</v>
      </c>
      <c r="E6" s="296">
        <f>'P &amp; L'!F26</f>
        <v>160.82829391891892</v>
      </c>
      <c r="F6" s="296">
        <f>'P &amp; L'!G26</f>
        <v>144.4238079391892</v>
      </c>
      <c r="G6" s="296">
        <f>'P &amp; L'!H26</f>
        <v>129.70801904560813</v>
      </c>
      <c r="H6" s="296">
        <f>'P &amp; L'!I26</f>
        <v>116.50482025633447</v>
      </c>
      <c r="I6" s="296">
        <f>'P &amp; L'!J26</f>
        <v>104.65680087869511</v>
      </c>
      <c r="J6" s="296">
        <f>'P &amp; L'!K26</f>
        <v>94.023214041620562</v>
      </c>
      <c r="K6" s="296">
        <f>'P &amp; L'!L26</f>
        <v>84.478171900634237</v>
      </c>
      <c r="L6" s="296">
        <f>'P &amp; L'!M26</f>
        <v>75.909042084270183</v>
      </c>
      <c r="M6" s="296">
        <f>'P &amp; L'!N26</f>
        <v>68.21502214348763</v>
      </c>
      <c r="N6" s="296">
        <f>'P &amp; L'!O26</f>
        <v>61.30587155663666</v>
      </c>
      <c r="O6" s="296">
        <f>'P &amp; L'!P26</f>
        <v>55.100783284346114</v>
      </c>
    </row>
    <row r="7" spans="2:15" x14ac:dyDescent="0.35">
      <c r="B7" s="204" t="s">
        <v>747</v>
      </c>
      <c r="C7" s="296">
        <f>'P &amp; L'!D27</f>
        <v>0</v>
      </c>
      <c r="D7" s="296">
        <f>'P &amp; L'!E27</f>
        <v>0</v>
      </c>
      <c r="E7" s="296">
        <f>'P &amp; L'!F27</f>
        <v>0.5</v>
      </c>
      <c r="F7" s="296">
        <f>'P &amp; L'!G27</f>
        <v>0.5</v>
      </c>
      <c r="G7" s="296">
        <f>'P &amp; L'!H27</f>
        <v>0.5</v>
      </c>
      <c r="H7" s="296">
        <f>'P &amp; L'!I27</f>
        <v>0.5</v>
      </c>
      <c r="I7" s="296">
        <f>'P &amp; L'!J27</f>
        <v>0.5</v>
      </c>
      <c r="J7" s="296">
        <f>'P &amp; L'!K27</f>
        <v>0</v>
      </c>
      <c r="K7" s="296">
        <f>'P &amp; L'!L27</f>
        <v>0</v>
      </c>
      <c r="L7" s="296">
        <f>'P &amp; L'!M27</f>
        <v>0</v>
      </c>
      <c r="M7" s="296">
        <f>'P &amp; L'!N27</f>
        <v>0</v>
      </c>
      <c r="N7" s="296">
        <f>'P &amp; L'!O27</f>
        <v>0</v>
      </c>
      <c r="O7" s="296">
        <f>'P &amp; L'!P27</f>
        <v>0</v>
      </c>
    </row>
    <row r="8" spans="2:15" ht="18.75" customHeight="1" x14ac:dyDescent="0.35">
      <c r="B8" s="172" t="s">
        <v>600</v>
      </c>
      <c r="C8" s="296">
        <f>'P &amp; L'!D24</f>
        <v>0</v>
      </c>
      <c r="D8" s="296">
        <f>'P &amp; L'!E24</f>
        <v>0</v>
      </c>
      <c r="E8" s="296">
        <f>'P &amp; L'!F24</f>
        <v>100.6379166666666</v>
      </c>
      <c r="F8" s="296">
        <f>'P &amp; L'!G24</f>
        <v>95.935729166666604</v>
      </c>
      <c r="G8" s="296">
        <f>'P &amp; L'!H24</f>
        <v>89.683229166666635</v>
      </c>
      <c r="H8" s="296">
        <f>'P &amp; L'!I24</f>
        <v>82.200729166666619</v>
      </c>
      <c r="I8" s="296">
        <f>'P &amp; L'!J24</f>
        <v>73.488229166666628</v>
      </c>
      <c r="J8" s="296">
        <f>'P &amp; L'!K24</f>
        <v>63.545729166666639</v>
      </c>
      <c r="K8" s="296">
        <f>'P &amp; L'!L24</f>
        <v>52.368958333333296</v>
      </c>
      <c r="L8" s="296">
        <f>'P &amp; L'!M24</f>
        <v>39.462499999999956</v>
      </c>
      <c r="M8" s="296">
        <f>'P &amp; L'!N24</f>
        <v>25.932499999999955</v>
      </c>
      <c r="N8" s="296">
        <f>'P &amp; L'!O24</f>
        <v>12.402499999999954</v>
      </c>
      <c r="O8" s="296">
        <f>'P &amp; L'!P24</f>
        <v>1.174479166666621</v>
      </c>
    </row>
    <row r="9" spans="2:15" ht="18.75" customHeight="1" x14ac:dyDescent="0.35">
      <c r="B9" s="176" t="s">
        <v>367</v>
      </c>
      <c r="C9" s="297">
        <f t="shared" ref="C9:J9" si="2">SUM(C5:C8)</f>
        <v>0</v>
      </c>
      <c r="D9" s="297">
        <f t="shared" si="2"/>
        <v>0</v>
      </c>
      <c r="E9" s="297">
        <f t="shared" si="2"/>
        <v>296.53437112818017</v>
      </c>
      <c r="F9" s="297">
        <f t="shared" si="2"/>
        <v>310.02965436664186</v>
      </c>
      <c r="G9" s="297">
        <f t="shared" si="2"/>
        <v>325.06435910333255</v>
      </c>
      <c r="H9" s="297">
        <f t="shared" si="2"/>
        <v>341.79514641230958</v>
      </c>
      <c r="I9" s="297">
        <f t="shared" si="2"/>
        <v>360.31239599402761</v>
      </c>
      <c r="J9" s="297">
        <f t="shared" si="2"/>
        <v>380.59524124544953</v>
      </c>
      <c r="K9" s="297">
        <f t="shared" ref="K9:O9" si="3">SUM(K5:K8)</f>
        <v>403.01423212557569</v>
      </c>
      <c r="L9" s="297">
        <f t="shared" si="3"/>
        <v>427.45425341112326</v>
      </c>
      <c r="M9" s="297">
        <f t="shared" si="3"/>
        <v>454.34518916837538</v>
      </c>
      <c r="N9" s="297">
        <f t="shared" si="3"/>
        <v>484.01226861230111</v>
      </c>
      <c r="O9" s="297">
        <f t="shared" si="3"/>
        <v>517.22080496531191</v>
      </c>
    </row>
    <row r="10" spans="2:15" ht="18.75" customHeight="1" x14ac:dyDescent="0.35">
      <c r="B10" s="172" t="s">
        <v>600</v>
      </c>
      <c r="C10" s="296">
        <f t="shared" ref="C10:J10" si="4">C8</f>
        <v>0</v>
      </c>
      <c r="D10" s="296">
        <f t="shared" si="4"/>
        <v>0</v>
      </c>
      <c r="E10" s="296">
        <f t="shared" si="4"/>
        <v>100.6379166666666</v>
      </c>
      <c r="F10" s="296">
        <f t="shared" si="4"/>
        <v>95.935729166666604</v>
      </c>
      <c r="G10" s="296">
        <f t="shared" si="4"/>
        <v>89.683229166666635</v>
      </c>
      <c r="H10" s="296">
        <f t="shared" si="4"/>
        <v>82.200729166666619</v>
      </c>
      <c r="I10" s="296">
        <f t="shared" si="4"/>
        <v>73.488229166666628</v>
      </c>
      <c r="J10" s="296">
        <f t="shared" si="4"/>
        <v>63.545729166666639</v>
      </c>
      <c r="K10" s="296">
        <f t="shared" ref="K10:O10" si="5">K8</f>
        <v>52.368958333333296</v>
      </c>
      <c r="L10" s="296">
        <f t="shared" si="5"/>
        <v>39.462499999999956</v>
      </c>
      <c r="M10" s="296">
        <f t="shared" si="5"/>
        <v>25.932499999999955</v>
      </c>
      <c r="N10" s="296">
        <f t="shared" si="5"/>
        <v>12.402499999999954</v>
      </c>
      <c r="O10" s="296">
        <f t="shared" si="5"/>
        <v>1.174479166666621</v>
      </c>
    </row>
    <row r="11" spans="2:15" ht="18.75" customHeight="1" x14ac:dyDescent="0.35">
      <c r="B11" s="172" t="s">
        <v>750</v>
      </c>
      <c r="C11" s="296">
        <f>'TL Schd'!D7</f>
        <v>0</v>
      </c>
      <c r="D11" s="296">
        <f>'TL Schd'!E7</f>
        <v>0</v>
      </c>
      <c r="E11" s="296">
        <f>'TL Schd'!F7</f>
        <v>28</v>
      </c>
      <c r="F11" s="296">
        <f>'TL Schd'!G7</f>
        <v>55</v>
      </c>
      <c r="G11" s="296">
        <f>'TL Schd'!H7</f>
        <v>67</v>
      </c>
      <c r="H11" s="296">
        <f>'TL Schd'!I7</f>
        <v>79</v>
      </c>
      <c r="I11" s="296">
        <f>'TL Schd'!J7</f>
        <v>91</v>
      </c>
      <c r="J11" s="296">
        <f>'TL Schd'!K7</f>
        <v>103</v>
      </c>
      <c r="K11" s="296">
        <f>'TL Schd'!L7</f>
        <v>116</v>
      </c>
      <c r="L11" s="296">
        <f>'TL Schd'!M7</f>
        <v>132</v>
      </c>
      <c r="M11" s="296">
        <f>'TL Schd'!N7</f>
        <v>132</v>
      </c>
      <c r="N11" s="296">
        <f>'TL Schd'!O7</f>
        <v>132</v>
      </c>
      <c r="O11" s="296">
        <f>'TL Schd'!P7</f>
        <v>55</v>
      </c>
    </row>
    <row r="12" spans="2:15" ht="18.75" customHeight="1" x14ac:dyDescent="0.35">
      <c r="B12" s="176" t="s">
        <v>367</v>
      </c>
      <c r="C12" s="297">
        <f t="shared" ref="C12:J12" si="6">SUM(C10:C11)</f>
        <v>0</v>
      </c>
      <c r="D12" s="297">
        <f t="shared" si="6"/>
        <v>0</v>
      </c>
      <c r="E12" s="297">
        <f t="shared" si="6"/>
        <v>128.6379166666666</v>
      </c>
      <c r="F12" s="297">
        <f t="shared" si="6"/>
        <v>150.93572916666659</v>
      </c>
      <c r="G12" s="297">
        <f t="shared" si="6"/>
        <v>156.68322916666665</v>
      </c>
      <c r="H12" s="297">
        <f t="shared" si="6"/>
        <v>161.20072916666663</v>
      </c>
      <c r="I12" s="297">
        <f t="shared" si="6"/>
        <v>164.48822916666663</v>
      </c>
      <c r="J12" s="297">
        <f t="shared" si="6"/>
        <v>166.54572916666663</v>
      </c>
      <c r="K12" s="297">
        <f t="shared" ref="K12:O12" si="7">SUM(K10:K11)</f>
        <v>168.3689583333333</v>
      </c>
      <c r="L12" s="297">
        <f t="shared" si="7"/>
        <v>171.46249999999995</v>
      </c>
      <c r="M12" s="297">
        <f t="shared" si="7"/>
        <v>157.93249999999995</v>
      </c>
      <c r="N12" s="297">
        <f t="shared" si="7"/>
        <v>144.40249999999995</v>
      </c>
      <c r="O12" s="297">
        <f t="shared" si="7"/>
        <v>56.174479166666622</v>
      </c>
    </row>
    <row r="13" spans="2:15" ht="18.75" customHeight="1" x14ac:dyDescent="0.35">
      <c r="B13" s="172" t="s">
        <v>368</v>
      </c>
      <c r="C13" s="298" t="e">
        <f t="shared" ref="C13:J13" si="8">C9/C12</f>
        <v>#DIV/0!</v>
      </c>
      <c r="D13" s="298" t="e">
        <f t="shared" si="8"/>
        <v>#DIV/0!</v>
      </c>
      <c r="E13" s="298">
        <f t="shared" si="8"/>
        <v>2.3051863619384925</v>
      </c>
      <c r="F13" s="298">
        <f t="shared" si="8"/>
        <v>2.0540507941913488</v>
      </c>
      <c r="G13" s="298">
        <f>G9/G12</f>
        <v>2.0746595588578023</v>
      </c>
      <c r="H13" s="298">
        <f t="shared" si="8"/>
        <v>2.1203076945075416</v>
      </c>
      <c r="I13" s="298">
        <f t="shared" si="8"/>
        <v>2.1905056539270262</v>
      </c>
      <c r="J13" s="298">
        <f t="shared" si="8"/>
        <v>2.2852296672499959</v>
      </c>
      <c r="K13" s="298">
        <f t="shared" ref="K13:O13" si="9">K9/K12</f>
        <v>2.3936373789739593</v>
      </c>
      <c r="L13" s="298">
        <f t="shared" si="9"/>
        <v>2.4929897406787105</v>
      </c>
      <c r="M13" s="298">
        <f t="shared" si="9"/>
        <v>2.8768314892018778</v>
      </c>
      <c r="N13" s="298">
        <f t="shared" si="9"/>
        <v>3.3518274864514206</v>
      </c>
      <c r="O13" s="298">
        <f t="shared" si="9"/>
        <v>9.207398317494782</v>
      </c>
    </row>
    <row r="14" spans="2:15" ht="18.75" customHeight="1" x14ac:dyDescent="0.35">
      <c r="B14" s="177" t="s">
        <v>233</v>
      </c>
      <c r="C14" s="454">
        <f>SUM(E9:O9)/SUM(E12:O12)</f>
        <v>2.6434054621681278</v>
      </c>
      <c r="D14" s="454"/>
      <c r="E14" s="454"/>
      <c r="F14" s="454"/>
      <c r="G14" s="454"/>
      <c r="H14" s="454"/>
      <c r="I14" s="454"/>
      <c r="J14" s="454"/>
      <c r="K14" s="454"/>
      <c r="L14" s="454"/>
      <c r="M14" s="454"/>
      <c r="N14" s="454"/>
      <c r="O14" s="454"/>
    </row>
    <row r="15" spans="2:15" ht="18.75" customHeight="1" x14ac:dyDescent="0.35">
      <c r="B15" s="177" t="s">
        <v>641</v>
      </c>
      <c r="C15" s="454">
        <f>MAX(E13:O13)</f>
        <v>9.207398317494782</v>
      </c>
      <c r="D15" s="454"/>
      <c r="E15" s="454"/>
      <c r="F15" s="454"/>
      <c r="G15" s="454"/>
      <c r="H15" s="454"/>
      <c r="I15" s="454"/>
      <c r="J15" s="454"/>
      <c r="K15" s="454"/>
      <c r="L15" s="454"/>
      <c r="M15" s="454"/>
      <c r="N15" s="454"/>
      <c r="O15" s="454"/>
    </row>
    <row r="16" spans="2:15" x14ac:dyDescent="0.35">
      <c r="C16" s="100"/>
      <c r="D16" s="100"/>
      <c r="E16" s="100"/>
      <c r="F16" s="100"/>
      <c r="G16" s="100"/>
      <c r="H16" s="100"/>
      <c r="I16" s="100"/>
      <c r="J16" s="100"/>
      <c r="K16" s="100"/>
      <c r="L16" s="100"/>
      <c r="M16" s="100"/>
      <c r="N16" s="100"/>
      <c r="O16" s="100"/>
    </row>
    <row r="25" spans="4:5" hidden="1" x14ac:dyDescent="0.35">
      <c r="D25" s="44">
        <v>719.64</v>
      </c>
      <c r="E25" s="44">
        <f>D25-50</f>
        <v>669.64</v>
      </c>
    </row>
    <row r="26" spans="4:5" hidden="1" x14ac:dyDescent="0.35">
      <c r="D26" s="44">
        <v>302.64</v>
      </c>
      <c r="E26" s="44">
        <f>D26-50</f>
        <v>252.64</v>
      </c>
    </row>
    <row r="27" spans="4:5" hidden="1" x14ac:dyDescent="0.35">
      <c r="D27" s="44">
        <f>D25/D26</f>
        <v>2.3778747026169706</v>
      </c>
      <c r="E27" s="100">
        <f>E25/E26</f>
        <v>2.6505699810006336</v>
      </c>
    </row>
  </sheetData>
  <customSheetViews>
    <customSheetView guid="{22475485-DA09-46DB-978D-BB94CE1E5597}" hiddenColumns="1">
      <selection activeCell="A18" sqref="A18"/>
      <pageMargins left="0.7" right="0.7" top="0.75" bottom="0.75" header="0.3" footer="0.3"/>
    </customSheetView>
  </customSheetViews>
  <mergeCells count="2">
    <mergeCell ref="C14:O14"/>
    <mergeCell ref="C15:O1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tint="0.14999847407452621"/>
  </sheetPr>
  <dimension ref="B1:E16"/>
  <sheetViews>
    <sheetView showGridLines="0" topLeftCell="A4" workbookViewId="0">
      <selection activeCell="C15" sqref="C15"/>
    </sheetView>
  </sheetViews>
  <sheetFormatPr defaultColWidth="8.81640625" defaultRowHeight="14.5" x14ac:dyDescent="0.35"/>
  <cols>
    <col min="1" max="1" width="5" style="96" customWidth="1"/>
    <col min="2" max="2" width="47.26953125" style="97" customWidth="1"/>
    <col min="3" max="3" width="30.81640625" style="44" customWidth="1"/>
    <col min="4" max="4" width="9.1796875" style="96" bestFit="1" customWidth="1"/>
    <col min="5" max="16384" width="8.81640625" style="96"/>
  </cols>
  <sheetData>
    <row r="1" spans="2:5" ht="16.5" customHeight="1" x14ac:dyDescent="0.35"/>
    <row r="2" spans="2:5" ht="16.5" customHeight="1" x14ac:dyDescent="0.35">
      <c r="B2" s="64" t="s">
        <v>856</v>
      </c>
    </row>
    <row r="3" spans="2:5" ht="16.5" customHeight="1" x14ac:dyDescent="0.35"/>
    <row r="4" spans="2:5" ht="20.25" customHeight="1" x14ac:dyDescent="0.35">
      <c r="B4" s="135" t="s">
        <v>366</v>
      </c>
      <c r="C4" s="93" t="s">
        <v>522</v>
      </c>
    </row>
    <row r="5" spans="2:5" s="321" customFormat="1" ht="20.25" customHeight="1" x14ac:dyDescent="0.35">
      <c r="B5" s="64" t="s">
        <v>792</v>
      </c>
      <c r="C5" s="69">
        <f>9.9*10^7</f>
        <v>99000000</v>
      </c>
      <c r="D5" s="325"/>
    </row>
    <row r="6" spans="2:5" ht="20.25" customHeight="1" x14ac:dyDescent="0.35">
      <c r="B6" s="64" t="s">
        <v>523</v>
      </c>
      <c r="C6" s="178">
        <v>45536</v>
      </c>
      <c r="D6" s="325"/>
    </row>
    <row r="7" spans="2:5" ht="20.25" customHeight="1" x14ac:dyDescent="0.35">
      <c r="B7" s="108" t="s">
        <v>524</v>
      </c>
      <c r="C7" s="47" t="s">
        <v>858</v>
      </c>
      <c r="D7" s="325"/>
    </row>
    <row r="8" spans="2:5" ht="20.25" customHeight="1" x14ac:dyDescent="0.35">
      <c r="B8" s="108" t="s">
        <v>555</v>
      </c>
      <c r="C8" s="47" t="s">
        <v>859</v>
      </c>
      <c r="D8" s="325"/>
    </row>
    <row r="9" spans="2:5" ht="20.25" customHeight="1" x14ac:dyDescent="0.35">
      <c r="B9" s="108" t="s">
        <v>525</v>
      </c>
      <c r="C9" s="178">
        <v>46113</v>
      </c>
      <c r="D9" s="325"/>
    </row>
    <row r="10" spans="2:5" x14ac:dyDescent="0.35">
      <c r="B10" s="108" t="s">
        <v>790</v>
      </c>
      <c r="C10" s="47" t="s">
        <v>860</v>
      </c>
      <c r="D10" s="325"/>
    </row>
    <row r="11" spans="2:5" ht="20.25" customHeight="1" x14ac:dyDescent="0.35">
      <c r="B11" s="108" t="s">
        <v>556</v>
      </c>
      <c r="C11" s="47" t="s">
        <v>861</v>
      </c>
      <c r="D11" s="325"/>
    </row>
    <row r="12" spans="2:5" ht="20.25" customHeight="1" x14ac:dyDescent="0.35">
      <c r="B12" s="109" t="s">
        <v>526</v>
      </c>
      <c r="C12" s="73"/>
    </row>
    <row r="13" spans="2:5" ht="20.25" customHeight="1" x14ac:dyDescent="0.35">
      <c r="B13" s="64" t="s">
        <v>527</v>
      </c>
      <c r="C13" s="178">
        <v>46266</v>
      </c>
      <c r="E13" s="344"/>
    </row>
    <row r="14" spans="2:5" ht="20.25" customHeight="1" x14ac:dyDescent="0.35">
      <c r="B14" s="64" t="s">
        <v>528</v>
      </c>
      <c r="C14" s="178">
        <f>EDATE(C13,120)-1</f>
        <v>49918</v>
      </c>
      <c r="E14" s="344"/>
    </row>
    <row r="15" spans="2:5" ht="20.25" customHeight="1" x14ac:dyDescent="0.35">
      <c r="B15" s="64" t="s">
        <v>529</v>
      </c>
      <c r="C15" s="47" t="s">
        <v>862</v>
      </c>
      <c r="E15" s="178"/>
    </row>
    <row r="16" spans="2:5" ht="20.25" customHeight="1" x14ac:dyDescent="0.35">
      <c r="B16" s="64" t="s">
        <v>530</v>
      </c>
      <c r="C16" s="179">
        <v>0.10249999999999999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70C0"/>
  </sheetPr>
  <dimension ref="A2:R189"/>
  <sheetViews>
    <sheetView showGridLines="0" topLeftCell="B1" workbookViewId="0">
      <pane xSplit="3" ySplit="4" topLeftCell="H13" activePane="bottomRight" state="frozen"/>
      <selection activeCell="B1" sqref="B1"/>
      <selection pane="topRight" activeCell="D1" sqref="D1"/>
      <selection pane="bottomLeft" activeCell="B8" sqref="B8"/>
      <selection pane="bottomRight" activeCell="K5" sqref="K5:P11"/>
    </sheetView>
  </sheetViews>
  <sheetFormatPr defaultColWidth="9.1796875" defaultRowHeight="14.5" x14ac:dyDescent="0.35"/>
  <cols>
    <col min="1" max="1" width="7" style="97" customWidth="1"/>
    <col min="2" max="2" width="5.81640625" style="97" bestFit="1" customWidth="1"/>
    <col min="3" max="3" width="24" style="51" bestFit="1" customWidth="1"/>
    <col min="4" max="4" width="18.26953125" style="97" customWidth="1"/>
    <col min="5" max="5" width="15" style="97" customWidth="1"/>
    <col min="6" max="6" width="17.1796875" style="97" customWidth="1"/>
    <col min="7" max="7" width="17.26953125" style="97" customWidth="1"/>
    <col min="8" max="8" width="14.26953125" style="97" customWidth="1"/>
    <col min="9" max="16" width="12.7265625" style="97" customWidth="1"/>
    <col min="17" max="17" width="9.453125" style="97" bestFit="1" customWidth="1"/>
    <col min="18" max="16384" width="9.1796875" style="97"/>
  </cols>
  <sheetData>
    <row r="2" spans="1:18" ht="19.5" customHeight="1" x14ac:dyDescent="0.35">
      <c r="A2" s="180"/>
      <c r="C2" s="145" t="s">
        <v>593</v>
      </c>
      <c r="D2" s="138"/>
      <c r="E2" s="138"/>
      <c r="F2" s="138"/>
      <c r="G2" s="138"/>
      <c r="H2" s="138"/>
      <c r="I2" s="138"/>
      <c r="J2" s="138"/>
      <c r="K2" s="138"/>
      <c r="L2" s="138"/>
      <c r="M2" s="138"/>
      <c r="N2" s="138"/>
      <c r="O2" s="138"/>
      <c r="P2" s="138"/>
      <c r="Q2" s="138"/>
    </row>
    <row r="3" spans="1:18" x14ac:dyDescent="0.35">
      <c r="C3" s="107"/>
    </row>
    <row r="4" spans="1:18" x14ac:dyDescent="0.35">
      <c r="C4" s="118" t="s">
        <v>594</v>
      </c>
      <c r="D4" s="181">
        <v>2025</v>
      </c>
      <c r="E4" s="181">
        <f t="shared" ref="E4:K4" si="0">D4+1</f>
        <v>2026</v>
      </c>
      <c r="F4" s="181">
        <f t="shared" si="0"/>
        <v>2027</v>
      </c>
      <c r="G4" s="181">
        <f t="shared" si="0"/>
        <v>2028</v>
      </c>
      <c r="H4" s="181">
        <f t="shared" si="0"/>
        <v>2029</v>
      </c>
      <c r="I4" s="181">
        <f t="shared" si="0"/>
        <v>2030</v>
      </c>
      <c r="J4" s="181">
        <f>I4+1</f>
        <v>2031</v>
      </c>
      <c r="K4" s="181">
        <f t="shared" si="0"/>
        <v>2032</v>
      </c>
      <c r="L4" s="181">
        <f>K4+1</f>
        <v>2033</v>
      </c>
      <c r="M4" s="181">
        <f t="shared" ref="M4:N4" si="1">L4+1</f>
        <v>2034</v>
      </c>
      <c r="N4" s="181">
        <f t="shared" si="1"/>
        <v>2035</v>
      </c>
      <c r="O4" s="181">
        <f t="shared" ref="O4" si="2">N4+1</f>
        <v>2036</v>
      </c>
      <c r="P4" s="181">
        <f t="shared" ref="P4" si="3">O4+1</f>
        <v>2037</v>
      </c>
      <c r="Q4" s="181" t="s">
        <v>454</v>
      </c>
    </row>
    <row r="5" spans="1:18" x14ac:dyDescent="0.35">
      <c r="C5" s="51" t="s">
        <v>493</v>
      </c>
      <c r="D5" s="186">
        <v>0</v>
      </c>
      <c r="E5" s="186">
        <f>D8</f>
        <v>490</v>
      </c>
      <c r="F5" s="186">
        <f t="shared" ref="F5:K5" si="4">E8</f>
        <v>990.00000000000023</v>
      </c>
      <c r="G5" s="186">
        <f t="shared" si="4"/>
        <v>962.00000000000023</v>
      </c>
      <c r="H5" s="186">
        <f t="shared" si="4"/>
        <v>907.00000000000023</v>
      </c>
      <c r="I5" s="186">
        <f t="shared" si="4"/>
        <v>840.00000000000023</v>
      </c>
      <c r="J5" s="186">
        <f t="shared" si="4"/>
        <v>761.00000000000023</v>
      </c>
      <c r="K5" s="186">
        <f t="shared" si="4"/>
        <v>670.00000000000023</v>
      </c>
      <c r="L5" s="186">
        <f t="shared" ref="L5" si="5">K8</f>
        <v>567.00000000000023</v>
      </c>
      <c r="M5" s="186">
        <f t="shared" ref="M5" si="6">L8</f>
        <v>451.00000000000023</v>
      </c>
      <c r="N5" s="186">
        <f t="shared" ref="N5" si="7">M8</f>
        <v>319.00000000000023</v>
      </c>
      <c r="O5" s="186">
        <f t="shared" ref="O5" si="8">N8</f>
        <v>187.00000000000023</v>
      </c>
      <c r="P5" s="186">
        <f t="shared" ref="P5" si="9">O8</f>
        <v>55.000000000000227</v>
      </c>
      <c r="Q5" s="287"/>
    </row>
    <row r="6" spans="1:18" x14ac:dyDescent="0.35">
      <c r="C6" s="51" t="s">
        <v>492</v>
      </c>
      <c r="D6" s="186">
        <f>SUM(I22:I33)/A</f>
        <v>490</v>
      </c>
      <c r="E6" s="186">
        <f>SUM(I35:I46)/A</f>
        <v>500.00000000000017</v>
      </c>
      <c r="F6" s="186">
        <v>0</v>
      </c>
      <c r="G6" s="186">
        <v>0</v>
      </c>
      <c r="H6" s="186">
        <v>0</v>
      </c>
      <c r="I6" s="186">
        <v>0</v>
      </c>
      <c r="J6" s="186">
        <v>0</v>
      </c>
      <c r="K6" s="186">
        <v>0</v>
      </c>
      <c r="L6" s="186">
        <v>0</v>
      </c>
      <c r="M6" s="186">
        <v>0</v>
      </c>
      <c r="N6" s="186">
        <v>0</v>
      </c>
      <c r="O6" s="186">
        <v>0</v>
      </c>
      <c r="P6" s="186">
        <v>0</v>
      </c>
      <c r="Q6" s="294">
        <f>SUM(D6:P6)</f>
        <v>990.00000000000023</v>
      </c>
      <c r="R6" s="287"/>
    </row>
    <row r="7" spans="1:18" x14ac:dyDescent="0.35">
      <c r="C7" s="51" t="s">
        <v>455</v>
      </c>
      <c r="D7" s="186">
        <f>SUM(E22:E33)/A</f>
        <v>0</v>
      </c>
      <c r="E7" s="186">
        <f>SUM(E35:E46)/A</f>
        <v>0</v>
      </c>
      <c r="F7" s="186">
        <f>SUM(E48:E59)/A</f>
        <v>28</v>
      </c>
      <c r="G7" s="186">
        <f>SUM(E61:E72)/A</f>
        <v>55</v>
      </c>
      <c r="H7" s="186">
        <f>SUM(E74:E85)/A</f>
        <v>67</v>
      </c>
      <c r="I7" s="186">
        <f>SUM(E87:E98)/A</f>
        <v>79</v>
      </c>
      <c r="J7" s="186">
        <f>SUM(E100:E111)/A</f>
        <v>91</v>
      </c>
      <c r="K7" s="186">
        <f>SUM(E113:E124)/A</f>
        <v>103</v>
      </c>
      <c r="L7" s="186">
        <f>SUM(E126:E137)/A</f>
        <v>116</v>
      </c>
      <c r="M7" s="186">
        <f>SUM(E139:E150)/A</f>
        <v>132</v>
      </c>
      <c r="N7" s="186">
        <f>SUM(E152:E163)/A</f>
        <v>132</v>
      </c>
      <c r="O7" s="186">
        <f>SUM(E165:E176)/A</f>
        <v>132</v>
      </c>
      <c r="P7" s="186">
        <f>SUM(E178:E189)/A</f>
        <v>55</v>
      </c>
      <c r="Q7" s="294">
        <f>SUM(D7:P7)</f>
        <v>990</v>
      </c>
      <c r="R7" s="287"/>
    </row>
    <row r="8" spans="1:18" x14ac:dyDescent="0.35">
      <c r="C8" s="51" t="s">
        <v>456</v>
      </c>
      <c r="D8" s="186">
        <f t="shared" ref="D8:L8" si="10">D5+D6-D7</f>
        <v>490</v>
      </c>
      <c r="E8" s="186">
        <f t="shared" si="10"/>
        <v>990.00000000000023</v>
      </c>
      <c r="F8" s="186">
        <f t="shared" si="10"/>
        <v>962.00000000000023</v>
      </c>
      <c r="G8" s="186">
        <f t="shared" si="10"/>
        <v>907.00000000000023</v>
      </c>
      <c r="H8" s="186">
        <f t="shared" si="10"/>
        <v>840.00000000000023</v>
      </c>
      <c r="I8" s="186">
        <f t="shared" si="10"/>
        <v>761.00000000000023</v>
      </c>
      <c r="J8" s="186">
        <f t="shared" si="10"/>
        <v>670.00000000000023</v>
      </c>
      <c r="K8" s="186">
        <f t="shared" si="10"/>
        <v>567.00000000000023</v>
      </c>
      <c r="L8" s="186">
        <f t="shared" si="10"/>
        <v>451.00000000000023</v>
      </c>
      <c r="M8" s="186">
        <f t="shared" ref="M8:N8" si="11">M5+M6-M7</f>
        <v>319.00000000000023</v>
      </c>
      <c r="N8" s="186">
        <f t="shared" si="11"/>
        <v>187.00000000000023</v>
      </c>
      <c r="O8" s="186">
        <f t="shared" ref="O8:P8" si="12">O5+O6-O7</f>
        <v>55.000000000000227</v>
      </c>
      <c r="P8" s="186">
        <f t="shared" si="12"/>
        <v>2.2737367544323206E-13</v>
      </c>
      <c r="Q8" s="294"/>
      <c r="R8" s="287"/>
    </row>
    <row r="9" spans="1:18" x14ac:dyDescent="0.35">
      <c r="B9" s="386">
        <f>'Loan Assumptions'!C16</f>
        <v>0.10249999999999999</v>
      </c>
      <c r="C9" s="51" t="s">
        <v>246</v>
      </c>
      <c r="D9" s="186">
        <f>SUM(G22:G33)/A</f>
        <v>17.9375</v>
      </c>
      <c r="E9" s="186">
        <f>SUM(G35:G46)/A</f>
        <v>88.901666666666642</v>
      </c>
      <c r="F9" s="186">
        <f>SUM(G48:G59)/A</f>
        <v>100.6379166666666</v>
      </c>
      <c r="G9" s="186">
        <f>SUM(G61:G72)/A</f>
        <v>95.935729166666604</v>
      </c>
      <c r="H9" s="186">
        <f>SUM(G74:G85)/A</f>
        <v>89.683229166666635</v>
      </c>
      <c r="I9" s="186">
        <f>SUM(G87:G98)/A</f>
        <v>82.200729166666619</v>
      </c>
      <c r="J9" s="186">
        <f>SUM(G100:G111)/A</f>
        <v>73.488229166666628</v>
      </c>
      <c r="K9" s="186">
        <f>SUM(G113:G124)/A</f>
        <v>63.545729166666639</v>
      </c>
      <c r="L9" s="186">
        <f>SUM(G126:G137)/A</f>
        <v>52.368958333333296</v>
      </c>
      <c r="M9" s="186">
        <f>SUM(G139:G150)/A</f>
        <v>39.462499999999956</v>
      </c>
      <c r="N9" s="186">
        <f>SUM(G152:G163)/A</f>
        <v>25.932499999999955</v>
      </c>
      <c r="O9" s="186">
        <f>SUM(G165:G176)/A</f>
        <v>12.402499999999954</v>
      </c>
      <c r="P9" s="186">
        <f>SUM(G178:G189)/A</f>
        <v>1.174479166666621</v>
      </c>
      <c r="Q9" s="294">
        <f t="shared" ref="Q9:Q12" si="13">SUM(D9:P9)</f>
        <v>743.67166666666628</v>
      </c>
      <c r="R9" s="287"/>
    </row>
    <row r="10" spans="1:18" x14ac:dyDescent="0.35">
      <c r="C10" s="51" t="s">
        <v>457</v>
      </c>
      <c r="D10" s="186">
        <f>SUM(G22:G33)/A</f>
        <v>17.9375</v>
      </c>
      <c r="E10" s="186">
        <f>SUM(G35:G46)/A</f>
        <v>88.901666666666642</v>
      </c>
      <c r="F10" s="186">
        <v>0</v>
      </c>
      <c r="G10" s="186">
        <v>0</v>
      </c>
      <c r="H10" s="186">
        <v>0</v>
      </c>
      <c r="I10" s="186">
        <v>0</v>
      </c>
      <c r="J10" s="186">
        <v>0</v>
      </c>
      <c r="K10" s="186">
        <v>0</v>
      </c>
      <c r="L10" s="186">
        <v>0</v>
      </c>
      <c r="M10" s="186">
        <v>0</v>
      </c>
      <c r="N10" s="186">
        <v>0</v>
      </c>
      <c r="O10" s="186">
        <v>0</v>
      </c>
      <c r="P10" s="186">
        <v>0</v>
      </c>
      <c r="Q10" s="294">
        <f t="shared" si="13"/>
        <v>106.83916666666664</v>
      </c>
      <c r="R10" s="287"/>
    </row>
    <row r="11" spans="1:18" x14ac:dyDescent="0.35">
      <c r="C11" s="118" t="s">
        <v>458</v>
      </c>
      <c r="D11" s="293">
        <f t="shared" ref="D11:L11" si="14">D9-D10</f>
        <v>0</v>
      </c>
      <c r="E11" s="293">
        <f>E9-E10</f>
        <v>0</v>
      </c>
      <c r="F11" s="293">
        <f t="shared" si="14"/>
        <v>100.6379166666666</v>
      </c>
      <c r="G11" s="293">
        <f t="shared" si="14"/>
        <v>95.935729166666604</v>
      </c>
      <c r="H11" s="293">
        <f t="shared" si="14"/>
        <v>89.683229166666635</v>
      </c>
      <c r="I11" s="293">
        <f t="shared" si="14"/>
        <v>82.200729166666619</v>
      </c>
      <c r="J11" s="293">
        <f t="shared" si="14"/>
        <v>73.488229166666628</v>
      </c>
      <c r="K11" s="293">
        <f t="shared" si="14"/>
        <v>63.545729166666639</v>
      </c>
      <c r="L11" s="293">
        <f t="shared" si="14"/>
        <v>52.368958333333296</v>
      </c>
      <c r="M11" s="293">
        <f t="shared" ref="M11:N11" si="15">M9-M10</f>
        <v>39.462499999999956</v>
      </c>
      <c r="N11" s="293">
        <f t="shared" si="15"/>
        <v>25.932499999999955</v>
      </c>
      <c r="O11" s="293">
        <f t="shared" ref="O11:P11" si="16">O9-O10</f>
        <v>12.402499999999954</v>
      </c>
      <c r="P11" s="293">
        <f t="shared" si="16"/>
        <v>1.174479166666621</v>
      </c>
      <c r="Q11" s="293">
        <f>SUM(D11:P11)</f>
        <v>636.83249999999964</v>
      </c>
      <c r="R11" s="287"/>
    </row>
    <row r="12" spans="1:18" x14ac:dyDescent="0.35">
      <c r="C12" s="51" t="s">
        <v>868</v>
      </c>
      <c r="D12" s="186">
        <f>SUM(G22:G33)/A</f>
        <v>17.9375</v>
      </c>
      <c r="E12" s="186">
        <f>SUM(G35:G46)/A</f>
        <v>88.901666666666642</v>
      </c>
      <c r="F12" s="186">
        <f>SUM(G48:G52)/A</f>
        <v>42.281249999999979</v>
      </c>
      <c r="G12" s="186">
        <v>0</v>
      </c>
      <c r="H12" s="186">
        <v>0</v>
      </c>
      <c r="I12" s="186">
        <v>0</v>
      </c>
      <c r="J12" s="186">
        <v>0</v>
      </c>
      <c r="K12" s="186">
        <v>0</v>
      </c>
      <c r="L12" s="186">
        <v>0</v>
      </c>
      <c r="M12" s="186">
        <v>0</v>
      </c>
      <c r="N12" s="186">
        <v>0</v>
      </c>
      <c r="O12" s="186">
        <v>0</v>
      </c>
      <c r="P12" s="186">
        <v>0</v>
      </c>
      <c r="Q12" s="294">
        <f t="shared" si="13"/>
        <v>149.12041666666661</v>
      </c>
    </row>
    <row r="13" spans="1:18" x14ac:dyDescent="0.35">
      <c r="D13" s="186"/>
      <c r="E13" s="417"/>
      <c r="F13" s="417"/>
      <c r="G13" s="417"/>
      <c r="H13" s="417"/>
      <c r="I13" s="417"/>
      <c r="J13" s="417"/>
      <c r="K13" s="417"/>
      <c r="L13" s="186"/>
      <c r="M13" s="186"/>
      <c r="N13" s="186"/>
      <c r="O13" s="186"/>
      <c r="P13" s="186"/>
      <c r="Q13" s="294"/>
    </row>
    <row r="14" spans="1:18" x14ac:dyDescent="0.35">
      <c r="C14" s="107" t="s">
        <v>757</v>
      </c>
    </row>
    <row r="15" spans="1:18" x14ac:dyDescent="0.35">
      <c r="C15" s="107" t="s">
        <v>857</v>
      </c>
    </row>
    <row r="17" spans="3:12" x14ac:dyDescent="0.35">
      <c r="C17" s="118" t="s">
        <v>758</v>
      </c>
      <c r="D17" s="181">
        <f>'Loan Assumptions'!C5</f>
        <v>99000000</v>
      </c>
      <c r="E17" s="455" t="s">
        <v>759</v>
      </c>
      <c r="F17" s="133" t="s">
        <v>760</v>
      </c>
      <c r="G17" s="133">
        <v>8</v>
      </c>
    </row>
    <row r="18" spans="3:12" x14ac:dyDescent="0.35">
      <c r="C18" s="118" t="s">
        <v>761</v>
      </c>
      <c r="D18" s="184">
        <v>0.10249999999999999</v>
      </c>
      <c r="E18" s="455"/>
      <c r="F18" s="184" t="s">
        <v>789</v>
      </c>
      <c r="G18" s="133"/>
      <c r="H18" s="47" t="s">
        <v>762</v>
      </c>
      <c r="I18" s="47" t="s">
        <v>873</v>
      </c>
      <c r="J18" s="47" t="s">
        <v>763</v>
      </c>
    </row>
    <row r="19" spans="3:12" x14ac:dyDescent="0.35">
      <c r="C19" s="307"/>
      <c r="D19" s="308"/>
      <c r="E19" s="308"/>
      <c r="F19" s="308"/>
      <c r="G19" s="308"/>
    </row>
    <row r="20" spans="3:12" x14ac:dyDescent="0.35">
      <c r="C20" s="307"/>
      <c r="D20" s="309" t="s">
        <v>764</v>
      </c>
      <c r="E20" s="309" t="s">
        <v>765</v>
      </c>
      <c r="F20" s="309" t="s">
        <v>766</v>
      </c>
      <c r="G20" s="309" t="s">
        <v>246</v>
      </c>
      <c r="J20" s="47"/>
    </row>
    <row r="21" spans="3:12" x14ac:dyDescent="0.35">
      <c r="C21" s="310" t="s">
        <v>776</v>
      </c>
      <c r="D21" s="311"/>
      <c r="E21" s="311"/>
      <c r="F21" s="311"/>
      <c r="G21" s="311"/>
      <c r="H21" s="313"/>
      <c r="I21" s="314"/>
    </row>
    <row r="22" spans="3:12" x14ac:dyDescent="0.35">
      <c r="C22" s="315" t="s">
        <v>777</v>
      </c>
      <c r="D22" s="311">
        <f t="shared" ref="D22:D33" si="17">+F21+D$17*H22</f>
        <v>0</v>
      </c>
      <c r="E22" s="311">
        <f t="shared" ref="E22:E25" si="18">E21</f>
        <v>0</v>
      </c>
      <c r="F22" s="311">
        <f t="shared" ref="F22:F33" si="19">D22-E22</f>
        <v>0</v>
      </c>
      <c r="G22" s="311">
        <f t="shared" ref="G22:G33" si="20">AVERAGE(D22,F22)*$D$18/12</f>
        <v>0</v>
      </c>
      <c r="H22" s="183"/>
      <c r="I22" s="314"/>
    </row>
    <row r="23" spans="3:12" x14ac:dyDescent="0.35">
      <c r="C23" s="315" t="s">
        <v>778</v>
      </c>
      <c r="D23" s="311">
        <f t="shared" si="17"/>
        <v>0</v>
      </c>
      <c r="E23" s="311">
        <f t="shared" si="18"/>
        <v>0</v>
      </c>
      <c r="F23" s="311">
        <f t="shared" si="19"/>
        <v>0</v>
      </c>
      <c r="G23" s="311">
        <f t="shared" si="20"/>
        <v>0</v>
      </c>
      <c r="H23" s="183"/>
      <c r="I23" s="314"/>
      <c r="L23" s="326"/>
    </row>
    <row r="24" spans="3:12" x14ac:dyDescent="0.35">
      <c r="C24" s="315" t="s">
        <v>779</v>
      </c>
      <c r="D24" s="311">
        <f t="shared" si="17"/>
        <v>0</v>
      </c>
      <c r="E24" s="311">
        <f t="shared" si="18"/>
        <v>0</v>
      </c>
      <c r="F24" s="311">
        <f t="shared" si="19"/>
        <v>0</v>
      </c>
      <c r="G24" s="311">
        <f t="shared" si="20"/>
        <v>0</v>
      </c>
      <c r="H24" s="183"/>
      <c r="I24" s="314"/>
    </row>
    <row r="25" spans="3:12" x14ac:dyDescent="0.35">
      <c r="C25" s="315" t="s">
        <v>768</v>
      </c>
      <c r="D25" s="311">
        <f t="shared" si="17"/>
        <v>0</v>
      </c>
      <c r="E25" s="311">
        <f t="shared" si="18"/>
        <v>0</v>
      </c>
      <c r="F25" s="311">
        <f t="shared" si="19"/>
        <v>0</v>
      </c>
      <c r="G25" s="311">
        <f t="shared" si="20"/>
        <v>0</v>
      </c>
      <c r="H25" s="183"/>
      <c r="I25" s="319"/>
    </row>
    <row r="26" spans="3:12" x14ac:dyDescent="0.35">
      <c r="C26" s="315" t="s">
        <v>769</v>
      </c>
      <c r="D26" s="311">
        <f t="shared" si="17"/>
        <v>0</v>
      </c>
      <c r="E26" s="311">
        <f>E25</f>
        <v>0</v>
      </c>
      <c r="F26" s="311">
        <f t="shared" si="19"/>
        <v>0</v>
      </c>
      <c r="G26" s="311">
        <f t="shared" si="20"/>
        <v>0</v>
      </c>
      <c r="H26" s="183"/>
      <c r="I26" s="320"/>
    </row>
    <row r="27" spans="3:12" x14ac:dyDescent="0.35">
      <c r="C27" s="315" t="s">
        <v>770</v>
      </c>
      <c r="D27" s="311">
        <f t="shared" si="17"/>
        <v>14000000</v>
      </c>
      <c r="E27" s="311">
        <f t="shared" ref="E27:E33" si="21">E26</f>
        <v>0</v>
      </c>
      <c r="F27" s="311">
        <f t="shared" si="19"/>
        <v>14000000</v>
      </c>
      <c r="G27" s="311">
        <f t="shared" si="20"/>
        <v>119583.33333333333</v>
      </c>
      <c r="H27" s="183">
        <f>I27/$D$17</f>
        <v>0.14141414141414141</v>
      </c>
      <c r="I27" s="387">
        <f>140*A</f>
        <v>14000000</v>
      </c>
    </row>
    <row r="28" spans="3:12" x14ac:dyDescent="0.35">
      <c r="C28" s="315" t="s">
        <v>771</v>
      </c>
      <c r="D28" s="311">
        <f t="shared" si="17"/>
        <v>18666666.666666668</v>
      </c>
      <c r="E28" s="311">
        <f t="shared" si="21"/>
        <v>0</v>
      </c>
      <c r="F28" s="311">
        <f t="shared" si="19"/>
        <v>18666666.666666668</v>
      </c>
      <c r="G28" s="311">
        <f t="shared" si="20"/>
        <v>159444.44444444444</v>
      </c>
      <c r="H28" s="183">
        <f t="shared" ref="H28:H46" si="22">I28/$D$17</f>
        <v>4.7138047138047139E-2</v>
      </c>
      <c r="I28" s="387">
        <f>14000000/3</f>
        <v>4666666.666666667</v>
      </c>
    </row>
    <row r="29" spans="3:12" x14ac:dyDescent="0.35">
      <c r="C29" s="315" t="s">
        <v>772</v>
      </c>
      <c r="D29" s="311">
        <f t="shared" si="17"/>
        <v>23333333.333333336</v>
      </c>
      <c r="E29" s="311">
        <f t="shared" si="21"/>
        <v>0</v>
      </c>
      <c r="F29" s="311">
        <f t="shared" si="19"/>
        <v>23333333.333333336</v>
      </c>
      <c r="G29" s="311">
        <f t="shared" si="20"/>
        <v>199305.55555555559</v>
      </c>
      <c r="H29" s="183">
        <f t="shared" si="22"/>
        <v>4.7138047138047139E-2</v>
      </c>
      <c r="I29" s="387">
        <f t="shared" ref="I29:I30" si="23">14000000/3</f>
        <v>4666666.666666667</v>
      </c>
    </row>
    <row r="30" spans="3:12" x14ac:dyDescent="0.35">
      <c r="C30" s="315" t="s">
        <v>773</v>
      </c>
      <c r="D30" s="311">
        <f t="shared" si="17"/>
        <v>28000000.000000004</v>
      </c>
      <c r="E30" s="311">
        <f t="shared" si="21"/>
        <v>0</v>
      </c>
      <c r="F30" s="311">
        <f t="shared" si="19"/>
        <v>28000000.000000004</v>
      </c>
      <c r="G30" s="311">
        <f t="shared" si="20"/>
        <v>239166.66666666666</v>
      </c>
      <c r="H30" s="183">
        <f t="shared" si="22"/>
        <v>4.7138047138047139E-2</v>
      </c>
      <c r="I30" s="387">
        <f t="shared" si="23"/>
        <v>4666666.666666667</v>
      </c>
    </row>
    <row r="31" spans="3:12" x14ac:dyDescent="0.35">
      <c r="C31" s="315" t="s">
        <v>774</v>
      </c>
      <c r="D31" s="311">
        <f t="shared" si="17"/>
        <v>35000000</v>
      </c>
      <c r="E31" s="311">
        <f t="shared" si="21"/>
        <v>0</v>
      </c>
      <c r="F31" s="311">
        <f t="shared" si="19"/>
        <v>35000000</v>
      </c>
      <c r="G31" s="311">
        <f t="shared" si="20"/>
        <v>298958.33333333331</v>
      </c>
      <c r="H31" s="183">
        <f t="shared" si="22"/>
        <v>7.0707070707070704E-2</v>
      </c>
      <c r="I31" s="387">
        <f>21000000/3</f>
        <v>7000000</v>
      </c>
      <c r="J31" s="319"/>
    </row>
    <row r="32" spans="3:12" x14ac:dyDescent="0.35">
      <c r="C32" s="315" t="s">
        <v>775</v>
      </c>
      <c r="D32" s="311">
        <f t="shared" si="17"/>
        <v>42000000</v>
      </c>
      <c r="E32" s="311">
        <f t="shared" si="21"/>
        <v>0</v>
      </c>
      <c r="F32" s="311">
        <f t="shared" si="19"/>
        <v>42000000</v>
      </c>
      <c r="G32" s="311">
        <f t="shared" si="20"/>
        <v>358750</v>
      </c>
      <c r="H32" s="183">
        <f t="shared" si="22"/>
        <v>7.0707070707070704E-2</v>
      </c>
      <c r="I32" s="387">
        <f t="shared" ref="I32:I33" si="24">21000000/3</f>
        <v>7000000</v>
      </c>
    </row>
    <row r="33" spans="3:10" x14ac:dyDescent="0.35">
      <c r="C33" s="315" t="s">
        <v>767</v>
      </c>
      <c r="D33" s="311">
        <f t="shared" si="17"/>
        <v>49000000</v>
      </c>
      <c r="E33" s="311">
        <f t="shared" si="21"/>
        <v>0</v>
      </c>
      <c r="F33" s="311">
        <f t="shared" si="19"/>
        <v>49000000</v>
      </c>
      <c r="G33" s="311">
        <f t="shared" si="20"/>
        <v>418541.66666666669</v>
      </c>
      <c r="H33" s="183">
        <f t="shared" si="22"/>
        <v>7.0707070707070704E-2</v>
      </c>
      <c r="I33" s="387">
        <f t="shared" si="24"/>
        <v>7000000</v>
      </c>
    </row>
    <row r="34" spans="3:10" x14ac:dyDescent="0.35">
      <c r="C34" s="310" t="s">
        <v>781</v>
      </c>
      <c r="D34" s="311"/>
      <c r="E34" s="311"/>
      <c r="F34" s="311"/>
      <c r="G34" s="311"/>
      <c r="H34" s="313"/>
      <c r="I34" s="320"/>
    </row>
    <row r="35" spans="3:10" x14ac:dyDescent="0.35">
      <c r="C35" s="315" t="s">
        <v>777</v>
      </c>
      <c r="D35" s="311">
        <f>+F33+D$17*H35</f>
        <v>58166666.666666664</v>
      </c>
      <c r="E35" s="311">
        <f>E33</f>
        <v>0</v>
      </c>
      <c r="F35" s="311">
        <f>D35-E35</f>
        <v>58166666.666666664</v>
      </c>
      <c r="G35" s="311">
        <f t="shared" ref="G35:G46" si="25">AVERAGE(D35,F35)*$D$18/12</f>
        <v>496840.27777777775</v>
      </c>
      <c r="H35" s="183">
        <f t="shared" si="22"/>
        <v>9.2592592592592587E-2</v>
      </c>
      <c r="I35" s="387">
        <f>27500000/3</f>
        <v>9166666.666666666</v>
      </c>
      <c r="J35" s="318"/>
    </row>
    <row r="36" spans="3:10" x14ac:dyDescent="0.35">
      <c r="C36" s="315" t="s">
        <v>778</v>
      </c>
      <c r="D36" s="311">
        <f t="shared" ref="D36:D46" si="26">+F35+D$17*H36</f>
        <v>67333333.333333328</v>
      </c>
      <c r="E36" s="311">
        <f t="shared" ref="E36:E46" si="27">E34</f>
        <v>0</v>
      </c>
      <c r="F36" s="311">
        <f>D36-E36</f>
        <v>67333333.333333328</v>
      </c>
      <c r="G36" s="311">
        <f t="shared" si="25"/>
        <v>575138.88888888888</v>
      </c>
      <c r="H36" s="183">
        <f t="shared" si="22"/>
        <v>9.2592592592592587E-2</v>
      </c>
      <c r="I36" s="387">
        <f t="shared" ref="I36:I37" si="28">27500000/3</f>
        <v>9166666.666666666</v>
      </c>
    </row>
    <row r="37" spans="3:10" x14ac:dyDescent="0.35">
      <c r="C37" s="315" t="s">
        <v>779</v>
      </c>
      <c r="D37" s="311">
        <f t="shared" si="26"/>
        <v>76500000</v>
      </c>
      <c r="E37" s="311">
        <f t="shared" si="27"/>
        <v>0</v>
      </c>
      <c r="F37" s="311">
        <f>D37-E37</f>
        <v>76500000</v>
      </c>
      <c r="G37" s="311">
        <f t="shared" si="25"/>
        <v>653437.49999999988</v>
      </c>
      <c r="H37" s="183">
        <f t="shared" si="22"/>
        <v>9.2592592592592587E-2</v>
      </c>
      <c r="I37" s="387">
        <f t="shared" si="28"/>
        <v>9166666.666666666</v>
      </c>
    </row>
    <row r="38" spans="3:10" x14ac:dyDescent="0.35">
      <c r="C38" s="315" t="s">
        <v>768</v>
      </c>
      <c r="D38" s="311">
        <f t="shared" si="26"/>
        <v>80833333.333333328</v>
      </c>
      <c r="E38" s="311">
        <f t="shared" si="27"/>
        <v>0</v>
      </c>
      <c r="F38" s="311">
        <f>D38-E38</f>
        <v>80833333.333333328</v>
      </c>
      <c r="G38" s="311">
        <f t="shared" si="25"/>
        <v>690451.38888888888</v>
      </c>
      <c r="H38" s="183">
        <f t="shared" si="22"/>
        <v>4.3771043771043766E-2</v>
      </c>
      <c r="I38" s="387">
        <f>13000000/3</f>
        <v>4333333.333333333</v>
      </c>
    </row>
    <row r="39" spans="3:10" x14ac:dyDescent="0.35">
      <c r="C39" s="315" t="s">
        <v>769</v>
      </c>
      <c r="D39" s="311">
        <f t="shared" si="26"/>
        <v>85166666.666666657</v>
      </c>
      <c r="E39" s="311">
        <f t="shared" si="27"/>
        <v>0</v>
      </c>
      <c r="F39" s="311">
        <f t="shared" ref="F39:F46" si="29">D39-E39</f>
        <v>85166666.666666657</v>
      </c>
      <c r="G39" s="311">
        <f t="shared" si="25"/>
        <v>727465.27777777764</v>
      </c>
      <c r="H39" s="183">
        <f t="shared" si="22"/>
        <v>4.3771043771043766E-2</v>
      </c>
      <c r="I39" s="387">
        <f t="shared" ref="I39:I40" si="30">13000000/3</f>
        <v>4333333.333333333</v>
      </c>
    </row>
    <row r="40" spans="3:10" x14ac:dyDescent="0.35">
      <c r="C40" s="315" t="s">
        <v>770</v>
      </c>
      <c r="D40" s="311">
        <f t="shared" si="26"/>
        <v>89499999.999999985</v>
      </c>
      <c r="E40" s="311">
        <f t="shared" si="27"/>
        <v>0</v>
      </c>
      <c r="F40" s="311">
        <f t="shared" si="29"/>
        <v>89499999.999999985</v>
      </c>
      <c r="G40" s="311">
        <f t="shared" si="25"/>
        <v>764479.16666666651</v>
      </c>
      <c r="H40" s="183">
        <f t="shared" si="22"/>
        <v>4.3771043771043766E-2</v>
      </c>
      <c r="I40" s="387">
        <f t="shared" si="30"/>
        <v>4333333.333333333</v>
      </c>
    </row>
    <row r="41" spans="3:10" x14ac:dyDescent="0.35">
      <c r="C41" s="315" t="s">
        <v>771</v>
      </c>
      <c r="D41" s="311">
        <f t="shared" si="26"/>
        <v>92533333.333333313</v>
      </c>
      <c r="E41" s="311">
        <f t="shared" si="27"/>
        <v>0</v>
      </c>
      <c r="F41" s="311">
        <f t="shared" si="29"/>
        <v>92533333.333333313</v>
      </c>
      <c r="G41" s="311">
        <f t="shared" si="25"/>
        <v>790388.88888888864</v>
      </c>
      <c r="H41" s="183">
        <f t="shared" si="22"/>
        <v>3.063973063973064E-2</v>
      </c>
      <c r="I41" s="387">
        <f>9100000/3</f>
        <v>3033333.3333333335</v>
      </c>
    </row>
    <row r="42" spans="3:10" x14ac:dyDescent="0.35">
      <c r="C42" s="315" t="s">
        <v>772</v>
      </c>
      <c r="D42" s="311">
        <f t="shared" si="26"/>
        <v>95566666.666666642</v>
      </c>
      <c r="E42" s="311">
        <f t="shared" si="27"/>
        <v>0</v>
      </c>
      <c r="F42" s="311">
        <f t="shared" si="29"/>
        <v>95566666.666666642</v>
      </c>
      <c r="G42" s="311">
        <f t="shared" si="25"/>
        <v>816298.61111111089</v>
      </c>
      <c r="H42" s="183">
        <f t="shared" si="22"/>
        <v>3.063973063973064E-2</v>
      </c>
      <c r="I42" s="387">
        <f t="shared" ref="I42:I43" si="31">9100000/3</f>
        <v>3033333.3333333335</v>
      </c>
    </row>
    <row r="43" spans="3:10" x14ac:dyDescent="0.35">
      <c r="C43" s="315" t="s">
        <v>773</v>
      </c>
      <c r="D43" s="311">
        <f t="shared" si="26"/>
        <v>98599999.99999997</v>
      </c>
      <c r="E43" s="311">
        <f t="shared" si="27"/>
        <v>0</v>
      </c>
      <c r="F43" s="311">
        <f t="shared" si="29"/>
        <v>98599999.99999997</v>
      </c>
      <c r="G43" s="311">
        <f t="shared" si="25"/>
        <v>842208.33333333302</v>
      </c>
      <c r="H43" s="183">
        <f t="shared" si="22"/>
        <v>3.063973063973064E-2</v>
      </c>
      <c r="I43" s="387">
        <f t="shared" si="31"/>
        <v>3033333.3333333335</v>
      </c>
    </row>
    <row r="44" spans="3:10" x14ac:dyDescent="0.35">
      <c r="C44" s="315" t="s">
        <v>774</v>
      </c>
      <c r="D44" s="311">
        <f t="shared" si="26"/>
        <v>98733333.333333299</v>
      </c>
      <c r="E44" s="311">
        <f t="shared" si="27"/>
        <v>0</v>
      </c>
      <c r="F44" s="311">
        <f t="shared" si="29"/>
        <v>98733333.333333299</v>
      </c>
      <c r="G44" s="311">
        <f t="shared" si="25"/>
        <v>843347.2222222219</v>
      </c>
      <c r="H44" s="183">
        <f t="shared" si="22"/>
        <v>1.3468013468013469E-3</v>
      </c>
      <c r="I44" s="387">
        <f>400000/3</f>
        <v>133333.33333333334</v>
      </c>
    </row>
    <row r="45" spans="3:10" x14ac:dyDescent="0.35">
      <c r="C45" s="315" t="s">
        <v>775</v>
      </c>
      <c r="D45" s="311">
        <f t="shared" si="26"/>
        <v>98866666.666666627</v>
      </c>
      <c r="E45" s="311">
        <f t="shared" si="27"/>
        <v>0</v>
      </c>
      <c r="F45" s="311">
        <f t="shared" si="29"/>
        <v>98866666.666666627</v>
      </c>
      <c r="G45" s="311">
        <f t="shared" si="25"/>
        <v>844486.11111111066</v>
      </c>
      <c r="H45" s="183">
        <f t="shared" si="22"/>
        <v>1.3468013468013469E-3</v>
      </c>
      <c r="I45" s="387">
        <f t="shared" ref="I45:I46" si="32">400000/3</f>
        <v>133333.33333333334</v>
      </c>
    </row>
    <row r="46" spans="3:10" x14ac:dyDescent="0.35">
      <c r="C46" s="315" t="s">
        <v>767</v>
      </c>
      <c r="D46" s="311">
        <f t="shared" si="26"/>
        <v>98999999.999999955</v>
      </c>
      <c r="E46" s="311">
        <f t="shared" si="27"/>
        <v>0</v>
      </c>
      <c r="F46" s="311">
        <f t="shared" si="29"/>
        <v>98999999.999999955</v>
      </c>
      <c r="G46" s="311">
        <f t="shared" si="25"/>
        <v>845624.99999999953</v>
      </c>
      <c r="H46" s="183">
        <f t="shared" si="22"/>
        <v>1.3468013468013469E-3</v>
      </c>
      <c r="I46" s="387">
        <f t="shared" si="32"/>
        <v>133333.33333333334</v>
      </c>
    </row>
    <row r="47" spans="3:10" x14ac:dyDescent="0.35">
      <c r="C47" s="310" t="s">
        <v>782</v>
      </c>
      <c r="D47" s="311"/>
      <c r="E47" s="316"/>
      <c r="F47" s="316"/>
      <c r="G47" s="316"/>
      <c r="H47" s="388">
        <f>SUM(H27:H46)</f>
        <v>1.0000000000000002</v>
      </c>
      <c r="I47" s="320"/>
    </row>
    <row r="48" spans="3:10" x14ac:dyDescent="0.35">
      <c r="C48" s="315" t="s">
        <v>777</v>
      </c>
      <c r="D48" s="311">
        <f>F46</f>
        <v>98999999.999999955</v>
      </c>
      <c r="E48" s="311">
        <f>E46</f>
        <v>0</v>
      </c>
      <c r="F48" s="311">
        <f>D48-E48</f>
        <v>98999999.999999955</v>
      </c>
      <c r="G48" s="311">
        <f t="shared" ref="G48:G59" si="33">AVERAGE(D48,F48)*$D$18/12</f>
        <v>845624.99999999953</v>
      </c>
      <c r="H48" s="313" t="s">
        <v>780</v>
      </c>
      <c r="I48" s="312"/>
    </row>
    <row r="49" spans="3:9" x14ac:dyDescent="0.35">
      <c r="C49" s="315" t="s">
        <v>778</v>
      </c>
      <c r="D49" s="311">
        <f>F48</f>
        <v>98999999.999999955</v>
      </c>
      <c r="E49" s="311">
        <f>E48</f>
        <v>0</v>
      </c>
      <c r="F49" s="311">
        <f>D49-E49</f>
        <v>98999999.999999955</v>
      </c>
      <c r="G49" s="311">
        <f t="shared" si="33"/>
        <v>845624.99999999953</v>
      </c>
      <c r="H49" s="313"/>
      <c r="I49" s="312"/>
    </row>
    <row r="50" spans="3:9" x14ac:dyDescent="0.35">
      <c r="C50" s="315" t="s">
        <v>779</v>
      </c>
      <c r="D50" s="311">
        <f>F49</f>
        <v>98999999.999999955</v>
      </c>
      <c r="E50" s="311">
        <f t="shared" ref="E50:E59" si="34">E49</f>
        <v>0</v>
      </c>
      <c r="F50" s="311">
        <f>D50-E50</f>
        <v>98999999.999999955</v>
      </c>
      <c r="G50" s="311">
        <f t="shared" si="33"/>
        <v>845624.99999999953</v>
      </c>
      <c r="H50" s="313"/>
    </row>
    <row r="51" spans="3:9" x14ac:dyDescent="0.35">
      <c r="C51" s="315" t="s">
        <v>768</v>
      </c>
      <c r="D51" s="311">
        <f>F50</f>
        <v>98999999.999999955</v>
      </c>
      <c r="E51" s="311">
        <f t="shared" si="34"/>
        <v>0</v>
      </c>
      <c r="F51" s="311">
        <f>D51-E51</f>
        <v>98999999.999999955</v>
      </c>
      <c r="G51" s="311">
        <f t="shared" si="33"/>
        <v>845624.99999999953</v>
      </c>
      <c r="H51" s="313"/>
      <c r="I51" s="312"/>
    </row>
    <row r="52" spans="3:9" x14ac:dyDescent="0.35">
      <c r="C52" s="315" t="s">
        <v>769</v>
      </c>
      <c r="D52" s="311">
        <f>F51</f>
        <v>98999999.999999955</v>
      </c>
      <c r="E52" s="311">
        <f t="shared" si="34"/>
        <v>0</v>
      </c>
      <c r="F52" s="311">
        <f t="shared" ref="F52:F59" si="35">D52-E52</f>
        <v>98999999.999999955</v>
      </c>
      <c r="G52" s="311">
        <f t="shared" si="33"/>
        <v>845624.99999999953</v>
      </c>
      <c r="H52" s="313"/>
      <c r="I52" s="312"/>
    </row>
    <row r="53" spans="3:9" x14ac:dyDescent="0.35">
      <c r="C53" s="315" t="s">
        <v>770</v>
      </c>
      <c r="D53" s="311">
        <f t="shared" ref="D53:D59" si="36">F52</f>
        <v>98999999.999999955</v>
      </c>
      <c r="E53" s="311">
        <v>400000</v>
      </c>
      <c r="F53" s="311">
        <f t="shared" si="35"/>
        <v>98599999.999999955</v>
      </c>
      <c r="G53" s="311">
        <f t="shared" si="33"/>
        <v>843916.66666666616</v>
      </c>
      <c r="H53" s="313" t="s">
        <v>455</v>
      </c>
      <c r="I53" s="312"/>
    </row>
    <row r="54" spans="3:9" x14ac:dyDescent="0.35">
      <c r="C54" s="315" t="s">
        <v>771</v>
      </c>
      <c r="D54" s="311">
        <f t="shared" si="36"/>
        <v>98599999.999999955</v>
      </c>
      <c r="E54" s="311">
        <f t="shared" si="34"/>
        <v>400000</v>
      </c>
      <c r="F54" s="311">
        <f t="shared" si="35"/>
        <v>98199999.999999955</v>
      </c>
      <c r="G54" s="311">
        <f t="shared" si="33"/>
        <v>840499.99999999953</v>
      </c>
      <c r="H54" s="313"/>
      <c r="I54" s="312"/>
    </row>
    <row r="55" spans="3:9" x14ac:dyDescent="0.35">
      <c r="C55" s="315" t="s">
        <v>772</v>
      </c>
      <c r="D55" s="311">
        <f t="shared" si="36"/>
        <v>98199999.999999955</v>
      </c>
      <c r="E55" s="311">
        <f t="shared" si="34"/>
        <v>400000</v>
      </c>
      <c r="F55" s="311">
        <f t="shared" si="35"/>
        <v>97799999.999999955</v>
      </c>
      <c r="G55" s="311">
        <f t="shared" si="33"/>
        <v>837083.33333333291</v>
      </c>
      <c r="H55" s="313"/>
      <c r="I55" s="312"/>
    </row>
    <row r="56" spans="3:9" x14ac:dyDescent="0.35">
      <c r="C56" s="315" t="s">
        <v>773</v>
      </c>
      <c r="D56" s="311">
        <f t="shared" si="36"/>
        <v>97799999.999999955</v>
      </c>
      <c r="E56" s="311">
        <f t="shared" si="34"/>
        <v>400000</v>
      </c>
      <c r="F56" s="311">
        <f t="shared" si="35"/>
        <v>97399999.999999955</v>
      </c>
      <c r="G56" s="311">
        <f t="shared" si="33"/>
        <v>833666.66666666616</v>
      </c>
      <c r="H56" s="313"/>
      <c r="I56" s="312"/>
    </row>
    <row r="57" spans="3:9" x14ac:dyDescent="0.35">
      <c r="C57" s="315" t="s">
        <v>774</v>
      </c>
      <c r="D57" s="311">
        <f t="shared" si="36"/>
        <v>97399999.999999955</v>
      </c>
      <c r="E57" s="311">
        <f t="shared" si="34"/>
        <v>400000</v>
      </c>
      <c r="F57" s="311">
        <f t="shared" si="35"/>
        <v>96999999.999999955</v>
      </c>
      <c r="G57" s="311">
        <f t="shared" si="33"/>
        <v>830249.99999999953</v>
      </c>
      <c r="H57" s="313"/>
      <c r="I57" s="312"/>
    </row>
    <row r="58" spans="3:9" x14ac:dyDescent="0.35">
      <c r="C58" s="315" t="s">
        <v>775</v>
      </c>
      <c r="D58" s="311">
        <f t="shared" si="36"/>
        <v>96999999.999999955</v>
      </c>
      <c r="E58" s="311">
        <f t="shared" si="34"/>
        <v>400000</v>
      </c>
      <c r="F58" s="311">
        <f t="shared" si="35"/>
        <v>96599999.999999955</v>
      </c>
      <c r="G58" s="311">
        <f t="shared" si="33"/>
        <v>826833.33333333291</v>
      </c>
      <c r="H58" s="313"/>
      <c r="I58" s="312"/>
    </row>
    <row r="59" spans="3:9" x14ac:dyDescent="0.35">
      <c r="C59" s="315" t="s">
        <v>767</v>
      </c>
      <c r="D59" s="311">
        <f t="shared" si="36"/>
        <v>96599999.999999955</v>
      </c>
      <c r="E59" s="311">
        <f t="shared" si="34"/>
        <v>400000</v>
      </c>
      <c r="F59" s="311">
        <f t="shared" si="35"/>
        <v>96199999.999999955</v>
      </c>
      <c r="G59" s="311">
        <f t="shared" si="33"/>
        <v>823416.66666666616</v>
      </c>
      <c r="H59" s="313"/>
      <c r="I59" s="312"/>
    </row>
    <row r="60" spans="3:9" x14ac:dyDescent="0.35">
      <c r="C60" s="310" t="s">
        <v>783</v>
      </c>
      <c r="D60" s="311"/>
      <c r="E60" s="316"/>
      <c r="F60" s="316"/>
      <c r="G60" s="316"/>
      <c r="H60" s="313"/>
      <c r="I60" s="320"/>
    </row>
    <row r="61" spans="3:9" x14ac:dyDescent="0.35">
      <c r="C61" s="315" t="s">
        <v>777</v>
      </c>
      <c r="D61" s="311">
        <f>F59</f>
        <v>96199999.999999955</v>
      </c>
      <c r="E61" s="311">
        <f>E59</f>
        <v>400000</v>
      </c>
      <c r="F61" s="311">
        <f>D61-E61</f>
        <v>95799999.999999955</v>
      </c>
      <c r="G61" s="311">
        <f t="shared" ref="G61:G72" si="37">AVERAGE(D61,F61)*$D$18/12</f>
        <v>819999.99999999953</v>
      </c>
      <c r="H61" s="313"/>
      <c r="I61" s="312"/>
    </row>
    <row r="62" spans="3:9" x14ac:dyDescent="0.35">
      <c r="C62" s="315" t="s">
        <v>778</v>
      </c>
      <c r="D62" s="311">
        <f>F61</f>
        <v>95799999.999999955</v>
      </c>
      <c r="E62" s="311">
        <f>E61</f>
        <v>400000</v>
      </c>
      <c r="F62" s="311">
        <f>D62-E62</f>
        <v>95399999.999999955</v>
      </c>
      <c r="G62" s="311">
        <f t="shared" si="37"/>
        <v>816583.33333333291</v>
      </c>
      <c r="H62" s="313"/>
      <c r="I62" s="312"/>
    </row>
    <row r="63" spans="3:9" x14ac:dyDescent="0.35">
      <c r="C63" s="315" t="s">
        <v>779</v>
      </c>
      <c r="D63" s="311">
        <f>F62</f>
        <v>95399999.999999955</v>
      </c>
      <c r="E63" s="311">
        <f t="shared" ref="E63:E65" si="38">E61</f>
        <v>400000</v>
      </c>
      <c r="F63" s="311">
        <f>D63-E63</f>
        <v>94999999.999999955</v>
      </c>
      <c r="G63" s="311">
        <f t="shared" si="37"/>
        <v>813166.66666666616</v>
      </c>
      <c r="H63" s="313"/>
    </row>
    <row r="64" spans="3:9" x14ac:dyDescent="0.35">
      <c r="C64" s="315" t="s">
        <v>768</v>
      </c>
      <c r="D64" s="311">
        <f>F63</f>
        <v>94999999.999999955</v>
      </c>
      <c r="E64" s="311">
        <f t="shared" si="38"/>
        <v>400000</v>
      </c>
      <c r="F64" s="311">
        <f>D64-E64</f>
        <v>94599999.999999955</v>
      </c>
      <c r="G64" s="311">
        <f t="shared" si="37"/>
        <v>809749.99999999953</v>
      </c>
      <c r="H64" s="313"/>
      <c r="I64" s="312"/>
    </row>
    <row r="65" spans="3:9" x14ac:dyDescent="0.35">
      <c r="C65" s="315" t="s">
        <v>769</v>
      </c>
      <c r="D65" s="311">
        <f>F64</f>
        <v>94599999.999999955</v>
      </c>
      <c r="E65" s="311">
        <f t="shared" si="38"/>
        <v>400000</v>
      </c>
      <c r="F65" s="311">
        <f t="shared" ref="F65:F72" si="39">D65-E65</f>
        <v>94199999.999999955</v>
      </c>
      <c r="G65" s="311">
        <f t="shared" si="37"/>
        <v>806333.33333333291</v>
      </c>
      <c r="H65" s="313"/>
      <c r="I65" s="312"/>
    </row>
    <row r="66" spans="3:9" x14ac:dyDescent="0.35">
      <c r="C66" s="315" t="s">
        <v>770</v>
      </c>
      <c r="D66" s="311">
        <f t="shared" ref="D66:D72" si="40">F65</f>
        <v>94199999.999999955</v>
      </c>
      <c r="E66" s="311">
        <v>500000</v>
      </c>
      <c r="F66" s="311">
        <f t="shared" si="39"/>
        <v>93699999.999999955</v>
      </c>
      <c r="G66" s="311">
        <f t="shared" si="37"/>
        <v>802489.58333333291</v>
      </c>
      <c r="H66" s="313"/>
      <c r="I66" s="312"/>
    </row>
    <row r="67" spans="3:9" x14ac:dyDescent="0.35">
      <c r="C67" s="315" t="s">
        <v>771</v>
      </c>
      <c r="D67" s="311">
        <f t="shared" si="40"/>
        <v>93699999.999999955</v>
      </c>
      <c r="E67" s="311">
        <f t="shared" ref="E67:E72" si="41">E66</f>
        <v>500000</v>
      </c>
      <c r="F67" s="311">
        <f t="shared" si="39"/>
        <v>93199999.999999955</v>
      </c>
      <c r="G67" s="311">
        <f t="shared" si="37"/>
        <v>798218.74999999953</v>
      </c>
      <c r="H67" s="313"/>
      <c r="I67" s="312"/>
    </row>
    <row r="68" spans="3:9" x14ac:dyDescent="0.35">
      <c r="C68" s="315" t="s">
        <v>772</v>
      </c>
      <c r="D68" s="311">
        <f t="shared" si="40"/>
        <v>93199999.999999955</v>
      </c>
      <c r="E68" s="311">
        <f t="shared" si="41"/>
        <v>500000</v>
      </c>
      <c r="F68" s="311">
        <f t="shared" si="39"/>
        <v>92699999.999999955</v>
      </c>
      <c r="G68" s="311">
        <f t="shared" si="37"/>
        <v>793947.91666666616</v>
      </c>
      <c r="H68" s="313"/>
      <c r="I68" s="312"/>
    </row>
    <row r="69" spans="3:9" x14ac:dyDescent="0.35">
      <c r="C69" s="315" t="s">
        <v>773</v>
      </c>
      <c r="D69" s="311">
        <f t="shared" si="40"/>
        <v>92699999.999999955</v>
      </c>
      <c r="E69" s="311">
        <f>E68</f>
        <v>500000</v>
      </c>
      <c r="F69" s="311">
        <f t="shared" si="39"/>
        <v>92199999.999999955</v>
      </c>
      <c r="G69" s="311">
        <f t="shared" si="37"/>
        <v>789677.08333333291</v>
      </c>
      <c r="H69" s="313"/>
      <c r="I69" s="312"/>
    </row>
    <row r="70" spans="3:9" x14ac:dyDescent="0.35">
      <c r="C70" s="315" t="s">
        <v>774</v>
      </c>
      <c r="D70" s="311">
        <f t="shared" si="40"/>
        <v>92199999.999999955</v>
      </c>
      <c r="E70" s="311">
        <f t="shared" si="41"/>
        <v>500000</v>
      </c>
      <c r="F70" s="311">
        <f t="shared" si="39"/>
        <v>91699999.999999955</v>
      </c>
      <c r="G70" s="311">
        <f t="shared" si="37"/>
        <v>785406.24999999953</v>
      </c>
      <c r="H70" s="313"/>
      <c r="I70" s="312"/>
    </row>
    <row r="71" spans="3:9" x14ac:dyDescent="0.35">
      <c r="C71" s="315" t="s">
        <v>775</v>
      </c>
      <c r="D71" s="311">
        <f t="shared" si="40"/>
        <v>91699999.999999955</v>
      </c>
      <c r="E71" s="311">
        <f t="shared" si="41"/>
        <v>500000</v>
      </c>
      <c r="F71" s="311">
        <f t="shared" si="39"/>
        <v>91199999.999999955</v>
      </c>
      <c r="G71" s="311">
        <f t="shared" si="37"/>
        <v>781135.41666666616</v>
      </c>
      <c r="H71" s="313"/>
      <c r="I71" s="312"/>
    </row>
    <row r="72" spans="3:9" x14ac:dyDescent="0.35">
      <c r="C72" s="315" t="s">
        <v>767</v>
      </c>
      <c r="D72" s="311">
        <f t="shared" si="40"/>
        <v>91199999.999999955</v>
      </c>
      <c r="E72" s="311">
        <f t="shared" si="41"/>
        <v>500000</v>
      </c>
      <c r="F72" s="311">
        <f t="shared" si="39"/>
        <v>90699999.999999955</v>
      </c>
      <c r="G72" s="311">
        <f t="shared" si="37"/>
        <v>776864.58333333291</v>
      </c>
      <c r="H72" s="313"/>
      <c r="I72" s="312"/>
    </row>
    <row r="73" spans="3:9" x14ac:dyDescent="0.35">
      <c r="C73" s="310" t="s">
        <v>784</v>
      </c>
      <c r="D73" s="311"/>
      <c r="E73" s="316"/>
      <c r="F73" s="316"/>
      <c r="G73" s="316"/>
      <c r="H73" s="313"/>
      <c r="I73" s="320"/>
    </row>
    <row r="74" spans="3:9" x14ac:dyDescent="0.35">
      <c r="C74" s="315" t="s">
        <v>777</v>
      </c>
      <c r="D74" s="311">
        <f>F72</f>
        <v>90699999.999999955</v>
      </c>
      <c r="E74" s="311">
        <f>E72</f>
        <v>500000</v>
      </c>
      <c r="F74" s="311">
        <f>D74-E74</f>
        <v>90199999.999999955</v>
      </c>
      <c r="G74" s="311">
        <f t="shared" ref="G74:G85" si="42">AVERAGE(D74,F74)*$D$18/12</f>
        <v>772593.74999999953</v>
      </c>
      <c r="H74" s="313"/>
      <c r="I74" s="312"/>
    </row>
    <row r="75" spans="3:9" x14ac:dyDescent="0.35">
      <c r="C75" s="315" t="s">
        <v>778</v>
      </c>
      <c r="D75" s="311">
        <f>F74</f>
        <v>90199999.999999955</v>
      </c>
      <c r="E75" s="311">
        <f>E74</f>
        <v>500000</v>
      </c>
      <c r="F75" s="311">
        <f>D75-E75</f>
        <v>89699999.999999955</v>
      </c>
      <c r="G75" s="311">
        <f t="shared" si="42"/>
        <v>768322.91666666616</v>
      </c>
      <c r="H75" s="313"/>
      <c r="I75" s="312"/>
    </row>
    <row r="76" spans="3:9" x14ac:dyDescent="0.35">
      <c r="C76" s="315" t="s">
        <v>779</v>
      </c>
      <c r="D76" s="311">
        <f>F75</f>
        <v>89699999.999999955</v>
      </c>
      <c r="E76" s="311">
        <f t="shared" ref="E76:E85" si="43">E75</f>
        <v>500000</v>
      </c>
      <c r="F76" s="311">
        <f>D76-E76</f>
        <v>89199999.999999955</v>
      </c>
      <c r="G76" s="311">
        <f t="shared" si="42"/>
        <v>764052.08333333291</v>
      </c>
      <c r="H76" s="313"/>
    </row>
    <row r="77" spans="3:9" x14ac:dyDescent="0.35">
      <c r="C77" s="315" t="s">
        <v>768</v>
      </c>
      <c r="D77" s="311">
        <f>F76</f>
        <v>89199999.999999955</v>
      </c>
      <c r="E77" s="311">
        <f t="shared" si="43"/>
        <v>500000</v>
      </c>
      <c r="F77" s="311">
        <f>D77-E77</f>
        <v>88699999.999999955</v>
      </c>
      <c r="G77" s="311">
        <f t="shared" si="42"/>
        <v>759781.24999999953</v>
      </c>
      <c r="H77" s="313"/>
      <c r="I77" s="312"/>
    </row>
    <row r="78" spans="3:9" x14ac:dyDescent="0.35">
      <c r="C78" s="315" t="s">
        <v>769</v>
      </c>
      <c r="D78" s="311">
        <f>F77</f>
        <v>88699999.999999955</v>
      </c>
      <c r="E78" s="311">
        <f t="shared" si="43"/>
        <v>500000</v>
      </c>
      <c r="F78" s="311">
        <f t="shared" ref="F78:F85" si="44">D78-E78</f>
        <v>88199999.999999955</v>
      </c>
      <c r="G78" s="311">
        <f t="shared" si="42"/>
        <v>755510.41666666616</v>
      </c>
      <c r="H78" s="313"/>
      <c r="I78" s="312"/>
    </row>
    <row r="79" spans="3:9" x14ac:dyDescent="0.35">
      <c r="C79" s="315" t="s">
        <v>770</v>
      </c>
      <c r="D79" s="311">
        <f t="shared" ref="D79:D85" si="45">F78</f>
        <v>88199999.999999955</v>
      </c>
      <c r="E79" s="311">
        <v>600000</v>
      </c>
      <c r="F79" s="311">
        <f t="shared" si="44"/>
        <v>87599999.999999955</v>
      </c>
      <c r="G79" s="311">
        <f t="shared" si="42"/>
        <v>750812.49999999953</v>
      </c>
      <c r="H79" s="313"/>
      <c r="I79" s="312"/>
    </row>
    <row r="80" spans="3:9" x14ac:dyDescent="0.35">
      <c r="C80" s="315" t="s">
        <v>771</v>
      </c>
      <c r="D80" s="311">
        <f t="shared" si="45"/>
        <v>87599999.999999955</v>
      </c>
      <c r="E80" s="311">
        <v>600000</v>
      </c>
      <c r="F80" s="311">
        <f t="shared" si="44"/>
        <v>86999999.999999955</v>
      </c>
      <c r="G80" s="311">
        <f t="shared" si="42"/>
        <v>745687.49999999953</v>
      </c>
      <c r="H80" s="313"/>
      <c r="I80" s="312"/>
    </row>
    <row r="81" spans="3:9" x14ac:dyDescent="0.35">
      <c r="C81" s="315" t="s">
        <v>772</v>
      </c>
      <c r="D81" s="311">
        <f t="shared" si="45"/>
        <v>86999999.999999955</v>
      </c>
      <c r="E81" s="311">
        <f t="shared" si="43"/>
        <v>600000</v>
      </c>
      <c r="F81" s="311">
        <f t="shared" si="44"/>
        <v>86399999.999999955</v>
      </c>
      <c r="G81" s="311">
        <f t="shared" si="42"/>
        <v>740562.49999999953</v>
      </c>
      <c r="H81" s="313"/>
      <c r="I81" s="312"/>
    </row>
    <row r="82" spans="3:9" x14ac:dyDescent="0.35">
      <c r="C82" s="315" t="s">
        <v>773</v>
      </c>
      <c r="D82" s="311">
        <f t="shared" si="45"/>
        <v>86399999.999999955</v>
      </c>
      <c r="E82" s="311">
        <f t="shared" si="43"/>
        <v>600000</v>
      </c>
      <c r="F82" s="311">
        <f t="shared" si="44"/>
        <v>85799999.999999955</v>
      </c>
      <c r="G82" s="311">
        <f t="shared" si="42"/>
        <v>735437.49999999953</v>
      </c>
      <c r="H82" s="313"/>
      <c r="I82" s="312"/>
    </row>
    <row r="83" spans="3:9" x14ac:dyDescent="0.35">
      <c r="C83" s="315" t="s">
        <v>774</v>
      </c>
      <c r="D83" s="311">
        <f t="shared" si="45"/>
        <v>85799999.999999955</v>
      </c>
      <c r="E83" s="311">
        <f t="shared" si="43"/>
        <v>600000</v>
      </c>
      <c r="F83" s="311">
        <f t="shared" si="44"/>
        <v>85199999.999999955</v>
      </c>
      <c r="G83" s="311">
        <f t="shared" si="42"/>
        <v>730312.49999999953</v>
      </c>
      <c r="H83" s="313"/>
      <c r="I83" s="312"/>
    </row>
    <row r="84" spans="3:9" x14ac:dyDescent="0.35">
      <c r="C84" s="315" t="s">
        <v>775</v>
      </c>
      <c r="D84" s="311">
        <f t="shared" si="45"/>
        <v>85199999.999999955</v>
      </c>
      <c r="E84" s="311">
        <f t="shared" si="43"/>
        <v>600000</v>
      </c>
      <c r="F84" s="311">
        <f t="shared" si="44"/>
        <v>84599999.999999955</v>
      </c>
      <c r="G84" s="311">
        <f t="shared" si="42"/>
        <v>725187.49999999953</v>
      </c>
      <c r="H84" s="313"/>
      <c r="I84" s="312"/>
    </row>
    <row r="85" spans="3:9" x14ac:dyDescent="0.35">
      <c r="C85" s="315" t="s">
        <v>767</v>
      </c>
      <c r="D85" s="311">
        <f t="shared" si="45"/>
        <v>84599999.999999955</v>
      </c>
      <c r="E85" s="311">
        <f t="shared" si="43"/>
        <v>600000</v>
      </c>
      <c r="F85" s="311">
        <f t="shared" si="44"/>
        <v>83999999.999999955</v>
      </c>
      <c r="G85" s="311">
        <f t="shared" si="42"/>
        <v>720062.49999999953</v>
      </c>
      <c r="H85" s="313"/>
      <c r="I85" s="312"/>
    </row>
    <row r="86" spans="3:9" x14ac:dyDescent="0.35">
      <c r="C86" s="310" t="s">
        <v>785</v>
      </c>
      <c r="D86" s="311"/>
      <c r="E86" s="316"/>
      <c r="F86" s="316"/>
      <c r="G86" s="316"/>
      <c r="H86" s="313"/>
      <c r="I86" s="320"/>
    </row>
    <row r="87" spans="3:9" x14ac:dyDescent="0.35">
      <c r="C87" s="315" t="s">
        <v>777</v>
      </c>
      <c r="D87" s="311">
        <f>F85</f>
        <v>83999999.999999955</v>
      </c>
      <c r="E87" s="311">
        <f>E85</f>
        <v>600000</v>
      </c>
      <c r="F87" s="311">
        <f>D87-E87</f>
        <v>83399999.999999955</v>
      </c>
      <c r="G87" s="311">
        <f t="shared" ref="G87:G98" si="46">AVERAGE(D87,F87)*$D$18/12</f>
        <v>714937.49999999953</v>
      </c>
      <c r="H87" s="313"/>
      <c r="I87" s="312"/>
    </row>
    <row r="88" spans="3:9" x14ac:dyDescent="0.35">
      <c r="C88" s="315" t="s">
        <v>778</v>
      </c>
      <c r="D88" s="311">
        <f>F87</f>
        <v>83399999.999999955</v>
      </c>
      <c r="E88" s="311">
        <f>E87</f>
        <v>600000</v>
      </c>
      <c r="F88" s="311">
        <f>D88-E88</f>
        <v>82799999.999999955</v>
      </c>
      <c r="G88" s="311">
        <f t="shared" si="46"/>
        <v>709812.49999999953</v>
      </c>
      <c r="H88" s="313"/>
      <c r="I88" s="312"/>
    </row>
    <row r="89" spans="3:9" x14ac:dyDescent="0.35">
      <c r="C89" s="315" t="s">
        <v>779</v>
      </c>
      <c r="D89" s="311">
        <f>F88</f>
        <v>82799999.999999955</v>
      </c>
      <c r="E89" s="311">
        <f t="shared" ref="E89:E98" si="47">E88</f>
        <v>600000</v>
      </c>
      <c r="F89" s="311">
        <f>D89-E89</f>
        <v>82199999.999999955</v>
      </c>
      <c r="G89" s="311">
        <f t="shared" si="46"/>
        <v>704687.49999999953</v>
      </c>
      <c r="H89" s="313"/>
    </row>
    <row r="90" spans="3:9" x14ac:dyDescent="0.35">
      <c r="C90" s="315" t="s">
        <v>768</v>
      </c>
      <c r="D90" s="311">
        <f>F89</f>
        <v>82199999.999999955</v>
      </c>
      <c r="E90" s="311">
        <f t="shared" si="47"/>
        <v>600000</v>
      </c>
      <c r="F90" s="311">
        <f>D90-E90</f>
        <v>81599999.999999955</v>
      </c>
      <c r="G90" s="311">
        <f t="shared" si="46"/>
        <v>699562.49999999953</v>
      </c>
      <c r="H90" s="313"/>
      <c r="I90" s="312"/>
    </row>
    <row r="91" spans="3:9" x14ac:dyDescent="0.35">
      <c r="C91" s="315" t="s">
        <v>769</v>
      </c>
      <c r="D91" s="311">
        <f>F90</f>
        <v>81599999.999999955</v>
      </c>
      <c r="E91" s="311">
        <f t="shared" si="47"/>
        <v>600000</v>
      </c>
      <c r="F91" s="311">
        <f t="shared" ref="F91:F98" si="48">D91-E91</f>
        <v>80999999.999999955</v>
      </c>
      <c r="G91" s="311">
        <f t="shared" si="46"/>
        <v>694437.49999999965</v>
      </c>
      <c r="H91" s="313"/>
      <c r="I91" s="312"/>
    </row>
    <row r="92" spans="3:9" x14ac:dyDescent="0.35">
      <c r="C92" s="315" t="s">
        <v>770</v>
      </c>
      <c r="D92" s="311">
        <f t="shared" ref="D92:D98" si="49">F91</f>
        <v>80999999.999999955</v>
      </c>
      <c r="E92" s="311">
        <v>700000</v>
      </c>
      <c r="F92" s="311">
        <f t="shared" si="48"/>
        <v>80299999.999999955</v>
      </c>
      <c r="G92" s="311">
        <f t="shared" si="46"/>
        <v>688885.41666666628</v>
      </c>
      <c r="H92" s="313"/>
      <c r="I92" s="312"/>
    </row>
    <row r="93" spans="3:9" x14ac:dyDescent="0.35">
      <c r="C93" s="315" t="s">
        <v>771</v>
      </c>
      <c r="D93" s="311">
        <f t="shared" si="49"/>
        <v>80299999.999999955</v>
      </c>
      <c r="E93" s="311">
        <f t="shared" si="47"/>
        <v>700000</v>
      </c>
      <c r="F93" s="311">
        <f t="shared" si="48"/>
        <v>79599999.999999955</v>
      </c>
      <c r="G93" s="311">
        <f t="shared" si="46"/>
        <v>682906.24999999965</v>
      </c>
      <c r="H93" s="313"/>
      <c r="I93" s="312"/>
    </row>
    <row r="94" spans="3:9" x14ac:dyDescent="0.35">
      <c r="C94" s="315" t="s">
        <v>772</v>
      </c>
      <c r="D94" s="311">
        <f t="shared" si="49"/>
        <v>79599999.999999955</v>
      </c>
      <c r="E94" s="311">
        <f t="shared" si="47"/>
        <v>700000</v>
      </c>
      <c r="F94" s="311">
        <f t="shared" si="48"/>
        <v>78899999.999999955</v>
      </c>
      <c r="G94" s="311">
        <f t="shared" si="46"/>
        <v>676927.08333333291</v>
      </c>
      <c r="H94" s="313"/>
      <c r="I94" s="312"/>
    </row>
    <row r="95" spans="3:9" x14ac:dyDescent="0.35">
      <c r="C95" s="315" t="s">
        <v>773</v>
      </c>
      <c r="D95" s="311">
        <f t="shared" si="49"/>
        <v>78899999.999999955</v>
      </c>
      <c r="E95" s="311">
        <f t="shared" si="47"/>
        <v>700000</v>
      </c>
      <c r="F95" s="311">
        <f t="shared" si="48"/>
        <v>78199999.999999955</v>
      </c>
      <c r="G95" s="311">
        <f t="shared" si="46"/>
        <v>670947.91666666628</v>
      </c>
      <c r="H95" s="313"/>
      <c r="I95" s="312"/>
    </row>
    <row r="96" spans="3:9" x14ac:dyDescent="0.35">
      <c r="C96" s="315" t="s">
        <v>774</v>
      </c>
      <c r="D96" s="311">
        <f t="shared" si="49"/>
        <v>78199999.999999955</v>
      </c>
      <c r="E96" s="311">
        <f t="shared" si="47"/>
        <v>700000</v>
      </c>
      <c r="F96" s="311">
        <f t="shared" si="48"/>
        <v>77499999.999999955</v>
      </c>
      <c r="G96" s="311">
        <f t="shared" si="46"/>
        <v>664968.74999999965</v>
      </c>
      <c r="H96" s="313"/>
      <c r="I96" s="312"/>
    </row>
    <row r="97" spans="3:9" x14ac:dyDescent="0.35">
      <c r="C97" s="315" t="s">
        <v>775</v>
      </c>
      <c r="D97" s="311">
        <f t="shared" si="49"/>
        <v>77499999.999999955</v>
      </c>
      <c r="E97" s="311">
        <f t="shared" si="47"/>
        <v>700000</v>
      </c>
      <c r="F97" s="311">
        <f t="shared" si="48"/>
        <v>76799999.999999955</v>
      </c>
      <c r="G97" s="311">
        <f t="shared" si="46"/>
        <v>658989.58333333291</v>
      </c>
      <c r="H97" s="313"/>
      <c r="I97" s="312"/>
    </row>
    <row r="98" spans="3:9" x14ac:dyDescent="0.35">
      <c r="C98" s="315" t="s">
        <v>767</v>
      </c>
      <c r="D98" s="311">
        <f t="shared" si="49"/>
        <v>76799999.999999955</v>
      </c>
      <c r="E98" s="311">
        <f t="shared" si="47"/>
        <v>700000</v>
      </c>
      <c r="F98" s="311">
        <f t="shared" si="48"/>
        <v>76099999.999999955</v>
      </c>
      <c r="G98" s="311">
        <f t="shared" si="46"/>
        <v>653010.41666666628</v>
      </c>
      <c r="H98" s="313"/>
      <c r="I98" s="312"/>
    </row>
    <row r="99" spans="3:9" x14ac:dyDescent="0.35">
      <c r="C99" s="310" t="s">
        <v>786</v>
      </c>
      <c r="D99" s="311"/>
      <c r="E99" s="316"/>
      <c r="F99" s="316"/>
      <c r="G99" s="316"/>
      <c r="H99" s="313"/>
      <c r="I99" s="320"/>
    </row>
    <row r="100" spans="3:9" x14ac:dyDescent="0.35">
      <c r="C100" s="315" t="s">
        <v>777</v>
      </c>
      <c r="D100" s="311">
        <f>F98</f>
        <v>76099999.999999955</v>
      </c>
      <c r="E100" s="311">
        <f>E98</f>
        <v>700000</v>
      </c>
      <c r="F100" s="311">
        <f>D100-E100</f>
        <v>75399999.999999955</v>
      </c>
      <c r="G100" s="311">
        <f t="shared" ref="G100:G111" si="50">AVERAGE(D100,F100)*$D$18/12</f>
        <v>647031.24999999965</v>
      </c>
      <c r="H100" s="313"/>
      <c r="I100" s="312"/>
    </row>
    <row r="101" spans="3:9" x14ac:dyDescent="0.35">
      <c r="C101" s="315" t="s">
        <v>778</v>
      </c>
      <c r="D101" s="311">
        <f>F100</f>
        <v>75399999.999999955</v>
      </c>
      <c r="E101" s="311">
        <f>E100</f>
        <v>700000</v>
      </c>
      <c r="F101" s="311">
        <f>D101-E101</f>
        <v>74699999.999999955</v>
      </c>
      <c r="G101" s="311">
        <f t="shared" si="50"/>
        <v>641052.08333333291</v>
      </c>
      <c r="H101" s="313"/>
      <c r="I101" s="312"/>
    </row>
    <row r="102" spans="3:9" x14ac:dyDescent="0.35">
      <c r="C102" s="315" t="s">
        <v>779</v>
      </c>
      <c r="D102" s="311">
        <f>F101</f>
        <v>74699999.999999955</v>
      </c>
      <c r="E102" s="311">
        <f t="shared" ref="E102:E111" si="51">E101</f>
        <v>700000</v>
      </c>
      <c r="F102" s="311">
        <f>D102-E102</f>
        <v>73999999.999999955</v>
      </c>
      <c r="G102" s="311">
        <f t="shared" si="50"/>
        <v>635072.91666666628</v>
      </c>
      <c r="H102" s="313"/>
    </row>
    <row r="103" spans="3:9" x14ac:dyDescent="0.35">
      <c r="C103" s="315" t="s">
        <v>768</v>
      </c>
      <c r="D103" s="311">
        <f>F102</f>
        <v>73999999.999999955</v>
      </c>
      <c r="E103" s="311">
        <f t="shared" si="51"/>
        <v>700000</v>
      </c>
      <c r="F103" s="311">
        <f>D103-E103</f>
        <v>73299999.999999955</v>
      </c>
      <c r="G103" s="311">
        <f t="shared" si="50"/>
        <v>629093.74999999965</v>
      </c>
      <c r="H103" s="313"/>
      <c r="I103" s="312"/>
    </row>
    <row r="104" spans="3:9" x14ac:dyDescent="0.35">
      <c r="C104" s="315" t="s">
        <v>769</v>
      </c>
      <c r="D104" s="311">
        <f>F103</f>
        <v>73299999.999999955</v>
      </c>
      <c r="E104" s="311">
        <f t="shared" si="51"/>
        <v>700000</v>
      </c>
      <c r="F104" s="311">
        <f t="shared" ref="F104:F111" si="52">D104-E104</f>
        <v>72599999.999999955</v>
      </c>
      <c r="G104" s="311">
        <f t="shared" si="50"/>
        <v>623114.58333333291</v>
      </c>
      <c r="H104" s="313"/>
      <c r="I104" s="312"/>
    </row>
    <row r="105" spans="3:9" x14ac:dyDescent="0.35">
      <c r="C105" s="315" t="s">
        <v>770</v>
      </c>
      <c r="D105" s="311">
        <f t="shared" ref="D105:D111" si="53">F104</f>
        <v>72599999.999999955</v>
      </c>
      <c r="E105" s="311">
        <v>800000</v>
      </c>
      <c r="F105" s="311">
        <f t="shared" si="52"/>
        <v>71799999.999999955</v>
      </c>
      <c r="G105" s="311">
        <f t="shared" si="50"/>
        <v>616708.33333333291</v>
      </c>
      <c r="H105" s="313"/>
      <c r="I105" s="312"/>
    </row>
    <row r="106" spans="3:9" x14ac:dyDescent="0.35">
      <c r="C106" s="315" t="s">
        <v>771</v>
      </c>
      <c r="D106" s="311">
        <f t="shared" si="53"/>
        <v>71799999.999999955</v>
      </c>
      <c r="E106" s="311">
        <v>800000</v>
      </c>
      <c r="F106" s="311">
        <f t="shared" si="52"/>
        <v>70999999.999999955</v>
      </c>
      <c r="G106" s="311">
        <f t="shared" si="50"/>
        <v>609874.99999999965</v>
      </c>
      <c r="H106" s="313"/>
      <c r="I106" s="312"/>
    </row>
    <row r="107" spans="3:9" x14ac:dyDescent="0.35">
      <c r="C107" s="315" t="s">
        <v>772</v>
      </c>
      <c r="D107" s="311">
        <f t="shared" si="53"/>
        <v>70999999.999999955</v>
      </c>
      <c r="E107" s="311">
        <f t="shared" si="51"/>
        <v>800000</v>
      </c>
      <c r="F107" s="311">
        <f t="shared" si="52"/>
        <v>70199999.999999955</v>
      </c>
      <c r="G107" s="311">
        <f t="shared" si="50"/>
        <v>603041.66666666628</v>
      </c>
      <c r="H107" s="313"/>
      <c r="I107" s="312"/>
    </row>
    <row r="108" spans="3:9" x14ac:dyDescent="0.35">
      <c r="C108" s="315" t="s">
        <v>773</v>
      </c>
      <c r="D108" s="311">
        <f t="shared" si="53"/>
        <v>70199999.999999955</v>
      </c>
      <c r="E108" s="311">
        <f t="shared" si="51"/>
        <v>800000</v>
      </c>
      <c r="F108" s="311">
        <f t="shared" si="52"/>
        <v>69399999.999999955</v>
      </c>
      <c r="G108" s="311">
        <f t="shared" si="50"/>
        <v>596208.33333333291</v>
      </c>
      <c r="H108" s="313"/>
      <c r="I108" s="312"/>
    </row>
    <row r="109" spans="3:9" x14ac:dyDescent="0.35">
      <c r="C109" s="315" t="s">
        <v>774</v>
      </c>
      <c r="D109" s="311">
        <f t="shared" si="53"/>
        <v>69399999.999999955</v>
      </c>
      <c r="E109" s="311">
        <f t="shared" si="51"/>
        <v>800000</v>
      </c>
      <c r="F109" s="311">
        <f t="shared" si="52"/>
        <v>68599999.999999955</v>
      </c>
      <c r="G109" s="311">
        <f t="shared" si="50"/>
        <v>589374.99999999965</v>
      </c>
      <c r="H109" s="313"/>
      <c r="I109" s="312"/>
    </row>
    <row r="110" spans="3:9" x14ac:dyDescent="0.35">
      <c r="C110" s="315" t="s">
        <v>775</v>
      </c>
      <c r="D110" s="311">
        <f t="shared" si="53"/>
        <v>68599999.999999955</v>
      </c>
      <c r="E110" s="311">
        <f t="shared" si="51"/>
        <v>800000</v>
      </c>
      <c r="F110" s="311">
        <f t="shared" si="52"/>
        <v>67799999.999999955</v>
      </c>
      <c r="G110" s="311">
        <f t="shared" si="50"/>
        <v>582541.66666666628</v>
      </c>
      <c r="H110" s="313"/>
      <c r="I110" s="312"/>
    </row>
    <row r="111" spans="3:9" x14ac:dyDescent="0.35">
      <c r="C111" s="315" t="s">
        <v>767</v>
      </c>
      <c r="D111" s="311">
        <f t="shared" si="53"/>
        <v>67799999.999999955</v>
      </c>
      <c r="E111" s="311">
        <f t="shared" si="51"/>
        <v>800000</v>
      </c>
      <c r="F111" s="311">
        <f t="shared" si="52"/>
        <v>66999999.999999955</v>
      </c>
      <c r="G111" s="311">
        <f t="shared" si="50"/>
        <v>575708.33333333291</v>
      </c>
      <c r="H111" s="313"/>
      <c r="I111" s="312"/>
    </row>
    <row r="112" spans="3:9" x14ac:dyDescent="0.35">
      <c r="C112" s="310" t="s">
        <v>787</v>
      </c>
      <c r="D112" s="311"/>
      <c r="E112" s="316"/>
      <c r="F112" s="316"/>
      <c r="G112" s="316"/>
      <c r="H112" s="313"/>
      <c r="I112" s="320"/>
    </row>
    <row r="113" spans="3:9" x14ac:dyDescent="0.35">
      <c r="C113" s="315" t="s">
        <v>777</v>
      </c>
      <c r="D113" s="311">
        <f>F111</f>
        <v>66999999.999999955</v>
      </c>
      <c r="E113" s="311">
        <f>E111</f>
        <v>800000</v>
      </c>
      <c r="F113" s="311">
        <f>D113-E113</f>
        <v>66199999.999999955</v>
      </c>
      <c r="G113" s="311">
        <f t="shared" ref="G113:G124" si="54">AVERAGE(D113,F113)*$D$18/12</f>
        <v>568874.99999999965</v>
      </c>
      <c r="H113" s="313"/>
      <c r="I113" s="312"/>
    </row>
    <row r="114" spans="3:9" x14ac:dyDescent="0.35">
      <c r="C114" s="315" t="s">
        <v>778</v>
      </c>
      <c r="D114" s="311">
        <f>F113</f>
        <v>66199999.999999955</v>
      </c>
      <c r="E114" s="311">
        <f>E113</f>
        <v>800000</v>
      </c>
      <c r="F114" s="311">
        <f>D114-E114</f>
        <v>65399999.999999955</v>
      </c>
      <c r="G114" s="311">
        <f t="shared" si="54"/>
        <v>562041.66666666628</v>
      </c>
      <c r="H114" s="313"/>
      <c r="I114" s="312"/>
    </row>
    <row r="115" spans="3:9" x14ac:dyDescent="0.35">
      <c r="C115" s="315" t="s">
        <v>779</v>
      </c>
      <c r="D115" s="311">
        <f>F114</f>
        <v>65399999.999999955</v>
      </c>
      <c r="E115" s="311">
        <f t="shared" ref="E115:E124" si="55">E114</f>
        <v>800000</v>
      </c>
      <c r="F115" s="311">
        <f>D115-E115</f>
        <v>64599999.999999955</v>
      </c>
      <c r="G115" s="311">
        <f t="shared" si="54"/>
        <v>555208.33333333291</v>
      </c>
      <c r="H115" s="313"/>
    </row>
    <row r="116" spans="3:9" x14ac:dyDescent="0.35">
      <c r="C116" s="315" t="s">
        <v>768</v>
      </c>
      <c r="D116" s="311">
        <f>F115</f>
        <v>64599999.999999955</v>
      </c>
      <c r="E116" s="311">
        <f t="shared" si="55"/>
        <v>800000</v>
      </c>
      <c r="F116" s="311">
        <f>D116-E116</f>
        <v>63799999.999999955</v>
      </c>
      <c r="G116" s="311">
        <f t="shared" si="54"/>
        <v>548374.99999999965</v>
      </c>
      <c r="H116" s="313"/>
      <c r="I116" s="312"/>
    </row>
    <row r="117" spans="3:9" x14ac:dyDescent="0.35">
      <c r="C117" s="315" t="s">
        <v>769</v>
      </c>
      <c r="D117" s="311">
        <f>F116</f>
        <v>63799999.999999955</v>
      </c>
      <c r="E117" s="311">
        <f t="shared" si="55"/>
        <v>800000</v>
      </c>
      <c r="F117" s="311">
        <f t="shared" ref="F117:F124" si="56">D117-E117</f>
        <v>62999999.999999955</v>
      </c>
      <c r="G117" s="311">
        <f t="shared" si="54"/>
        <v>541541.66666666628</v>
      </c>
      <c r="H117" s="313"/>
      <c r="I117" s="312"/>
    </row>
    <row r="118" spans="3:9" x14ac:dyDescent="0.35">
      <c r="C118" s="315" t="s">
        <v>770</v>
      </c>
      <c r="D118" s="311">
        <f t="shared" ref="D118:D124" si="57">F117</f>
        <v>62999999.999999955</v>
      </c>
      <c r="E118" s="311">
        <v>900000</v>
      </c>
      <c r="F118" s="311">
        <f t="shared" si="56"/>
        <v>62099999.999999955</v>
      </c>
      <c r="G118" s="311">
        <f t="shared" si="54"/>
        <v>534281.24999999965</v>
      </c>
      <c r="H118" s="313"/>
      <c r="I118" s="312"/>
    </row>
    <row r="119" spans="3:9" x14ac:dyDescent="0.35">
      <c r="C119" s="315" t="s">
        <v>771</v>
      </c>
      <c r="D119" s="311">
        <f t="shared" si="57"/>
        <v>62099999.999999955</v>
      </c>
      <c r="E119" s="311">
        <f t="shared" si="55"/>
        <v>900000</v>
      </c>
      <c r="F119" s="311">
        <f t="shared" si="56"/>
        <v>61199999.999999955</v>
      </c>
      <c r="G119" s="311">
        <f t="shared" si="54"/>
        <v>526593.74999999965</v>
      </c>
      <c r="H119" s="313"/>
      <c r="I119" s="312"/>
    </row>
    <row r="120" spans="3:9" x14ac:dyDescent="0.35">
      <c r="C120" s="315" t="s">
        <v>772</v>
      </c>
      <c r="D120" s="311">
        <f t="shared" si="57"/>
        <v>61199999.999999955</v>
      </c>
      <c r="E120" s="311">
        <f t="shared" si="55"/>
        <v>900000</v>
      </c>
      <c r="F120" s="311">
        <f t="shared" si="56"/>
        <v>60299999.999999955</v>
      </c>
      <c r="G120" s="311">
        <f t="shared" si="54"/>
        <v>518906.24999999959</v>
      </c>
      <c r="H120" s="313"/>
      <c r="I120" s="312"/>
    </row>
    <row r="121" spans="3:9" x14ac:dyDescent="0.35">
      <c r="C121" s="315" t="s">
        <v>773</v>
      </c>
      <c r="D121" s="311">
        <f t="shared" si="57"/>
        <v>60299999.999999955</v>
      </c>
      <c r="E121" s="311">
        <f t="shared" si="55"/>
        <v>900000</v>
      </c>
      <c r="F121" s="311">
        <f t="shared" si="56"/>
        <v>59399999.999999955</v>
      </c>
      <c r="G121" s="311">
        <f t="shared" si="54"/>
        <v>511218.74999999959</v>
      </c>
      <c r="H121" s="313"/>
      <c r="I121" s="312"/>
    </row>
    <row r="122" spans="3:9" x14ac:dyDescent="0.35">
      <c r="C122" s="315" t="s">
        <v>774</v>
      </c>
      <c r="D122" s="311">
        <f t="shared" si="57"/>
        <v>59399999.999999955</v>
      </c>
      <c r="E122" s="311">
        <f t="shared" si="55"/>
        <v>900000</v>
      </c>
      <c r="F122" s="311">
        <f t="shared" si="56"/>
        <v>58499999.999999955</v>
      </c>
      <c r="G122" s="311">
        <f t="shared" si="54"/>
        <v>503531.24999999959</v>
      </c>
      <c r="H122" s="313"/>
      <c r="I122" s="312"/>
    </row>
    <row r="123" spans="3:9" x14ac:dyDescent="0.35">
      <c r="C123" s="315" t="s">
        <v>775</v>
      </c>
      <c r="D123" s="311">
        <f t="shared" si="57"/>
        <v>58499999.999999955</v>
      </c>
      <c r="E123" s="311">
        <f t="shared" si="55"/>
        <v>900000</v>
      </c>
      <c r="F123" s="311">
        <f t="shared" si="56"/>
        <v>57599999.999999955</v>
      </c>
      <c r="G123" s="311">
        <f t="shared" si="54"/>
        <v>495843.74999999959</v>
      </c>
      <c r="H123" s="313"/>
      <c r="I123" s="312"/>
    </row>
    <row r="124" spans="3:9" x14ac:dyDescent="0.35">
      <c r="C124" s="315" t="s">
        <v>767</v>
      </c>
      <c r="D124" s="311">
        <f t="shared" si="57"/>
        <v>57599999.999999955</v>
      </c>
      <c r="E124" s="311">
        <f t="shared" si="55"/>
        <v>900000</v>
      </c>
      <c r="F124" s="311">
        <f t="shared" si="56"/>
        <v>56699999.999999955</v>
      </c>
      <c r="G124" s="311">
        <f t="shared" si="54"/>
        <v>488156.24999999959</v>
      </c>
      <c r="H124" s="313"/>
      <c r="I124" s="312"/>
    </row>
    <row r="125" spans="3:9" s="319" customFormat="1" x14ac:dyDescent="0.35">
      <c r="C125" s="310" t="s">
        <v>863</v>
      </c>
      <c r="D125" s="311"/>
      <c r="E125" s="316"/>
      <c r="F125" s="316"/>
      <c r="G125" s="316"/>
      <c r="H125" s="317"/>
      <c r="I125" s="327"/>
    </row>
    <row r="126" spans="3:9" x14ac:dyDescent="0.35">
      <c r="C126" s="315" t="s">
        <v>777</v>
      </c>
      <c r="D126" s="311">
        <f>F124</f>
        <v>56699999.999999955</v>
      </c>
      <c r="E126" s="311">
        <f>E124</f>
        <v>900000</v>
      </c>
      <c r="F126" s="311">
        <f>D126-E126</f>
        <v>55799999.999999955</v>
      </c>
      <c r="G126" s="311">
        <f t="shared" ref="G126:G137" si="58">AVERAGE(D126,F126)*$D$18/12</f>
        <v>480468.74999999959</v>
      </c>
    </row>
    <row r="127" spans="3:9" x14ac:dyDescent="0.35">
      <c r="C127" s="315" t="s">
        <v>778</v>
      </c>
      <c r="D127" s="311">
        <f>F126</f>
        <v>55799999.999999955</v>
      </c>
      <c r="E127" s="311">
        <f>E126</f>
        <v>900000</v>
      </c>
      <c r="F127" s="311">
        <f>D127-E127</f>
        <v>54899999.999999955</v>
      </c>
      <c r="G127" s="311">
        <f t="shared" si="58"/>
        <v>472781.24999999959</v>
      </c>
    </row>
    <row r="128" spans="3:9" x14ac:dyDescent="0.35">
      <c r="C128" s="315" t="s">
        <v>779</v>
      </c>
      <c r="D128" s="311">
        <f>F127</f>
        <v>54899999.999999955</v>
      </c>
      <c r="E128" s="311">
        <f t="shared" ref="E128:E136" si="59">E127</f>
        <v>900000</v>
      </c>
      <c r="F128" s="311">
        <f>D128-E128</f>
        <v>53999999.999999955</v>
      </c>
      <c r="G128" s="311">
        <f t="shared" si="58"/>
        <v>465093.74999999959</v>
      </c>
    </row>
    <row r="129" spans="3:7" x14ac:dyDescent="0.35">
      <c r="C129" s="315" t="s">
        <v>768</v>
      </c>
      <c r="D129" s="311">
        <f>F128</f>
        <v>53999999.999999955</v>
      </c>
      <c r="E129" s="311">
        <f t="shared" si="59"/>
        <v>900000</v>
      </c>
      <c r="F129" s="311">
        <f>D129-E129</f>
        <v>53099999.999999955</v>
      </c>
      <c r="G129" s="311">
        <f t="shared" si="58"/>
        <v>457406.24999999959</v>
      </c>
    </row>
    <row r="130" spans="3:7" x14ac:dyDescent="0.35">
      <c r="C130" s="315" t="s">
        <v>769</v>
      </c>
      <c r="D130" s="311">
        <f>F129</f>
        <v>53099999.999999955</v>
      </c>
      <c r="E130" s="311">
        <f t="shared" si="59"/>
        <v>900000</v>
      </c>
      <c r="F130" s="311">
        <f t="shared" ref="F130:F137" si="60">D130-E130</f>
        <v>52199999.999999955</v>
      </c>
      <c r="G130" s="311">
        <f t="shared" si="58"/>
        <v>449718.74999999959</v>
      </c>
    </row>
    <row r="131" spans="3:7" x14ac:dyDescent="0.35">
      <c r="C131" s="315" t="s">
        <v>770</v>
      </c>
      <c r="D131" s="311">
        <f t="shared" ref="D131:D137" si="61">F130</f>
        <v>52199999.999999955</v>
      </c>
      <c r="E131" s="311">
        <v>1000000</v>
      </c>
      <c r="F131" s="311">
        <f t="shared" si="60"/>
        <v>51199999.999999955</v>
      </c>
      <c r="G131" s="311">
        <f t="shared" si="58"/>
        <v>441604.16666666628</v>
      </c>
    </row>
    <row r="132" spans="3:7" x14ac:dyDescent="0.35">
      <c r="C132" s="315" t="s">
        <v>771</v>
      </c>
      <c r="D132" s="311">
        <f t="shared" si="61"/>
        <v>51199999.999999955</v>
      </c>
      <c r="E132" s="311">
        <v>1000000</v>
      </c>
      <c r="F132" s="311">
        <f t="shared" si="60"/>
        <v>50199999.999999955</v>
      </c>
      <c r="G132" s="311">
        <f t="shared" si="58"/>
        <v>433062.49999999959</v>
      </c>
    </row>
    <row r="133" spans="3:7" x14ac:dyDescent="0.35">
      <c r="C133" s="315" t="s">
        <v>772</v>
      </c>
      <c r="D133" s="311">
        <f t="shared" si="61"/>
        <v>50199999.999999955</v>
      </c>
      <c r="E133" s="311">
        <f t="shared" si="59"/>
        <v>1000000</v>
      </c>
      <c r="F133" s="311">
        <f t="shared" si="60"/>
        <v>49199999.999999955</v>
      </c>
      <c r="G133" s="311">
        <f t="shared" si="58"/>
        <v>424520.83333333296</v>
      </c>
    </row>
    <row r="134" spans="3:7" x14ac:dyDescent="0.35">
      <c r="C134" s="315" t="s">
        <v>773</v>
      </c>
      <c r="D134" s="311">
        <f t="shared" si="61"/>
        <v>49199999.999999955</v>
      </c>
      <c r="E134" s="311">
        <f t="shared" si="59"/>
        <v>1000000</v>
      </c>
      <c r="F134" s="311">
        <f t="shared" si="60"/>
        <v>48199999.999999955</v>
      </c>
      <c r="G134" s="311">
        <f t="shared" si="58"/>
        <v>415979.16666666628</v>
      </c>
    </row>
    <row r="135" spans="3:7" x14ac:dyDescent="0.35">
      <c r="C135" s="315" t="s">
        <v>774</v>
      </c>
      <c r="D135" s="311">
        <f t="shared" si="61"/>
        <v>48199999.999999955</v>
      </c>
      <c r="E135" s="311">
        <f t="shared" si="59"/>
        <v>1000000</v>
      </c>
      <c r="F135" s="311">
        <f t="shared" si="60"/>
        <v>47199999.999999955</v>
      </c>
      <c r="G135" s="311">
        <f t="shared" si="58"/>
        <v>407437.49999999959</v>
      </c>
    </row>
    <row r="136" spans="3:7" x14ac:dyDescent="0.35">
      <c r="C136" s="315" t="s">
        <v>775</v>
      </c>
      <c r="D136" s="311">
        <f t="shared" si="61"/>
        <v>47199999.999999955</v>
      </c>
      <c r="E136" s="311">
        <f t="shared" si="59"/>
        <v>1000000</v>
      </c>
      <c r="F136" s="311">
        <f t="shared" si="60"/>
        <v>46199999.999999955</v>
      </c>
      <c r="G136" s="311">
        <f t="shared" si="58"/>
        <v>398895.83333333296</v>
      </c>
    </row>
    <row r="137" spans="3:7" x14ac:dyDescent="0.35">
      <c r="C137" s="315" t="s">
        <v>767</v>
      </c>
      <c r="D137" s="311">
        <f t="shared" si="61"/>
        <v>46199999.999999955</v>
      </c>
      <c r="E137" s="311">
        <v>1100000</v>
      </c>
      <c r="F137" s="311">
        <f t="shared" si="60"/>
        <v>45099999.999999955</v>
      </c>
      <c r="G137" s="311">
        <f t="shared" si="58"/>
        <v>389927.08333333296</v>
      </c>
    </row>
    <row r="138" spans="3:7" x14ac:dyDescent="0.35">
      <c r="C138" s="310" t="s">
        <v>864</v>
      </c>
      <c r="D138" s="311"/>
      <c r="E138" s="316"/>
      <c r="F138" s="316"/>
      <c r="G138" s="316"/>
    </row>
    <row r="139" spans="3:7" x14ac:dyDescent="0.35">
      <c r="C139" s="315" t="s">
        <v>777</v>
      </c>
      <c r="D139" s="311">
        <f>F137</f>
        <v>45099999.999999955</v>
      </c>
      <c r="E139" s="311">
        <f>E137</f>
        <v>1100000</v>
      </c>
      <c r="F139" s="311">
        <f>D139-E139</f>
        <v>43999999.999999955</v>
      </c>
      <c r="G139" s="311">
        <f t="shared" ref="G139:G150" si="62">AVERAGE(D139,F139)*$D$18/12</f>
        <v>380531.24999999959</v>
      </c>
    </row>
    <row r="140" spans="3:7" x14ac:dyDescent="0.35">
      <c r="C140" s="315" t="s">
        <v>778</v>
      </c>
      <c r="D140" s="311">
        <f>F139</f>
        <v>43999999.999999955</v>
      </c>
      <c r="E140" s="311">
        <f>E139</f>
        <v>1100000</v>
      </c>
      <c r="F140" s="311">
        <f>D140-E140</f>
        <v>42899999.999999955</v>
      </c>
      <c r="G140" s="311">
        <f t="shared" si="62"/>
        <v>371135.41666666628</v>
      </c>
    </row>
    <row r="141" spans="3:7" x14ac:dyDescent="0.35">
      <c r="C141" s="315" t="s">
        <v>779</v>
      </c>
      <c r="D141" s="311">
        <f>F140</f>
        <v>42899999.999999955</v>
      </c>
      <c r="E141" s="311">
        <f t="shared" ref="E141:E150" si="63">E140</f>
        <v>1100000</v>
      </c>
      <c r="F141" s="311">
        <f>D141-E141</f>
        <v>41799999.999999955</v>
      </c>
      <c r="G141" s="311">
        <f t="shared" si="62"/>
        <v>361739.58333333296</v>
      </c>
    </row>
    <row r="142" spans="3:7" x14ac:dyDescent="0.35">
      <c r="C142" s="315" t="s">
        <v>768</v>
      </c>
      <c r="D142" s="311">
        <f>F141</f>
        <v>41799999.999999955</v>
      </c>
      <c r="E142" s="311">
        <f t="shared" si="63"/>
        <v>1100000</v>
      </c>
      <c r="F142" s="311">
        <f>D142-E142</f>
        <v>40699999.999999955</v>
      </c>
      <c r="G142" s="311">
        <f t="shared" si="62"/>
        <v>352343.74999999959</v>
      </c>
    </row>
    <row r="143" spans="3:7" x14ac:dyDescent="0.35">
      <c r="C143" s="315" t="s">
        <v>769</v>
      </c>
      <c r="D143" s="311">
        <f>F142</f>
        <v>40699999.999999955</v>
      </c>
      <c r="E143" s="311">
        <f t="shared" si="63"/>
        <v>1100000</v>
      </c>
      <c r="F143" s="311">
        <f t="shared" ref="F143:F150" si="64">D143-E143</f>
        <v>39599999.999999955</v>
      </c>
      <c r="G143" s="311">
        <f t="shared" si="62"/>
        <v>342947.91666666628</v>
      </c>
    </row>
    <row r="144" spans="3:7" x14ac:dyDescent="0.35">
      <c r="C144" s="315" t="s">
        <v>770</v>
      </c>
      <c r="D144" s="311">
        <f t="shared" ref="D144:D150" si="65">F143</f>
        <v>39599999.999999955</v>
      </c>
      <c r="E144" s="311">
        <v>1100000</v>
      </c>
      <c r="F144" s="311">
        <f t="shared" si="64"/>
        <v>38499999.999999955</v>
      </c>
      <c r="G144" s="311">
        <f t="shared" si="62"/>
        <v>333552.08333333296</v>
      </c>
    </row>
    <row r="145" spans="3:7" x14ac:dyDescent="0.35">
      <c r="C145" s="315" t="s">
        <v>771</v>
      </c>
      <c r="D145" s="311">
        <f t="shared" si="65"/>
        <v>38499999.999999955</v>
      </c>
      <c r="E145" s="311">
        <f>E144</f>
        <v>1100000</v>
      </c>
      <c r="F145" s="311">
        <f t="shared" si="64"/>
        <v>37399999.999999955</v>
      </c>
      <c r="G145" s="311">
        <f t="shared" si="62"/>
        <v>324156.24999999959</v>
      </c>
    </row>
    <row r="146" spans="3:7" x14ac:dyDescent="0.35">
      <c r="C146" s="315" t="s">
        <v>772</v>
      </c>
      <c r="D146" s="311">
        <f t="shared" si="65"/>
        <v>37399999.999999955</v>
      </c>
      <c r="E146" s="311">
        <f t="shared" si="63"/>
        <v>1100000</v>
      </c>
      <c r="F146" s="311">
        <f t="shared" si="64"/>
        <v>36299999.999999955</v>
      </c>
      <c r="G146" s="311">
        <f t="shared" si="62"/>
        <v>314760.41666666628</v>
      </c>
    </row>
    <row r="147" spans="3:7" x14ac:dyDescent="0.35">
      <c r="C147" s="315" t="s">
        <v>773</v>
      </c>
      <c r="D147" s="311">
        <f t="shared" si="65"/>
        <v>36299999.999999955</v>
      </c>
      <c r="E147" s="311">
        <f t="shared" si="63"/>
        <v>1100000</v>
      </c>
      <c r="F147" s="311">
        <f t="shared" si="64"/>
        <v>35199999.999999955</v>
      </c>
      <c r="G147" s="311">
        <f t="shared" si="62"/>
        <v>305364.58333333296</v>
      </c>
    </row>
    <row r="148" spans="3:7" x14ac:dyDescent="0.35">
      <c r="C148" s="315" t="s">
        <v>774</v>
      </c>
      <c r="D148" s="311">
        <f t="shared" si="65"/>
        <v>35199999.999999955</v>
      </c>
      <c r="E148" s="311">
        <f t="shared" si="63"/>
        <v>1100000</v>
      </c>
      <c r="F148" s="311">
        <f t="shared" si="64"/>
        <v>34099999.999999955</v>
      </c>
      <c r="G148" s="311">
        <f t="shared" si="62"/>
        <v>295968.74999999959</v>
      </c>
    </row>
    <row r="149" spans="3:7" x14ac:dyDescent="0.35">
      <c r="C149" s="315" t="s">
        <v>775</v>
      </c>
      <c r="D149" s="311">
        <f t="shared" si="65"/>
        <v>34099999.999999955</v>
      </c>
      <c r="E149" s="311">
        <f t="shared" si="63"/>
        <v>1100000</v>
      </c>
      <c r="F149" s="311">
        <f t="shared" si="64"/>
        <v>32999999.999999955</v>
      </c>
      <c r="G149" s="311">
        <f t="shared" si="62"/>
        <v>286572.91666666628</v>
      </c>
    </row>
    <row r="150" spans="3:7" x14ac:dyDescent="0.35">
      <c r="C150" s="315" t="s">
        <v>767</v>
      </c>
      <c r="D150" s="311">
        <f t="shared" si="65"/>
        <v>32999999.999999955</v>
      </c>
      <c r="E150" s="311">
        <f t="shared" si="63"/>
        <v>1100000</v>
      </c>
      <c r="F150" s="311">
        <f t="shared" si="64"/>
        <v>31899999.999999955</v>
      </c>
      <c r="G150" s="311">
        <f t="shared" si="62"/>
        <v>277177.08333333296</v>
      </c>
    </row>
    <row r="151" spans="3:7" x14ac:dyDescent="0.35">
      <c r="C151" s="310" t="s">
        <v>865</v>
      </c>
      <c r="D151" s="311"/>
      <c r="E151" s="316"/>
      <c r="F151" s="316"/>
      <c r="G151" s="316"/>
    </row>
    <row r="152" spans="3:7" x14ac:dyDescent="0.35">
      <c r="C152" s="315" t="s">
        <v>777</v>
      </c>
      <c r="D152" s="311">
        <f>F150</f>
        <v>31899999.999999955</v>
      </c>
      <c r="E152" s="311">
        <f>E150</f>
        <v>1100000</v>
      </c>
      <c r="F152" s="311">
        <f>D152-E152</f>
        <v>30799999.999999955</v>
      </c>
      <c r="G152" s="311">
        <f t="shared" ref="G152:G163" si="66">AVERAGE(D152,F152)*$D$18/12</f>
        <v>267781.24999999959</v>
      </c>
    </row>
    <row r="153" spans="3:7" x14ac:dyDescent="0.35">
      <c r="C153" s="315" t="s">
        <v>778</v>
      </c>
      <c r="D153" s="311">
        <f>F152</f>
        <v>30799999.999999955</v>
      </c>
      <c r="E153" s="311">
        <f>E152</f>
        <v>1100000</v>
      </c>
      <c r="F153" s="311">
        <f>D153-E153</f>
        <v>29699999.999999955</v>
      </c>
      <c r="G153" s="311">
        <f t="shared" si="66"/>
        <v>258385.41666666628</v>
      </c>
    </row>
    <row r="154" spans="3:7" x14ac:dyDescent="0.35">
      <c r="C154" s="315" t="s">
        <v>779</v>
      </c>
      <c r="D154" s="311">
        <f>F153</f>
        <v>29699999.999999955</v>
      </c>
      <c r="E154" s="311">
        <f t="shared" ref="E154:E156" si="67">E153</f>
        <v>1100000</v>
      </c>
      <c r="F154" s="311">
        <f>D154-E154</f>
        <v>28599999.999999955</v>
      </c>
      <c r="G154" s="311">
        <f t="shared" si="66"/>
        <v>248989.58333333294</v>
      </c>
    </row>
    <row r="155" spans="3:7" x14ac:dyDescent="0.35">
      <c r="C155" s="315" t="s">
        <v>768</v>
      </c>
      <c r="D155" s="311">
        <f>F154</f>
        <v>28599999.999999955</v>
      </c>
      <c r="E155" s="311">
        <f t="shared" si="67"/>
        <v>1100000</v>
      </c>
      <c r="F155" s="311">
        <f>D155-E155</f>
        <v>27499999.999999955</v>
      </c>
      <c r="G155" s="311">
        <f t="shared" si="66"/>
        <v>239593.74999999962</v>
      </c>
    </row>
    <row r="156" spans="3:7" x14ac:dyDescent="0.35">
      <c r="C156" s="315" t="s">
        <v>769</v>
      </c>
      <c r="D156" s="311">
        <f>F155</f>
        <v>27499999.999999955</v>
      </c>
      <c r="E156" s="311">
        <f t="shared" si="67"/>
        <v>1100000</v>
      </c>
      <c r="F156" s="311">
        <f t="shared" ref="F156:F163" si="68">D156-E156</f>
        <v>26399999.999999955</v>
      </c>
      <c r="G156" s="311">
        <f t="shared" si="66"/>
        <v>230197.91666666628</v>
      </c>
    </row>
    <row r="157" spans="3:7" x14ac:dyDescent="0.35">
      <c r="C157" s="315" t="s">
        <v>770</v>
      </c>
      <c r="D157" s="311">
        <f t="shared" ref="D157:D163" si="69">F156</f>
        <v>26399999.999999955</v>
      </c>
      <c r="E157" s="311">
        <f>E156</f>
        <v>1100000</v>
      </c>
      <c r="F157" s="311">
        <f t="shared" si="68"/>
        <v>25299999.999999955</v>
      </c>
      <c r="G157" s="311">
        <f t="shared" si="66"/>
        <v>220802.08333333294</v>
      </c>
    </row>
    <row r="158" spans="3:7" x14ac:dyDescent="0.35">
      <c r="C158" s="315" t="s">
        <v>771</v>
      </c>
      <c r="D158" s="311">
        <f t="shared" si="69"/>
        <v>25299999.999999955</v>
      </c>
      <c r="E158" s="311">
        <f t="shared" ref="E158:E163" si="70">E157</f>
        <v>1100000</v>
      </c>
      <c r="F158" s="311">
        <f t="shared" si="68"/>
        <v>24199999.999999955</v>
      </c>
      <c r="G158" s="311">
        <f t="shared" si="66"/>
        <v>211406.24999999962</v>
      </c>
    </row>
    <row r="159" spans="3:7" x14ac:dyDescent="0.35">
      <c r="C159" s="315" t="s">
        <v>772</v>
      </c>
      <c r="D159" s="311">
        <f t="shared" si="69"/>
        <v>24199999.999999955</v>
      </c>
      <c r="E159" s="311">
        <f t="shared" si="70"/>
        <v>1100000</v>
      </c>
      <c r="F159" s="311">
        <f t="shared" si="68"/>
        <v>23099999.999999955</v>
      </c>
      <c r="G159" s="311">
        <f t="shared" si="66"/>
        <v>202010.41666666628</v>
      </c>
    </row>
    <row r="160" spans="3:7" x14ac:dyDescent="0.35">
      <c r="C160" s="315" t="s">
        <v>773</v>
      </c>
      <c r="D160" s="311">
        <f t="shared" si="69"/>
        <v>23099999.999999955</v>
      </c>
      <c r="E160" s="311">
        <f t="shared" si="70"/>
        <v>1100000</v>
      </c>
      <c r="F160" s="311">
        <f t="shared" si="68"/>
        <v>21999999.999999955</v>
      </c>
      <c r="G160" s="311">
        <f t="shared" si="66"/>
        <v>192614.58333333294</v>
      </c>
    </row>
    <row r="161" spans="3:7" x14ac:dyDescent="0.35">
      <c r="C161" s="315" t="s">
        <v>774</v>
      </c>
      <c r="D161" s="311">
        <f t="shared" si="69"/>
        <v>21999999.999999955</v>
      </c>
      <c r="E161" s="311">
        <f t="shared" si="70"/>
        <v>1100000</v>
      </c>
      <c r="F161" s="311">
        <f t="shared" si="68"/>
        <v>20899999.999999955</v>
      </c>
      <c r="G161" s="311">
        <f t="shared" si="66"/>
        <v>183218.74999999962</v>
      </c>
    </row>
    <row r="162" spans="3:7" x14ac:dyDescent="0.35">
      <c r="C162" s="315" t="s">
        <v>775</v>
      </c>
      <c r="D162" s="311">
        <f t="shared" si="69"/>
        <v>20899999.999999955</v>
      </c>
      <c r="E162" s="311">
        <f t="shared" si="70"/>
        <v>1100000</v>
      </c>
      <c r="F162" s="311">
        <f t="shared" si="68"/>
        <v>19799999.999999955</v>
      </c>
      <c r="G162" s="311">
        <f t="shared" si="66"/>
        <v>173822.91666666628</v>
      </c>
    </row>
    <row r="163" spans="3:7" x14ac:dyDescent="0.35">
      <c r="C163" s="315" t="s">
        <v>767</v>
      </c>
      <c r="D163" s="311">
        <f t="shared" si="69"/>
        <v>19799999.999999955</v>
      </c>
      <c r="E163" s="311">
        <f t="shared" si="70"/>
        <v>1100000</v>
      </c>
      <c r="F163" s="311">
        <f t="shared" si="68"/>
        <v>18699999.999999955</v>
      </c>
      <c r="G163" s="311">
        <f t="shared" si="66"/>
        <v>164427.08333333294</v>
      </c>
    </row>
    <row r="164" spans="3:7" x14ac:dyDescent="0.35">
      <c r="C164" s="310" t="s">
        <v>866</v>
      </c>
      <c r="D164" s="311"/>
      <c r="E164" s="316"/>
      <c r="F164" s="316"/>
      <c r="G164" s="316"/>
    </row>
    <row r="165" spans="3:7" x14ac:dyDescent="0.35">
      <c r="C165" s="315" t="s">
        <v>777</v>
      </c>
      <c r="D165" s="311">
        <f>F163</f>
        <v>18699999.999999955</v>
      </c>
      <c r="E165" s="311">
        <f>E163</f>
        <v>1100000</v>
      </c>
      <c r="F165" s="311">
        <f>D165-E165</f>
        <v>17599999.999999955</v>
      </c>
      <c r="G165" s="311">
        <f t="shared" ref="G165:G176" si="71">AVERAGE(D165,F165)*$D$18/12</f>
        <v>155031.24999999962</v>
      </c>
    </row>
    <row r="166" spans="3:7" x14ac:dyDescent="0.35">
      <c r="C166" s="315" t="s">
        <v>778</v>
      </c>
      <c r="D166" s="311">
        <f>F165</f>
        <v>17599999.999999955</v>
      </c>
      <c r="E166" s="311">
        <f>E165</f>
        <v>1100000</v>
      </c>
      <c r="F166" s="311">
        <f>D166-E166</f>
        <v>16499999.999999955</v>
      </c>
      <c r="G166" s="311">
        <f t="shared" si="71"/>
        <v>145635.41666666628</v>
      </c>
    </row>
    <row r="167" spans="3:7" x14ac:dyDescent="0.35">
      <c r="C167" s="315" t="s">
        <v>779</v>
      </c>
      <c r="D167" s="311">
        <f>F166</f>
        <v>16499999.999999955</v>
      </c>
      <c r="E167" s="311">
        <f t="shared" ref="E167:E169" si="72">E166</f>
        <v>1100000</v>
      </c>
      <c r="F167" s="311">
        <f>D167-E167</f>
        <v>15399999.999999955</v>
      </c>
      <c r="G167" s="311">
        <f t="shared" si="71"/>
        <v>136239.58333333294</v>
      </c>
    </row>
    <row r="168" spans="3:7" x14ac:dyDescent="0.35">
      <c r="C168" s="315" t="s">
        <v>768</v>
      </c>
      <c r="D168" s="311">
        <f>F167</f>
        <v>15399999.999999955</v>
      </c>
      <c r="E168" s="311">
        <f t="shared" si="72"/>
        <v>1100000</v>
      </c>
      <c r="F168" s="311">
        <f>D168-E168</f>
        <v>14299999.999999955</v>
      </c>
      <c r="G168" s="311">
        <f t="shared" si="71"/>
        <v>126843.74999999961</v>
      </c>
    </row>
    <row r="169" spans="3:7" x14ac:dyDescent="0.35">
      <c r="C169" s="315" t="s">
        <v>769</v>
      </c>
      <c r="D169" s="311">
        <f>F168</f>
        <v>14299999.999999955</v>
      </c>
      <c r="E169" s="311">
        <f t="shared" si="72"/>
        <v>1100000</v>
      </c>
      <c r="F169" s="311">
        <f t="shared" ref="F169:F176" si="73">D169-E169</f>
        <v>13199999.999999955</v>
      </c>
      <c r="G169" s="311">
        <f t="shared" si="71"/>
        <v>117447.91666666628</v>
      </c>
    </row>
    <row r="170" spans="3:7" x14ac:dyDescent="0.35">
      <c r="C170" s="315" t="s">
        <v>770</v>
      </c>
      <c r="D170" s="311">
        <f t="shared" ref="D170:D176" si="74">F169</f>
        <v>13199999.999999955</v>
      </c>
      <c r="E170" s="311">
        <f>E169</f>
        <v>1100000</v>
      </c>
      <c r="F170" s="311">
        <f t="shared" si="73"/>
        <v>12099999.999999955</v>
      </c>
      <c r="G170" s="311">
        <f t="shared" si="71"/>
        <v>108052.08333333295</v>
      </c>
    </row>
    <row r="171" spans="3:7" x14ac:dyDescent="0.35">
      <c r="C171" s="315" t="s">
        <v>771</v>
      </c>
      <c r="D171" s="311">
        <f t="shared" si="74"/>
        <v>12099999.999999955</v>
      </c>
      <c r="E171" s="311">
        <f t="shared" ref="E171:E176" si="75">E170</f>
        <v>1100000</v>
      </c>
      <c r="F171" s="311">
        <f t="shared" si="73"/>
        <v>10999999.999999955</v>
      </c>
      <c r="G171" s="311">
        <f t="shared" si="71"/>
        <v>98656.249999999607</v>
      </c>
    </row>
    <row r="172" spans="3:7" x14ac:dyDescent="0.35">
      <c r="C172" s="315" t="s">
        <v>772</v>
      </c>
      <c r="D172" s="311">
        <f t="shared" si="74"/>
        <v>10999999.999999955</v>
      </c>
      <c r="E172" s="311">
        <f t="shared" si="75"/>
        <v>1100000</v>
      </c>
      <c r="F172" s="311">
        <f t="shared" si="73"/>
        <v>9899999.9999999553</v>
      </c>
      <c r="G172" s="311">
        <f t="shared" si="71"/>
        <v>89260.416666666279</v>
      </c>
    </row>
    <row r="173" spans="3:7" x14ac:dyDescent="0.35">
      <c r="C173" s="315" t="s">
        <v>773</v>
      </c>
      <c r="D173" s="311">
        <f t="shared" si="74"/>
        <v>9899999.9999999553</v>
      </c>
      <c r="E173" s="311">
        <f t="shared" si="75"/>
        <v>1100000</v>
      </c>
      <c r="F173" s="311">
        <f t="shared" si="73"/>
        <v>8799999.9999999553</v>
      </c>
      <c r="G173" s="311">
        <f t="shared" si="71"/>
        <v>79864.58333333295</v>
      </c>
    </row>
    <row r="174" spans="3:7" x14ac:dyDescent="0.35">
      <c r="C174" s="315" t="s">
        <v>774</v>
      </c>
      <c r="D174" s="311">
        <f t="shared" si="74"/>
        <v>8799999.9999999553</v>
      </c>
      <c r="E174" s="311">
        <f t="shared" si="75"/>
        <v>1100000</v>
      </c>
      <c r="F174" s="311">
        <f t="shared" si="73"/>
        <v>7699999.9999999553</v>
      </c>
      <c r="G174" s="311">
        <f t="shared" si="71"/>
        <v>70468.749999999607</v>
      </c>
    </row>
    <row r="175" spans="3:7" x14ac:dyDescent="0.35">
      <c r="C175" s="315" t="s">
        <v>775</v>
      </c>
      <c r="D175" s="311">
        <f t="shared" si="74"/>
        <v>7699999.9999999553</v>
      </c>
      <c r="E175" s="311">
        <f t="shared" si="75"/>
        <v>1100000</v>
      </c>
      <c r="F175" s="311">
        <f t="shared" si="73"/>
        <v>6599999.9999999553</v>
      </c>
      <c r="G175" s="311">
        <f t="shared" si="71"/>
        <v>61072.916666666279</v>
      </c>
    </row>
    <row r="176" spans="3:7" x14ac:dyDescent="0.35">
      <c r="C176" s="315" t="s">
        <v>767</v>
      </c>
      <c r="D176" s="311">
        <f t="shared" si="74"/>
        <v>6599999.9999999553</v>
      </c>
      <c r="E176" s="311">
        <f t="shared" si="75"/>
        <v>1100000</v>
      </c>
      <c r="F176" s="311">
        <f t="shared" si="73"/>
        <v>5499999.9999999553</v>
      </c>
      <c r="G176" s="311">
        <f t="shared" si="71"/>
        <v>51677.083333332943</v>
      </c>
    </row>
    <row r="177" spans="3:7" x14ac:dyDescent="0.35">
      <c r="C177" s="310" t="s">
        <v>867</v>
      </c>
      <c r="D177" s="311"/>
      <c r="E177" s="316"/>
      <c r="F177" s="316"/>
      <c r="G177" s="316"/>
    </row>
    <row r="178" spans="3:7" x14ac:dyDescent="0.35">
      <c r="C178" s="315" t="s">
        <v>777</v>
      </c>
      <c r="D178" s="311">
        <f>F176</f>
        <v>5499999.9999999553</v>
      </c>
      <c r="E178" s="311">
        <f>E176</f>
        <v>1100000</v>
      </c>
      <c r="F178" s="311">
        <f>D178-E178</f>
        <v>4399999.9999999553</v>
      </c>
      <c r="G178" s="311">
        <f t="shared" ref="G178:G189" si="76">AVERAGE(D178,F178)*$D$18/12</f>
        <v>42281.249999999614</v>
      </c>
    </row>
    <row r="179" spans="3:7" x14ac:dyDescent="0.35">
      <c r="C179" s="315" t="s">
        <v>778</v>
      </c>
      <c r="D179" s="311">
        <f>F178</f>
        <v>4399999.9999999553</v>
      </c>
      <c r="E179" s="311">
        <f>E178</f>
        <v>1100000</v>
      </c>
      <c r="F179" s="311">
        <f>D179-E179</f>
        <v>3299999.9999999553</v>
      </c>
      <c r="G179" s="311">
        <f t="shared" si="76"/>
        <v>32885.416666666286</v>
      </c>
    </row>
    <row r="180" spans="3:7" x14ac:dyDescent="0.35">
      <c r="C180" s="315" t="s">
        <v>779</v>
      </c>
      <c r="D180" s="311">
        <f>F179</f>
        <v>3299999.9999999553</v>
      </c>
      <c r="E180" s="311">
        <f t="shared" ref="E180:E182" si="77">E179</f>
        <v>1100000</v>
      </c>
      <c r="F180" s="311">
        <f>D180-E180</f>
        <v>2199999.9999999553</v>
      </c>
      <c r="G180" s="311">
        <f t="shared" si="76"/>
        <v>23489.58333333295</v>
      </c>
    </row>
    <row r="181" spans="3:7" x14ac:dyDescent="0.35">
      <c r="C181" s="315" t="s">
        <v>768</v>
      </c>
      <c r="D181" s="311">
        <f>F180</f>
        <v>2199999.9999999553</v>
      </c>
      <c r="E181" s="311">
        <f t="shared" si="77"/>
        <v>1100000</v>
      </c>
      <c r="F181" s="311">
        <f>D181-E181</f>
        <v>1099999.9999999553</v>
      </c>
      <c r="G181" s="311">
        <f t="shared" si="76"/>
        <v>14093.749999999616</v>
      </c>
    </row>
    <row r="182" spans="3:7" x14ac:dyDescent="0.35">
      <c r="C182" s="315" t="s">
        <v>769</v>
      </c>
      <c r="D182" s="311">
        <f>F181</f>
        <v>1099999.9999999553</v>
      </c>
      <c r="E182" s="311">
        <f t="shared" si="77"/>
        <v>1100000</v>
      </c>
      <c r="F182" s="311">
        <f t="shared" ref="F182:F189" si="78">D182-E182</f>
        <v>-4.4703483581542969E-8</v>
      </c>
      <c r="G182" s="311">
        <f t="shared" si="76"/>
        <v>4697.916666666285</v>
      </c>
    </row>
    <row r="183" spans="3:7" x14ac:dyDescent="0.35">
      <c r="C183" s="315" t="s">
        <v>770</v>
      </c>
      <c r="D183" s="311">
        <f t="shared" ref="D183:D189" si="79">F182</f>
        <v>-4.4703483581542969E-8</v>
      </c>
      <c r="E183" s="311">
        <v>0</v>
      </c>
      <c r="F183" s="311">
        <f t="shared" si="78"/>
        <v>-4.4703483581542969E-8</v>
      </c>
      <c r="G183" s="311">
        <f t="shared" si="76"/>
        <v>-3.8184225559234617E-10</v>
      </c>
    </row>
    <row r="184" spans="3:7" x14ac:dyDescent="0.35">
      <c r="C184" s="315" t="s">
        <v>771</v>
      </c>
      <c r="D184" s="311">
        <f t="shared" si="79"/>
        <v>-4.4703483581542969E-8</v>
      </c>
      <c r="E184" s="311">
        <f t="shared" ref="E184:E189" si="80">E183</f>
        <v>0</v>
      </c>
      <c r="F184" s="311">
        <f t="shared" si="78"/>
        <v>-4.4703483581542969E-8</v>
      </c>
      <c r="G184" s="311">
        <f t="shared" si="76"/>
        <v>-3.8184225559234617E-10</v>
      </c>
    </row>
    <row r="185" spans="3:7" x14ac:dyDescent="0.35">
      <c r="C185" s="315" t="s">
        <v>772</v>
      </c>
      <c r="D185" s="311">
        <f t="shared" si="79"/>
        <v>-4.4703483581542969E-8</v>
      </c>
      <c r="E185" s="311">
        <f t="shared" si="80"/>
        <v>0</v>
      </c>
      <c r="F185" s="311">
        <f t="shared" si="78"/>
        <v>-4.4703483581542969E-8</v>
      </c>
      <c r="G185" s="311">
        <f t="shared" si="76"/>
        <v>-3.8184225559234617E-10</v>
      </c>
    </row>
    <row r="186" spans="3:7" x14ac:dyDescent="0.35">
      <c r="C186" s="315" t="s">
        <v>773</v>
      </c>
      <c r="D186" s="311">
        <f t="shared" si="79"/>
        <v>-4.4703483581542969E-8</v>
      </c>
      <c r="E186" s="311">
        <f t="shared" si="80"/>
        <v>0</v>
      </c>
      <c r="F186" s="311">
        <f t="shared" si="78"/>
        <v>-4.4703483581542969E-8</v>
      </c>
      <c r="G186" s="311">
        <f t="shared" si="76"/>
        <v>-3.8184225559234617E-10</v>
      </c>
    </row>
    <row r="187" spans="3:7" x14ac:dyDescent="0.35">
      <c r="C187" s="315" t="s">
        <v>774</v>
      </c>
      <c r="D187" s="311">
        <f t="shared" si="79"/>
        <v>-4.4703483581542969E-8</v>
      </c>
      <c r="E187" s="311">
        <f t="shared" si="80"/>
        <v>0</v>
      </c>
      <c r="F187" s="311">
        <f t="shared" si="78"/>
        <v>-4.4703483581542969E-8</v>
      </c>
      <c r="G187" s="311">
        <f t="shared" si="76"/>
        <v>-3.8184225559234617E-10</v>
      </c>
    </row>
    <row r="188" spans="3:7" x14ac:dyDescent="0.35">
      <c r="C188" s="315" t="s">
        <v>775</v>
      </c>
      <c r="D188" s="311">
        <f t="shared" si="79"/>
        <v>-4.4703483581542969E-8</v>
      </c>
      <c r="E188" s="311">
        <f t="shared" si="80"/>
        <v>0</v>
      </c>
      <c r="F188" s="311">
        <f t="shared" si="78"/>
        <v>-4.4703483581542969E-8</v>
      </c>
      <c r="G188" s="311">
        <f t="shared" si="76"/>
        <v>-3.8184225559234617E-10</v>
      </c>
    </row>
    <row r="189" spans="3:7" x14ac:dyDescent="0.35">
      <c r="C189" s="315" t="s">
        <v>767</v>
      </c>
      <c r="D189" s="311">
        <f t="shared" si="79"/>
        <v>-4.4703483581542969E-8</v>
      </c>
      <c r="E189" s="311">
        <f t="shared" si="80"/>
        <v>0</v>
      </c>
      <c r="F189" s="311">
        <f t="shared" si="78"/>
        <v>-4.4703483581542969E-8</v>
      </c>
      <c r="G189" s="311">
        <f t="shared" si="76"/>
        <v>-3.8184225559234617E-10</v>
      </c>
    </row>
  </sheetData>
  <mergeCells count="1">
    <mergeCell ref="E17:E18"/>
  </mergeCells>
  <dataValidations count="1">
    <dataValidation type="list" allowBlank="1" showInputMessage="1" showErrorMessage="1" sqref="D18" xr:uid="{7882B145-4564-49D1-BDE3-D03824583202}">
      <formula1>"10.25%, 12.25%"</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0000"/>
  </sheetPr>
  <dimension ref="B1:O53"/>
  <sheetViews>
    <sheetView showGridLines="0" topLeftCell="A2" zoomScaleNormal="100" workbookViewId="0">
      <pane xSplit="2" ySplit="4" topLeftCell="E23" activePane="bottomRight" state="frozen"/>
      <selection activeCell="A2" sqref="A2"/>
      <selection pane="topRight" activeCell="B2" sqref="B2"/>
      <selection pane="bottomLeft" activeCell="A3" sqref="A3"/>
      <selection pane="bottomRight" activeCell="N31" sqref="N31"/>
    </sheetView>
  </sheetViews>
  <sheetFormatPr defaultColWidth="32.26953125" defaultRowHeight="14.5" x14ac:dyDescent="0.35"/>
  <cols>
    <col min="1" max="1" width="4.54296875" style="96" customWidth="1"/>
    <col min="2" max="2" width="42.81640625" style="51" customWidth="1"/>
    <col min="3" max="15" width="10.26953125" style="44" customWidth="1"/>
    <col min="16" max="16384" width="32.26953125" style="96"/>
  </cols>
  <sheetData>
    <row r="1" spans="2:15" s="97" customFormat="1" ht="26.25" customHeight="1" x14ac:dyDescent="0.35">
      <c r="B1" s="107" t="s">
        <v>13</v>
      </c>
      <c r="C1" s="47"/>
      <c r="D1" s="47"/>
      <c r="E1" s="47"/>
      <c r="F1" s="47"/>
      <c r="G1" s="47"/>
      <c r="H1" s="47"/>
      <c r="I1" s="47"/>
      <c r="J1" s="44"/>
      <c r="K1" s="44"/>
      <c r="L1" s="44"/>
      <c r="M1" s="44"/>
      <c r="N1" s="44"/>
      <c r="O1" s="44"/>
    </row>
    <row r="2" spans="2:15" s="97" customFormat="1" ht="16.5" customHeight="1" x14ac:dyDescent="0.35">
      <c r="B2" s="107"/>
      <c r="C2" s="47"/>
      <c r="D2" s="47"/>
      <c r="E2" s="47"/>
      <c r="F2" s="47"/>
      <c r="G2" s="47"/>
      <c r="H2" s="47"/>
      <c r="I2" s="47"/>
      <c r="J2" s="44"/>
      <c r="K2" s="44"/>
      <c r="L2" s="44"/>
      <c r="M2" s="44"/>
      <c r="N2" s="44"/>
      <c r="O2" s="44"/>
    </row>
    <row r="3" spans="2:15" s="97" customFormat="1" ht="17.25" customHeight="1" x14ac:dyDescent="0.35">
      <c r="B3" s="145" t="s">
        <v>595</v>
      </c>
      <c r="C3" s="187"/>
      <c r="D3" s="187"/>
      <c r="E3" s="187"/>
      <c r="F3" s="187"/>
      <c r="G3" s="187"/>
      <c r="H3" s="187"/>
      <c r="I3" s="187"/>
      <c r="J3" s="131"/>
      <c r="K3" s="131"/>
      <c r="L3" s="131"/>
      <c r="M3" s="131"/>
      <c r="N3" s="131"/>
      <c r="O3" s="131"/>
    </row>
    <row r="4" spans="2:15" s="97" customFormat="1" ht="12.75" customHeight="1" x14ac:dyDescent="0.35">
      <c r="B4" s="107"/>
      <c r="C4" s="47"/>
      <c r="D4" s="47"/>
      <c r="E4" s="47"/>
      <c r="F4" s="47"/>
      <c r="G4" s="47"/>
      <c r="H4" s="47"/>
      <c r="I4" s="47"/>
      <c r="J4" s="44"/>
      <c r="K4" s="44"/>
      <c r="L4" s="44"/>
      <c r="M4" s="44"/>
      <c r="N4" s="44"/>
      <c r="O4" s="44"/>
    </row>
    <row r="5" spans="2:15" s="58" customFormat="1" ht="20.25" customHeight="1" x14ac:dyDescent="0.35">
      <c r="B5" s="119" t="s">
        <v>11</v>
      </c>
      <c r="C5" s="94">
        <v>2025</v>
      </c>
      <c r="D5" s="94">
        <f>C5+1</f>
        <v>2026</v>
      </c>
      <c r="E5" s="94">
        <f t="shared" ref="E5:J5" si="0">D5+1</f>
        <v>2027</v>
      </c>
      <c r="F5" s="94">
        <f t="shared" si="0"/>
        <v>2028</v>
      </c>
      <c r="G5" s="94">
        <f t="shared" si="0"/>
        <v>2029</v>
      </c>
      <c r="H5" s="94">
        <f t="shared" si="0"/>
        <v>2030</v>
      </c>
      <c r="I5" s="94">
        <f t="shared" si="0"/>
        <v>2031</v>
      </c>
      <c r="J5" s="94">
        <f t="shared" si="0"/>
        <v>2032</v>
      </c>
      <c r="K5" s="94">
        <f t="shared" ref="K5" si="1">J5+1</f>
        <v>2033</v>
      </c>
      <c r="L5" s="94">
        <f t="shared" ref="L5" si="2">K5+1</f>
        <v>2034</v>
      </c>
      <c r="M5" s="94">
        <f t="shared" ref="M5" si="3">L5+1</f>
        <v>2035</v>
      </c>
      <c r="N5" s="94">
        <f t="shared" ref="N5" si="4">M5+1</f>
        <v>2036</v>
      </c>
      <c r="O5" s="94">
        <f t="shared" ref="O5" si="5">N5+1</f>
        <v>2037</v>
      </c>
    </row>
    <row r="6" spans="2:15" s="97" customFormat="1" ht="21" customHeight="1" x14ac:dyDescent="0.35">
      <c r="B6" s="51" t="s">
        <v>424</v>
      </c>
      <c r="C6" s="54">
        <f>'P &amp; L'!D23</f>
        <v>0</v>
      </c>
      <c r="D6" s="54">
        <f>'P &amp; L'!E23</f>
        <v>0</v>
      </c>
      <c r="E6" s="54">
        <f>'P &amp; L'!F23</f>
        <v>308.16056666666663</v>
      </c>
      <c r="F6" s="54">
        <f>'P &amp; L'!G23</f>
        <v>333.2934120000001</v>
      </c>
      <c r="G6" s="54">
        <f>'P &amp; L'!H23</f>
        <v>360.43688496000004</v>
      </c>
      <c r="H6" s="54">
        <f>'P &amp; L'!I23</f>
        <v>389.75183575680012</v>
      </c>
      <c r="I6" s="54">
        <f>'P &amp; L'!J23</f>
        <v>421.41198261734417</v>
      </c>
      <c r="J6" s="54">
        <f>'P &amp; L'!K23</f>
        <v>455.60494122673163</v>
      </c>
      <c r="K6" s="54">
        <f>'P &amp; L'!L23</f>
        <v>492.53333652487004</v>
      </c>
      <c r="L6" s="54">
        <f>'P &amp; L'!M23</f>
        <v>532.4160034468598</v>
      </c>
      <c r="M6" s="54">
        <f>'P &amp; L'!N23</f>
        <v>575.48928372260866</v>
      </c>
      <c r="N6" s="54">
        <f>'P &amp; L'!O23</f>
        <v>622.00842642041744</v>
      </c>
      <c r="O6" s="54">
        <f>'P &amp; L'!P23</f>
        <v>672.24910053405097</v>
      </c>
    </row>
    <row r="7" spans="2:15" s="97" customFormat="1" ht="21" customHeight="1" x14ac:dyDescent="0.35">
      <c r="B7" s="51" t="s">
        <v>425</v>
      </c>
      <c r="C7" s="54">
        <f>'P &amp; L'!D28+'P &amp; L'!D24</f>
        <v>0</v>
      </c>
      <c r="D7" s="54">
        <f>'P &amp; L'!E28+'P &amp; L'!E24</f>
        <v>0</v>
      </c>
      <c r="E7" s="54">
        <f>'P &amp; L'!F28+'P &amp; L'!F24</f>
        <v>146.83227274774771</v>
      </c>
      <c r="F7" s="54">
        <f>'P &amp; L'!G28+'P &amp; L'!G24</f>
        <v>188.3696040608109</v>
      </c>
      <c r="G7" s="54">
        <f>'P &amp; L'!H28+'P &amp; L'!H24</f>
        <v>230.22886591439192</v>
      </c>
      <c r="H7" s="54">
        <f>'P &amp; L'!I28+'P &amp; L'!I24</f>
        <v>272.74701550046564</v>
      </c>
      <c r="I7" s="54">
        <f>'P &amp; L'!J28+'P &amp; L'!J24</f>
        <v>316.25518173864907</v>
      </c>
      <c r="J7" s="54">
        <f>'P &amp; L'!K28+'P &amp; L'!K24</f>
        <v>361.58172718511105</v>
      </c>
      <c r="K7" s="54">
        <f>'P &amp; L'!L28+'P &amp; L'!L24</f>
        <v>408.05516462423583</v>
      </c>
      <c r="L7" s="54">
        <f>'P &amp; L'!M28+'P &amp; L'!M24</f>
        <v>456.50696136258961</v>
      </c>
      <c r="M7" s="54">
        <f>'P &amp; L'!N28+'P &amp; L'!N24</f>
        <v>507.27426157912095</v>
      </c>
      <c r="N7" s="54">
        <f>'P &amp; L'!O28+'P &amp; L'!O24</f>
        <v>560.70255486378073</v>
      </c>
      <c r="O7" s="54">
        <f>'P &amp; L'!P28+'P &amp; L'!P24</f>
        <v>617.14831724970486</v>
      </c>
    </row>
    <row r="8" spans="2:15" s="97" customFormat="1" ht="21" customHeight="1" x14ac:dyDescent="0.35">
      <c r="B8" s="51" t="s">
        <v>45</v>
      </c>
      <c r="C8" s="54">
        <f>'P &amp; L'!D28</f>
        <v>0</v>
      </c>
      <c r="D8" s="54">
        <f>'P &amp; L'!E28</f>
        <v>0</v>
      </c>
      <c r="E8" s="54">
        <f>'P &amp; L'!F28</f>
        <v>46.194356081081111</v>
      </c>
      <c r="F8" s="54">
        <f>'P &amp; L'!G28</f>
        <v>92.43387489414431</v>
      </c>
      <c r="G8" s="54">
        <f>'P &amp; L'!H28</f>
        <v>140.54563674772527</v>
      </c>
      <c r="H8" s="54">
        <f>'P &amp; L'!I28</f>
        <v>190.546286333799</v>
      </c>
      <c r="I8" s="54">
        <f>'P &amp; L'!J28</f>
        <v>242.76695257198242</v>
      </c>
      <c r="J8" s="54">
        <f>'P &amp; L'!K28</f>
        <v>298.03599801844439</v>
      </c>
      <c r="K8" s="54">
        <f>'P &amp; L'!L28</f>
        <v>355.68620629090253</v>
      </c>
      <c r="L8" s="54">
        <f>'P &amp; L'!M28</f>
        <v>417.04446136258963</v>
      </c>
      <c r="M8" s="54">
        <f>'P &amp; L'!N28</f>
        <v>481.341761579121</v>
      </c>
      <c r="N8" s="54">
        <f>'P &amp; L'!O28</f>
        <v>548.30005486378082</v>
      </c>
      <c r="O8" s="54">
        <f>'P &amp; L'!P28</f>
        <v>615.97383808303823</v>
      </c>
    </row>
    <row r="9" spans="2:15" s="97" customFormat="1" ht="21" customHeight="1" x14ac:dyDescent="0.35">
      <c r="B9" s="51" t="s">
        <v>56</v>
      </c>
      <c r="C9" s="54">
        <f>'P &amp; L'!D30</f>
        <v>0</v>
      </c>
      <c r="D9" s="54">
        <f>'P &amp; L'!E30</f>
        <v>0</v>
      </c>
      <c r="E9" s="54">
        <f>'P &amp; L'!F30</f>
        <v>34.568160542594612</v>
      </c>
      <c r="F9" s="54">
        <f>'P &amp; L'!G30</f>
        <v>69.170117260786071</v>
      </c>
      <c r="G9" s="54">
        <f>'P &amp; L'!H30</f>
        <v>105.17311089105777</v>
      </c>
      <c r="H9" s="54">
        <f>'P &amp; L'!I30</f>
        <v>142.58959698930846</v>
      </c>
      <c r="I9" s="54">
        <f>'P &amp; L'!J30</f>
        <v>181.66736594866586</v>
      </c>
      <c r="J9" s="54">
        <f>'P &amp; L'!K30</f>
        <v>223.02629803716229</v>
      </c>
      <c r="K9" s="54">
        <f>'P &amp; L'!L30</f>
        <v>266.16710189160818</v>
      </c>
      <c r="L9" s="54">
        <f>'P &amp; L'!M30</f>
        <v>312.08271132685309</v>
      </c>
      <c r="M9" s="54">
        <f>'P &amp; L'!N30</f>
        <v>360.19766702488783</v>
      </c>
      <c r="N9" s="54">
        <f>'P &amp; L'!O30</f>
        <v>410.30389705566449</v>
      </c>
      <c r="O9" s="54">
        <f>'P &amp; L'!P30</f>
        <v>460.94554251429918</v>
      </c>
    </row>
    <row r="10" spans="2:15" s="97" customFormat="1" ht="21" customHeight="1" x14ac:dyDescent="0.35">
      <c r="B10" s="51" t="s">
        <v>426</v>
      </c>
      <c r="C10" s="54">
        <f>'P &amp; L'!D24</f>
        <v>0</v>
      </c>
      <c r="D10" s="54">
        <f>'P &amp; L'!E24</f>
        <v>0</v>
      </c>
      <c r="E10" s="54">
        <f>'P &amp; L'!F24</f>
        <v>100.6379166666666</v>
      </c>
      <c r="F10" s="54">
        <f>'P &amp; L'!G24</f>
        <v>95.935729166666604</v>
      </c>
      <c r="G10" s="54">
        <f>'P &amp; L'!H24</f>
        <v>89.683229166666635</v>
      </c>
      <c r="H10" s="54">
        <f>'P &amp; L'!I24</f>
        <v>82.200729166666619</v>
      </c>
      <c r="I10" s="54">
        <f>'P &amp; L'!J24</f>
        <v>73.488229166666628</v>
      </c>
      <c r="J10" s="54">
        <f>'P &amp; L'!K24</f>
        <v>63.545729166666639</v>
      </c>
      <c r="K10" s="54">
        <f>'P &amp; L'!L24</f>
        <v>52.368958333333296</v>
      </c>
      <c r="L10" s="54">
        <f>'P &amp; L'!M24</f>
        <v>39.462499999999956</v>
      </c>
      <c r="M10" s="54">
        <f>'P &amp; L'!N24</f>
        <v>25.932499999999955</v>
      </c>
      <c r="N10" s="54">
        <f>'P &amp; L'!O24</f>
        <v>12.402499999999954</v>
      </c>
      <c r="O10" s="54">
        <f>'P &amp; L'!P24</f>
        <v>1.174479166666621</v>
      </c>
    </row>
    <row r="11" spans="2:15" s="97" customFormat="1" ht="21" customHeight="1" x14ac:dyDescent="0.35">
      <c r="B11" s="51" t="s">
        <v>427</v>
      </c>
      <c r="C11" s="54">
        <f>SUM(BS!C6:C9)</f>
        <v>734.5</v>
      </c>
      <c r="D11" s="54">
        <f>SUM(BS!D6:D9)</f>
        <v>1580.3591666666666</v>
      </c>
      <c r="E11" s="54">
        <f>SUM(BS!E6:E9)</f>
        <v>1559.9273272092614</v>
      </c>
      <c r="F11" s="54">
        <f>SUM(BS!F6:F9)</f>
        <v>1562.0974444700473</v>
      </c>
      <c r="G11" s="54">
        <f>SUM(BS!G6:G9)</f>
        <v>1588.2705553611054</v>
      </c>
      <c r="H11" s="54">
        <f>SUM(BS!H6:H9)</f>
        <v>1639.8601523504135</v>
      </c>
      <c r="I11" s="54">
        <f>SUM(BS!I6:I9)</f>
        <v>1718.5275182990795</v>
      </c>
      <c r="J11" s="54">
        <f>SUM(BS!J6:J9)</f>
        <v>1825.5538163362421</v>
      </c>
      <c r="K11" s="54">
        <f>SUM(BS!K6:K9)</f>
        <v>1959.7209182278502</v>
      </c>
      <c r="L11" s="54">
        <f>SUM(BS!L6:L9)</f>
        <v>2139.8036295547031</v>
      </c>
      <c r="M11" s="54">
        <f>SUM(BS!M6:M9)</f>
        <v>2368.0012965795909</v>
      </c>
      <c r="N11" s="54">
        <f>SUM(BS!N6:N9)</f>
        <v>2723.3051936352554</v>
      </c>
      <c r="O11" s="54">
        <f>SUM(BS!O6:O9)</f>
        <v>3184.250736149555</v>
      </c>
    </row>
    <row r="12" spans="2:15" s="97" customFormat="1" ht="21" customHeight="1" x14ac:dyDescent="0.35">
      <c r="B12" s="51" t="s">
        <v>428</v>
      </c>
      <c r="C12" s="54">
        <f>BS!C6+BS!C8</f>
        <v>590</v>
      </c>
      <c r="D12" s="54">
        <f>BS!D6+BS!D8</f>
        <v>1062.0000000000002</v>
      </c>
      <c r="E12" s="54">
        <f>BS!E6+BS!E8</f>
        <v>1007.0000000000002</v>
      </c>
      <c r="F12" s="54">
        <f>BS!F6+BS!F8</f>
        <v>940.00000000000023</v>
      </c>
      <c r="G12" s="54">
        <f>BS!G6+BS!G8</f>
        <v>861.00000000000023</v>
      </c>
      <c r="H12" s="54">
        <f>BS!H6+BS!H8</f>
        <v>770.00000000000023</v>
      </c>
      <c r="I12" s="54">
        <f>BS!I6+BS!I8</f>
        <v>667.00000000000023</v>
      </c>
      <c r="J12" s="54">
        <f>BS!J6+BS!J8</f>
        <v>551.00000000000023</v>
      </c>
      <c r="K12" s="54">
        <f>BS!K6+BS!K8</f>
        <v>419.00000000000023</v>
      </c>
      <c r="L12" s="54">
        <f>BS!L6+BS!L8</f>
        <v>287.00000000000023</v>
      </c>
      <c r="M12" s="54">
        <f>BS!M6+BS!M8</f>
        <v>155.00000000000023</v>
      </c>
      <c r="N12" s="54">
        <f>BS!N6+BS!N8</f>
        <v>100.00000000000023</v>
      </c>
      <c r="O12" s="54">
        <f>BS!O6+BS!O8</f>
        <v>100.00000000000023</v>
      </c>
    </row>
    <row r="13" spans="2:15" s="97" customFormat="1" ht="21" customHeight="1" x14ac:dyDescent="0.35">
      <c r="B13" s="51" t="s">
        <v>429</v>
      </c>
      <c r="C13" s="54">
        <f>BS!C6+BS!C7</f>
        <v>100</v>
      </c>
      <c r="D13" s="54">
        <f>BS!D6+BS!D7</f>
        <v>100</v>
      </c>
      <c r="E13" s="54">
        <f>BS!E6+BS!E7</f>
        <v>134.56816054259463</v>
      </c>
      <c r="F13" s="54">
        <f>BS!F6+BS!F7</f>
        <v>203.7382778033807</v>
      </c>
      <c r="G13" s="54">
        <f>BS!G6+BS!G7</f>
        <v>308.91138869443847</v>
      </c>
      <c r="H13" s="54">
        <f>BS!H6+BS!H7</f>
        <v>451.50098568374693</v>
      </c>
      <c r="I13" s="54">
        <f>BS!I6+BS!I7</f>
        <v>633.16835163241285</v>
      </c>
      <c r="J13" s="54">
        <f>BS!J6+BS!J7</f>
        <v>856.19464966957514</v>
      </c>
      <c r="K13" s="54">
        <f>BS!K6+BS!K7</f>
        <v>1122.3617515611834</v>
      </c>
      <c r="L13" s="54">
        <f>BS!L6+BS!L7</f>
        <v>1434.4444628880365</v>
      </c>
      <c r="M13" s="54">
        <f>BS!M6+BS!M7</f>
        <v>1794.6421299129242</v>
      </c>
      <c r="N13" s="54">
        <f>BS!N6+BS!N7</f>
        <v>2204.9460269685887</v>
      </c>
      <c r="O13" s="54">
        <f>BS!O6+BS!O7</f>
        <v>2665.8915694828879</v>
      </c>
    </row>
    <row r="14" spans="2:15" s="97" customFormat="1" ht="21" customHeight="1" x14ac:dyDescent="0.35">
      <c r="B14" s="51" t="s">
        <v>459</v>
      </c>
      <c r="C14" s="54">
        <f>BS!C8</f>
        <v>490</v>
      </c>
      <c r="D14" s="54">
        <f>BS!D8</f>
        <v>962.00000000000023</v>
      </c>
      <c r="E14" s="54">
        <f>BS!E8</f>
        <v>907.00000000000023</v>
      </c>
      <c r="F14" s="54">
        <f>BS!F8</f>
        <v>840.00000000000023</v>
      </c>
      <c r="G14" s="54">
        <f>BS!G8</f>
        <v>761.00000000000023</v>
      </c>
      <c r="H14" s="54">
        <f>BS!H8</f>
        <v>670.00000000000023</v>
      </c>
      <c r="I14" s="54">
        <f>BS!I8</f>
        <v>567.00000000000023</v>
      </c>
      <c r="J14" s="54">
        <f>BS!J8</f>
        <v>451.00000000000023</v>
      </c>
      <c r="K14" s="54">
        <f>BS!K8</f>
        <v>319.00000000000023</v>
      </c>
      <c r="L14" s="54">
        <f>BS!L8</f>
        <v>187.00000000000023</v>
      </c>
      <c r="M14" s="54">
        <f>BS!M8</f>
        <v>55.000000000000227</v>
      </c>
      <c r="N14" s="54">
        <f>BS!N8</f>
        <v>2.2737367544323206E-13</v>
      </c>
      <c r="O14" s="54">
        <f>BS!O8</f>
        <v>2.2737367544323206E-13</v>
      </c>
    </row>
    <row r="15" spans="2:15" s="97" customFormat="1" ht="21" customHeight="1" x14ac:dyDescent="0.35">
      <c r="B15" s="51" t="s">
        <v>552</v>
      </c>
      <c r="C15" s="54">
        <f>C14+BS!C11+BS!C12</f>
        <v>490</v>
      </c>
      <c r="D15" s="54">
        <f>D14+BS!D11+BS!D12</f>
        <v>990.00000000000023</v>
      </c>
      <c r="E15" s="54">
        <f>E14+BS!E11+BS!E12</f>
        <v>1001.1764863013701</v>
      </c>
      <c r="F15" s="54">
        <f>F14+BS!F11+BS!F12</f>
        <v>949.27115315068522</v>
      </c>
      <c r="G15" s="54">
        <f>G14+BS!G11+BS!G12</f>
        <v>885.61339334794548</v>
      </c>
      <c r="H15" s="54">
        <f>H14+BS!H11+BS!H12</f>
        <v>810.22301276098653</v>
      </c>
      <c r="I15" s="54">
        <f>I14+BS!I11+BS!I12</f>
        <v>723.12140172707086</v>
      </c>
      <c r="J15" s="54">
        <f>J14+BS!J11+BS!J12</f>
        <v>624.33166181044203</v>
      </c>
      <c r="K15" s="54">
        <f>K14+BS!K11+BS!K12</f>
        <v>512.87874270048292</v>
      </c>
      <c r="L15" s="54">
        <f>L14+BS!L11+BS!L12</f>
        <v>385.78959006172698</v>
      </c>
      <c r="M15" s="54">
        <f>M14+BS!M11+BS!M12</f>
        <v>259.09330521187064</v>
      </c>
      <c r="N15" s="54">
        <f>N14+BS!N11+BS!N12</f>
        <v>132.82131757402573</v>
      </c>
      <c r="O15" s="54">
        <f>O14+BS!O11+BS!O12</f>
        <v>84.00757092515326</v>
      </c>
    </row>
    <row r="16" spans="2:15" s="97" customFormat="1" ht="21" customHeight="1" x14ac:dyDescent="0.35">
      <c r="B16" s="51" t="s">
        <v>553</v>
      </c>
      <c r="C16" s="54">
        <f>C13+BS!C9</f>
        <v>244.5</v>
      </c>
      <c r="D16" s="54">
        <f>D13+BS!D9</f>
        <v>618.35916666666651</v>
      </c>
      <c r="E16" s="54">
        <f>E13+BS!E9</f>
        <v>652.92732720926119</v>
      </c>
      <c r="F16" s="54">
        <f>F13+BS!F9</f>
        <v>722.09744447004721</v>
      </c>
      <c r="G16" s="54">
        <f>G13+BS!G9</f>
        <v>827.27055536110493</v>
      </c>
      <c r="H16" s="54">
        <f>H13+BS!H9</f>
        <v>969.8601523504135</v>
      </c>
      <c r="I16" s="54">
        <f>I13+BS!I9</f>
        <v>1151.5275182990795</v>
      </c>
      <c r="J16" s="54">
        <f>J13+BS!J9</f>
        <v>1374.5538163362417</v>
      </c>
      <c r="K16" s="54">
        <f>K13+BS!K9</f>
        <v>1640.7209182278498</v>
      </c>
      <c r="L16" s="54">
        <f>L13+BS!L9</f>
        <v>1952.8036295547031</v>
      </c>
      <c r="M16" s="54">
        <f>M13+BS!M9</f>
        <v>2313.0012965795909</v>
      </c>
      <c r="N16" s="54">
        <f>N13+BS!N9</f>
        <v>2723.3051936352554</v>
      </c>
      <c r="O16" s="54">
        <f>O13+BS!O9</f>
        <v>3184.2507361495545</v>
      </c>
    </row>
    <row r="17" spans="2:15" s="97" customFormat="1" ht="21" customHeight="1" x14ac:dyDescent="0.35">
      <c r="B17" s="51" t="s">
        <v>430</v>
      </c>
      <c r="C17" s="54">
        <f>'P &amp; L'!D10</f>
        <v>0</v>
      </c>
      <c r="D17" s="54">
        <f>'P &amp; L'!E10</f>
        <v>0</v>
      </c>
      <c r="E17" s="54">
        <f>'P &amp; L'!F10</f>
        <v>816.92499999999995</v>
      </c>
      <c r="F17" s="54">
        <f>'P &amp; L'!G10</f>
        <v>882.27900000000011</v>
      </c>
      <c r="G17" s="54">
        <f>'P &amp; L'!H10</f>
        <v>952.86132000000009</v>
      </c>
      <c r="H17" s="54">
        <f>'P &amp; L'!I10</f>
        <v>1029.0902256000002</v>
      </c>
      <c r="I17" s="54">
        <f>'P &amp; L'!J10</f>
        <v>1111.4174436480002</v>
      </c>
      <c r="J17" s="54">
        <f>'P &amp; L'!K10</f>
        <v>1200.3308391398405</v>
      </c>
      <c r="K17" s="54">
        <f>'P &amp; L'!L10</f>
        <v>1296.3573062710275</v>
      </c>
      <c r="L17" s="54">
        <f>'P &amp; L'!M10</f>
        <v>1400.06589077271</v>
      </c>
      <c r="M17" s="54">
        <f>'P &amp; L'!N10</f>
        <v>1512.0711620345269</v>
      </c>
      <c r="N17" s="54">
        <f>'P &amp; L'!O10</f>
        <v>1633.0368549972891</v>
      </c>
      <c r="O17" s="54">
        <f>'P &amp; L'!P10</f>
        <v>1763.6798033970724</v>
      </c>
    </row>
    <row r="18" spans="2:15" s="97" customFormat="1" ht="21" customHeight="1" x14ac:dyDescent="0.35">
      <c r="B18" s="51" t="s">
        <v>414</v>
      </c>
      <c r="C18" s="54">
        <f>BS!C23</f>
        <v>731.95749999999998</v>
      </c>
      <c r="D18" s="54">
        <f>BS!D23</f>
        <v>1605.8591666666666</v>
      </c>
      <c r="E18" s="54">
        <f>BS!E23</f>
        <v>1445.0308727477477</v>
      </c>
      <c r="F18" s="54">
        <f>BS!F23</f>
        <v>1300.6070648085586</v>
      </c>
      <c r="G18" s="54">
        <f>BS!G23</f>
        <v>1170.8990457629504</v>
      </c>
      <c r="H18" s="54">
        <f>BS!H23</f>
        <v>1054.3942255066158</v>
      </c>
      <c r="I18" s="54">
        <f>BS!I23</f>
        <v>949.73742462792086</v>
      </c>
      <c r="J18" s="54">
        <f>BS!J23</f>
        <v>855.71421058630028</v>
      </c>
      <c r="K18" s="54">
        <f>BS!K23</f>
        <v>771.23603868566602</v>
      </c>
      <c r="L18" s="54">
        <f>BS!L23</f>
        <v>695.32699660139588</v>
      </c>
      <c r="M18" s="54">
        <f>BS!M23</f>
        <v>627.11197445790822</v>
      </c>
      <c r="N18" s="54">
        <f>BS!N23</f>
        <v>565.80610290127152</v>
      </c>
      <c r="O18" s="54">
        <f>BS!O23</f>
        <v>510.70531961692541</v>
      </c>
    </row>
    <row r="19" spans="2:15" s="97" customFormat="1" ht="21" customHeight="1" x14ac:dyDescent="0.35">
      <c r="B19" s="51" t="s">
        <v>437</v>
      </c>
      <c r="C19" s="54">
        <f>C14</f>
        <v>490</v>
      </c>
      <c r="D19" s="54">
        <f t="shared" ref="D19:J19" si="6">D14</f>
        <v>962.00000000000023</v>
      </c>
      <c r="E19" s="54">
        <f t="shared" si="6"/>
        <v>907.00000000000023</v>
      </c>
      <c r="F19" s="54">
        <f t="shared" si="6"/>
        <v>840.00000000000023</v>
      </c>
      <c r="G19" s="54">
        <f t="shared" si="6"/>
        <v>761.00000000000023</v>
      </c>
      <c r="H19" s="54">
        <f t="shared" si="6"/>
        <v>670.00000000000023</v>
      </c>
      <c r="I19" s="54">
        <f t="shared" si="6"/>
        <v>567.00000000000023</v>
      </c>
      <c r="J19" s="54">
        <f t="shared" si="6"/>
        <v>451.00000000000023</v>
      </c>
      <c r="K19" s="54">
        <f t="shared" ref="K19:O19" si="7">K14</f>
        <v>319.00000000000023</v>
      </c>
      <c r="L19" s="54">
        <f t="shared" si="7"/>
        <v>187.00000000000023</v>
      </c>
      <c r="M19" s="54">
        <f t="shared" si="7"/>
        <v>55.000000000000227</v>
      </c>
      <c r="N19" s="54">
        <f t="shared" si="7"/>
        <v>2.2737367544323206E-13</v>
      </c>
      <c r="O19" s="54">
        <f t="shared" si="7"/>
        <v>2.2737367544323206E-13</v>
      </c>
    </row>
    <row r="20" spans="2:15" s="97" customFormat="1" ht="21" customHeight="1" x14ac:dyDescent="0.35">
      <c r="B20" s="51" t="s">
        <v>588</v>
      </c>
      <c r="C20" s="54">
        <f>BS!C8+BS!C12</f>
        <v>490</v>
      </c>
      <c r="D20" s="54">
        <f>BS!D8+BS!D12</f>
        <v>990.00000000000023</v>
      </c>
      <c r="E20" s="54">
        <f>BS!E8+BS!E12</f>
        <v>962.00000000000023</v>
      </c>
      <c r="F20" s="54">
        <f>BS!F8+BS!F12</f>
        <v>907.00000000000023</v>
      </c>
      <c r="G20" s="54">
        <f>BS!G8+BS!G12</f>
        <v>840.00000000000023</v>
      </c>
      <c r="H20" s="54">
        <f>BS!H8+BS!H12</f>
        <v>761.00000000000023</v>
      </c>
      <c r="I20" s="54">
        <f>BS!I8+BS!I12</f>
        <v>670.00000000000023</v>
      </c>
      <c r="J20" s="54">
        <f>BS!J8+BS!J12</f>
        <v>567.00000000000023</v>
      </c>
      <c r="K20" s="54">
        <f>BS!K8+BS!K12</f>
        <v>451.00000000000023</v>
      </c>
      <c r="L20" s="54">
        <f>BS!L8+BS!L12</f>
        <v>319.00000000000023</v>
      </c>
      <c r="M20" s="54">
        <f>BS!M8+BS!M12</f>
        <v>187.00000000000023</v>
      </c>
      <c r="N20" s="54">
        <f>BS!N8+BS!N12</f>
        <v>55.000000000000227</v>
      </c>
      <c r="O20" s="54">
        <f>BS!O8+BS!O12</f>
        <v>2.2737367544323206E-13</v>
      </c>
    </row>
    <row r="21" spans="2:15" s="97" customFormat="1" ht="21" customHeight="1" x14ac:dyDescent="0.35">
      <c r="B21" s="51" t="s">
        <v>589</v>
      </c>
      <c r="C21" s="54">
        <f>BS!C6</f>
        <v>100</v>
      </c>
      <c r="D21" s="54">
        <f>BS!D6</f>
        <v>100</v>
      </c>
      <c r="E21" s="54">
        <f>BS!E6</f>
        <v>100</v>
      </c>
      <c r="F21" s="54">
        <f>BS!F6</f>
        <v>100</v>
      </c>
      <c r="G21" s="54">
        <f>BS!G6</f>
        <v>100</v>
      </c>
      <c r="H21" s="54">
        <f>BS!H6</f>
        <v>100</v>
      </c>
      <c r="I21" s="54">
        <f>BS!I6</f>
        <v>100</v>
      </c>
      <c r="J21" s="54">
        <f>BS!J6</f>
        <v>100</v>
      </c>
      <c r="K21" s="54">
        <f>BS!K6</f>
        <v>100</v>
      </c>
      <c r="L21" s="54">
        <f>BS!L6</f>
        <v>100</v>
      </c>
      <c r="M21" s="54">
        <f>BS!M6</f>
        <v>100</v>
      </c>
      <c r="N21" s="54">
        <f>BS!N6</f>
        <v>100</v>
      </c>
      <c r="O21" s="54">
        <f>BS!O6</f>
        <v>100</v>
      </c>
    </row>
    <row r="22" spans="2:15" s="97" customFormat="1" ht="21" customHeight="1" x14ac:dyDescent="0.35">
      <c r="B22" s="51"/>
      <c r="C22" s="54"/>
      <c r="D22" s="54"/>
      <c r="E22" s="54"/>
      <c r="F22" s="54"/>
      <c r="G22" s="54"/>
      <c r="H22" s="54"/>
      <c r="I22" s="44"/>
      <c r="J22" s="44"/>
      <c r="K22" s="44"/>
      <c r="L22" s="44"/>
      <c r="M22" s="44"/>
      <c r="N22" s="44"/>
      <c r="O22" s="44"/>
    </row>
    <row r="23" spans="2:15" s="97" customFormat="1" ht="21" customHeight="1" x14ac:dyDescent="0.35">
      <c r="B23" s="51" t="s">
        <v>401</v>
      </c>
      <c r="C23" s="100">
        <f>BS!C25+BS!C26+BS!C27</f>
        <v>4.250000000001819E-2</v>
      </c>
      <c r="D23" s="100">
        <f>BS!D25+BS!D26+BS!D27</f>
        <v>0</v>
      </c>
      <c r="E23" s="100">
        <f>BS!E25+BS!E26+BS!E27</f>
        <v>207.07294076288341</v>
      </c>
      <c r="F23" s="100">
        <f>BS!F25+BS!F26+BS!F27</f>
        <v>369.26153281217375</v>
      </c>
      <c r="G23" s="100">
        <f>BS!G25+BS!G26+BS!G27</f>
        <v>540.98490294609996</v>
      </c>
      <c r="H23" s="100">
        <f>BS!H25+BS!H26+BS!H27</f>
        <v>725.18893960478397</v>
      </c>
      <c r="I23" s="100">
        <f>BS!I25+BS!I26+BS!I27</f>
        <v>924.91149539822925</v>
      </c>
      <c r="J23" s="100">
        <f>BS!J25+BS!J26+BS!J27</f>
        <v>1143.1712675603831</v>
      </c>
      <c r="K23" s="100">
        <f>BS!K25+BS!K26+BS!K27</f>
        <v>1382.3636222426662</v>
      </c>
      <c r="L23" s="100">
        <f>BS!L25+BS!L26+BS!L27</f>
        <v>1643.2662230150336</v>
      </c>
      <c r="M23" s="100">
        <f>BS!M25+BS!M26+BS!M27</f>
        <v>1944.9826273335527</v>
      </c>
      <c r="N23" s="100">
        <f>BS!N25+BS!N26+BS!N27</f>
        <v>2290.3204083080091</v>
      </c>
      <c r="O23" s="100">
        <f>BS!O25+BS!O26+BS!O27</f>
        <v>2757.5529874577819</v>
      </c>
    </row>
    <row r="24" spans="2:15" s="97" customFormat="1" ht="21" customHeight="1" x14ac:dyDescent="0.35">
      <c r="B24" s="51" t="s">
        <v>452</v>
      </c>
      <c r="C24" s="100">
        <f>BS!C11+BS!C12</f>
        <v>0</v>
      </c>
      <c r="D24" s="100">
        <f>BS!D11+BS!D12</f>
        <v>28</v>
      </c>
      <c r="E24" s="100">
        <f>BS!E11+BS!E12</f>
        <v>94.176486301369863</v>
      </c>
      <c r="F24" s="100">
        <f>BS!F11+BS!F12</f>
        <v>109.27115315068494</v>
      </c>
      <c r="G24" s="100">
        <f>BS!G11+BS!G12</f>
        <v>124.61339334794521</v>
      </c>
      <c r="H24" s="100">
        <f>BS!H11+BS!H12</f>
        <v>140.22301276098631</v>
      </c>
      <c r="I24" s="100">
        <f>BS!I11+BS!I12</f>
        <v>156.12140172707069</v>
      </c>
      <c r="J24" s="100">
        <f>BS!J11+BS!J12</f>
        <v>173.33166181044186</v>
      </c>
      <c r="K24" s="100">
        <f>BS!K11+BS!K12</f>
        <v>193.87874270048266</v>
      </c>
      <c r="L24" s="100">
        <f>BS!L11+BS!L12</f>
        <v>198.78959006172676</v>
      </c>
      <c r="M24" s="100">
        <f>BS!M11+BS!M12</f>
        <v>204.09330521187042</v>
      </c>
      <c r="N24" s="100">
        <f>BS!N11+BS!N12</f>
        <v>132.8213175740255</v>
      </c>
      <c r="O24" s="100">
        <f>BS!O11+BS!O12</f>
        <v>84.007570925153033</v>
      </c>
    </row>
    <row r="25" spans="2:15" s="97" customFormat="1" ht="21" customHeight="1" x14ac:dyDescent="0.35">
      <c r="B25" s="51"/>
      <c r="C25" s="100"/>
      <c r="D25" s="100"/>
      <c r="E25" s="100"/>
      <c r="F25" s="100"/>
      <c r="G25" s="100"/>
      <c r="H25" s="100"/>
      <c r="I25" s="44"/>
      <c r="J25" s="44"/>
      <c r="K25" s="44"/>
      <c r="L25" s="44"/>
      <c r="M25" s="44"/>
      <c r="N25" s="44"/>
      <c r="O25" s="44"/>
    </row>
    <row r="26" spans="2:15" s="97" customFormat="1" ht="21" customHeight="1" x14ac:dyDescent="0.35">
      <c r="B26" s="188" t="s">
        <v>431</v>
      </c>
      <c r="C26" s="189" t="e">
        <f t="shared" ref="C26:J26" si="8">C9/C17</f>
        <v>#DIV/0!</v>
      </c>
      <c r="D26" s="189" t="e">
        <f t="shared" si="8"/>
        <v>#DIV/0!</v>
      </c>
      <c r="E26" s="189">
        <f t="shared" si="8"/>
        <v>4.2314974498998827E-2</v>
      </c>
      <c r="F26" s="189">
        <f t="shared" si="8"/>
        <v>7.8399369429382387E-2</v>
      </c>
      <c r="G26" s="189">
        <f t="shared" si="8"/>
        <v>0.11037609427892169</v>
      </c>
      <c r="H26" s="189">
        <f t="shared" si="8"/>
        <v>0.13855888768759134</v>
      </c>
      <c r="I26" s="189">
        <f t="shared" si="8"/>
        <v>0.1634555647717566</v>
      </c>
      <c r="J26" s="189">
        <f t="shared" si="8"/>
        <v>0.18580402232853019</v>
      </c>
      <c r="K26" s="189">
        <f t="shared" ref="K26:O26" si="9">K9/K17</f>
        <v>0.20531924385664782</v>
      </c>
      <c r="L26" s="189">
        <f t="shared" si="9"/>
        <v>0.2229057313542662</v>
      </c>
      <c r="M26" s="189">
        <f t="shared" si="9"/>
        <v>0.23821475871561065</v>
      </c>
      <c r="N26" s="189">
        <f t="shared" si="9"/>
        <v>0.25125207419543855</v>
      </c>
      <c r="O26" s="189">
        <f t="shared" si="9"/>
        <v>0.26135443725468716</v>
      </c>
    </row>
    <row r="27" spans="2:15" s="97" customFormat="1" ht="21" customHeight="1" x14ac:dyDescent="0.35">
      <c r="B27" s="188" t="s">
        <v>432</v>
      </c>
      <c r="C27" s="189">
        <f t="shared" ref="C27:J27" si="10">C7/C11</f>
        <v>0</v>
      </c>
      <c r="D27" s="189">
        <f t="shared" si="10"/>
        <v>0</v>
      </c>
      <c r="E27" s="189">
        <f t="shared" si="10"/>
        <v>9.4127636708841653E-2</v>
      </c>
      <c r="F27" s="189">
        <f t="shared" si="10"/>
        <v>0.12058761425393448</v>
      </c>
      <c r="G27" s="189">
        <f t="shared" si="10"/>
        <v>0.14495569733838429</v>
      </c>
      <c r="H27" s="189">
        <f t="shared" si="10"/>
        <v>0.16632333867588467</v>
      </c>
      <c r="I27" s="189">
        <f t="shared" si="10"/>
        <v>0.18402683598087746</v>
      </c>
      <c r="J27" s="189">
        <f t="shared" si="10"/>
        <v>0.19806686822894112</v>
      </c>
      <c r="K27" s="189">
        <f t="shared" ref="K27:O27" si="11">K7/K11</f>
        <v>0.20822105883996725</v>
      </c>
      <c r="L27" s="189">
        <f t="shared" si="11"/>
        <v>0.2133405865180206</v>
      </c>
      <c r="M27" s="189">
        <f t="shared" si="11"/>
        <v>0.21422043235864882</v>
      </c>
      <c r="N27" s="189">
        <f t="shared" si="11"/>
        <v>0.2058904584672408</v>
      </c>
      <c r="O27" s="189">
        <f t="shared" si="11"/>
        <v>0.19381272656812512</v>
      </c>
    </row>
    <row r="28" spans="2:15" s="97" customFormat="1" ht="21" customHeight="1" x14ac:dyDescent="0.35">
      <c r="B28" s="188" t="s">
        <v>433</v>
      </c>
      <c r="C28" s="189">
        <f t="shared" ref="C28:J28" si="12">C9/C12</f>
        <v>0</v>
      </c>
      <c r="D28" s="189">
        <f t="shared" si="12"/>
        <v>0</v>
      </c>
      <c r="E28" s="189">
        <f t="shared" si="12"/>
        <v>3.4327865484205168E-2</v>
      </c>
      <c r="F28" s="189">
        <f t="shared" si="12"/>
        <v>7.3585231128495798E-2</v>
      </c>
      <c r="G28" s="189">
        <f t="shared" si="12"/>
        <v>0.1221522774576745</v>
      </c>
      <c r="H28" s="189">
        <f t="shared" si="12"/>
        <v>0.18518129479130963</v>
      </c>
      <c r="I28" s="189">
        <f t="shared" si="12"/>
        <v>0.27236486648975383</v>
      </c>
      <c r="J28" s="189">
        <f t="shared" si="12"/>
        <v>0.4047664211200766</v>
      </c>
      <c r="K28" s="189">
        <f t="shared" ref="K28:O28" si="13">K9/K12</f>
        <v>0.63524367993223874</v>
      </c>
      <c r="L28" s="189">
        <f t="shared" si="13"/>
        <v>1.087396206713773</v>
      </c>
      <c r="M28" s="189">
        <f t="shared" si="13"/>
        <v>2.3238559162895953</v>
      </c>
      <c r="N28" s="189">
        <f t="shared" si="13"/>
        <v>4.1030389705566357</v>
      </c>
      <c r="O28" s="189">
        <f t="shared" si="13"/>
        <v>4.6094554251429809</v>
      </c>
    </row>
    <row r="29" spans="2:15" s="97" customFormat="1" ht="21" customHeight="1" x14ac:dyDescent="0.35">
      <c r="B29" s="188" t="s">
        <v>434</v>
      </c>
      <c r="C29" s="189">
        <f t="shared" ref="C29:J29" si="14">C9/C13</f>
        <v>0</v>
      </c>
      <c r="D29" s="189">
        <f t="shared" si="14"/>
        <v>0</v>
      </c>
      <c r="E29" s="189">
        <f t="shared" si="14"/>
        <v>0.25688216590916996</v>
      </c>
      <c r="F29" s="189">
        <f t="shared" si="14"/>
        <v>0.33950477056421996</v>
      </c>
      <c r="G29" s="189">
        <f t="shared" si="14"/>
        <v>0.34046368874761812</v>
      </c>
      <c r="H29" s="189">
        <f t="shared" si="14"/>
        <v>0.31581237142455565</v>
      </c>
      <c r="I29" s="189">
        <f t="shared" si="14"/>
        <v>0.28691795077927901</v>
      </c>
      <c r="J29" s="189">
        <f t="shared" si="14"/>
        <v>0.26048550773265539</v>
      </c>
      <c r="K29" s="189">
        <f t="shared" ref="K29:O29" si="15">K9/K13</f>
        <v>0.23714912016680442</v>
      </c>
      <c r="L29" s="189">
        <f t="shared" si="15"/>
        <v>0.21756346753120148</v>
      </c>
      <c r="M29" s="189">
        <f t="shared" si="15"/>
        <v>0.20070723907633026</v>
      </c>
      <c r="N29" s="189">
        <f t="shared" si="15"/>
        <v>0.18608341974690412</v>
      </c>
      <c r="O29" s="189">
        <f t="shared" si="15"/>
        <v>0.17290483521192512</v>
      </c>
    </row>
    <row r="30" spans="2:15" s="97" customFormat="1" ht="21" customHeight="1" x14ac:dyDescent="0.35">
      <c r="B30" s="188" t="s">
        <v>435</v>
      </c>
      <c r="C30" s="190" t="e">
        <f>DSCR!C13</f>
        <v>#DIV/0!</v>
      </c>
      <c r="D30" s="190" t="e">
        <f>DSCR!D13</f>
        <v>#DIV/0!</v>
      </c>
      <c r="E30" s="190">
        <f>DSCR!E13</f>
        <v>2.3051863619384925</v>
      </c>
      <c r="F30" s="190">
        <f>DSCR!F13</f>
        <v>2.0540507941913488</v>
      </c>
      <c r="G30" s="190">
        <f>DSCR!G13</f>
        <v>2.0746595588578023</v>
      </c>
      <c r="H30" s="190">
        <f>DSCR!H13</f>
        <v>2.1203076945075416</v>
      </c>
      <c r="I30" s="190">
        <f>DSCR!I13</f>
        <v>2.1905056539270262</v>
      </c>
      <c r="J30" s="190">
        <f>DSCR!J13</f>
        <v>2.2852296672499959</v>
      </c>
      <c r="K30" s="190">
        <f>DSCR!K13</f>
        <v>2.3936373789739593</v>
      </c>
      <c r="L30" s="190">
        <f>DSCR!L13</f>
        <v>2.4929897406787105</v>
      </c>
      <c r="M30" s="190">
        <f>DSCR!M13</f>
        <v>2.8768314892018778</v>
      </c>
      <c r="N30" s="190">
        <f>DSCR!N13</f>
        <v>3.3518274864514206</v>
      </c>
      <c r="O30" s="190">
        <f>DSCR!O13</f>
        <v>9.207398317494782</v>
      </c>
    </row>
    <row r="31" spans="2:15" s="97" customFormat="1" ht="21" customHeight="1" x14ac:dyDescent="0.35">
      <c r="B31" s="188" t="s">
        <v>436</v>
      </c>
      <c r="C31" s="191">
        <f t="shared" ref="C31" si="16">C18/C19</f>
        <v>1.4937908163265305</v>
      </c>
      <c r="D31" s="191">
        <f t="shared" ref="D31:J31" si="17">D18/D19</f>
        <v>1.6692922730422726</v>
      </c>
      <c r="E31" s="191">
        <f t="shared" si="17"/>
        <v>1.5931983161496663</v>
      </c>
      <c r="F31" s="191">
        <f t="shared" si="17"/>
        <v>1.5483417438197122</v>
      </c>
      <c r="G31" s="191">
        <f t="shared" si="17"/>
        <v>1.5386321232101841</v>
      </c>
      <c r="H31" s="191">
        <f t="shared" si="17"/>
        <v>1.5737227246367396</v>
      </c>
      <c r="I31" s="191">
        <f t="shared" si="17"/>
        <v>1.675021912924022</v>
      </c>
      <c r="J31" s="191">
        <f t="shared" si="17"/>
        <v>1.8973707551802657</v>
      </c>
      <c r="K31" s="191">
        <f t="shared" ref="K31:O31" si="18">K18/K19</f>
        <v>2.4176678328704249</v>
      </c>
      <c r="L31" s="191">
        <f t="shared" si="18"/>
        <v>3.718326185034198</v>
      </c>
      <c r="M31" s="191">
        <f t="shared" si="18"/>
        <v>11.402035899234647</v>
      </c>
      <c r="N31" s="191">
        <f t="shared" si="18"/>
        <v>2488441556826288</v>
      </c>
      <c r="O31" s="191">
        <f t="shared" si="18"/>
        <v>2246105749143472</v>
      </c>
    </row>
    <row r="32" spans="2:15" s="97" customFormat="1" ht="21" customHeight="1" x14ac:dyDescent="0.35">
      <c r="B32" s="188" t="s">
        <v>451</v>
      </c>
      <c r="C32" s="191" t="e">
        <f>C6/(C10)</f>
        <v>#DIV/0!</v>
      </c>
      <c r="D32" s="191" t="e">
        <f t="shared" ref="D32:J32" si="19">D6/(D10)</f>
        <v>#DIV/0!</v>
      </c>
      <c r="E32" s="191">
        <f t="shared" si="19"/>
        <v>3.0620721977717165</v>
      </c>
      <c r="F32" s="191">
        <f t="shared" si="19"/>
        <v>3.4741322643306152</v>
      </c>
      <c r="G32" s="191">
        <f t="shared" si="19"/>
        <v>4.0189998543670509</v>
      </c>
      <c r="H32" s="191">
        <f t="shared" si="19"/>
        <v>4.7414644578949687</v>
      </c>
      <c r="I32" s="191">
        <f t="shared" si="19"/>
        <v>5.7344147137034502</v>
      </c>
      <c r="J32" s="191">
        <f t="shared" si="19"/>
        <v>7.1697177324345258</v>
      </c>
      <c r="K32" s="191">
        <f t="shared" ref="K32:O32" si="20">K6/(K10)</f>
        <v>9.4050626974447251</v>
      </c>
      <c r="L32" s="191">
        <f t="shared" si="20"/>
        <v>13.491694734161809</v>
      </c>
      <c r="M32" s="191">
        <f t="shared" si="20"/>
        <v>22.191816590093886</v>
      </c>
      <c r="N32" s="191">
        <f t="shared" si="20"/>
        <v>50.151858610797802</v>
      </c>
      <c r="O32" s="191">
        <f t="shared" si="20"/>
        <v>572.38060888045595</v>
      </c>
    </row>
    <row r="33" spans="2:15" s="97" customFormat="1" ht="21" customHeight="1" x14ac:dyDescent="0.35">
      <c r="B33" s="188" t="s">
        <v>453</v>
      </c>
      <c r="C33" s="191" t="e">
        <f t="shared" ref="C33" si="21">C23/C24</f>
        <v>#DIV/0!</v>
      </c>
      <c r="D33" s="191">
        <f t="shared" ref="D33:J33" si="22">D23/D24</f>
        <v>0</v>
      </c>
      <c r="E33" s="191">
        <f t="shared" si="22"/>
        <v>2.1987753938943824</v>
      </c>
      <c r="F33" s="191">
        <f t="shared" si="22"/>
        <v>3.3793139558339065</v>
      </c>
      <c r="G33" s="191">
        <f t="shared" si="22"/>
        <v>4.3413062465570071</v>
      </c>
      <c r="H33" s="191">
        <f t="shared" si="22"/>
        <v>5.1716827739316011</v>
      </c>
      <c r="I33" s="191">
        <f t="shared" si="22"/>
        <v>5.9243094487144496</v>
      </c>
      <c r="J33" s="191">
        <f t="shared" si="22"/>
        <v>6.5952824522652564</v>
      </c>
      <c r="K33" s="191">
        <f t="shared" ref="K33:O33" si="23">K23/K24</f>
        <v>7.1300422263323497</v>
      </c>
      <c r="L33" s="191">
        <f t="shared" si="23"/>
        <v>8.2663595337400615</v>
      </c>
      <c r="M33" s="191">
        <f t="shared" si="23"/>
        <v>9.5298698079021023</v>
      </c>
      <c r="N33" s="191">
        <f t="shared" si="23"/>
        <v>17.24362060353408</v>
      </c>
      <c r="O33" s="191">
        <f t="shared" si="23"/>
        <v>32.825053231388367</v>
      </c>
    </row>
    <row r="34" spans="2:15" s="97" customFormat="1" ht="21" customHeight="1" x14ac:dyDescent="0.35">
      <c r="B34" s="188" t="s">
        <v>551</v>
      </c>
      <c r="C34" s="191">
        <f t="shared" ref="C34" si="24">C15/C16</f>
        <v>2.0040899795501024</v>
      </c>
      <c r="D34" s="191">
        <f t="shared" ref="D34:J34" si="25">D15/D16</f>
        <v>1.6010112785045376</v>
      </c>
      <c r="E34" s="191">
        <f t="shared" si="25"/>
        <v>1.5333658809788124</v>
      </c>
      <c r="F34" s="191">
        <f t="shared" si="25"/>
        <v>1.3146025656514579</v>
      </c>
      <c r="G34" s="191">
        <f t="shared" si="25"/>
        <v>1.0705244948085622</v>
      </c>
      <c r="H34" s="191">
        <f t="shared" si="25"/>
        <v>0.83540189871441428</v>
      </c>
      <c r="I34" s="191">
        <f t="shared" si="25"/>
        <v>0.62796710476810225</v>
      </c>
      <c r="J34" s="191">
        <f t="shared" si="25"/>
        <v>0.45420677924022351</v>
      </c>
      <c r="K34" s="191">
        <f t="shared" ref="K34:O34" si="26">K15/K16</f>
        <v>0.31259352946779373</v>
      </c>
      <c r="L34" s="191">
        <f t="shared" si="26"/>
        <v>0.19755677643312164</v>
      </c>
      <c r="M34" s="191">
        <f t="shared" si="26"/>
        <v>0.11201606570433463</v>
      </c>
      <c r="N34" s="191">
        <f t="shared" si="26"/>
        <v>4.8772101593478286E-2</v>
      </c>
      <c r="O34" s="191">
        <f t="shared" si="26"/>
        <v>2.6382209783748539E-2</v>
      </c>
    </row>
    <row r="35" spans="2:15" s="97" customFormat="1" ht="21" customHeight="1" x14ac:dyDescent="0.35">
      <c r="B35" s="188" t="s">
        <v>460</v>
      </c>
      <c r="C35" s="191">
        <f>C20/C21</f>
        <v>4.9000000000000004</v>
      </c>
      <c r="D35" s="191">
        <f t="shared" ref="D35:J35" si="27">D20/D21</f>
        <v>9.9000000000000021</v>
      </c>
      <c r="E35" s="191">
        <f t="shared" si="27"/>
        <v>9.6200000000000028</v>
      </c>
      <c r="F35" s="191">
        <f t="shared" si="27"/>
        <v>9.0700000000000021</v>
      </c>
      <c r="G35" s="191">
        <f t="shared" si="27"/>
        <v>8.4000000000000021</v>
      </c>
      <c r="H35" s="191">
        <f t="shared" si="27"/>
        <v>7.6100000000000021</v>
      </c>
      <c r="I35" s="191">
        <f t="shared" si="27"/>
        <v>6.700000000000002</v>
      </c>
      <c r="J35" s="191">
        <f t="shared" si="27"/>
        <v>5.6700000000000026</v>
      </c>
      <c r="K35" s="191">
        <f t="shared" ref="K35:O35" si="28">K20/K21</f>
        <v>4.5100000000000025</v>
      </c>
      <c r="L35" s="191">
        <f t="shared" si="28"/>
        <v>3.1900000000000022</v>
      </c>
      <c r="M35" s="191">
        <f t="shared" si="28"/>
        <v>1.8700000000000023</v>
      </c>
      <c r="N35" s="191">
        <f t="shared" si="28"/>
        <v>0.55000000000000226</v>
      </c>
      <c r="O35" s="191">
        <f t="shared" si="28"/>
        <v>2.2737367544323206E-15</v>
      </c>
    </row>
    <row r="36" spans="2:15" s="97" customFormat="1" ht="21" customHeight="1" x14ac:dyDescent="0.35">
      <c r="B36" s="128" t="s">
        <v>438</v>
      </c>
      <c r="C36" s="192"/>
      <c r="D36" s="192"/>
      <c r="E36" s="192"/>
      <c r="F36" s="192"/>
      <c r="G36" s="192"/>
      <c r="H36" s="192"/>
      <c r="I36" s="73"/>
      <c r="J36" s="73"/>
      <c r="K36" s="73"/>
      <c r="L36" s="73"/>
      <c r="M36" s="73"/>
      <c r="N36" s="73"/>
      <c r="O36" s="73"/>
    </row>
    <row r="37" spans="2:15" s="97" customFormat="1" ht="20.25" customHeight="1" x14ac:dyDescent="0.35">
      <c r="B37" s="51" t="s">
        <v>25</v>
      </c>
      <c r="C37" s="100">
        <f>'P &amp; L'!D10</f>
        <v>0</v>
      </c>
      <c r="D37" s="100">
        <f>'P &amp; L'!E10</f>
        <v>0</v>
      </c>
      <c r="E37" s="100">
        <f>'P &amp; L'!F10</f>
        <v>816.92499999999995</v>
      </c>
      <c r="F37" s="100">
        <f>'P &amp; L'!G10</f>
        <v>882.27900000000011</v>
      </c>
      <c r="G37" s="100">
        <f>'P &amp; L'!H10</f>
        <v>952.86132000000009</v>
      </c>
      <c r="H37" s="100">
        <f>'P &amp; L'!I10</f>
        <v>1029.0902256000002</v>
      </c>
      <c r="I37" s="100">
        <f>'P &amp; L'!J10</f>
        <v>1111.4174436480002</v>
      </c>
      <c r="J37" s="100">
        <f>'P &amp; L'!K10</f>
        <v>1200.3308391398405</v>
      </c>
      <c r="K37" s="100">
        <f>'P &amp; L'!L10</f>
        <v>1296.3573062710275</v>
      </c>
      <c r="L37" s="100">
        <f>'P &amp; L'!M10</f>
        <v>1400.06589077271</v>
      </c>
      <c r="M37" s="100">
        <f>'P &amp; L'!N10</f>
        <v>1512.0711620345269</v>
      </c>
      <c r="N37" s="100">
        <f>'P &amp; L'!O10</f>
        <v>1633.0368549972891</v>
      </c>
      <c r="O37" s="100">
        <f>'P &amp; L'!P10</f>
        <v>1763.6798033970724</v>
      </c>
    </row>
    <row r="38" spans="2:15" s="97" customFormat="1" ht="20.25" customHeight="1" x14ac:dyDescent="0.35">
      <c r="B38" s="51" t="s">
        <v>26</v>
      </c>
      <c r="C38" s="100">
        <f>'P &amp; L'!D15</f>
        <v>0</v>
      </c>
      <c r="D38" s="100">
        <f>'P &amp; L'!E15</f>
        <v>0</v>
      </c>
      <c r="E38" s="100">
        <f>'P &amp; L'!F15</f>
        <v>277.19468333333333</v>
      </c>
      <c r="F38" s="100">
        <f>'P &amp; L'!G15</f>
        <v>299.37025800000004</v>
      </c>
      <c r="G38" s="100">
        <f>'P &amp; L'!H15</f>
        <v>323.31987864000001</v>
      </c>
      <c r="H38" s="100">
        <f>'P &amp; L'!I15</f>
        <v>349.18546893120003</v>
      </c>
      <c r="I38" s="100">
        <f>'P &amp; L'!J15</f>
        <v>377.12030644569609</v>
      </c>
      <c r="J38" s="100">
        <f>'P &amp; L'!K15</f>
        <v>407.28993096135184</v>
      </c>
      <c r="K38" s="100">
        <f>'P &amp; L'!L15</f>
        <v>439.87312543825993</v>
      </c>
      <c r="L38" s="100">
        <f>'P &amp; L'!M15</f>
        <v>475.06297547332082</v>
      </c>
      <c r="M38" s="100">
        <f>'P &amp; L'!N15</f>
        <v>513.06801351118656</v>
      </c>
      <c r="N38" s="100">
        <f>'P &amp; L'!O15</f>
        <v>554.11345459208144</v>
      </c>
      <c r="O38" s="100">
        <f>'P &amp; L'!P15</f>
        <v>598.44253095944805</v>
      </c>
    </row>
    <row r="39" spans="2:15" s="97" customFormat="1" ht="20.25" customHeight="1" x14ac:dyDescent="0.35">
      <c r="B39" s="51" t="s">
        <v>27</v>
      </c>
      <c r="C39" s="100">
        <f t="shared" ref="C39" si="29">C37-C38</f>
        <v>0</v>
      </c>
      <c r="D39" s="100">
        <f t="shared" ref="D39:J39" si="30">D37-D38</f>
        <v>0</v>
      </c>
      <c r="E39" s="100">
        <f t="shared" si="30"/>
        <v>539.73031666666657</v>
      </c>
      <c r="F39" s="100">
        <f t="shared" si="30"/>
        <v>582.90874200000007</v>
      </c>
      <c r="G39" s="100">
        <f t="shared" si="30"/>
        <v>629.54144136000014</v>
      </c>
      <c r="H39" s="100">
        <f t="shared" si="30"/>
        <v>679.90475666880013</v>
      </c>
      <c r="I39" s="100">
        <f t="shared" si="30"/>
        <v>734.29713720230416</v>
      </c>
      <c r="J39" s="100">
        <f t="shared" si="30"/>
        <v>793.04090817848862</v>
      </c>
      <c r="K39" s="100">
        <f t="shared" ref="K39:O39" si="31">K37-K38</f>
        <v>856.48418083276761</v>
      </c>
      <c r="L39" s="100">
        <f t="shared" si="31"/>
        <v>925.00291529938909</v>
      </c>
      <c r="M39" s="100">
        <f t="shared" si="31"/>
        <v>999.00314852334031</v>
      </c>
      <c r="N39" s="100">
        <f t="shared" si="31"/>
        <v>1078.9234004052078</v>
      </c>
      <c r="O39" s="100">
        <f t="shared" si="31"/>
        <v>1165.2372724376244</v>
      </c>
    </row>
    <row r="40" spans="2:15" s="97" customFormat="1" ht="20.25" customHeight="1" x14ac:dyDescent="0.35">
      <c r="B40" s="51" t="s">
        <v>28</v>
      </c>
      <c r="C40" s="100">
        <f>'P &amp; L'!D21</f>
        <v>0</v>
      </c>
      <c r="D40" s="100">
        <f>'P &amp; L'!E21</f>
        <v>0</v>
      </c>
      <c r="E40" s="100">
        <f>'P &amp; L'!F21</f>
        <v>231.56975</v>
      </c>
      <c r="F40" s="100">
        <f>'P &amp; L'!G21</f>
        <v>249.61533000000003</v>
      </c>
      <c r="G40" s="100">
        <f>'P &amp; L'!H21</f>
        <v>269.10455640000004</v>
      </c>
      <c r="H40" s="100">
        <f>'P &amp; L'!I21</f>
        <v>290.15292091200007</v>
      </c>
      <c r="I40" s="100">
        <f>'P &amp; L'!J21</f>
        <v>312.88515458496005</v>
      </c>
      <c r="J40" s="100">
        <f>'P &amp; L'!K21</f>
        <v>337.43596695175694</v>
      </c>
      <c r="K40" s="100">
        <f>'P &amp; L'!L21</f>
        <v>363.95084430789746</v>
      </c>
      <c r="L40" s="100">
        <f>'P &amp; L'!M21</f>
        <v>392.58691185252934</v>
      </c>
      <c r="M40" s="100">
        <f>'P &amp; L'!N21</f>
        <v>423.51386480073171</v>
      </c>
      <c r="N40" s="100">
        <f>'P &amp; L'!O21</f>
        <v>456.91497398479021</v>
      </c>
      <c r="O40" s="100">
        <f>'P &amp; L'!P21</f>
        <v>492.98817190357352</v>
      </c>
    </row>
    <row r="41" spans="2:15" s="97" customFormat="1" ht="20.25" customHeight="1" x14ac:dyDescent="0.35">
      <c r="B41" s="51" t="s">
        <v>29</v>
      </c>
      <c r="C41" s="100">
        <f>'P &amp; L'!D24</f>
        <v>0</v>
      </c>
      <c r="D41" s="100">
        <f>'P &amp; L'!E24</f>
        <v>0</v>
      </c>
      <c r="E41" s="100">
        <f>'P &amp; L'!F24</f>
        <v>100.6379166666666</v>
      </c>
      <c r="F41" s="100">
        <f>'P &amp; L'!G24</f>
        <v>95.935729166666604</v>
      </c>
      <c r="G41" s="100">
        <f>'P &amp; L'!H24</f>
        <v>89.683229166666635</v>
      </c>
      <c r="H41" s="100">
        <f>'P &amp; L'!I24</f>
        <v>82.200729166666619</v>
      </c>
      <c r="I41" s="100">
        <f>'P &amp; L'!J24</f>
        <v>73.488229166666628</v>
      </c>
      <c r="J41" s="100">
        <f>'P &amp; L'!K24</f>
        <v>63.545729166666639</v>
      </c>
      <c r="K41" s="100">
        <f>'P &amp; L'!L24</f>
        <v>52.368958333333296</v>
      </c>
      <c r="L41" s="100">
        <f>'P &amp; L'!M24</f>
        <v>39.462499999999956</v>
      </c>
      <c r="M41" s="100">
        <f>'P &amp; L'!N24</f>
        <v>25.932499999999955</v>
      </c>
      <c r="N41" s="100">
        <f>'P &amp; L'!O24</f>
        <v>12.402499999999954</v>
      </c>
      <c r="O41" s="100">
        <f>'P &amp; L'!P24</f>
        <v>1.174479166666621</v>
      </c>
    </row>
    <row r="42" spans="2:15" s="97" customFormat="1" ht="20.25" customHeight="1" x14ac:dyDescent="0.35">
      <c r="B42" s="51" t="s">
        <v>30</v>
      </c>
      <c r="C42" s="100">
        <f>'P &amp; L'!D26</f>
        <v>0</v>
      </c>
      <c r="D42" s="100">
        <f>'P &amp; L'!E26</f>
        <v>0</v>
      </c>
      <c r="E42" s="100">
        <f>'P &amp; L'!F26</f>
        <v>160.82829391891892</v>
      </c>
      <c r="F42" s="100">
        <f>'P &amp; L'!G26</f>
        <v>144.4238079391892</v>
      </c>
      <c r="G42" s="100">
        <f>'P &amp; L'!H26</f>
        <v>129.70801904560813</v>
      </c>
      <c r="H42" s="100">
        <f>'P &amp; L'!I26</f>
        <v>116.50482025633447</v>
      </c>
      <c r="I42" s="100">
        <f>'P &amp; L'!J26</f>
        <v>104.65680087869511</v>
      </c>
      <c r="J42" s="100">
        <f>'P &amp; L'!K26</f>
        <v>94.023214041620562</v>
      </c>
      <c r="K42" s="100">
        <f>'P &amp; L'!L26</f>
        <v>84.478171900634237</v>
      </c>
      <c r="L42" s="100">
        <f>'P &amp; L'!M26</f>
        <v>75.909042084270183</v>
      </c>
      <c r="M42" s="100">
        <f>'P &amp; L'!N26</f>
        <v>68.21502214348763</v>
      </c>
      <c r="N42" s="100">
        <f>'P &amp; L'!O26</f>
        <v>61.30587155663666</v>
      </c>
      <c r="O42" s="100">
        <f>'P &amp; L'!P26</f>
        <v>55.100783284346114</v>
      </c>
    </row>
    <row r="43" spans="2:15" s="97" customFormat="1" ht="20.25" customHeight="1" x14ac:dyDescent="0.35">
      <c r="B43" s="51" t="s">
        <v>31</v>
      </c>
      <c r="C43" s="100">
        <f t="shared" ref="C43" si="32">C40+C41+C42</f>
        <v>0</v>
      </c>
      <c r="D43" s="100">
        <f t="shared" ref="D43:J43" si="33">D40+D41+D42</f>
        <v>0</v>
      </c>
      <c r="E43" s="100">
        <f t="shared" si="33"/>
        <v>493.03596058558549</v>
      </c>
      <c r="F43" s="100">
        <f t="shared" si="33"/>
        <v>489.97486710585582</v>
      </c>
      <c r="G43" s="100">
        <f t="shared" si="33"/>
        <v>488.49580461227481</v>
      </c>
      <c r="H43" s="100">
        <f t="shared" si="33"/>
        <v>488.85847033500119</v>
      </c>
      <c r="I43" s="100">
        <f t="shared" si="33"/>
        <v>491.03018463032174</v>
      </c>
      <c r="J43" s="100">
        <f t="shared" si="33"/>
        <v>495.00491016004418</v>
      </c>
      <c r="K43" s="100">
        <f t="shared" ref="K43:O43" si="34">K40+K41+K42</f>
        <v>500.79797454186496</v>
      </c>
      <c r="L43" s="100">
        <f t="shared" si="34"/>
        <v>507.95845393679951</v>
      </c>
      <c r="M43" s="100">
        <f t="shared" si="34"/>
        <v>517.66138694421932</v>
      </c>
      <c r="N43" s="100">
        <f t="shared" si="34"/>
        <v>530.62334554142683</v>
      </c>
      <c r="O43" s="100">
        <f t="shared" si="34"/>
        <v>549.26343435458625</v>
      </c>
    </row>
    <row r="44" spans="2:15" ht="20.25" hidden="1" customHeight="1" x14ac:dyDescent="0.35">
      <c r="B44" s="51" t="s">
        <v>32</v>
      </c>
    </row>
    <row r="45" spans="2:15" ht="20.25" hidden="1" customHeight="1" x14ac:dyDescent="0.35">
      <c r="B45" s="51" t="s">
        <v>33</v>
      </c>
    </row>
    <row r="46" spans="2:15" ht="20.25" hidden="1" customHeight="1" x14ac:dyDescent="0.35">
      <c r="B46" s="51" t="s">
        <v>34</v>
      </c>
    </row>
    <row r="47" spans="2:15" ht="20.25" hidden="1" customHeight="1" x14ac:dyDescent="0.35">
      <c r="B47" s="51" t="s">
        <v>35</v>
      </c>
    </row>
    <row r="48" spans="2:15" ht="20.25" hidden="1" customHeight="1" x14ac:dyDescent="0.35">
      <c r="B48" s="51" t="s">
        <v>36</v>
      </c>
    </row>
    <row r="49" spans="2:15" ht="20.25" hidden="1" customHeight="1" x14ac:dyDescent="0.35">
      <c r="B49" s="51" t="s">
        <v>37</v>
      </c>
    </row>
    <row r="50" spans="2:15" ht="20.25" customHeight="1" x14ac:dyDescent="0.35">
      <c r="B50" s="147" t="s">
        <v>439</v>
      </c>
      <c r="C50" s="100">
        <f t="shared" ref="C50" si="35">C39-C43</f>
        <v>0</v>
      </c>
      <c r="D50" s="100">
        <f t="shared" ref="D50:J50" si="36">D39-D43</f>
        <v>0</v>
      </c>
      <c r="E50" s="100">
        <f t="shared" si="36"/>
        <v>46.694356081081082</v>
      </c>
      <c r="F50" s="100">
        <f t="shared" si="36"/>
        <v>92.933874894144253</v>
      </c>
      <c r="G50" s="100">
        <f t="shared" si="36"/>
        <v>141.04563674772533</v>
      </c>
      <c r="H50" s="100">
        <f t="shared" si="36"/>
        <v>191.04628633379895</v>
      </c>
      <c r="I50" s="100">
        <f t="shared" si="36"/>
        <v>243.26695257198242</v>
      </c>
      <c r="J50" s="100">
        <f t="shared" si="36"/>
        <v>298.03599801844445</v>
      </c>
      <c r="K50" s="100">
        <f t="shared" ref="K50:O50" si="37">K39-K43</f>
        <v>355.68620629090265</v>
      </c>
      <c r="L50" s="100">
        <f t="shared" si="37"/>
        <v>417.04446136258957</v>
      </c>
      <c r="M50" s="100">
        <f t="shared" si="37"/>
        <v>481.341761579121</v>
      </c>
      <c r="N50" s="100">
        <f t="shared" si="37"/>
        <v>548.30005486378093</v>
      </c>
      <c r="O50" s="100">
        <f t="shared" si="37"/>
        <v>615.97383808303812</v>
      </c>
    </row>
    <row r="51" spans="2:15" ht="20.25" customHeight="1" x14ac:dyDescent="0.35">
      <c r="B51" s="147" t="s">
        <v>440</v>
      </c>
      <c r="C51" s="185" t="e">
        <f t="shared" ref="C51" si="38">C39/C37</f>
        <v>#DIV/0!</v>
      </c>
      <c r="D51" s="185" t="e">
        <f t="shared" ref="D51:J51" si="39">D39/D37</f>
        <v>#DIV/0!</v>
      </c>
      <c r="E51" s="185">
        <f t="shared" si="39"/>
        <v>0.66068527302587954</v>
      </c>
      <c r="F51" s="185">
        <f t="shared" si="39"/>
        <v>0.66068527302587954</v>
      </c>
      <c r="G51" s="185">
        <f t="shared" si="39"/>
        <v>0.66068527302587965</v>
      </c>
      <c r="H51" s="185">
        <f t="shared" si="39"/>
        <v>0.66068527302587954</v>
      </c>
      <c r="I51" s="185">
        <f t="shared" si="39"/>
        <v>0.66068527302587954</v>
      </c>
      <c r="J51" s="185">
        <f t="shared" si="39"/>
        <v>0.66068527302587954</v>
      </c>
      <c r="K51" s="185">
        <f t="shared" ref="K51:O51" si="40">K39/K37</f>
        <v>0.66068527302587965</v>
      </c>
      <c r="L51" s="185">
        <f t="shared" si="40"/>
        <v>0.66068527302587954</v>
      </c>
      <c r="M51" s="185">
        <f t="shared" si="40"/>
        <v>0.66068527302587954</v>
      </c>
      <c r="N51" s="185">
        <f t="shared" si="40"/>
        <v>0.66068527302587965</v>
      </c>
      <c r="O51" s="185">
        <f t="shared" si="40"/>
        <v>0.66068527302587954</v>
      </c>
    </row>
    <row r="52" spans="2:15" ht="20.25" customHeight="1" x14ac:dyDescent="0.35">
      <c r="B52" s="193" t="s">
        <v>441</v>
      </c>
      <c r="C52" s="194" t="e">
        <f t="shared" ref="C52" si="41">(C40/C39)*C37</f>
        <v>#DIV/0!</v>
      </c>
      <c r="D52" s="194" t="e">
        <f t="shared" ref="D52:J52" si="42">(D40/D39)*D37</f>
        <v>#DIV/0!</v>
      </c>
      <c r="E52" s="194">
        <f t="shared" si="42"/>
        <v>350.49933675595832</v>
      </c>
      <c r="F52" s="194">
        <f t="shared" si="42"/>
        <v>377.81276530772982</v>
      </c>
      <c r="G52" s="194">
        <f t="shared" si="42"/>
        <v>407.31126814364302</v>
      </c>
      <c r="H52" s="194">
        <f t="shared" si="42"/>
        <v>439.16965120642936</v>
      </c>
      <c r="I52" s="194">
        <f t="shared" si="42"/>
        <v>473.57670491423846</v>
      </c>
      <c r="J52" s="194">
        <f t="shared" si="42"/>
        <v>510.7363229186725</v>
      </c>
      <c r="K52" s="194">
        <f t="shared" ref="K52:O52" si="43">(K40/K39)*K37</f>
        <v>550.86871036346099</v>
      </c>
      <c r="L52" s="194">
        <f t="shared" si="43"/>
        <v>594.211688803833</v>
      </c>
      <c r="M52" s="194">
        <f t="shared" si="43"/>
        <v>641.02210551943449</v>
      </c>
      <c r="N52" s="194">
        <f t="shared" si="43"/>
        <v>691.57735557228386</v>
      </c>
      <c r="O52" s="194">
        <f t="shared" si="43"/>
        <v>746.17702562936165</v>
      </c>
    </row>
    <row r="53" spans="2:15" ht="20.25" customHeight="1" x14ac:dyDescent="0.35">
      <c r="B53" s="195" t="s">
        <v>442</v>
      </c>
      <c r="C53" s="196" t="e">
        <f t="shared" ref="C53" si="44">C52/C37</f>
        <v>#DIV/0!</v>
      </c>
      <c r="D53" s="196" t="e">
        <f t="shared" ref="D53:J53" si="45">D52/D37</f>
        <v>#DIV/0!</v>
      </c>
      <c r="E53" s="196">
        <f t="shared" si="45"/>
        <v>0.42904714233982111</v>
      </c>
      <c r="F53" s="196">
        <f t="shared" si="45"/>
        <v>0.42822368582696602</v>
      </c>
      <c r="G53" s="196">
        <f t="shared" si="45"/>
        <v>0.42746122609284104</v>
      </c>
      <c r="H53" s="196">
        <f t="shared" si="45"/>
        <v>0.42675524485754018</v>
      </c>
      <c r="I53" s="196">
        <f t="shared" si="45"/>
        <v>0.4261015585285578</v>
      </c>
      <c r="J53" s="196">
        <f t="shared" si="45"/>
        <v>0.42549629340912976</v>
      </c>
      <c r="K53" s="196">
        <f t="shared" ref="K53:O53" si="46">K52/K37</f>
        <v>0.42493586274299261</v>
      </c>
      <c r="L53" s="196">
        <f t="shared" si="46"/>
        <v>0.42441694545953246</v>
      </c>
      <c r="M53" s="196">
        <f t="shared" si="46"/>
        <v>0.42393646649336553</v>
      </c>
      <c r="N53" s="196">
        <f t="shared" si="46"/>
        <v>0.42349157856172936</v>
      </c>
      <c r="O53" s="196">
        <f t="shared" si="46"/>
        <v>0.42307964529169606</v>
      </c>
    </row>
  </sheetData>
  <customSheetViews>
    <customSheetView guid="{22475485-DA09-46DB-978D-BB94CE1E5597}" hiddenRows="1" topLeftCell="A8">
      <selection activeCell="A20" sqref="A20"/>
      <pageMargins left="0.7" right="0.7" top="0.75" bottom="0.75" header="0.3" footer="0.3"/>
      <pageSetup paperSize="9" orientation="landscape" verticalDpi="300" r:id="rId1"/>
    </customSheetView>
  </customSheetViews>
  <pageMargins left="0.7" right="0.7" top="0.75" bottom="0.75" header="0.3" footer="0.3"/>
  <pageSetup paperSize="9" orientation="landscape"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749992370372631"/>
  </sheetPr>
  <dimension ref="B2:P43"/>
  <sheetViews>
    <sheetView showGridLines="0" workbookViewId="0">
      <pane xSplit="2" ySplit="5" topLeftCell="F6" activePane="bottomRight" state="frozen"/>
      <selection activeCell="B8" sqref="B8"/>
      <selection pane="topRight" activeCell="B8" sqref="B8"/>
      <selection pane="bottomLeft" activeCell="B8" sqref="B8"/>
      <selection pane="bottomRight" activeCell="F10" sqref="F10"/>
    </sheetView>
  </sheetViews>
  <sheetFormatPr defaultColWidth="9.1796875" defaultRowHeight="14.5" x14ac:dyDescent="0.35"/>
  <cols>
    <col min="1" max="1" width="5.453125" style="97" customWidth="1"/>
    <col min="2" max="2" width="36.54296875" style="51" customWidth="1"/>
    <col min="3" max="16" width="10.54296875" style="44" customWidth="1"/>
    <col min="17" max="16384" width="9.1796875" style="97"/>
  </cols>
  <sheetData>
    <row r="2" spans="2:16" x14ac:dyDescent="0.35">
      <c r="B2" s="145" t="s">
        <v>443</v>
      </c>
      <c r="C2" s="131"/>
      <c r="D2" s="131"/>
      <c r="E2" s="131"/>
      <c r="F2" s="131"/>
      <c r="G2" s="131"/>
      <c r="H2" s="131"/>
      <c r="I2" s="131"/>
      <c r="J2" s="131"/>
      <c r="K2" s="131"/>
      <c r="L2" s="131"/>
      <c r="M2" s="131"/>
      <c r="N2" s="131"/>
      <c r="O2" s="131"/>
      <c r="P2" s="131"/>
    </row>
    <row r="3" spans="2:16" x14ac:dyDescent="0.35">
      <c r="B3" s="107"/>
    </row>
    <row r="4" spans="2:16" x14ac:dyDescent="0.35">
      <c r="B4" s="170" t="s">
        <v>325</v>
      </c>
      <c r="C4" s="113"/>
      <c r="D4" s="113">
        <v>0</v>
      </c>
      <c r="E4" s="113">
        <v>12</v>
      </c>
      <c r="F4" s="113">
        <v>12</v>
      </c>
      <c r="G4" s="113">
        <v>12</v>
      </c>
      <c r="H4" s="113">
        <v>12</v>
      </c>
      <c r="I4" s="113">
        <v>12</v>
      </c>
      <c r="J4" s="113">
        <v>12</v>
      </c>
      <c r="K4" s="113">
        <v>12</v>
      </c>
      <c r="L4" s="113">
        <v>12</v>
      </c>
      <c r="M4" s="113">
        <v>12</v>
      </c>
      <c r="N4" s="113">
        <v>12</v>
      </c>
      <c r="O4" s="113">
        <v>12</v>
      </c>
      <c r="P4" s="113">
        <v>12</v>
      </c>
    </row>
    <row r="5" spans="2:16" x14ac:dyDescent="0.35">
      <c r="B5" s="118" t="s">
        <v>596</v>
      </c>
      <c r="C5" s="94">
        <v>2024</v>
      </c>
      <c r="D5" s="94">
        <f>C5+1</f>
        <v>2025</v>
      </c>
      <c r="E5" s="94">
        <f t="shared" ref="E5:K5" si="0">D5+1</f>
        <v>2026</v>
      </c>
      <c r="F5" s="94">
        <f t="shared" si="0"/>
        <v>2027</v>
      </c>
      <c r="G5" s="94">
        <f t="shared" si="0"/>
        <v>2028</v>
      </c>
      <c r="H5" s="94">
        <f t="shared" si="0"/>
        <v>2029</v>
      </c>
      <c r="I5" s="94">
        <f t="shared" si="0"/>
        <v>2030</v>
      </c>
      <c r="J5" s="94">
        <f t="shared" si="0"/>
        <v>2031</v>
      </c>
      <c r="K5" s="94">
        <f t="shared" si="0"/>
        <v>2032</v>
      </c>
      <c r="L5" s="94">
        <f t="shared" ref="L5" si="1">K5+1</f>
        <v>2033</v>
      </c>
      <c r="M5" s="94">
        <f t="shared" ref="M5" si="2">L5+1</f>
        <v>2034</v>
      </c>
      <c r="N5" s="94">
        <f t="shared" ref="N5" si="3">M5+1</f>
        <v>2035</v>
      </c>
      <c r="O5" s="94">
        <f t="shared" ref="O5" si="4">N5+1</f>
        <v>2036</v>
      </c>
      <c r="P5" s="94">
        <f t="shared" ref="P5" si="5">O5+1</f>
        <v>2037</v>
      </c>
    </row>
    <row r="6" spans="2:16" ht="16.5" customHeight="1" x14ac:dyDescent="0.35">
      <c r="B6" s="51" t="s">
        <v>445</v>
      </c>
      <c r="C6" s="48"/>
      <c r="D6" s="305">
        <f>'P &amp; L'!D10</f>
        <v>0</v>
      </c>
      <c r="E6" s="305">
        <f>'P &amp; L'!E10</f>
        <v>0</v>
      </c>
      <c r="F6" s="305">
        <f>'P &amp; L'!F10</f>
        <v>816.92499999999995</v>
      </c>
      <c r="G6" s="305">
        <f>'P &amp; L'!G10</f>
        <v>882.27900000000011</v>
      </c>
      <c r="H6" s="305">
        <f>'P &amp; L'!H10</f>
        <v>952.86132000000009</v>
      </c>
      <c r="I6" s="305">
        <f>'P &amp; L'!I10</f>
        <v>1029.0902256000002</v>
      </c>
      <c r="J6" s="305">
        <f>'P &amp; L'!J10</f>
        <v>1111.4174436480002</v>
      </c>
      <c r="K6" s="305">
        <f>'P &amp; L'!K10</f>
        <v>1200.3308391398405</v>
      </c>
      <c r="L6" s="305">
        <f>'P &amp; L'!L10</f>
        <v>1296.3573062710275</v>
      </c>
      <c r="M6" s="305">
        <f>'P &amp; L'!M10</f>
        <v>1400.06589077271</v>
      </c>
      <c r="N6" s="305">
        <f>'P &amp; L'!N10</f>
        <v>1512.0711620345269</v>
      </c>
      <c r="O6" s="305">
        <f>'P &amp; L'!O10</f>
        <v>1633.0368549972891</v>
      </c>
      <c r="P6" s="305">
        <f>'P &amp; L'!P10</f>
        <v>1763.6798033970724</v>
      </c>
    </row>
    <row r="7" spans="2:16" ht="16.5" customHeight="1" x14ac:dyDescent="0.35">
      <c r="B7" s="51" t="s">
        <v>913</v>
      </c>
      <c r="C7" s="48"/>
      <c r="D7" s="305">
        <f>'P &amp; L'!D12</f>
        <v>0</v>
      </c>
      <c r="E7" s="305">
        <f>'P &amp; L'!E12</f>
        <v>0</v>
      </c>
      <c r="F7" s="305">
        <f>'P &amp; L'!F12</f>
        <v>163.38499999999999</v>
      </c>
      <c r="G7" s="305">
        <f>'P &amp; L'!G12</f>
        <v>176.45580000000004</v>
      </c>
      <c r="H7" s="305">
        <f>'P &amp; L'!H12</f>
        <v>190.57226400000002</v>
      </c>
      <c r="I7" s="305">
        <f>'P &amp; L'!I12</f>
        <v>205.81804512000005</v>
      </c>
      <c r="J7" s="305">
        <f>'P &amp; L'!J12</f>
        <v>222.28348872960007</v>
      </c>
      <c r="K7" s="305">
        <f>'P &amp; L'!K12</f>
        <v>240.06616782796812</v>
      </c>
      <c r="L7" s="305">
        <f>'P &amp; L'!L12</f>
        <v>259.27146125420552</v>
      </c>
      <c r="M7" s="305">
        <f>'P &amp; L'!M12</f>
        <v>280.013178154542</v>
      </c>
      <c r="N7" s="305">
        <f>'P &amp; L'!N12</f>
        <v>302.4142324069054</v>
      </c>
      <c r="O7" s="305">
        <f>'P &amp; L'!O12</f>
        <v>326.60737099945783</v>
      </c>
      <c r="P7" s="305">
        <f>'P &amp; L'!P12</f>
        <v>352.73596067941452</v>
      </c>
    </row>
    <row r="8" spans="2:16" ht="16.5" customHeight="1" x14ac:dyDescent="0.35">
      <c r="B8" s="51" t="s">
        <v>543</v>
      </c>
      <c r="C8" s="100"/>
      <c r="D8" s="305">
        <f>'P &amp; L'!D13</f>
        <v>0</v>
      </c>
      <c r="E8" s="305">
        <f>'P &amp; L'!E13</f>
        <v>0</v>
      </c>
      <c r="F8" s="305">
        <f>'P &amp; L'!F13</f>
        <v>81.692499999999995</v>
      </c>
      <c r="G8" s="305">
        <f>'P &amp; L'!G13</f>
        <v>88.22790000000002</v>
      </c>
      <c r="H8" s="305">
        <f>'P &amp; L'!H13</f>
        <v>95.286132000000009</v>
      </c>
      <c r="I8" s="305">
        <f>'P &amp; L'!I13</f>
        <v>102.90902256000003</v>
      </c>
      <c r="J8" s="305">
        <f>'P &amp; L'!J13</f>
        <v>111.14174436480003</v>
      </c>
      <c r="K8" s="305">
        <f>'P &amp; L'!K13</f>
        <v>120.03308391398406</v>
      </c>
      <c r="L8" s="305">
        <f>'P &amp; L'!L13</f>
        <v>129.63573062710276</v>
      </c>
      <c r="M8" s="305">
        <f>'P &amp; L'!M13</f>
        <v>140.006589077271</v>
      </c>
      <c r="N8" s="305">
        <f>'P &amp; L'!N13</f>
        <v>151.2071162034527</v>
      </c>
      <c r="O8" s="305">
        <f>'P &amp; L'!O13</f>
        <v>163.30368549972891</v>
      </c>
      <c r="P8" s="305">
        <f>'P &amp; L'!P13</f>
        <v>176.36798033970726</v>
      </c>
    </row>
    <row r="9" spans="2:16" ht="16.5" customHeight="1" x14ac:dyDescent="0.35">
      <c r="B9" s="51" t="s">
        <v>718</v>
      </c>
      <c r="C9" s="100"/>
      <c r="D9" s="305">
        <f>'P &amp; L'!D21</f>
        <v>0</v>
      </c>
      <c r="E9" s="305">
        <f>'P &amp; L'!E21</f>
        <v>0</v>
      </c>
      <c r="F9" s="305">
        <f>'P &amp; L'!F21</f>
        <v>231.56975</v>
      </c>
      <c r="G9" s="305">
        <f>'P &amp; L'!G21</f>
        <v>249.61533000000003</v>
      </c>
      <c r="H9" s="305">
        <f>'P &amp; L'!H21</f>
        <v>269.10455640000004</v>
      </c>
      <c r="I9" s="305">
        <f>'P &amp; L'!I21</f>
        <v>290.15292091200007</v>
      </c>
      <c r="J9" s="305">
        <f>'P &amp; L'!J21</f>
        <v>312.88515458496005</v>
      </c>
      <c r="K9" s="305">
        <f>'P &amp; L'!K21</f>
        <v>337.43596695175694</v>
      </c>
      <c r="L9" s="305">
        <f>'P &amp; L'!L21</f>
        <v>363.95084430789746</v>
      </c>
      <c r="M9" s="305">
        <f>'P &amp; L'!M21</f>
        <v>392.58691185252934</v>
      </c>
      <c r="N9" s="305">
        <f>'P &amp; L'!N21</f>
        <v>423.51386480073171</v>
      </c>
      <c r="O9" s="305">
        <f>'P &amp; L'!O21</f>
        <v>456.91497398479021</v>
      </c>
      <c r="P9" s="305">
        <f>'P &amp; L'!P21</f>
        <v>492.98817190357352</v>
      </c>
    </row>
    <row r="10" spans="2:16" ht="16.5" customHeight="1" x14ac:dyDescent="0.35">
      <c r="C10" s="100"/>
      <c r="D10" s="100"/>
      <c r="E10" s="100"/>
      <c r="F10" s="100"/>
      <c r="G10" s="100"/>
      <c r="H10" s="100"/>
      <c r="I10" s="100"/>
      <c r="J10" s="100"/>
      <c r="K10" s="100"/>
      <c r="L10" s="100"/>
      <c r="M10" s="100"/>
      <c r="N10" s="100"/>
      <c r="O10" s="100"/>
      <c r="P10" s="100"/>
    </row>
    <row r="11" spans="2:16" ht="16.5" customHeight="1" x14ac:dyDescent="0.35">
      <c r="C11" s="100"/>
      <c r="D11" s="100"/>
      <c r="E11" s="100"/>
      <c r="F11" s="100"/>
      <c r="G11" s="100"/>
      <c r="H11" s="100"/>
      <c r="I11" s="100"/>
      <c r="J11" s="100"/>
      <c r="K11" s="100"/>
      <c r="L11" s="100"/>
      <c r="M11" s="100"/>
      <c r="N11" s="100"/>
      <c r="O11" s="100"/>
      <c r="P11" s="100"/>
    </row>
    <row r="12" spans="2:16" ht="16.5" customHeight="1" x14ac:dyDescent="0.35">
      <c r="B12" s="51" t="s">
        <v>371</v>
      </c>
      <c r="D12" s="186">
        <f>C14</f>
        <v>0</v>
      </c>
      <c r="E12" s="186">
        <f t="shared" ref="E12:K12" si="6">D14</f>
        <v>0</v>
      </c>
      <c r="F12" s="186">
        <f t="shared" si="6"/>
        <v>0</v>
      </c>
      <c r="G12" s="186">
        <f t="shared" si="6"/>
        <v>13.428904109589039</v>
      </c>
      <c r="H12" s="186">
        <f t="shared" si="6"/>
        <v>14.503216438356167</v>
      </c>
      <c r="I12" s="186">
        <f t="shared" si="6"/>
        <v>15.663473753424659</v>
      </c>
      <c r="J12" s="186">
        <f t="shared" si="6"/>
        <v>16.916551653698633</v>
      </c>
      <c r="K12" s="186">
        <f t="shared" si="6"/>
        <v>18.269875785994525</v>
      </c>
      <c r="L12" s="186">
        <f t="shared" ref="L12" si="7">K14</f>
        <v>19.731465848874091</v>
      </c>
      <c r="M12" s="186">
        <f t="shared" ref="M12" si="8">L14</f>
        <v>21.309983116784014</v>
      </c>
      <c r="N12" s="186">
        <f t="shared" ref="N12" si="9">M14</f>
        <v>23.014781766126738</v>
      </c>
      <c r="O12" s="186">
        <f t="shared" ref="O12" si="10">N14</f>
        <v>24.855964307416883</v>
      </c>
      <c r="P12" s="186">
        <f t="shared" ref="P12" si="11">O14</f>
        <v>26.84444145201023</v>
      </c>
    </row>
    <row r="13" spans="2:16" ht="16.5" customHeight="1" x14ac:dyDescent="0.35">
      <c r="B13" s="45" t="s">
        <v>372</v>
      </c>
      <c r="C13" s="54"/>
      <c r="D13" s="186">
        <f t="shared" ref="D13:K13" si="12">D7</f>
        <v>0</v>
      </c>
      <c r="E13" s="186">
        <f t="shared" si="12"/>
        <v>0</v>
      </c>
      <c r="F13" s="186">
        <f t="shared" si="12"/>
        <v>163.38499999999999</v>
      </c>
      <c r="G13" s="186">
        <f t="shared" si="12"/>
        <v>176.45580000000004</v>
      </c>
      <c r="H13" s="186">
        <f t="shared" si="12"/>
        <v>190.57226400000002</v>
      </c>
      <c r="I13" s="186">
        <f t="shared" si="12"/>
        <v>205.81804512000005</v>
      </c>
      <c r="J13" s="186">
        <f t="shared" si="12"/>
        <v>222.28348872960007</v>
      </c>
      <c r="K13" s="186">
        <f t="shared" si="12"/>
        <v>240.06616782796812</v>
      </c>
      <c r="L13" s="186">
        <f t="shared" ref="L13:P13" si="13">L7</f>
        <v>259.27146125420552</v>
      </c>
      <c r="M13" s="186">
        <f t="shared" si="13"/>
        <v>280.013178154542</v>
      </c>
      <c r="N13" s="186">
        <f t="shared" si="13"/>
        <v>302.4142324069054</v>
      </c>
      <c r="O13" s="186">
        <f t="shared" si="13"/>
        <v>326.60737099945783</v>
      </c>
      <c r="P13" s="186">
        <f t="shared" si="13"/>
        <v>352.73596067941452</v>
      </c>
    </row>
    <row r="14" spans="2:16" ht="16.5" customHeight="1" x14ac:dyDescent="0.35">
      <c r="B14" s="51" t="s">
        <v>373</v>
      </c>
      <c r="C14" s="186"/>
      <c r="D14" s="186">
        <f>D16*D15/365</f>
        <v>0</v>
      </c>
      <c r="E14" s="186">
        <f t="shared" ref="E14:K14" si="14">E16*E15/365</f>
        <v>0</v>
      </c>
      <c r="F14" s="186">
        <f t="shared" si="14"/>
        <v>13.428904109589039</v>
      </c>
      <c r="G14" s="186">
        <f t="shared" si="14"/>
        <v>14.503216438356167</v>
      </c>
      <c r="H14" s="186">
        <f t="shared" si="14"/>
        <v>15.663473753424659</v>
      </c>
      <c r="I14" s="186">
        <f t="shared" si="14"/>
        <v>16.916551653698633</v>
      </c>
      <c r="J14" s="186">
        <f t="shared" si="14"/>
        <v>18.269875785994525</v>
      </c>
      <c r="K14" s="186">
        <f t="shared" si="14"/>
        <v>19.731465848874091</v>
      </c>
      <c r="L14" s="186">
        <f t="shared" ref="L14:P14" si="15">L16*L15/365</f>
        <v>21.309983116784014</v>
      </c>
      <c r="M14" s="186">
        <f t="shared" si="15"/>
        <v>23.014781766126738</v>
      </c>
      <c r="N14" s="186">
        <f t="shared" si="15"/>
        <v>24.855964307416883</v>
      </c>
      <c r="O14" s="186">
        <f t="shared" si="15"/>
        <v>26.84444145201023</v>
      </c>
      <c r="P14" s="186">
        <f t="shared" si="15"/>
        <v>28.991996768171056</v>
      </c>
    </row>
    <row r="15" spans="2:16" ht="16.5" customHeight="1" x14ac:dyDescent="0.35">
      <c r="B15" s="51" t="s">
        <v>141</v>
      </c>
      <c r="D15" s="253">
        <v>30</v>
      </c>
      <c r="E15" s="253">
        <f>D15</f>
        <v>30</v>
      </c>
      <c r="F15" s="253">
        <f t="shared" ref="F15:K15" si="16">E15</f>
        <v>30</v>
      </c>
      <c r="G15" s="253">
        <f t="shared" si="16"/>
        <v>30</v>
      </c>
      <c r="H15" s="253">
        <f t="shared" si="16"/>
        <v>30</v>
      </c>
      <c r="I15" s="253">
        <f t="shared" si="16"/>
        <v>30</v>
      </c>
      <c r="J15" s="253">
        <f t="shared" si="16"/>
        <v>30</v>
      </c>
      <c r="K15" s="253">
        <f t="shared" si="16"/>
        <v>30</v>
      </c>
      <c r="L15" s="253">
        <f t="shared" ref="L15:P15" si="17">K15</f>
        <v>30</v>
      </c>
      <c r="M15" s="253">
        <f t="shared" si="17"/>
        <v>30</v>
      </c>
      <c r="N15" s="253">
        <f t="shared" si="17"/>
        <v>30</v>
      </c>
      <c r="O15" s="253">
        <f t="shared" si="17"/>
        <v>30</v>
      </c>
      <c r="P15" s="253">
        <f t="shared" si="17"/>
        <v>30</v>
      </c>
    </row>
    <row r="16" spans="2:16" ht="16.5" customHeight="1" x14ac:dyDescent="0.35">
      <c r="B16" s="51" t="s">
        <v>374</v>
      </c>
      <c r="C16" s="54"/>
      <c r="D16" s="186">
        <f t="shared" ref="D16:K16" si="18">D7</f>
        <v>0</v>
      </c>
      <c r="E16" s="186">
        <f t="shared" si="18"/>
        <v>0</v>
      </c>
      <c r="F16" s="186">
        <f t="shared" si="18"/>
        <v>163.38499999999999</v>
      </c>
      <c r="G16" s="186">
        <f t="shared" si="18"/>
        <v>176.45580000000004</v>
      </c>
      <c r="H16" s="186">
        <f t="shared" si="18"/>
        <v>190.57226400000002</v>
      </c>
      <c r="I16" s="186">
        <f t="shared" si="18"/>
        <v>205.81804512000005</v>
      </c>
      <c r="J16" s="186">
        <f t="shared" si="18"/>
        <v>222.28348872960007</v>
      </c>
      <c r="K16" s="186">
        <f t="shared" si="18"/>
        <v>240.06616782796812</v>
      </c>
      <c r="L16" s="186">
        <f t="shared" ref="L16:P16" si="19">L7</f>
        <v>259.27146125420552</v>
      </c>
      <c r="M16" s="186">
        <f t="shared" si="19"/>
        <v>280.013178154542</v>
      </c>
      <c r="N16" s="186">
        <f t="shared" si="19"/>
        <v>302.4142324069054</v>
      </c>
      <c r="O16" s="186">
        <f t="shared" si="19"/>
        <v>326.60737099945783</v>
      </c>
      <c r="P16" s="186">
        <f t="shared" si="19"/>
        <v>352.73596067941452</v>
      </c>
    </row>
    <row r="17" spans="2:16" ht="16.5" customHeight="1" x14ac:dyDescent="0.35"/>
    <row r="18" spans="2:16" ht="16.5" customHeight="1" x14ac:dyDescent="0.35">
      <c r="B18" s="51" t="s">
        <v>141</v>
      </c>
    </row>
    <row r="19" spans="2:16" ht="16.5" customHeight="1" x14ac:dyDescent="0.35">
      <c r="B19" s="51" t="s">
        <v>719</v>
      </c>
      <c r="C19" s="100"/>
      <c r="D19" s="186">
        <f t="shared" ref="D19:K19" si="20">D13*D20/365</f>
        <v>0</v>
      </c>
      <c r="E19" s="186">
        <f t="shared" si="20"/>
        <v>0</v>
      </c>
      <c r="F19" s="186">
        <f t="shared" si="20"/>
        <v>13.428904109589039</v>
      </c>
      <c r="G19" s="186">
        <f t="shared" si="20"/>
        <v>14.503216438356167</v>
      </c>
      <c r="H19" s="186">
        <f t="shared" si="20"/>
        <v>15.663473753424659</v>
      </c>
      <c r="I19" s="186">
        <f t="shared" si="20"/>
        <v>16.916551653698633</v>
      </c>
      <c r="J19" s="186">
        <f t="shared" si="20"/>
        <v>18.269875785994525</v>
      </c>
      <c r="K19" s="186">
        <f t="shared" si="20"/>
        <v>19.731465848874091</v>
      </c>
      <c r="L19" s="186">
        <f t="shared" ref="L19:P19" si="21">L13*L20/365</f>
        <v>21.309983116784014</v>
      </c>
      <c r="M19" s="186">
        <f t="shared" si="21"/>
        <v>23.014781766126738</v>
      </c>
      <c r="N19" s="186">
        <f t="shared" si="21"/>
        <v>24.855964307416883</v>
      </c>
      <c r="O19" s="186">
        <f t="shared" si="21"/>
        <v>26.84444145201023</v>
      </c>
      <c r="P19" s="186">
        <f t="shared" si="21"/>
        <v>28.991996768171056</v>
      </c>
    </row>
    <row r="20" spans="2:16" ht="16.5" customHeight="1" x14ac:dyDescent="0.35">
      <c r="B20" s="51" t="s">
        <v>375</v>
      </c>
      <c r="C20" s="54"/>
      <c r="D20" s="324">
        <v>30</v>
      </c>
      <c r="E20" s="324">
        <f>D20</f>
        <v>30</v>
      </c>
      <c r="F20" s="324">
        <f t="shared" ref="F20:K20" si="22">E20</f>
        <v>30</v>
      </c>
      <c r="G20" s="324">
        <f t="shared" si="22"/>
        <v>30</v>
      </c>
      <c r="H20" s="324">
        <f t="shared" si="22"/>
        <v>30</v>
      </c>
      <c r="I20" s="324">
        <f t="shared" si="22"/>
        <v>30</v>
      </c>
      <c r="J20" s="324">
        <f t="shared" si="22"/>
        <v>30</v>
      </c>
      <c r="K20" s="324">
        <f t="shared" si="22"/>
        <v>30</v>
      </c>
      <c r="L20" s="324">
        <f t="shared" ref="L20:P20" si="23">K20</f>
        <v>30</v>
      </c>
      <c r="M20" s="324">
        <f t="shared" si="23"/>
        <v>30</v>
      </c>
      <c r="N20" s="324">
        <f t="shared" si="23"/>
        <v>30</v>
      </c>
      <c r="O20" s="324">
        <f t="shared" si="23"/>
        <v>30</v>
      </c>
      <c r="P20" s="324">
        <f t="shared" si="23"/>
        <v>30</v>
      </c>
    </row>
    <row r="21" spans="2:16" ht="16.5" customHeight="1" x14ac:dyDescent="0.35">
      <c r="B21" s="51" t="s">
        <v>542</v>
      </c>
      <c r="C21" s="100"/>
      <c r="D21" s="186">
        <f t="shared" ref="D21:K21" si="24">D8*D22/365</f>
        <v>0</v>
      </c>
      <c r="E21" s="186">
        <f t="shared" si="24"/>
        <v>0</v>
      </c>
      <c r="F21" s="186">
        <f t="shared" si="24"/>
        <v>6.7144520547945197</v>
      </c>
      <c r="G21" s="186">
        <f t="shared" si="24"/>
        <v>7.2516082191780837</v>
      </c>
      <c r="H21" s="186">
        <f t="shared" si="24"/>
        <v>7.8317368767123297</v>
      </c>
      <c r="I21" s="186">
        <f t="shared" si="24"/>
        <v>8.4582758268493166</v>
      </c>
      <c r="J21" s="186">
        <f t="shared" si="24"/>
        <v>9.1349378929972627</v>
      </c>
      <c r="K21" s="186">
        <f t="shared" si="24"/>
        <v>9.8657329244370455</v>
      </c>
      <c r="L21" s="186">
        <f t="shared" ref="L21:P21" si="25">L8*L22/365</f>
        <v>10.654991558392007</v>
      </c>
      <c r="M21" s="186">
        <f t="shared" si="25"/>
        <v>11.507390883063369</v>
      </c>
      <c r="N21" s="186">
        <f t="shared" si="25"/>
        <v>12.427982153708442</v>
      </c>
      <c r="O21" s="186">
        <f t="shared" si="25"/>
        <v>13.422220726005115</v>
      </c>
      <c r="P21" s="186">
        <f t="shared" si="25"/>
        <v>14.495998384085528</v>
      </c>
    </row>
    <row r="22" spans="2:16" ht="16.5" customHeight="1" x14ac:dyDescent="0.35">
      <c r="B22" s="51" t="s">
        <v>375</v>
      </c>
      <c r="C22" s="54"/>
      <c r="D22" s="253">
        <v>30</v>
      </c>
      <c r="E22" s="253">
        <f>D22</f>
        <v>30</v>
      </c>
      <c r="F22" s="253">
        <f t="shared" ref="F22:K22" si="26">E22</f>
        <v>30</v>
      </c>
      <c r="G22" s="253">
        <f t="shared" si="26"/>
        <v>30</v>
      </c>
      <c r="H22" s="253">
        <f t="shared" si="26"/>
        <v>30</v>
      </c>
      <c r="I22" s="253">
        <f t="shared" si="26"/>
        <v>30</v>
      </c>
      <c r="J22" s="253">
        <f t="shared" si="26"/>
        <v>30</v>
      </c>
      <c r="K22" s="253">
        <f t="shared" si="26"/>
        <v>30</v>
      </c>
      <c r="L22" s="253">
        <f t="shared" ref="L22:P22" si="27">K22</f>
        <v>30</v>
      </c>
      <c r="M22" s="253">
        <f t="shared" si="27"/>
        <v>30</v>
      </c>
      <c r="N22" s="253">
        <f t="shared" si="27"/>
        <v>30</v>
      </c>
      <c r="O22" s="253">
        <f t="shared" si="27"/>
        <v>30</v>
      </c>
      <c r="P22" s="253">
        <f t="shared" si="27"/>
        <v>30</v>
      </c>
    </row>
    <row r="23" spans="2:16" ht="16.5" customHeight="1" x14ac:dyDescent="0.35">
      <c r="B23" s="51" t="s">
        <v>378</v>
      </c>
      <c r="C23" s="100"/>
      <c r="D23" s="186">
        <f t="shared" ref="D23:K23" si="28">D9*D24/365</f>
        <v>0</v>
      </c>
      <c r="E23" s="186">
        <f t="shared" si="28"/>
        <v>0</v>
      </c>
      <c r="F23" s="186">
        <f t="shared" si="28"/>
        <v>19.033130136986301</v>
      </c>
      <c r="G23" s="186">
        <f t="shared" si="28"/>
        <v>20.516328493150688</v>
      </c>
      <c r="H23" s="186">
        <f t="shared" si="28"/>
        <v>22.118182717808221</v>
      </c>
      <c r="I23" s="186">
        <f t="shared" si="28"/>
        <v>23.848185280438361</v>
      </c>
      <c r="J23" s="186">
        <f t="shared" si="28"/>
        <v>25.716588048078908</v>
      </c>
      <c r="K23" s="186">
        <f t="shared" si="28"/>
        <v>27.734463037130705</v>
      </c>
      <c r="L23" s="186">
        <f t="shared" ref="L23:P23" si="29">L9*L24/365</f>
        <v>29.913768025306638</v>
      </c>
      <c r="M23" s="186">
        <f t="shared" si="29"/>
        <v>32.267417412536659</v>
      </c>
      <c r="N23" s="186">
        <f t="shared" si="29"/>
        <v>34.809358750745076</v>
      </c>
      <c r="O23" s="186">
        <f t="shared" si="29"/>
        <v>37.554655396010155</v>
      </c>
      <c r="P23" s="186">
        <f t="shared" si="29"/>
        <v>40.519575772896452</v>
      </c>
    </row>
    <row r="24" spans="2:16" ht="16.5" customHeight="1" x14ac:dyDescent="0.35">
      <c r="B24" s="51" t="s">
        <v>375</v>
      </c>
      <c r="C24" s="54"/>
      <c r="D24" s="253">
        <v>30</v>
      </c>
      <c r="E24" s="253">
        <f t="shared" ref="E24:K24" si="30">D24</f>
        <v>30</v>
      </c>
      <c r="F24" s="253">
        <f t="shared" si="30"/>
        <v>30</v>
      </c>
      <c r="G24" s="253">
        <f t="shared" si="30"/>
        <v>30</v>
      </c>
      <c r="H24" s="253">
        <f t="shared" si="30"/>
        <v>30</v>
      </c>
      <c r="I24" s="253">
        <f t="shared" si="30"/>
        <v>30</v>
      </c>
      <c r="J24" s="253">
        <f t="shared" si="30"/>
        <v>30</v>
      </c>
      <c r="K24" s="253">
        <f t="shared" si="30"/>
        <v>30</v>
      </c>
      <c r="L24" s="253">
        <f t="shared" ref="L24" si="31">K24</f>
        <v>30</v>
      </c>
      <c r="M24" s="253">
        <f t="shared" ref="M24" si="32">L24</f>
        <v>30</v>
      </c>
      <c r="N24" s="253">
        <f t="shared" ref="N24" si="33">M24</f>
        <v>30</v>
      </c>
      <c r="O24" s="253">
        <f t="shared" ref="O24" si="34">N24</f>
        <v>30</v>
      </c>
      <c r="P24" s="253">
        <f t="shared" ref="P24" si="35">O24</f>
        <v>30</v>
      </c>
    </row>
    <row r="25" spans="2:16" ht="16.5" customHeight="1" x14ac:dyDescent="0.35">
      <c r="C25" s="100"/>
      <c r="D25" s="100"/>
      <c r="E25" s="100"/>
      <c r="F25" s="100"/>
      <c r="G25" s="100"/>
      <c r="H25" s="100"/>
      <c r="I25" s="100"/>
      <c r="J25" s="100"/>
      <c r="K25" s="100"/>
      <c r="L25" s="100"/>
      <c r="M25" s="100"/>
      <c r="N25" s="100"/>
      <c r="O25" s="100"/>
      <c r="P25" s="100"/>
    </row>
    <row r="26" spans="2:16" ht="16.5" customHeight="1" x14ac:dyDescent="0.35">
      <c r="B26" s="107" t="s">
        <v>798</v>
      </c>
      <c r="C26" s="114"/>
      <c r="D26" s="294">
        <f>D19+D21+D23</f>
        <v>0</v>
      </c>
      <c r="E26" s="294">
        <f t="shared" ref="E26:K26" si="36">E19+E21+E23</f>
        <v>0</v>
      </c>
      <c r="F26" s="294">
        <f t="shared" si="36"/>
        <v>39.176486301369863</v>
      </c>
      <c r="G26" s="294">
        <f t="shared" si="36"/>
        <v>42.271153150684938</v>
      </c>
      <c r="H26" s="294">
        <f t="shared" si="36"/>
        <v>45.613393347945205</v>
      </c>
      <c r="I26" s="294">
        <f t="shared" si="36"/>
        <v>49.223012760986308</v>
      </c>
      <c r="J26" s="294">
        <f t="shared" si="36"/>
        <v>53.12140172707069</v>
      </c>
      <c r="K26" s="294">
        <f t="shared" si="36"/>
        <v>57.331661810441844</v>
      </c>
      <c r="L26" s="294">
        <f t="shared" ref="L26:P26" si="37">L19+L21+L23</f>
        <v>61.878742700482661</v>
      </c>
      <c r="M26" s="294">
        <f t="shared" si="37"/>
        <v>66.78959006172677</v>
      </c>
      <c r="N26" s="294">
        <f t="shared" si="37"/>
        <v>72.093305211870401</v>
      </c>
      <c r="O26" s="294">
        <f t="shared" si="37"/>
        <v>77.8213175740255</v>
      </c>
      <c r="P26" s="294">
        <f t="shared" si="37"/>
        <v>84.007570925153033</v>
      </c>
    </row>
    <row r="27" spans="2:16" ht="16.5" customHeight="1" x14ac:dyDescent="0.35">
      <c r="C27" s="100"/>
      <c r="D27" s="100"/>
      <c r="E27" s="100"/>
      <c r="F27" s="100"/>
      <c r="G27" s="100"/>
      <c r="H27" s="100"/>
      <c r="I27" s="100"/>
      <c r="J27" s="100"/>
      <c r="K27" s="100"/>
      <c r="L27" s="100"/>
      <c r="M27" s="100"/>
      <c r="N27" s="100"/>
      <c r="O27" s="100"/>
      <c r="P27" s="100"/>
    </row>
    <row r="28" spans="2:16" ht="16.5" customHeight="1" x14ac:dyDescent="0.35">
      <c r="C28" s="100"/>
      <c r="D28" s="100"/>
      <c r="E28" s="100"/>
      <c r="F28" s="100"/>
      <c r="G28" s="100"/>
      <c r="H28" s="100"/>
      <c r="I28" s="100"/>
      <c r="J28" s="100"/>
      <c r="K28" s="100"/>
      <c r="L28" s="100"/>
      <c r="M28" s="100"/>
      <c r="N28" s="100"/>
      <c r="O28" s="100"/>
      <c r="P28" s="100"/>
    </row>
    <row r="29" spans="2:16" ht="16.5" customHeight="1" x14ac:dyDescent="0.35">
      <c r="B29" s="51" t="s">
        <v>376</v>
      </c>
      <c r="C29" s="100"/>
      <c r="D29" s="186">
        <f t="shared" ref="D29:K29" si="38">D6*D30/365</f>
        <v>0</v>
      </c>
      <c r="E29" s="186">
        <f t="shared" si="38"/>
        <v>0</v>
      </c>
      <c r="F29" s="186">
        <f t="shared" si="38"/>
        <v>22.38150684931507</v>
      </c>
      <c r="G29" s="186">
        <f t="shared" si="38"/>
        <v>24.172027397260276</v>
      </c>
      <c r="H29" s="186">
        <f t="shared" si="38"/>
        <v>26.105789589041102</v>
      </c>
      <c r="I29" s="186">
        <f t="shared" si="38"/>
        <v>28.194252756164389</v>
      </c>
      <c r="J29" s="186">
        <f t="shared" si="38"/>
        <v>30.449792976657545</v>
      </c>
      <c r="K29" s="186">
        <f t="shared" si="38"/>
        <v>32.885776414790151</v>
      </c>
      <c r="L29" s="186">
        <f t="shared" ref="L29:P29" si="39">L6*L30/365</f>
        <v>35.516638527973356</v>
      </c>
      <c r="M29" s="186">
        <f t="shared" si="39"/>
        <v>38.357969610211235</v>
      </c>
      <c r="N29" s="186">
        <f t="shared" si="39"/>
        <v>41.426607179028132</v>
      </c>
      <c r="O29" s="186">
        <f t="shared" si="39"/>
        <v>44.740735753350386</v>
      </c>
      <c r="P29" s="186">
        <f t="shared" si="39"/>
        <v>48.319994613618427</v>
      </c>
    </row>
    <row r="30" spans="2:16" ht="16.5" customHeight="1" x14ac:dyDescent="0.35">
      <c r="B30" s="51" t="s">
        <v>375</v>
      </c>
      <c r="C30" s="54"/>
      <c r="D30" s="253">
        <v>10</v>
      </c>
      <c r="E30" s="253">
        <f>D30</f>
        <v>10</v>
      </c>
      <c r="F30" s="253">
        <f t="shared" ref="F30:K30" si="40">E30</f>
        <v>10</v>
      </c>
      <c r="G30" s="253">
        <f t="shared" si="40"/>
        <v>10</v>
      </c>
      <c r="H30" s="253">
        <f t="shared" si="40"/>
        <v>10</v>
      </c>
      <c r="I30" s="253">
        <f t="shared" si="40"/>
        <v>10</v>
      </c>
      <c r="J30" s="253">
        <f t="shared" si="40"/>
        <v>10</v>
      </c>
      <c r="K30" s="253">
        <f t="shared" si="40"/>
        <v>10</v>
      </c>
      <c r="L30" s="253">
        <f t="shared" ref="L30" si="41">K30</f>
        <v>10</v>
      </c>
      <c r="M30" s="253">
        <f t="shared" ref="M30" si="42">L30</f>
        <v>10</v>
      </c>
      <c r="N30" s="253">
        <f t="shared" ref="N30" si="43">M30</f>
        <v>10</v>
      </c>
      <c r="O30" s="253">
        <f t="shared" ref="O30" si="44">N30</f>
        <v>10</v>
      </c>
      <c r="P30" s="253">
        <f t="shared" ref="P30" si="45">O30</f>
        <v>10</v>
      </c>
    </row>
    <row r="31" spans="2:16" ht="16.5" customHeight="1" x14ac:dyDescent="0.35">
      <c r="B31" s="51" t="s">
        <v>377</v>
      </c>
      <c r="C31" s="186"/>
      <c r="D31" s="186">
        <f t="shared" ref="D31:K31" si="46">D14</f>
        <v>0</v>
      </c>
      <c r="E31" s="186">
        <f t="shared" si="46"/>
        <v>0</v>
      </c>
      <c r="F31" s="186">
        <f t="shared" si="46"/>
        <v>13.428904109589039</v>
      </c>
      <c r="G31" s="186">
        <f t="shared" si="46"/>
        <v>14.503216438356167</v>
      </c>
      <c r="H31" s="186">
        <f t="shared" si="46"/>
        <v>15.663473753424659</v>
      </c>
      <c r="I31" s="186">
        <f t="shared" si="46"/>
        <v>16.916551653698633</v>
      </c>
      <c r="J31" s="186">
        <f t="shared" si="46"/>
        <v>18.269875785994525</v>
      </c>
      <c r="K31" s="186">
        <f t="shared" si="46"/>
        <v>19.731465848874091</v>
      </c>
      <c r="L31" s="186">
        <f t="shared" ref="L31:P31" si="47">L14</f>
        <v>21.309983116784014</v>
      </c>
      <c r="M31" s="186">
        <f t="shared" si="47"/>
        <v>23.014781766126738</v>
      </c>
      <c r="N31" s="186">
        <f t="shared" si="47"/>
        <v>24.855964307416883</v>
      </c>
      <c r="O31" s="186">
        <f t="shared" si="47"/>
        <v>26.84444145201023</v>
      </c>
      <c r="P31" s="186">
        <f t="shared" si="47"/>
        <v>28.991996768171056</v>
      </c>
    </row>
    <row r="32" spans="2:16" ht="16.5" customHeight="1" x14ac:dyDescent="0.35">
      <c r="D32" s="186"/>
      <c r="E32" s="186"/>
      <c r="F32" s="186"/>
      <c r="G32" s="186"/>
      <c r="H32" s="186"/>
      <c r="I32" s="186"/>
      <c r="J32" s="186"/>
      <c r="K32" s="186"/>
      <c r="L32" s="186"/>
      <c r="M32" s="186"/>
      <c r="N32" s="186"/>
      <c r="O32" s="186"/>
      <c r="P32" s="186"/>
    </row>
    <row r="33" spans="2:16" ht="16.5" customHeight="1" x14ac:dyDescent="0.35">
      <c r="B33" s="51" t="s">
        <v>379</v>
      </c>
      <c r="C33" s="114"/>
      <c r="D33" s="294">
        <f t="shared" ref="D33:I33" si="48">D29+D31</f>
        <v>0</v>
      </c>
      <c r="E33" s="294">
        <f t="shared" si="48"/>
        <v>0</v>
      </c>
      <c r="F33" s="294">
        <f t="shared" si="48"/>
        <v>35.810410958904107</v>
      </c>
      <c r="G33" s="294">
        <f t="shared" si="48"/>
        <v>38.675243835616442</v>
      </c>
      <c r="H33" s="294">
        <f t="shared" si="48"/>
        <v>41.769263342465763</v>
      </c>
      <c r="I33" s="294">
        <f t="shared" si="48"/>
        <v>45.110804409863022</v>
      </c>
      <c r="J33" s="294">
        <f t="shared" ref="J33:K33" si="49">J29+J31</f>
        <v>48.71966876265207</v>
      </c>
      <c r="K33" s="294">
        <f t="shared" si="49"/>
        <v>52.617242263664238</v>
      </c>
      <c r="L33" s="294">
        <f t="shared" ref="L33:P33" si="50">L29+L31</f>
        <v>56.826621644757367</v>
      </c>
      <c r="M33" s="294">
        <f t="shared" si="50"/>
        <v>61.372751376337973</v>
      </c>
      <c r="N33" s="294">
        <f t="shared" si="50"/>
        <v>66.282571486445022</v>
      </c>
      <c r="O33" s="294">
        <f t="shared" si="50"/>
        <v>71.585177205360623</v>
      </c>
      <c r="P33" s="294">
        <f t="shared" si="50"/>
        <v>77.311991381789483</v>
      </c>
    </row>
    <row r="34" spans="2:16" ht="16.5" customHeight="1" x14ac:dyDescent="0.35">
      <c r="C34" s="100"/>
      <c r="D34" s="186"/>
      <c r="E34" s="186"/>
      <c r="F34" s="186"/>
      <c r="G34" s="186"/>
      <c r="H34" s="186"/>
      <c r="I34" s="186"/>
      <c r="J34" s="186"/>
      <c r="K34" s="186"/>
      <c r="L34" s="186"/>
      <c r="M34" s="186"/>
      <c r="N34" s="186"/>
      <c r="O34" s="186"/>
      <c r="P34" s="186"/>
    </row>
    <row r="35" spans="2:16" ht="16.5" customHeight="1" x14ac:dyDescent="0.35">
      <c r="B35" s="51" t="s">
        <v>422</v>
      </c>
      <c r="C35" s="100"/>
      <c r="D35" s="186">
        <f t="shared" ref="D35:I35" si="51">D33-D26</f>
        <v>0</v>
      </c>
      <c r="E35" s="186">
        <f t="shared" si="51"/>
        <v>0</v>
      </c>
      <c r="F35" s="186">
        <f t="shared" si="51"/>
        <v>-3.3660753424657557</v>
      </c>
      <c r="G35" s="186">
        <f t="shared" si="51"/>
        <v>-3.5959093150684964</v>
      </c>
      <c r="H35" s="186">
        <f t="shared" si="51"/>
        <v>-3.8441300054794425</v>
      </c>
      <c r="I35" s="186">
        <f t="shared" si="51"/>
        <v>-4.1122083511232859</v>
      </c>
      <c r="J35" s="186">
        <f t="shared" ref="J35:K35" si="52">J33-J26</f>
        <v>-4.4017329644186205</v>
      </c>
      <c r="K35" s="186">
        <f t="shared" si="52"/>
        <v>-4.7144195467776058</v>
      </c>
      <c r="L35" s="186">
        <f t="shared" ref="L35:P35" si="53">L33-L26</f>
        <v>-5.0521210557252942</v>
      </c>
      <c r="M35" s="186">
        <f t="shared" si="53"/>
        <v>-5.4168386853887966</v>
      </c>
      <c r="N35" s="186">
        <f t="shared" si="53"/>
        <v>-5.8107337254253792</v>
      </c>
      <c r="O35" s="186">
        <f t="shared" si="53"/>
        <v>-6.2361403686648771</v>
      </c>
      <c r="P35" s="186">
        <f t="shared" si="53"/>
        <v>-6.6955795433635501</v>
      </c>
    </row>
    <row r="36" spans="2:16" ht="16.5" customHeight="1" x14ac:dyDescent="0.35">
      <c r="B36" s="51" t="s">
        <v>423</v>
      </c>
      <c r="C36" s="100"/>
      <c r="D36" s="186">
        <f t="shared" ref="D36:I36" si="54">D35*25%</f>
        <v>0</v>
      </c>
      <c r="E36" s="186">
        <f t="shared" si="54"/>
        <v>0</v>
      </c>
      <c r="F36" s="186">
        <f t="shared" si="54"/>
        <v>-0.84151883561643892</v>
      </c>
      <c r="G36" s="186">
        <f t="shared" si="54"/>
        <v>-0.89897732876712411</v>
      </c>
      <c r="H36" s="186">
        <f t="shared" si="54"/>
        <v>-0.96103250136986063</v>
      </c>
      <c r="I36" s="186">
        <f t="shared" si="54"/>
        <v>-1.0280520877808215</v>
      </c>
      <c r="J36" s="186">
        <f t="shared" ref="J36:K36" si="55">J35*25%</f>
        <v>-1.1004332411046551</v>
      </c>
      <c r="K36" s="186">
        <f t="shared" si="55"/>
        <v>-1.1786048866944014</v>
      </c>
      <c r="L36" s="186">
        <f t="shared" ref="L36:P36" si="56">L35*25%</f>
        <v>-1.2630302639313236</v>
      </c>
      <c r="M36" s="186">
        <f t="shared" si="56"/>
        <v>-1.3542096713471992</v>
      </c>
      <c r="N36" s="186">
        <f t="shared" si="56"/>
        <v>-1.4526834313563448</v>
      </c>
      <c r="O36" s="186">
        <f t="shared" si="56"/>
        <v>-1.5590350921662193</v>
      </c>
      <c r="P36" s="186">
        <f t="shared" si="56"/>
        <v>-1.6738948858408875</v>
      </c>
    </row>
    <row r="37" spans="2:16" ht="16.5" customHeight="1" x14ac:dyDescent="0.35">
      <c r="B37" s="51" t="s">
        <v>446</v>
      </c>
      <c r="C37" s="100"/>
      <c r="D37" s="186">
        <f>D35-D36</f>
        <v>0</v>
      </c>
      <c r="E37" s="186">
        <f>E35-E36</f>
        <v>0</v>
      </c>
      <c r="F37" s="186">
        <f>F35-F36</f>
        <v>-2.5245565068493168</v>
      </c>
      <c r="G37" s="186">
        <f t="shared" ref="G37:K37" si="57">G35-G36</f>
        <v>-2.6969319863013723</v>
      </c>
      <c r="H37" s="186">
        <f t="shared" si="57"/>
        <v>-2.8830975041095819</v>
      </c>
      <c r="I37" s="186">
        <f t="shared" si="57"/>
        <v>-3.0841562633424644</v>
      </c>
      <c r="J37" s="186">
        <f t="shared" si="57"/>
        <v>-3.3012997233139654</v>
      </c>
      <c r="K37" s="186">
        <f t="shared" si="57"/>
        <v>-3.5358146600832043</v>
      </c>
      <c r="L37" s="186">
        <f t="shared" ref="L37:P37" si="58">L35-L36</f>
        <v>-3.7890907917939707</v>
      </c>
      <c r="M37" s="186">
        <f t="shared" si="58"/>
        <v>-4.0626290140415975</v>
      </c>
      <c r="N37" s="186">
        <f t="shared" si="58"/>
        <v>-4.3580502940690344</v>
      </c>
      <c r="O37" s="186">
        <f t="shared" si="58"/>
        <v>-4.6771052764986578</v>
      </c>
      <c r="P37" s="186">
        <f t="shared" si="58"/>
        <v>-5.0216846575226626</v>
      </c>
    </row>
    <row r="39" spans="2:16" x14ac:dyDescent="0.35">
      <c r="B39" s="51" t="s">
        <v>802</v>
      </c>
      <c r="D39" s="100">
        <f>D35</f>
        <v>0</v>
      </c>
      <c r="E39" s="186">
        <f>E35-D35</f>
        <v>0</v>
      </c>
      <c r="F39" s="186">
        <f t="shared" ref="F39:K39" si="59">F35-E35</f>
        <v>-3.3660753424657557</v>
      </c>
      <c r="G39" s="186">
        <f t="shared" si="59"/>
        <v>-0.22983397260274074</v>
      </c>
      <c r="H39" s="186">
        <f t="shared" si="59"/>
        <v>-0.24822069041094608</v>
      </c>
      <c r="I39" s="186">
        <f t="shared" si="59"/>
        <v>-0.26807834564384336</v>
      </c>
      <c r="J39" s="186">
        <f t="shared" si="59"/>
        <v>-0.28952461329533463</v>
      </c>
      <c r="K39" s="186">
        <f t="shared" si="59"/>
        <v>-0.31268658235898528</v>
      </c>
      <c r="L39" s="186">
        <f t="shared" ref="L39" si="60">L35-K35</f>
        <v>-0.33770150894768847</v>
      </c>
      <c r="M39" s="186">
        <f t="shared" ref="M39" si="61">M35-L35</f>
        <v>-0.36471762966350241</v>
      </c>
      <c r="N39" s="186">
        <f t="shared" ref="N39" si="62">N35-M35</f>
        <v>-0.3938950400365826</v>
      </c>
      <c r="O39" s="186">
        <f t="shared" ref="O39" si="63">O35-N35</f>
        <v>-0.42540664323949784</v>
      </c>
      <c r="P39" s="186">
        <f t="shared" ref="P39" si="64">P35-O35</f>
        <v>-0.45943917469867301</v>
      </c>
    </row>
    <row r="40" spans="2:16" x14ac:dyDescent="0.35">
      <c r="D40" s="100"/>
      <c r="E40" s="243"/>
    </row>
    <row r="41" spans="2:16" x14ac:dyDescent="0.35">
      <c r="D41" s="100"/>
    </row>
    <row r="43" spans="2:16" x14ac:dyDescent="0.35">
      <c r="D43" s="197"/>
    </row>
  </sheetData>
  <customSheetViews>
    <customSheetView guid="{22475485-DA09-46DB-978D-BB94CE1E5597}">
      <pane xSplit="1" ySplit="5" topLeftCell="B9" activePane="bottomRight" state="frozen"/>
      <selection pane="bottomRight" activeCell="B22" sqref="B22"/>
      <pageMargins left="0.7" right="0.7" top="0.75" bottom="0.75" header="0.3" footer="0.3"/>
      <pageSetup paperSize="9" orientation="portrait" verticalDpi="0" r:id="rId1"/>
    </customSheetView>
  </customSheetView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25"/>
  <sheetViews>
    <sheetView workbookViewId="0">
      <selection activeCell="I13" sqref="I13:J13"/>
    </sheetView>
  </sheetViews>
  <sheetFormatPr defaultColWidth="32.26953125" defaultRowHeight="14" x14ac:dyDescent="0.3"/>
  <cols>
    <col min="1" max="1" width="34.7265625" style="1" customWidth="1"/>
    <col min="2" max="2" width="8.7265625" style="1" customWidth="1"/>
    <col min="3" max="3" width="12.1796875" style="1" bestFit="1" customWidth="1"/>
    <col min="4" max="4" width="10.26953125" style="1" bestFit="1" customWidth="1"/>
    <col min="5" max="11" width="8.7265625" style="1" customWidth="1"/>
    <col min="12" max="12" width="40.453125" style="1" customWidth="1"/>
    <col min="13" max="16384" width="32.26953125" style="1"/>
  </cols>
  <sheetData>
    <row r="1" spans="1:11" ht="26.25" customHeight="1" x14ac:dyDescent="0.35">
      <c r="A1" s="456" t="s">
        <v>14</v>
      </c>
      <c r="B1" s="456"/>
      <c r="C1" s="456"/>
      <c r="D1" s="456"/>
      <c r="E1" s="457"/>
      <c r="F1" s="457"/>
      <c r="G1" s="457"/>
      <c r="H1" s="457"/>
      <c r="I1" s="457"/>
      <c r="J1" s="457"/>
      <c r="K1" s="457"/>
    </row>
    <row r="2" spans="1:11" s="2" customFormat="1" ht="21.75" customHeight="1" x14ac:dyDescent="0.35">
      <c r="A2" s="8" t="s">
        <v>11</v>
      </c>
      <c r="B2" s="9" t="s">
        <v>12</v>
      </c>
      <c r="C2" s="9" t="s">
        <v>105</v>
      </c>
      <c r="D2" s="9" t="s">
        <v>106</v>
      </c>
      <c r="E2" s="9" t="s">
        <v>107</v>
      </c>
      <c r="F2" s="9" t="s">
        <v>108</v>
      </c>
      <c r="G2" s="9" t="s">
        <v>109</v>
      </c>
      <c r="H2" s="9" t="s">
        <v>110</v>
      </c>
      <c r="I2" s="9" t="s">
        <v>111</v>
      </c>
      <c r="J2" s="9" t="s">
        <v>112</v>
      </c>
      <c r="K2" s="9" t="s">
        <v>113</v>
      </c>
    </row>
    <row r="3" spans="1:11" s="2" customFormat="1" ht="23.25" customHeight="1" x14ac:dyDescent="0.35">
      <c r="A3" s="459" t="s">
        <v>15</v>
      </c>
      <c r="B3" s="459"/>
      <c r="C3" s="459"/>
      <c r="D3" s="459"/>
      <c r="E3" s="459"/>
      <c r="F3" s="459"/>
      <c r="G3" s="459"/>
      <c r="H3" s="459"/>
      <c r="I3" s="459"/>
      <c r="J3" s="459"/>
      <c r="K3" s="459"/>
    </row>
    <row r="4" spans="1:11" ht="22.5" customHeight="1" x14ac:dyDescent="0.3">
      <c r="A4" s="458" t="s">
        <v>16</v>
      </c>
      <c r="B4" s="458"/>
      <c r="C4" s="458"/>
      <c r="D4" s="458"/>
      <c r="E4" s="458"/>
      <c r="F4" s="458"/>
      <c r="G4" s="458"/>
      <c r="H4" s="458"/>
      <c r="I4" s="458"/>
      <c r="J4" s="458"/>
      <c r="K4" s="458"/>
    </row>
    <row r="5" spans="1:11" ht="21" customHeight="1" x14ac:dyDescent="0.3">
      <c r="A5" s="10" t="s">
        <v>17</v>
      </c>
      <c r="B5" s="31">
        <f>'CoP-MoF'!D24/A</f>
        <v>1608.3591666666666</v>
      </c>
      <c r="C5" s="32">
        <f>'CoP-MoF'!D21/A</f>
        <v>990</v>
      </c>
      <c r="D5" s="10"/>
      <c r="E5" s="10"/>
      <c r="F5" s="10"/>
      <c r="G5" s="10"/>
      <c r="H5" s="10"/>
      <c r="I5" s="10"/>
      <c r="J5" s="10"/>
      <c r="K5" s="10"/>
    </row>
    <row r="6" spans="1:11" ht="18.75" customHeight="1" x14ac:dyDescent="0.3">
      <c r="A6" s="10" t="s">
        <v>418</v>
      </c>
      <c r="B6" s="32">
        <f>'P &amp; L'!C30+'P &amp; L'!C26</f>
        <v>0</v>
      </c>
      <c r="C6" s="32">
        <f>'P &amp; L'!D30+'P &amp; L'!D26</f>
        <v>0</v>
      </c>
      <c r="D6" s="32">
        <f>'P &amp; L'!E30+'P &amp; L'!E26</f>
        <v>0</v>
      </c>
      <c r="E6" s="32">
        <f>'P &amp; L'!F30+'P &amp; L'!F26</f>
        <v>195.39645446151354</v>
      </c>
      <c r="F6" s="32">
        <f>'P &amp; L'!G30+'P &amp; L'!G26</f>
        <v>213.59392519997527</v>
      </c>
      <c r="G6" s="32">
        <f>'P &amp; L'!H30+'P &amp; L'!H26</f>
        <v>234.8811299366659</v>
      </c>
      <c r="H6" s="32">
        <f>'P &amp; L'!I30+'P &amp; L'!I26</f>
        <v>259.09441724564294</v>
      </c>
      <c r="I6" s="32" t="e">
        <f>'P &amp; L'!#REF!+'P &amp; L'!#REF!</f>
        <v>#REF!</v>
      </c>
      <c r="J6" s="32" t="e">
        <f>'P &amp; L'!#REF!+'P &amp; L'!#REF!</f>
        <v>#REF!</v>
      </c>
      <c r="K6" s="32" t="e">
        <f>'P &amp; L'!#REF!+'P &amp; L'!#REF!</f>
        <v>#REF!</v>
      </c>
    </row>
    <row r="7" spans="1:11" ht="18.75" customHeight="1" x14ac:dyDescent="0.3">
      <c r="A7" s="10" t="s">
        <v>421</v>
      </c>
      <c r="B7" s="32" t="e">
        <f>'Cash Flow'!#REF!</f>
        <v>#REF!</v>
      </c>
      <c r="C7" s="32" t="e">
        <f>'Cash Flow'!#REF!</f>
        <v>#REF!</v>
      </c>
      <c r="D7" s="32">
        <f>'Cash Flow'!C16</f>
        <v>0</v>
      </c>
      <c r="E7" s="32">
        <f>'Cash Flow'!D16</f>
        <v>0</v>
      </c>
      <c r="F7" s="32">
        <f>'Cash Flow'!E16</f>
        <v>0</v>
      </c>
      <c r="G7" s="32">
        <f>'Cash Flow'!F16</f>
        <v>0</v>
      </c>
      <c r="H7" s="32">
        <f>'Cash Flow'!G16</f>
        <v>0</v>
      </c>
      <c r="I7" s="32"/>
      <c r="J7" s="32"/>
      <c r="K7" s="32"/>
    </row>
    <row r="8" spans="1:11" ht="18.75" customHeight="1" x14ac:dyDescent="0.3">
      <c r="A8" s="10" t="s">
        <v>419</v>
      </c>
      <c r="B8" s="32" t="e">
        <f>+B6+B7</f>
        <v>#REF!</v>
      </c>
      <c r="C8" s="32" t="e">
        <f t="shared" ref="C8:H8" si="0">B8+C6+C7</f>
        <v>#REF!</v>
      </c>
      <c r="D8" s="32" t="e">
        <f t="shared" si="0"/>
        <v>#REF!</v>
      </c>
      <c r="E8" s="32" t="e">
        <f t="shared" si="0"/>
        <v>#REF!</v>
      </c>
      <c r="F8" s="32" t="e">
        <f t="shared" si="0"/>
        <v>#REF!</v>
      </c>
      <c r="G8" s="32" t="e">
        <f t="shared" si="0"/>
        <v>#REF!</v>
      </c>
      <c r="H8" s="32" t="e">
        <f t="shared" si="0"/>
        <v>#REF!</v>
      </c>
      <c r="I8" s="32" t="e">
        <f t="shared" ref="I8:K8" si="1">H8+I6</f>
        <v>#REF!</v>
      </c>
      <c r="J8" s="32" t="e">
        <f t="shared" si="1"/>
        <v>#REF!</v>
      </c>
      <c r="K8" s="32" t="e">
        <f t="shared" si="1"/>
        <v>#REF!</v>
      </c>
    </row>
    <row r="9" spans="1:11" ht="18.75" customHeight="1" x14ac:dyDescent="0.3">
      <c r="A9" s="10" t="s">
        <v>248</v>
      </c>
      <c r="B9" s="10"/>
      <c r="C9" s="32" t="e">
        <f>((C5-D8)/E6)+3</f>
        <v>#REF!</v>
      </c>
      <c r="D9" s="33" t="e">
        <f>((B5-D8)/E6)+3</f>
        <v>#REF!</v>
      </c>
      <c r="E9" s="10"/>
      <c r="F9" s="10"/>
      <c r="G9" s="10"/>
      <c r="H9" s="10"/>
      <c r="I9" s="10"/>
      <c r="J9" s="10"/>
      <c r="K9" s="10"/>
    </row>
    <row r="10" spans="1:11" ht="18.75" customHeight="1" x14ac:dyDescent="0.3">
      <c r="A10" s="458" t="s">
        <v>18</v>
      </c>
      <c r="B10" s="460"/>
      <c r="C10" s="460"/>
      <c r="D10" s="460"/>
      <c r="E10" s="460"/>
      <c r="F10" s="460"/>
      <c r="G10" s="460"/>
      <c r="H10" s="460"/>
      <c r="I10" s="460"/>
      <c r="J10" s="460"/>
      <c r="K10" s="460"/>
    </row>
    <row r="11" spans="1:11" ht="21" customHeight="1" x14ac:dyDescent="0.3">
      <c r="A11" s="10" t="s">
        <v>252</v>
      </c>
      <c r="B11" s="34">
        <f>B5</f>
        <v>1608.3591666666666</v>
      </c>
      <c r="C11" s="10"/>
      <c r="D11" s="10"/>
      <c r="E11" s="10"/>
      <c r="F11" s="10"/>
      <c r="G11" s="10"/>
      <c r="H11" s="10"/>
      <c r="I11" s="10"/>
      <c r="J11" s="10"/>
      <c r="K11" s="10"/>
    </row>
    <row r="12" spans="1:11" ht="18.75" customHeight="1" x14ac:dyDescent="0.3">
      <c r="A12" s="10" t="s">
        <v>418</v>
      </c>
      <c r="B12" s="32" t="e">
        <f>B6+B7</f>
        <v>#REF!</v>
      </c>
      <c r="C12" s="32" t="e">
        <f t="shared" ref="C12:K12" si="2">C6+C7</f>
        <v>#REF!</v>
      </c>
      <c r="D12" s="32">
        <f t="shared" si="2"/>
        <v>0</v>
      </c>
      <c r="E12" s="32">
        <f t="shared" si="2"/>
        <v>195.39645446151354</v>
      </c>
      <c r="F12" s="32">
        <f t="shared" si="2"/>
        <v>213.59392519997527</v>
      </c>
      <c r="G12" s="32">
        <f t="shared" si="2"/>
        <v>234.8811299366659</v>
      </c>
      <c r="H12" s="32">
        <f t="shared" si="2"/>
        <v>259.09441724564294</v>
      </c>
      <c r="I12" s="32" t="e">
        <f t="shared" si="2"/>
        <v>#REF!</v>
      </c>
      <c r="J12" s="32" t="e">
        <f t="shared" si="2"/>
        <v>#REF!</v>
      </c>
      <c r="K12" s="32" t="e">
        <f t="shared" si="2"/>
        <v>#REF!</v>
      </c>
    </row>
    <row r="13" spans="1:11" ht="18.75" customHeight="1" x14ac:dyDescent="0.3">
      <c r="A13" s="41" t="s">
        <v>420</v>
      </c>
      <c r="B13" s="31" t="e">
        <f>B12-B11</f>
        <v>#REF!</v>
      </c>
      <c r="C13" s="31" t="e">
        <f t="shared" ref="C13:K13" si="3">C12-C11</f>
        <v>#REF!</v>
      </c>
      <c r="D13" s="31">
        <f t="shared" si="3"/>
        <v>0</v>
      </c>
      <c r="E13" s="31">
        <f t="shared" si="3"/>
        <v>195.39645446151354</v>
      </c>
      <c r="F13" s="31">
        <f t="shared" si="3"/>
        <v>213.59392519997527</v>
      </c>
      <c r="G13" s="31">
        <f t="shared" si="3"/>
        <v>234.8811299366659</v>
      </c>
      <c r="H13" s="31">
        <f t="shared" si="3"/>
        <v>259.09441724564294</v>
      </c>
      <c r="I13" s="31" t="e">
        <f t="shared" si="3"/>
        <v>#REF!</v>
      </c>
      <c r="J13" s="31" t="e">
        <f t="shared" si="3"/>
        <v>#REF!</v>
      </c>
      <c r="K13" s="31" t="e">
        <f t="shared" si="3"/>
        <v>#REF!</v>
      </c>
    </row>
    <row r="14" spans="1:11" ht="18.75" customHeight="1" x14ac:dyDescent="0.3">
      <c r="A14" s="14" t="s">
        <v>255</v>
      </c>
      <c r="B14" s="10"/>
      <c r="C14" s="10"/>
      <c r="D14" s="10"/>
      <c r="E14" s="10"/>
      <c r="F14" s="10"/>
      <c r="G14" s="10"/>
      <c r="H14" s="42" t="e">
        <f>IRR(#REF!)</f>
        <v>#REF!</v>
      </c>
      <c r="I14" s="10"/>
      <c r="J14" s="10"/>
      <c r="K14" s="42" t="e">
        <f>IRR(B13:K13)</f>
        <v>#VALUE!</v>
      </c>
    </row>
    <row r="15" spans="1:11" ht="18.75" hidden="1" customHeight="1" x14ac:dyDescent="0.35">
      <c r="A15" s="458" t="s">
        <v>23</v>
      </c>
      <c r="B15" s="461"/>
      <c r="C15" s="461"/>
      <c r="D15" s="461"/>
      <c r="E15" s="461"/>
      <c r="F15" s="461"/>
      <c r="G15" s="461"/>
      <c r="H15" s="461"/>
      <c r="I15" s="461"/>
      <c r="J15" s="461"/>
      <c r="K15" s="461"/>
    </row>
    <row r="16" spans="1:11" ht="18.75" hidden="1" customHeight="1" x14ac:dyDescent="0.3">
      <c r="A16" s="10" t="s">
        <v>24</v>
      </c>
      <c r="B16" s="7"/>
      <c r="C16" s="7"/>
      <c r="D16" s="7"/>
      <c r="E16" s="7"/>
      <c r="F16" s="7"/>
      <c r="G16" s="7"/>
      <c r="H16" s="7"/>
      <c r="I16" s="7"/>
      <c r="J16" s="7"/>
      <c r="K16" s="7"/>
    </row>
    <row r="17" spans="1:11" ht="18.75" hidden="1" customHeight="1" x14ac:dyDescent="0.3">
      <c r="A17" s="10" t="s">
        <v>19</v>
      </c>
      <c r="B17" s="7"/>
      <c r="C17" s="7"/>
      <c r="D17" s="7"/>
      <c r="E17" s="7"/>
      <c r="F17" s="7"/>
      <c r="G17" s="7"/>
      <c r="H17" s="7"/>
      <c r="I17" s="7"/>
      <c r="J17" s="7"/>
      <c r="K17" s="7"/>
    </row>
    <row r="18" spans="1:11" ht="18.75" hidden="1" customHeight="1" x14ac:dyDescent="0.3">
      <c r="A18" s="10" t="s">
        <v>20</v>
      </c>
      <c r="B18" s="7"/>
      <c r="C18" s="7"/>
      <c r="D18" s="7"/>
      <c r="E18" s="7"/>
      <c r="F18" s="7"/>
      <c r="G18" s="7"/>
      <c r="H18" s="7"/>
      <c r="I18" s="7"/>
      <c r="J18" s="7"/>
      <c r="K18" s="7"/>
    </row>
    <row r="19" spans="1:11" ht="18.75" hidden="1" customHeight="1" x14ac:dyDescent="0.3">
      <c r="A19" s="10" t="s">
        <v>22</v>
      </c>
      <c r="B19" s="7"/>
      <c r="C19" s="7"/>
      <c r="D19" s="7"/>
      <c r="E19" s="7"/>
      <c r="F19" s="7"/>
      <c r="G19" s="7"/>
      <c r="H19" s="7"/>
      <c r="I19" s="7"/>
      <c r="J19" s="7"/>
      <c r="K19" s="7"/>
    </row>
    <row r="20" spans="1:11" ht="18.75" hidden="1" customHeight="1" x14ac:dyDescent="0.3">
      <c r="A20" s="10" t="s">
        <v>21</v>
      </c>
      <c r="B20" s="7"/>
      <c r="C20" s="7"/>
      <c r="D20" s="7"/>
      <c r="E20" s="7"/>
      <c r="F20" s="7"/>
      <c r="G20" s="7"/>
      <c r="H20" s="7"/>
      <c r="I20" s="7"/>
      <c r="J20" s="7"/>
      <c r="K20" s="7"/>
    </row>
    <row r="21" spans="1:11" ht="18.75" hidden="1" customHeight="1" x14ac:dyDescent="0.3">
      <c r="A21" s="3"/>
    </row>
    <row r="22" spans="1:11" ht="18.75" customHeight="1" x14ac:dyDescent="0.3">
      <c r="A22" s="3"/>
    </row>
    <row r="23" spans="1:11" ht="18.75" customHeight="1" x14ac:dyDescent="0.3"/>
    <row r="24" spans="1:11" ht="18.75" customHeight="1" x14ac:dyDescent="0.3"/>
    <row r="25" spans="1:11" ht="18.75" customHeight="1" x14ac:dyDescent="0.3"/>
  </sheetData>
  <customSheetViews>
    <customSheetView guid="{22475485-DA09-46DB-978D-BB94CE1E5597}" hiddenRows="1">
      <selection activeCell="D25" sqref="D25"/>
      <pageMargins left="0.7" right="0.7" top="0.75" bottom="0.75" header="0.3" footer="0.3"/>
      <pageSetup paperSize="9" orientation="landscape" verticalDpi="300" r:id="rId1"/>
    </customSheetView>
  </customSheetViews>
  <mergeCells count="5">
    <mergeCell ref="A1:K1"/>
    <mergeCell ref="A4:K4"/>
    <mergeCell ref="A3:K3"/>
    <mergeCell ref="A10:K10"/>
    <mergeCell ref="A15:K15"/>
  </mergeCells>
  <pageMargins left="0.7" right="0.7" top="0.75" bottom="0.75" header="0.3" footer="0.3"/>
  <pageSetup paperSize="9" orientation="landscape" verticalDpi="3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2:Q37"/>
  <sheetViews>
    <sheetView view="pageBreakPreview" topLeftCell="A8" zoomScaleSheetLayoutView="100" workbookViewId="0">
      <selection activeCell="D31" sqref="D31"/>
    </sheetView>
  </sheetViews>
  <sheetFormatPr defaultColWidth="8.81640625" defaultRowHeight="14.5" x14ac:dyDescent="0.35"/>
  <cols>
    <col min="5" max="5" width="11.1796875" bestFit="1" customWidth="1"/>
    <col min="6" max="6" width="17.81640625" customWidth="1"/>
  </cols>
  <sheetData>
    <row r="2" spans="2:17" x14ac:dyDescent="0.35">
      <c r="B2" t="s">
        <v>254</v>
      </c>
    </row>
    <row r="3" spans="2:17" x14ac:dyDescent="0.35">
      <c r="C3" s="24" t="s">
        <v>245</v>
      </c>
      <c r="D3" s="24" t="s">
        <v>247</v>
      </c>
      <c r="E3" s="24" t="s">
        <v>249</v>
      </c>
      <c r="F3" s="24" t="s">
        <v>250</v>
      </c>
    </row>
    <row r="4" spans="2:17" x14ac:dyDescent="0.35">
      <c r="C4" s="24"/>
      <c r="D4" s="24"/>
      <c r="E4" s="25">
        <v>0.12</v>
      </c>
      <c r="F4" s="24"/>
    </row>
    <row r="5" spans="2:17" x14ac:dyDescent="0.35">
      <c r="C5" s="24">
        <v>1</v>
      </c>
      <c r="D5" s="40" t="e">
        <f t="array" ref="D5:D14">TRANSPOSE('PBP-IRR'!B12:K12)</f>
        <v>#REF!</v>
      </c>
      <c r="E5" s="26">
        <f>(1/(1+$E$4))^C5</f>
        <v>0.89285714285714279</v>
      </c>
      <c r="F5" s="26" t="e">
        <f>E5*D5</f>
        <v>#REF!</v>
      </c>
      <c r="G5" s="23"/>
      <c r="H5" s="23"/>
      <c r="I5" s="23"/>
      <c r="J5" s="23"/>
      <c r="K5" s="23"/>
      <c r="L5" s="23"/>
      <c r="M5" s="23"/>
      <c r="N5" s="23"/>
      <c r="O5" s="23"/>
      <c r="P5" s="23"/>
      <c r="Q5" s="23"/>
    </row>
    <row r="6" spans="2:17" x14ac:dyDescent="0.35">
      <c r="C6" s="24">
        <f>C5+1</f>
        <v>2</v>
      </c>
      <c r="D6" s="40" t="e">
        <v>#REF!</v>
      </c>
      <c r="E6" s="26">
        <f t="shared" ref="E6:E14" si="0">(1/(1+$E$4))^C6</f>
        <v>0.79719387755102034</v>
      </c>
      <c r="F6" s="26" t="e">
        <f t="shared" ref="F6:F14" si="1">E6*D6</f>
        <v>#REF!</v>
      </c>
    </row>
    <row r="7" spans="2:17" x14ac:dyDescent="0.35">
      <c r="C7" s="24">
        <f t="shared" ref="C7:C14" si="2">C6+1</f>
        <v>3</v>
      </c>
      <c r="D7" s="40">
        <v>0</v>
      </c>
      <c r="E7" s="26">
        <f t="shared" si="0"/>
        <v>0.71178024781341098</v>
      </c>
      <c r="F7" s="26">
        <f t="shared" si="1"/>
        <v>0</v>
      </c>
    </row>
    <row r="8" spans="2:17" x14ac:dyDescent="0.35">
      <c r="C8" s="24">
        <f t="shared" si="2"/>
        <v>4</v>
      </c>
      <c r="D8" s="40">
        <v>195.39645446151354</v>
      </c>
      <c r="E8" s="26">
        <f t="shared" si="0"/>
        <v>0.63551807840483121</v>
      </c>
      <c r="F8" s="26">
        <f t="shared" si="1"/>
        <v>124.1779792664982</v>
      </c>
    </row>
    <row r="9" spans="2:17" x14ac:dyDescent="0.35">
      <c r="C9" s="24">
        <f t="shared" si="2"/>
        <v>5</v>
      </c>
      <c r="D9" s="40">
        <v>213.59392519997527</v>
      </c>
      <c r="E9" s="26">
        <f t="shared" si="0"/>
        <v>0.5674268557185993</v>
      </c>
      <c r="F9" s="26">
        <f t="shared" si="1"/>
        <v>121.19892937681566</v>
      </c>
    </row>
    <row r="10" spans="2:17" x14ac:dyDescent="0.35">
      <c r="C10" s="24">
        <f t="shared" si="2"/>
        <v>6</v>
      </c>
      <c r="D10" s="40">
        <v>234.8811299366659</v>
      </c>
      <c r="E10" s="26">
        <f t="shared" si="0"/>
        <v>0.50663112117732079</v>
      </c>
      <c r="F10" s="26">
        <f t="shared" si="1"/>
        <v>118.99809020320902</v>
      </c>
    </row>
    <row r="11" spans="2:17" x14ac:dyDescent="0.35">
      <c r="C11" s="24">
        <f t="shared" si="2"/>
        <v>7</v>
      </c>
      <c r="D11" s="40">
        <v>259.09441724564294</v>
      </c>
      <c r="E11" s="26">
        <f t="shared" si="0"/>
        <v>0.45234921533689348</v>
      </c>
      <c r="F11" s="26">
        <f t="shared" si="1"/>
        <v>117.20115633923626</v>
      </c>
    </row>
    <row r="12" spans="2:17" x14ac:dyDescent="0.35">
      <c r="C12" s="24">
        <f t="shared" si="2"/>
        <v>8</v>
      </c>
      <c r="D12" s="40" t="e">
        <v>#REF!</v>
      </c>
      <c r="E12" s="26">
        <f t="shared" si="0"/>
        <v>0.40388322797936921</v>
      </c>
      <c r="F12" s="26" t="e">
        <f t="shared" si="1"/>
        <v>#REF!</v>
      </c>
    </row>
    <row r="13" spans="2:17" x14ac:dyDescent="0.35">
      <c r="C13" s="24">
        <f t="shared" si="2"/>
        <v>9</v>
      </c>
      <c r="D13" s="40" t="e">
        <v>#REF!</v>
      </c>
      <c r="E13" s="26">
        <f t="shared" si="0"/>
        <v>0.36061002498157962</v>
      </c>
      <c r="F13" s="26" t="e">
        <f t="shared" si="1"/>
        <v>#REF!</v>
      </c>
    </row>
    <row r="14" spans="2:17" x14ac:dyDescent="0.35">
      <c r="C14" s="24">
        <f t="shared" si="2"/>
        <v>10</v>
      </c>
      <c r="D14" s="40" t="e">
        <v>#REF!</v>
      </c>
      <c r="E14" s="26">
        <f t="shared" si="0"/>
        <v>0.3219732365906961</v>
      </c>
      <c r="F14" s="26" t="e">
        <f t="shared" si="1"/>
        <v>#REF!</v>
      </c>
    </row>
    <row r="15" spans="2:17" x14ac:dyDescent="0.35">
      <c r="C15" s="24"/>
      <c r="D15" s="24"/>
      <c r="E15" s="24"/>
      <c r="F15" s="24"/>
    </row>
    <row r="16" spans="2:17" x14ac:dyDescent="0.35">
      <c r="C16" s="24"/>
      <c r="D16" s="24"/>
      <c r="E16" s="24" t="s">
        <v>251</v>
      </c>
      <c r="F16" s="39" t="e">
        <f>SUM(F5:F15)</f>
        <v>#REF!</v>
      </c>
    </row>
    <row r="17" spans="2:6" x14ac:dyDescent="0.35">
      <c r="C17" s="24"/>
      <c r="D17" s="24" t="s">
        <v>253</v>
      </c>
      <c r="E17" s="24" t="s">
        <v>252</v>
      </c>
      <c r="F17" s="39" t="e">
        <f>('CoP-MoF'!D5+'CoP-MoF'!D7+'CoP-MoF'!#REF!)/A</f>
        <v>#REF!</v>
      </c>
    </row>
    <row r="18" spans="2:6" x14ac:dyDescent="0.35">
      <c r="C18" s="24"/>
      <c r="D18" s="24"/>
      <c r="E18" s="24" t="s">
        <v>254</v>
      </c>
      <c r="F18" s="39" t="e">
        <f>F16-F17</f>
        <v>#REF!</v>
      </c>
    </row>
    <row r="21" spans="2:6" x14ac:dyDescent="0.35">
      <c r="B21" t="s">
        <v>255</v>
      </c>
    </row>
    <row r="22" spans="2:6" x14ac:dyDescent="0.35">
      <c r="C22" s="24" t="s">
        <v>245</v>
      </c>
      <c r="D22" s="24" t="s">
        <v>247</v>
      </c>
      <c r="E22" s="24" t="s">
        <v>249</v>
      </c>
      <c r="F22" s="24" t="s">
        <v>250</v>
      </c>
    </row>
    <row r="23" spans="2:6" x14ac:dyDescent="0.35">
      <c r="C23" s="24"/>
      <c r="D23" s="24"/>
      <c r="E23" s="43">
        <v>0.16869999999999999</v>
      </c>
      <c r="F23" s="24"/>
    </row>
    <row r="24" spans="2:6" x14ac:dyDescent="0.35">
      <c r="C24" s="24">
        <v>1</v>
      </c>
      <c r="D24" s="39" t="e">
        <f>D5</f>
        <v>#REF!</v>
      </c>
      <c r="E24" s="26">
        <f>(1/(1+$E$23))^C24</f>
        <v>0.85565157867716257</v>
      </c>
      <c r="F24" s="26" t="e">
        <f>E24*D24</f>
        <v>#REF!</v>
      </c>
    </row>
    <row r="25" spans="2:6" x14ac:dyDescent="0.35">
      <c r="C25" s="24">
        <f>C24+1</f>
        <v>2</v>
      </c>
      <c r="D25" s="39" t="e">
        <f t="shared" ref="D25:D30" si="3">D6</f>
        <v>#REF!</v>
      </c>
      <c r="E25" s="26">
        <f t="shared" ref="E25:E30" si="4">(1/(1+$E$23))^C25</f>
        <v>0.73213962409272049</v>
      </c>
      <c r="F25" s="26" t="e">
        <f t="shared" ref="F25:F30" si="5">E25*D25</f>
        <v>#REF!</v>
      </c>
    </row>
    <row r="26" spans="2:6" x14ac:dyDescent="0.35">
      <c r="C26" s="24">
        <f t="shared" ref="C26:C30" si="6">C25+1</f>
        <v>3</v>
      </c>
      <c r="D26" s="39">
        <f t="shared" si="3"/>
        <v>0</v>
      </c>
      <c r="E26" s="26">
        <f t="shared" si="4"/>
        <v>0.6264564251670407</v>
      </c>
      <c r="F26" s="26">
        <f t="shared" si="5"/>
        <v>0</v>
      </c>
    </row>
    <row r="27" spans="2:6" x14ac:dyDescent="0.35">
      <c r="C27" s="24">
        <f t="shared" si="6"/>
        <v>4</v>
      </c>
      <c r="D27" s="39">
        <f t="shared" si="3"/>
        <v>195.39645446151354</v>
      </c>
      <c r="E27" s="26">
        <f t="shared" si="4"/>
        <v>0.53602842916663007</v>
      </c>
      <c r="F27" s="26">
        <f t="shared" si="5"/>
        <v>104.73805454973407</v>
      </c>
    </row>
    <row r="28" spans="2:6" x14ac:dyDescent="0.35">
      <c r="C28" s="24">
        <f t="shared" si="6"/>
        <v>5</v>
      </c>
      <c r="D28" s="39">
        <f t="shared" si="3"/>
        <v>213.59392519997527</v>
      </c>
      <c r="E28" s="26">
        <f t="shared" si="4"/>
        <v>0.45865357163226661</v>
      </c>
      <c r="F28" s="26">
        <f t="shared" si="5"/>
        <v>97.965616671923854</v>
      </c>
    </row>
    <row r="29" spans="2:6" x14ac:dyDescent="0.35">
      <c r="C29" s="24">
        <f t="shared" si="6"/>
        <v>6</v>
      </c>
      <c r="D29" s="39">
        <f t="shared" si="3"/>
        <v>234.8811299366659</v>
      </c>
      <c r="E29" s="26">
        <f t="shared" si="4"/>
        <v>0.39244765263306797</v>
      </c>
      <c r="F29" s="26">
        <f t="shared" si="5"/>
        <v>92.178548091447155</v>
      </c>
    </row>
    <row r="30" spans="2:6" x14ac:dyDescent="0.35">
      <c r="C30" s="24">
        <f t="shared" si="6"/>
        <v>7</v>
      </c>
      <c r="D30" s="39">
        <f t="shared" si="3"/>
        <v>259.09441724564294</v>
      </c>
      <c r="E30" s="26">
        <f t="shared" si="4"/>
        <v>0.33579845352363136</v>
      </c>
      <c r="F30" s="26">
        <f t="shared" si="5"/>
        <v>87.003504627693388</v>
      </c>
    </row>
    <row r="31" spans="2:6" x14ac:dyDescent="0.35">
      <c r="C31" s="24"/>
      <c r="D31" s="39"/>
      <c r="E31" s="26"/>
      <c r="F31" s="26"/>
    </row>
    <row r="32" spans="2:6" x14ac:dyDescent="0.35">
      <c r="C32" s="24"/>
      <c r="D32" s="39"/>
      <c r="E32" s="26"/>
      <c r="F32" s="26"/>
    </row>
    <row r="33" spans="3:6" x14ac:dyDescent="0.35">
      <c r="C33" s="24"/>
      <c r="D33" s="39"/>
      <c r="E33" s="26"/>
      <c r="F33" s="26"/>
    </row>
    <row r="34" spans="3:6" x14ac:dyDescent="0.35">
      <c r="C34" s="24"/>
      <c r="D34" s="24"/>
      <c r="E34" s="24"/>
      <c r="F34" s="24"/>
    </row>
    <row r="35" spans="3:6" x14ac:dyDescent="0.35">
      <c r="C35" s="24"/>
      <c r="D35" s="24"/>
      <c r="E35" s="24" t="s">
        <v>251</v>
      </c>
      <c r="F35" s="39" t="e">
        <f>SUM(F24:F34)</f>
        <v>#REF!</v>
      </c>
    </row>
    <row r="36" spans="3:6" x14ac:dyDescent="0.35">
      <c r="C36" s="24"/>
      <c r="D36" s="24" t="s">
        <v>253</v>
      </c>
      <c r="E36" s="24" t="s">
        <v>252</v>
      </c>
      <c r="F36" s="39" t="e">
        <f>F17</f>
        <v>#REF!</v>
      </c>
    </row>
    <row r="37" spans="3:6" x14ac:dyDescent="0.35">
      <c r="C37" s="24"/>
      <c r="D37" s="24"/>
      <c r="E37" s="24" t="s">
        <v>254</v>
      </c>
      <c r="F37" s="39" t="e">
        <f>F35-F36</f>
        <v>#REF!</v>
      </c>
    </row>
  </sheetData>
  <customSheetViews>
    <customSheetView guid="{22475485-DA09-46DB-978D-BB94CE1E5597}" showPageBreaks="1" view="pageBreakPreview" topLeftCell="A27">
      <selection activeCell="E50" sqref="E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F72"/>
  <sheetViews>
    <sheetView zoomScale="120" zoomScaleNormal="120" workbookViewId="0">
      <selection activeCell="C2" sqref="C2"/>
    </sheetView>
  </sheetViews>
  <sheetFormatPr defaultColWidth="13" defaultRowHeight="14" x14ac:dyDescent="0.35"/>
  <cols>
    <col min="1" max="1" width="7.26953125" style="12"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4" customHeight="1" x14ac:dyDescent="0.35">
      <c r="A1" s="456" t="s">
        <v>187</v>
      </c>
      <c r="B1" s="456"/>
      <c r="C1" s="456"/>
      <c r="D1" s="456"/>
    </row>
    <row r="2" spans="1:6" s="4" customFormat="1" ht="20.25" customHeight="1" x14ac:dyDescent="0.35">
      <c r="A2" s="16" t="s">
        <v>0</v>
      </c>
      <c r="B2" s="22" t="s">
        <v>188</v>
      </c>
      <c r="C2" s="16" t="s">
        <v>2</v>
      </c>
      <c r="D2" s="16" t="s">
        <v>3</v>
      </c>
    </row>
    <row r="3" spans="1:6" ht="21.75" customHeight="1" x14ac:dyDescent="0.35">
      <c r="A3" s="18" t="s">
        <v>67</v>
      </c>
      <c r="B3" s="459" t="s">
        <v>189</v>
      </c>
      <c r="C3" s="462"/>
      <c r="D3" s="462"/>
    </row>
    <row r="4" spans="1:6" s="6" customFormat="1" ht="20.25" customHeight="1" x14ac:dyDescent="0.35">
      <c r="A4" s="19">
        <v>1</v>
      </c>
      <c r="B4" s="20" t="s">
        <v>190</v>
      </c>
      <c r="C4" s="21">
        <v>10000</v>
      </c>
      <c r="D4" s="19" t="s">
        <v>139</v>
      </c>
      <c r="F4" s="17"/>
    </row>
    <row r="5" spans="1:6" s="6" customFormat="1" ht="20.25" customHeight="1" x14ac:dyDescent="0.35">
      <c r="A5" s="19">
        <v>2</v>
      </c>
      <c r="B5" s="20" t="s">
        <v>191</v>
      </c>
      <c r="C5" s="21">
        <v>4070</v>
      </c>
      <c r="D5" s="19" t="s">
        <v>239</v>
      </c>
      <c r="F5" s="17"/>
    </row>
    <row r="6" spans="1:6" s="6" customFormat="1" ht="20.25" customHeight="1" x14ac:dyDescent="0.35">
      <c r="A6" s="19">
        <v>3</v>
      </c>
      <c r="B6" s="20" t="s">
        <v>192</v>
      </c>
      <c r="C6" s="21">
        <v>7000</v>
      </c>
      <c r="D6" s="19" t="s">
        <v>239</v>
      </c>
      <c r="F6" s="17"/>
    </row>
    <row r="7" spans="1:6" s="6" customFormat="1" ht="20.25" customHeight="1" x14ac:dyDescent="0.35">
      <c r="A7" s="19">
        <v>4</v>
      </c>
      <c r="B7" s="20" t="s">
        <v>124</v>
      </c>
      <c r="C7" s="21">
        <v>40000</v>
      </c>
      <c r="D7" s="19" t="s">
        <v>239</v>
      </c>
      <c r="F7" s="17"/>
    </row>
    <row r="8" spans="1:6" s="6" customFormat="1" ht="20.25" customHeight="1" x14ac:dyDescent="0.35">
      <c r="A8" s="19">
        <v>5</v>
      </c>
      <c r="B8" s="20" t="s">
        <v>125</v>
      </c>
      <c r="C8" s="21">
        <v>39700</v>
      </c>
      <c r="D8" s="19" t="s">
        <v>240</v>
      </c>
      <c r="F8" s="17"/>
    </row>
    <row r="9" spans="1:6" s="6" customFormat="1" ht="20.25" customHeight="1" x14ac:dyDescent="0.35">
      <c r="A9" s="19">
        <v>6</v>
      </c>
      <c r="B9" s="20" t="s">
        <v>193</v>
      </c>
      <c r="C9" s="21">
        <v>300</v>
      </c>
      <c r="D9" s="19" t="s">
        <v>179</v>
      </c>
      <c r="F9" s="17"/>
    </row>
    <row r="10" spans="1:6" s="6" customFormat="1" ht="20.25" customHeight="1" x14ac:dyDescent="0.35">
      <c r="A10" s="19">
        <v>7</v>
      </c>
      <c r="B10" s="20" t="s">
        <v>137</v>
      </c>
      <c r="C10" s="21">
        <v>1</v>
      </c>
      <c r="D10" s="19"/>
      <c r="F10" s="17"/>
    </row>
    <row r="11" spans="1:6" ht="21.75" customHeight="1" x14ac:dyDescent="0.35">
      <c r="A11" s="18" t="s">
        <v>68</v>
      </c>
      <c r="B11" s="459" t="s">
        <v>194</v>
      </c>
      <c r="C11" s="462"/>
      <c r="D11" s="462"/>
    </row>
    <row r="12" spans="1:6" s="6" customFormat="1" ht="20.25" customHeight="1" x14ac:dyDescent="0.35">
      <c r="A12" s="19">
        <v>1</v>
      </c>
      <c r="B12" s="20" t="s">
        <v>195</v>
      </c>
      <c r="C12" s="21">
        <f>'Det Assump'!D53</f>
        <v>18857.142857142859</v>
      </c>
      <c r="D12" s="19" t="s">
        <v>241</v>
      </c>
      <c r="F12" s="17"/>
    </row>
    <row r="13" spans="1:6" s="6" customFormat="1" ht="20.25" customHeight="1" x14ac:dyDescent="0.35">
      <c r="A13" s="19">
        <v>2</v>
      </c>
      <c r="B13" s="20" t="s">
        <v>196</v>
      </c>
      <c r="C13" s="21">
        <f>'Det Assump'!D54</f>
        <v>0</v>
      </c>
      <c r="D13" s="19" t="s">
        <v>241</v>
      </c>
      <c r="F13" s="17"/>
    </row>
    <row r="14" spans="1:6" s="6" customFormat="1" ht="20.25" customHeight="1" x14ac:dyDescent="0.35">
      <c r="A14" s="19">
        <v>3</v>
      </c>
      <c r="B14" s="20" t="s">
        <v>197</v>
      </c>
      <c r="C14" s="21" t="e">
        <f>'Det Assump'!#REF!</f>
        <v>#REF!</v>
      </c>
      <c r="D14" s="19" t="s">
        <v>241</v>
      </c>
      <c r="F14" s="17"/>
    </row>
    <row r="15" spans="1:6" s="6" customFormat="1" ht="20.25" customHeight="1" x14ac:dyDescent="0.35">
      <c r="A15" s="19">
        <v>4</v>
      </c>
      <c r="B15" s="20" t="s">
        <v>198</v>
      </c>
      <c r="C15" s="21" t="e">
        <f>Assump!#REF!</f>
        <v>#REF!</v>
      </c>
      <c r="D15" s="19" t="s">
        <v>179</v>
      </c>
      <c r="F15" s="17"/>
    </row>
    <row r="16" spans="1:6" s="6" customFormat="1" ht="20.25" customHeight="1" x14ac:dyDescent="0.35">
      <c r="A16" s="19">
        <v>5</v>
      </c>
      <c r="B16" s="20" t="s">
        <v>199</v>
      </c>
      <c r="C16" s="21">
        <f>C4*365</f>
        <v>3650000</v>
      </c>
      <c r="D16" s="19" t="s">
        <v>147</v>
      </c>
      <c r="F16" s="17"/>
    </row>
    <row r="17" spans="1:6" s="6" customFormat="1" ht="20.25" customHeight="1" x14ac:dyDescent="0.35">
      <c r="A17" s="19">
        <v>6</v>
      </c>
      <c r="B17" s="20" t="s">
        <v>200</v>
      </c>
      <c r="C17" s="21">
        <f>C5*365</f>
        <v>1485550</v>
      </c>
      <c r="D17" s="19" t="s">
        <v>147</v>
      </c>
      <c r="F17" s="17"/>
    </row>
    <row r="18" spans="1:6" s="6" customFormat="1" ht="20.25" customHeight="1" x14ac:dyDescent="0.35">
      <c r="A18" s="19">
        <v>7</v>
      </c>
      <c r="B18" s="20" t="s">
        <v>201</v>
      </c>
      <c r="C18" s="21">
        <f>C6*356</f>
        <v>2492000</v>
      </c>
      <c r="D18" s="19" t="s">
        <v>138</v>
      </c>
      <c r="F18" s="17"/>
    </row>
    <row r="19" spans="1:6" s="6" customFormat="1" ht="20.25" customHeight="1" x14ac:dyDescent="0.35">
      <c r="A19" s="19">
        <v>8</v>
      </c>
      <c r="B19" s="20" t="s">
        <v>202</v>
      </c>
      <c r="C19" s="21">
        <f>C7*365</f>
        <v>14600000</v>
      </c>
      <c r="D19" s="19" t="s">
        <v>138</v>
      </c>
      <c r="F19" s="17"/>
    </row>
    <row r="20" spans="1:6" s="6" customFormat="1" ht="20.25" customHeight="1" x14ac:dyDescent="0.35">
      <c r="A20" s="19">
        <v>9</v>
      </c>
      <c r="B20" s="20" t="s">
        <v>203</v>
      </c>
      <c r="C20" s="21">
        <f>C8*365/1000</f>
        <v>14490.5</v>
      </c>
      <c r="D20" s="19" t="s">
        <v>157</v>
      </c>
      <c r="F20" s="17"/>
    </row>
    <row r="21" spans="1:6" s="6" customFormat="1" ht="20.25" customHeight="1" x14ac:dyDescent="0.35">
      <c r="A21" s="19">
        <v>10</v>
      </c>
      <c r="B21" s="20" t="s">
        <v>131</v>
      </c>
      <c r="C21" s="21" t="e">
        <f>'Det Assump'!#REF!</f>
        <v>#REF!</v>
      </c>
      <c r="D21" s="19" t="s">
        <v>151</v>
      </c>
      <c r="F21" s="17"/>
    </row>
    <row r="22" spans="1:6" ht="21.75" customHeight="1" x14ac:dyDescent="0.35">
      <c r="A22" s="18" t="s">
        <v>70</v>
      </c>
      <c r="B22" s="459" t="s">
        <v>204</v>
      </c>
      <c r="C22" s="462"/>
      <c r="D22" s="462"/>
    </row>
    <row r="23" spans="1:6" s="6" customFormat="1" ht="33" customHeight="1" x14ac:dyDescent="0.35">
      <c r="A23" s="19">
        <v>1</v>
      </c>
      <c r="B23" s="20" t="s">
        <v>205</v>
      </c>
      <c r="C23" s="21">
        <v>56</v>
      </c>
      <c r="D23" s="19" t="s">
        <v>145</v>
      </c>
      <c r="F23" s="17"/>
    </row>
    <row r="24" spans="1:6" s="6" customFormat="1" ht="33.75" customHeight="1" x14ac:dyDescent="0.35">
      <c r="A24" s="19">
        <v>2</v>
      </c>
      <c r="B24" s="20" t="s">
        <v>205</v>
      </c>
      <c r="C24" s="21">
        <v>8</v>
      </c>
      <c r="D24" s="19" t="s">
        <v>145</v>
      </c>
      <c r="F24" s="17"/>
    </row>
    <row r="25" spans="1:6" s="6" customFormat="1" ht="20.25" customHeight="1" x14ac:dyDescent="0.35">
      <c r="A25" s="19">
        <v>3</v>
      </c>
      <c r="B25" s="20" t="s">
        <v>206</v>
      </c>
      <c r="C25" s="21">
        <v>250</v>
      </c>
      <c r="D25" s="19" t="s">
        <v>158</v>
      </c>
      <c r="F25" s="17"/>
    </row>
    <row r="26" spans="1:6" s="6" customFormat="1" ht="20.25" customHeight="1" x14ac:dyDescent="0.35">
      <c r="A26" s="19">
        <v>4</v>
      </c>
      <c r="B26" s="20" t="s">
        <v>207</v>
      </c>
      <c r="C26" s="21">
        <v>1000</v>
      </c>
      <c r="D26" s="19" t="s">
        <v>242</v>
      </c>
      <c r="F26" s="17"/>
    </row>
    <row r="27" spans="1:6" s="6" customFormat="1" ht="20.25" customHeight="1" x14ac:dyDescent="0.35">
      <c r="A27" s="19">
        <v>5</v>
      </c>
      <c r="B27" s="20" t="s">
        <v>243</v>
      </c>
      <c r="C27" s="21">
        <v>500</v>
      </c>
      <c r="D27" s="19" t="s">
        <v>242</v>
      </c>
      <c r="F27" s="17"/>
    </row>
    <row r="28" spans="1:6" s="6" customFormat="1" ht="20.25" customHeight="1" x14ac:dyDescent="0.35">
      <c r="A28" s="19">
        <v>6</v>
      </c>
      <c r="B28" s="20" t="s">
        <v>208</v>
      </c>
      <c r="C28" s="21">
        <v>500</v>
      </c>
      <c r="D28" s="19" t="s">
        <v>242</v>
      </c>
      <c r="F28" s="17"/>
    </row>
    <row r="29" spans="1:6" s="6" customFormat="1" ht="20.25" customHeight="1" x14ac:dyDescent="0.35">
      <c r="A29" s="19">
        <v>7</v>
      </c>
      <c r="B29" s="20" t="s">
        <v>209</v>
      </c>
      <c r="C29" s="21">
        <v>20</v>
      </c>
      <c r="D29" s="19" t="s">
        <v>145</v>
      </c>
      <c r="F29" s="17"/>
    </row>
    <row r="30" spans="1:6" s="6" customFormat="1" ht="20.25" customHeight="1" x14ac:dyDescent="0.35">
      <c r="A30" s="19">
        <v>8</v>
      </c>
      <c r="B30" s="20" t="s">
        <v>210</v>
      </c>
      <c r="C30" s="21"/>
      <c r="D30" s="19"/>
      <c r="F30" s="17"/>
    </row>
    <row r="31" spans="1:6" s="6" customFormat="1" ht="20.25" customHeight="1" x14ac:dyDescent="0.35">
      <c r="A31" s="19">
        <v>9</v>
      </c>
      <c r="B31" s="20" t="s">
        <v>211</v>
      </c>
      <c r="C31" s="21"/>
      <c r="D31" s="19"/>
      <c r="F31" s="17"/>
    </row>
    <row r="32" spans="1:6" s="6" customFormat="1" ht="18" customHeight="1" x14ac:dyDescent="0.35">
      <c r="A32" s="463"/>
      <c r="B32" s="464"/>
      <c r="C32" s="464"/>
      <c r="D32" s="464"/>
      <c r="E32" s="464"/>
      <c r="F32" s="17"/>
    </row>
    <row r="33" spans="1:6" ht="21.75" customHeight="1" x14ac:dyDescent="0.35">
      <c r="A33" s="18" t="s">
        <v>75</v>
      </c>
      <c r="B33" s="459" t="s">
        <v>212</v>
      </c>
      <c r="C33" s="462"/>
      <c r="D33" s="462"/>
    </row>
    <row r="34" spans="1:6" s="6" customFormat="1" ht="18" customHeight="1" x14ac:dyDescent="0.35">
      <c r="A34" s="19" t="s">
        <v>72</v>
      </c>
      <c r="B34" s="15" t="s">
        <v>87</v>
      </c>
      <c r="C34" s="21"/>
      <c r="D34" s="19"/>
      <c r="F34" s="17"/>
    </row>
    <row r="35" spans="1:6" s="6" customFormat="1" ht="18" customHeight="1" x14ac:dyDescent="0.35">
      <c r="A35" s="19">
        <v>1</v>
      </c>
      <c r="B35" s="20" t="s">
        <v>213</v>
      </c>
      <c r="C35" s="21"/>
      <c r="D35" s="19"/>
      <c r="F35" s="17"/>
    </row>
    <row r="36" spans="1:6" s="6" customFormat="1" ht="18" customHeight="1" x14ac:dyDescent="0.35">
      <c r="A36" s="19">
        <v>2</v>
      </c>
      <c r="B36" s="20" t="s">
        <v>60</v>
      </c>
      <c r="C36" s="21"/>
      <c r="D36" s="19"/>
      <c r="F36" s="17"/>
    </row>
    <row r="37" spans="1:6" s="6" customFormat="1" ht="18" customHeight="1" x14ac:dyDescent="0.35">
      <c r="A37" s="19">
        <v>3</v>
      </c>
      <c r="B37" s="20" t="s">
        <v>62</v>
      </c>
      <c r="C37" s="21"/>
      <c r="D37" s="19"/>
      <c r="F37" s="17"/>
    </row>
    <row r="38" spans="1:6" s="6" customFormat="1" ht="18" customHeight="1" x14ac:dyDescent="0.35">
      <c r="A38" s="19">
        <v>4</v>
      </c>
      <c r="B38" s="20" t="s">
        <v>89</v>
      </c>
      <c r="C38" s="21"/>
      <c r="D38" s="19"/>
      <c r="F38" s="17"/>
    </row>
    <row r="39" spans="1:6" s="6" customFormat="1" ht="18" customHeight="1" x14ac:dyDescent="0.35">
      <c r="A39" s="19">
        <v>5</v>
      </c>
      <c r="B39" s="20" t="s">
        <v>214</v>
      </c>
      <c r="C39" s="21"/>
      <c r="D39" s="19"/>
      <c r="F39" s="17"/>
    </row>
    <row r="40" spans="1:6" s="6" customFormat="1" ht="18" customHeight="1" x14ac:dyDescent="0.35">
      <c r="A40" s="19">
        <v>6</v>
      </c>
      <c r="B40" s="20" t="s">
        <v>215</v>
      </c>
      <c r="C40" s="21"/>
      <c r="D40" s="19"/>
      <c r="F40" s="17"/>
    </row>
    <row r="41" spans="1:6" s="6" customFormat="1" ht="18" customHeight="1" x14ac:dyDescent="0.35">
      <c r="A41" s="19"/>
      <c r="B41" s="16" t="s">
        <v>238</v>
      </c>
      <c r="C41" s="21"/>
      <c r="D41" s="19"/>
      <c r="F41" s="17"/>
    </row>
    <row r="42" spans="1:6" s="6" customFormat="1" ht="18" customHeight="1" x14ac:dyDescent="0.35">
      <c r="A42" s="19" t="s">
        <v>73</v>
      </c>
      <c r="B42" s="15" t="s">
        <v>216</v>
      </c>
      <c r="C42" s="21"/>
      <c r="D42" s="19"/>
      <c r="F42" s="17"/>
    </row>
    <row r="43" spans="1:6" s="6" customFormat="1" ht="18" customHeight="1" x14ac:dyDescent="0.35">
      <c r="A43" s="19">
        <v>1</v>
      </c>
      <c r="B43" s="20" t="s">
        <v>217</v>
      </c>
      <c r="C43" s="21"/>
      <c r="D43" s="19"/>
      <c r="F43" s="17"/>
    </row>
    <row r="44" spans="1:6" s="6" customFormat="1" ht="18" customHeight="1" x14ac:dyDescent="0.35">
      <c r="A44" s="19">
        <v>2</v>
      </c>
      <c r="B44" s="20" t="s">
        <v>218</v>
      </c>
      <c r="C44" s="21"/>
      <c r="D44" s="19"/>
      <c r="F44" s="17"/>
    </row>
    <row r="45" spans="1:6" s="6" customFormat="1" ht="18" customHeight="1" x14ac:dyDescent="0.35">
      <c r="A45" s="19"/>
      <c r="B45" s="20" t="s">
        <v>88</v>
      </c>
      <c r="C45" s="21"/>
      <c r="D45" s="19"/>
      <c r="F45" s="17"/>
    </row>
    <row r="46" spans="1:6" s="6" customFormat="1" ht="18" customHeight="1" x14ac:dyDescent="0.35">
      <c r="A46" s="19"/>
      <c r="B46" s="16" t="s">
        <v>219</v>
      </c>
      <c r="C46" s="21"/>
      <c r="D46" s="19"/>
      <c r="F46" s="17"/>
    </row>
    <row r="47" spans="1:6" s="6" customFormat="1" ht="18" customHeight="1" x14ac:dyDescent="0.35">
      <c r="A47" s="19"/>
      <c r="B47" s="20"/>
      <c r="C47" s="21"/>
      <c r="D47" s="19"/>
      <c r="F47" s="17"/>
    </row>
    <row r="48" spans="1:6" ht="21.75" customHeight="1" x14ac:dyDescent="0.35">
      <c r="A48" s="18" t="s">
        <v>77</v>
      </c>
      <c r="B48" s="459" t="s">
        <v>220</v>
      </c>
      <c r="C48" s="462"/>
      <c r="D48" s="462"/>
    </row>
    <row r="49" spans="1:6" s="6" customFormat="1" ht="18" customHeight="1" x14ac:dyDescent="0.35">
      <c r="A49" s="19">
        <v>1</v>
      </c>
      <c r="B49" s="20" t="s">
        <v>221</v>
      </c>
      <c r="C49" s="21"/>
      <c r="D49" s="19"/>
      <c r="F49" s="17"/>
    </row>
    <row r="50" spans="1:6" s="6" customFormat="1" ht="18" customHeight="1" x14ac:dyDescent="0.35">
      <c r="A50" s="19">
        <v>2</v>
      </c>
      <c r="B50" s="20" t="s">
        <v>222</v>
      </c>
      <c r="C50" s="21"/>
      <c r="D50" s="19"/>
      <c r="F50" s="17"/>
    </row>
    <row r="51" spans="1:6" s="6" customFormat="1" ht="18" customHeight="1" x14ac:dyDescent="0.35">
      <c r="A51" s="19">
        <v>3</v>
      </c>
      <c r="B51" s="20" t="s">
        <v>223</v>
      </c>
      <c r="C51" s="21"/>
      <c r="D51" s="19"/>
      <c r="F51" s="17"/>
    </row>
    <row r="52" spans="1:6" s="6" customFormat="1" ht="18" customHeight="1" x14ac:dyDescent="0.35">
      <c r="A52" s="19">
        <v>4</v>
      </c>
      <c r="B52" s="20" t="s">
        <v>224</v>
      </c>
      <c r="C52" s="21"/>
      <c r="D52" s="19"/>
      <c r="F52" s="17"/>
    </row>
    <row r="53" spans="1:6" s="6" customFormat="1" ht="18" customHeight="1" x14ac:dyDescent="0.35">
      <c r="A53" s="19"/>
      <c r="B53" s="20" t="s">
        <v>225</v>
      </c>
      <c r="C53" s="21"/>
      <c r="D53" s="19"/>
      <c r="F53" s="17"/>
    </row>
    <row r="54" spans="1:6" s="6" customFormat="1" ht="18" customHeight="1" x14ac:dyDescent="0.35">
      <c r="A54" s="19">
        <v>1</v>
      </c>
      <c r="B54" s="20" t="s">
        <v>46</v>
      </c>
      <c r="C54" s="21"/>
      <c r="D54" s="19"/>
      <c r="F54" s="17"/>
    </row>
    <row r="55" spans="1:6" s="6" customFormat="1" ht="18" customHeight="1" x14ac:dyDescent="0.35">
      <c r="A55" s="19">
        <v>2</v>
      </c>
      <c r="B55" s="20" t="s">
        <v>226</v>
      </c>
      <c r="C55" s="21"/>
      <c r="D55" s="19"/>
      <c r="F55" s="17"/>
    </row>
    <row r="56" spans="1:6" s="6" customFormat="1" ht="18" customHeight="1" x14ac:dyDescent="0.35">
      <c r="A56" s="19">
        <v>3</v>
      </c>
      <c r="B56" s="20" t="s">
        <v>227</v>
      </c>
      <c r="C56" s="21"/>
      <c r="D56" s="19"/>
      <c r="F56" s="17"/>
    </row>
    <row r="57" spans="1:6" s="6" customFormat="1" ht="18" customHeight="1" x14ac:dyDescent="0.35">
      <c r="A57" s="19">
        <v>4</v>
      </c>
      <c r="B57" s="20" t="s">
        <v>228</v>
      </c>
      <c r="C57" s="21"/>
      <c r="D57" s="19"/>
      <c r="F57" s="17"/>
    </row>
    <row r="58" spans="1:6" s="6" customFormat="1" ht="18" customHeight="1" x14ac:dyDescent="0.35">
      <c r="A58" s="19">
        <v>5</v>
      </c>
      <c r="B58" s="20" t="s">
        <v>47</v>
      </c>
      <c r="C58" s="21"/>
      <c r="D58" s="19"/>
      <c r="F58" s="17"/>
    </row>
    <row r="59" spans="1:6" s="6" customFormat="1" ht="18" customHeight="1" x14ac:dyDescent="0.35">
      <c r="A59" s="19">
        <v>6</v>
      </c>
      <c r="B59" s="20" t="s">
        <v>63</v>
      </c>
      <c r="C59" s="21"/>
      <c r="D59" s="19"/>
      <c r="F59" s="17"/>
    </row>
    <row r="60" spans="1:6" s="6" customFormat="1" ht="18" customHeight="1" x14ac:dyDescent="0.35">
      <c r="A60" s="19">
        <v>7</v>
      </c>
      <c r="B60" s="20" t="s">
        <v>49</v>
      </c>
      <c r="C60" s="21"/>
      <c r="D60" s="19"/>
      <c r="F60" s="17"/>
    </row>
    <row r="61" spans="1:6" s="6" customFormat="1" ht="18" customHeight="1" x14ac:dyDescent="0.35">
      <c r="A61" s="19">
        <v>8</v>
      </c>
      <c r="B61" s="20" t="s">
        <v>51</v>
      </c>
      <c r="C61" s="21"/>
      <c r="D61" s="19"/>
      <c r="F61" s="17"/>
    </row>
    <row r="62" spans="1:6" s="6" customFormat="1" ht="18" customHeight="1" x14ac:dyDescent="0.35">
      <c r="A62" s="19">
        <v>9</v>
      </c>
      <c r="B62" s="20" t="s">
        <v>52</v>
      </c>
      <c r="C62" s="21"/>
      <c r="D62" s="19"/>
      <c r="F62" s="17"/>
    </row>
    <row r="63" spans="1:6" s="6" customFormat="1" ht="18" customHeight="1" x14ac:dyDescent="0.35">
      <c r="A63" s="19">
        <v>10</v>
      </c>
      <c r="B63" s="20" t="s">
        <v>229</v>
      </c>
      <c r="C63" s="21"/>
      <c r="D63" s="19"/>
      <c r="F63" s="17"/>
    </row>
    <row r="64" spans="1:6" s="6" customFormat="1" ht="18" customHeight="1" x14ac:dyDescent="0.35">
      <c r="A64" s="19">
        <v>11</v>
      </c>
      <c r="B64" s="20" t="s">
        <v>230</v>
      </c>
      <c r="C64" s="21"/>
      <c r="D64" s="19"/>
      <c r="F64" s="17"/>
    </row>
    <row r="65" spans="1:6" s="6" customFormat="1" ht="18" customHeight="1" x14ac:dyDescent="0.35">
      <c r="A65" s="19">
        <v>12</v>
      </c>
      <c r="B65" s="20" t="s">
        <v>55</v>
      </c>
      <c r="C65" s="21"/>
      <c r="D65" s="19"/>
      <c r="F65" s="17"/>
    </row>
    <row r="66" spans="1:6" s="6" customFormat="1" ht="18" customHeight="1" x14ac:dyDescent="0.35">
      <c r="A66" s="19">
        <v>13</v>
      </c>
      <c r="B66" s="20" t="s">
        <v>231</v>
      </c>
      <c r="C66" s="21"/>
      <c r="D66" s="19"/>
      <c r="F66" s="17"/>
    </row>
    <row r="67" spans="1:6" s="6" customFormat="1" ht="18" customHeight="1" x14ac:dyDescent="0.35">
      <c r="A67" s="19">
        <v>14</v>
      </c>
      <c r="B67" s="20" t="s">
        <v>232</v>
      </c>
      <c r="C67" s="21"/>
      <c r="D67" s="19"/>
      <c r="F67" s="17"/>
    </row>
    <row r="68" spans="1:6" s="6" customFormat="1" ht="18" customHeight="1" x14ac:dyDescent="0.35">
      <c r="A68" s="19">
        <v>15</v>
      </c>
      <c r="B68" s="20" t="s">
        <v>233</v>
      </c>
      <c r="C68" s="21"/>
      <c r="D68" s="19"/>
      <c r="F68" s="17"/>
    </row>
    <row r="69" spans="1:6" s="6" customFormat="1" ht="18" customHeight="1" x14ac:dyDescent="0.35">
      <c r="A69" s="19">
        <v>16</v>
      </c>
      <c r="B69" s="20" t="s">
        <v>234</v>
      </c>
      <c r="C69" s="21"/>
      <c r="D69" s="19"/>
      <c r="F69" s="17"/>
    </row>
    <row r="70" spans="1:6" s="6" customFormat="1" ht="18" customHeight="1" x14ac:dyDescent="0.35">
      <c r="A70" s="19">
        <v>17</v>
      </c>
      <c r="B70" s="20" t="s">
        <v>235</v>
      </c>
      <c r="C70" s="21"/>
      <c r="D70" s="19"/>
      <c r="F70" s="17"/>
    </row>
    <row r="71" spans="1:6" s="6" customFormat="1" ht="18" customHeight="1" x14ac:dyDescent="0.35">
      <c r="A71" s="19">
        <v>18</v>
      </c>
      <c r="B71" s="20" t="s">
        <v>236</v>
      </c>
      <c r="C71" s="21"/>
      <c r="D71" s="19"/>
      <c r="F71" s="17"/>
    </row>
    <row r="72" spans="1:6" s="6" customFormat="1" ht="18" customHeight="1" x14ac:dyDescent="0.35">
      <c r="A72" s="19">
        <v>19</v>
      </c>
      <c r="B72" s="20" t="s">
        <v>237</v>
      </c>
      <c r="C72" s="21"/>
      <c r="D72" s="19"/>
      <c r="F72" s="17"/>
    </row>
  </sheetData>
  <customSheetViews>
    <customSheetView guid="{22475485-DA09-46DB-978D-BB94CE1E5597}" scale="120" state="hidden" topLeftCell="A83">
      <selection activeCell="A101" sqref="A101"/>
      <pageMargins left="0.7" right="0.7" top="0.75" bottom="0.75" header="0.3" footer="0.3"/>
      <pageSetup paperSize="9" orientation="portrait" verticalDpi="0" r:id="rId1"/>
    </customSheetView>
  </customSheetViews>
  <mergeCells count="7">
    <mergeCell ref="B33:D33"/>
    <mergeCell ref="B48:D48"/>
    <mergeCell ref="A32:E32"/>
    <mergeCell ref="A1:D1"/>
    <mergeCell ref="B3:D3"/>
    <mergeCell ref="B11:D11"/>
    <mergeCell ref="B22:D22"/>
  </mergeCell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F55"/>
  <sheetViews>
    <sheetView workbookViewId="0">
      <selection sqref="A1:D1"/>
    </sheetView>
  </sheetViews>
  <sheetFormatPr defaultColWidth="13" defaultRowHeight="14" x14ac:dyDescent="0.35"/>
  <cols>
    <col min="1" max="1" width="8.453125" style="12" bestFit="1" customWidth="1"/>
    <col min="2" max="2" width="46.81640625" style="5" customWidth="1"/>
    <col min="3" max="3" width="17.1796875" style="12" customWidth="1"/>
    <col min="4" max="4" width="14.81640625" style="12" customWidth="1"/>
    <col min="5" max="9" width="13" style="12"/>
    <col min="10" max="10" width="13.26953125" style="12" customWidth="1"/>
    <col min="11" max="16384" width="13" style="12"/>
  </cols>
  <sheetData>
    <row r="1" spans="1:6" ht="26.25" customHeight="1" x14ac:dyDescent="0.35">
      <c r="A1" s="456" t="s">
        <v>187</v>
      </c>
      <c r="B1" s="456"/>
      <c r="C1" s="456"/>
      <c r="D1" s="456"/>
    </row>
    <row r="2" spans="1:6" s="4" customFormat="1" ht="20.25" customHeight="1" x14ac:dyDescent="0.35">
      <c r="A2" s="16" t="s">
        <v>0</v>
      </c>
      <c r="B2" s="22" t="s">
        <v>188</v>
      </c>
      <c r="C2" s="16" t="s">
        <v>2</v>
      </c>
      <c r="D2" s="16" t="s">
        <v>3</v>
      </c>
    </row>
    <row r="3" spans="1:6" ht="21.75" customHeight="1" x14ac:dyDescent="0.35">
      <c r="A3" s="18" t="s">
        <v>67</v>
      </c>
      <c r="B3" s="459" t="s">
        <v>189</v>
      </c>
      <c r="C3" s="462"/>
      <c r="D3" s="462"/>
    </row>
    <row r="4" spans="1:6" s="6" customFormat="1" ht="20.25" customHeight="1" x14ac:dyDescent="0.35">
      <c r="A4" s="19">
        <v>1</v>
      </c>
      <c r="B4" s="20" t="s">
        <v>190</v>
      </c>
      <c r="C4" s="37">
        <f>'Det Assump'!D35</f>
        <v>0</v>
      </c>
      <c r="D4" s="19" t="s">
        <v>139</v>
      </c>
      <c r="F4" s="17"/>
    </row>
    <row r="5" spans="1:6" s="6" customFormat="1" ht="20.25" customHeight="1" x14ac:dyDescent="0.35">
      <c r="A5" s="19">
        <v>2</v>
      </c>
      <c r="B5" s="20" t="s">
        <v>191</v>
      </c>
      <c r="C5" s="37">
        <f>'Det Assump'!D36</f>
        <v>0</v>
      </c>
      <c r="D5" s="19" t="s">
        <v>143</v>
      </c>
      <c r="F5" s="17"/>
    </row>
    <row r="6" spans="1:6" s="6" customFormat="1" ht="20.25" customHeight="1" x14ac:dyDescent="0.35">
      <c r="A6" s="19">
        <v>3</v>
      </c>
      <c r="B6" s="20" t="s">
        <v>191</v>
      </c>
      <c r="C6" s="37">
        <f>'Det Assump'!D16</f>
        <v>40000</v>
      </c>
      <c r="D6" s="19" t="s">
        <v>239</v>
      </c>
      <c r="F6" s="17"/>
    </row>
    <row r="7" spans="1:6" s="6" customFormat="1" ht="20.25" customHeight="1" x14ac:dyDescent="0.35">
      <c r="A7" s="19">
        <v>4</v>
      </c>
      <c r="B7" s="20" t="s">
        <v>124</v>
      </c>
      <c r="C7" s="37">
        <f>'Det Assump'!D22</f>
        <v>40000</v>
      </c>
      <c r="D7" s="19" t="s">
        <v>239</v>
      </c>
      <c r="F7" s="17"/>
    </row>
    <row r="8" spans="1:6" s="6" customFormat="1" ht="20.25" customHeight="1" x14ac:dyDescent="0.35">
      <c r="A8" s="19">
        <v>5</v>
      </c>
      <c r="B8" s="20" t="s">
        <v>125</v>
      </c>
      <c r="C8" s="37">
        <f>'Det Assump'!D26</f>
        <v>0</v>
      </c>
      <c r="D8" s="19" t="s">
        <v>240</v>
      </c>
      <c r="F8" s="17"/>
    </row>
    <row r="9" spans="1:6" s="6" customFormat="1" ht="20.25" customHeight="1" x14ac:dyDescent="0.35">
      <c r="A9" s="13">
        <v>6</v>
      </c>
      <c r="B9" s="20" t="s">
        <v>137</v>
      </c>
      <c r="C9" s="37">
        <v>1</v>
      </c>
      <c r="D9" s="19"/>
      <c r="F9" s="17"/>
    </row>
    <row r="10" spans="1:6" ht="21.75" customHeight="1" x14ac:dyDescent="0.35">
      <c r="A10" s="18" t="s">
        <v>68</v>
      </c>
      <c r="B10" s="459" t="s">
        <v>194</v>
      </c>
      <c r="C10" s="462"/>
      <c r="D10" s="462"/>
    </row>
    <row r="11" spans="1:6" s="6" customFormat="1" ht="20.25" customHeight="1" x14ac:dyDescent="0.35">
      <c r="A11" s="19">
        <v>1</v>
      </c>
      <c r="B11" s="20" t="s">
        <v>195</v>
      </c>
      <c r="C11" s="37">
        <f>'Det Assump'!D53</f>
        <v>18857.142857142859</v>
      </c>
      <c r="D11" s="19" t="s">
        <v>241</v>
      </c>
      <c r="F11" s="17"/>
    </row>
    <row r="12" spans="1:6" s="6" customFormat="1" ht="31" x14ac:dyDescent="0.35">
      <c r="A12" s="19">
        <v>2</v>
      </c>
      <c r="B12" s="20" t="s">
        <v>449</v>
      </c>
      <c r="C12" s="37">
        <f>'Det Assump'!D54</f>
        <v>0</v>
      </c>
      <c r="D12" s="19" t="s">
        <v>241</v>
      </c>
      <c r="F12" s="17"/>
    </row>
    <row r="13" spans="1:6" s="6" customFormat="1" ht="20.25" customHeight="1" x14ac:dyDescent="0.35">
      <c r="A13" s="19">
        <v>3</v>
      </c>
      <c r="B13" s="20" t="s">
        <v>197</v>
      </c>
      <c r="C13" s="37" t="e">
        <f>'Det Assump'!#REF!</f>
        <v>#REF!</v>
      </c>
      <c r="D13" s="19" t="s">
        <v>241</v>
      </c>
      <c r="F13" s="17"/>
    </row>
    <row r="14" spans="1:6" s="6" customFormat="1" ht="20.25" customHeight="1" x14ac:dyDescent="0.35">
      <c r="A14" s="19">
        <v>4</v>
      </c>
      <c r="B14" s="20" t="s">
        <v>198</v>
      </c>
      <c r="C14" s="37" t="e">
        <f>Assump!#REF!</f>
        <v>#REF!</v>
      </c>
      <c r="D14" s="19" t="s">
        <v>179</v>
      </c>
      <c r="F14" s="17"/>
    </row>
    <row r="15" spans="1:6" s="6" customFormat="1" ht="20.25" customHeight="1" x14ac:dyDescent="0.35">
      <c r="A15" s="19">
        <v>5</v>
      </c>
      <c r="B15" s="20" t="s">
        <v>199</v>
      </c>
      <c r="C15" s="37">
        <f>C4*340</f>
        <v>0</v>
      </c>
      <c r="D15" s="19" t="s">
        <v>139</v>
      </c>
      <c r="F15" s="17"/>
    </row>
    <row r="16" spans="1:6" s="6" customFormat="1" ht="20.25" customHeight="1" x14ac:dyDescent="0.35">
      <c r="A16" s="19">
        <v>6</v>
      </c>
      <c r="B16" s="20" t="s">
        <v>256</v>
      </c>
      <c r="C16" s="37">
        <f>C6*340</f>
        <v>13600000</v>
      </c>
      <c r="D16" s="19" t="s">
        <v>147</v>
      </c>
      <c r="F16" s="17"/>
    </row>
    <row r="17" spans="1:6" s="6" customFormat="1" ht="20.25" customHeight="1" x14ac:dyDescent="0.35">
      <c r="A17" s="19">
        <v>8</v>
      </c>
      <c r="B17" s="20" t="s">
        <v>202</v>
      </c>
      <c r="C17" s="37">
        <f>C7*340</f>
        <v>13600000</v>
      </c>
      <c r="D17" s="19" t="s">
        <v>138</v>
      </c>
      <c r="F17" s="17"/>
    </row>
    <row r="18" spans="1:6" s="6" customFormat="1" ht="20.25" customHeight="1" x14ac:dyDescent="0.35">
      <c r="A18" s="19">
        <v>9</v>
      </c>
      <c r="B18" s="20" t="s">
        <v>203</v>
      </c>
      <c r="C18" s="37">
        <f>C8*340/1000</f>
        <v>0</v>
      </c>
      <c r="D18" s="19" t="s">
        <v>157</v>
      </c>
      <c r="F18" s="17"/>
    </row>
    <row r="19" spans="1:6" ht="21.75" customHeight="1" x14ac:dyDescent="0.35">
      <c r="A19" s="18" t="s">
        <v>70</v>
      </c>
      <c r="B19" s="459" t="s">
        <v>204</v>
      </c>
      <c r="C19" s="462"/>
      <c r="D19" s="462"/>
    </row>
    <row r="20" spans="1:6" s="6" customFormat="1" ht="33" customHeight="1" x14ac:dyDescent="0.35">
      <c r="A20" s="19">
        <v>1</v>
      </c>
      <c r="B20" s="20" t="s">
        <v>205</v>
      </c>
      <c r="C20" s="37" t="e">
        <f>Assump!#REF!</f>
        <v>#REF!</v>
      </c>
      <c r="D20" s="19" t="s">
        <v>145</v>
      </c>
      <c r="F20" s="17"/>
    </row>
    <row r="21" spans="1:6" s="6" customFormat="1" ht="21" customHeight="1" x14ac:dyDescent="0.35">
      <c r="A21" s="19">
        <v>2</v>
      </c>
      <c r="B21" s="20" t="s">
        <v>326</v>
      </c>
      <c r="C21" s="37">
        <f>'Det Assump'!D63</f>
        <v>9</v>
      </c>
      <c r="D21" s="19" t="s">
        <v>145</v>
      </c>
      <c r="F21" s="17"/>
    </row>
    <row r="22" spans="1:6" s="6" customFormat="1" ht="21" customHeight="1" x14ac:dyDescent="0.35">
      <c r="A22" s="19">
        <v>3</v>
      </c>
      <c r="B22" s="20" t="s">
        <v>135</v>
      </c>
      <c r="C22" s="37">
        <f>'Det Assump'!D64</f>
        <v>0</v>
      </c>
      <c r="D22" s="19"/>
      <c r="F22" s="17"/>
    </row>
    <row r="23" spans="1:6" s="6" customFormat="1" ht="21" customHeight="1" x14ac:dyDescent="0.35">
      <c r="A23" s="19">
        <v>4</v>
      </c>
      <c r="B23" s="20" t="s">
        <v>207</v>
      </c>
      <c r="C23" s="37" t="e">
        <f>Assump!#REF!</f>
        <v>#REF!</v>
      </c>
      <c r="D23" s="19" t="s">
        <v>242</v>
      </c>
      <c r="F23" s="17"/>
    </row>
    <row r="24" spans="1:6" s="6" customFormat="1" ht="36" customHeight="1" x14ac:dyDescent="0.35">
      <c r="A24" s="19">
        <v>5</v>
      </c>
      <c r="B24" s="20" t="s">
        <v>448</v>
      </c>
      <c r="C24" s="37" t="e">
        <f>Assump!#REF!</f>
        <v>#REF!</v>
      </c>
      <c r="D24" s="19" t="s">
        <v>242</v>
      </c>
      <c r="F24" s="17"/>
    </row>
    <row r="25" spans="1:6" s="6" customFormat="1" ht="36" customHeight="1" x14ac:dyDescent="0.35">
      <c r="A25" s="19">
        <v>6</v>
      </c>
      <c r="B25" s="20" t="s">
        <v>364</v>
      </c>
      <c r="C25" s="37">
        <v>0</v>
      </c>
      <c r="D25" s="19" t="s">
        <v>242</v>
      </c>
      <c r="F25" s="17"/>
    </row>
    <row r="26" spans="1:6" s="6" customFormat="1" ht="21" customHeight="1" x14ac:dyDescent="0.35">
      <c r="A26" s="19">
        <v>8</v>
      </c>
      <c r="B26" s="20" t="s">
        <v>210</v>
      </c>
      <c r="C26" s="37" t="e">
        <f>Assump!#REF!</f>
        <v>#REF!</v>
      </c>
      <c r="D26" s="19" t="s">
        <v>159</v>
      </c>
      <c r="F26" s="17"/>
    </row>
    <row r="27" spans="1:6" s="6" customFormat="1" ht="21" customHeight="1" x14ac:dyDescent="0.35">
      <c r="A27" s="19">
        <v>9</v>
      </c>
      <c r="B27" s="20" t="s">
        <v>211</v>
      </c>
      <c r="C27" s="37" t="e">
        <f>Assump!#REF!</f>
        <v>#REF!</v>
      </c>
      <c r="D27" s="19" t="s">
        <v>257</v>
      </c>
      <c r="F27" s="17"/>
    </row>
    <row r="28" spans="1:6" s="6" customFormat="1" ht="21" customHeight="1" x14ac:dyDescent="0.35">
      <c r="A28" s="463"/>
      <c r="B28" s="464"/>
      <c r="C28" s="464"/>
      <c r="D28" s="464"/>
      <c r="E28" s="464"/>
      <c r="F28" s="17"/>
    </row>
    <row r="29" spans="1:6" ht="21" customHeight="1" x14ac:dyDescent="0.35">
      <c r="A29" s="18" t="s">
        <v>75</v>
      </c>
      <c r="B29" s="459" t="s">
        <v>212</v>
      </c>
      <c r="C29" s="462"/>
      <c r="D29" s="462"/>
    </row>
    <row r="30" spans="1:6" s="6" customFormat="1" ht="21" customHeight="1" x14ac:dyDescent="0.35">
      <c r="A30" s="19" t="s">
        <v>72</v>
      </c>
      <c r="B30" s="15" t="s">
        <v>87</v>
      </c>
      <c r="C30" s="21"/>
      <c r="D30" s="13"/>
      <c r="F30" s="17"/>
    </row>
    <row r="31" spans="1:6" s="6" customFormat="1" ht="21" customHeight="1" x14ac:dyDescent="0.35">
      <c r="A31" s="36">
        <v>1</v>
      </c>
      <c r="B31" s="35" t="s">
        <v>444</v>
      </c>
      <c r="C31" s="37" t="e">
        <f>'CoP-MoF'!#REF!</f>
        <v>#REF!</v>
      </c>
      <c r="D31" s="19" t="s">
        <v>146</v>
      </c>
      <c r="F31" s="17"/>
    </row>
    <row r="32" spans="1:6" s="6" customFormat="1" ht="21" customHeight="1" x14ac:dyDescent="0.35">
      <c r="A32" s="36">
        <v>2</v>
      </c>
      <c r="B32" s="35" t="s">
        <v>365</v>
      </c>
      <c r="C32" s="37">
        <f>'CoP-MoF'!D5</f>
        <v>1902000</v>
      </c>
      <c r="D32" s="19" t="s">
        <v>146</v>
      </c>
      <c r="F32" s="17"/>
    </row>
    <row r="33" spans="1:6" s="6" customFormat="1" ht="21" customHeight="1" x14ac:dyDescent="0.35">
      <c r="A33" s="36">
        <v>3</v>
      </c>
      <c r="B33" s="35" t="s">
        <v>62</v>
      </c>
      <c r="C33" s="37">
        <f>'CoP-MoF'!D7</f>
        <v>30000000</v>
      </c>
      <c r="D33" s="19" t="s">
        <v>146</v>
      </c>
      <c r="F33" s="17"/>
    </row>
    <row r="34" spans="1:6" s="6" customFormat="1" ht="21" customHeight="1" x14ac:dyDescent="0.35">
      <c r="A34" s="36">
        <v>4</v>
      </c>
      <c r="B34" s="35" t="s">
        <v>89</v>
      </c>
      <c r="C34" s="37" t="e">
        <f>'CoP-MoF'!#REF!</f>
        <v>#REF!</v>
      </c>
      <c r="D34" s="19" t="s">
        <v>146</v>
      </c>
      <c r="F34" s="17"/>
    </row>
    <row r="35" spans="1:6" s="6" customFormat="1" ht="21" customHeight="1" x14ac:dyDescent="0.35">
      <c r="A35" s="36">
        <v>5</v>
      </c>
      <c r="B35" s="35" t="s">
        <v>399</v>
      </c>
      <c r="C35" s="37">
        <f>'CoP-MoF'!D10</f>
        <v>2500000</v>
      </c>
      <c r="D35" s="19" t="s">
        <v>146</v>
      </c>
      <c r="F35" s="17"/>
    </row>
    <row r="36" spans="1:6" s="6" customFormat="1" ht="21" customHeight="1" x14ac:dyDescent="0.35">
      <c r="A36" s="36">
        <v>6</v>
      </c>
      <c r="B36" s="35" t="s">
        <v>90</v>
      </c>
      <c r="C36" s="37" t="e">
        <f>'CoP-MoF'!#REF!</f>
        <v>#REF!</v>
      </c>
      <c r="D36" s="19"/>
      <c r="F36" s="17"/>
    </row>
    <row r="37" spans="1:6" s="6" customFormat="1" ht="21" customHeight="1" x14ac:dyDescent="0.35">
      <c r="A37" s="36">
        <v>7</v>
      </c>
      <c r="B37" s="35" t="s">
        <v>183</v>
      </c>
      <c r="C37" s="37">
        <f>'CoP-MoF'!D15</f>
        <v>0</v>
      </c>
      <c r="D37" s="19" t="s">
        <v>146</v>
      </c>
      <c r="F37" s="17"/>
    </row>
    <row r="38" spans="1:6" s="6" customFormat="1" ht="21" customHeight="1" x14ac:dyDescent="0.35">
      <c r="A38" s="19"/>
      <c r="B38" s="16" t="s">
        <v>238</v>
      </c>
      <c r="C38" s="38" t="e">
        <f>SUM(C31:C37)</f>
        <v>#REF!</v>
      </c>
      <c r="D38" s="19" t="s">
        <v>146</v>
      </c>
      <c r="F38" s="17"/>
    </row>
    <row r="39" spans="1:6" s="6" customFormat="1" ht="21" customHeight="1" x14ac:dyDescent="0.35">
      <c r="A39" s="19" t="s">
        <v>73</v>
      </c>
      <c r="B39" s="15" t="s">
        <v>216</v>
      </c>
      <c r="C39" s="37"/>
      <c r="D39" s="19" t="s">
        <v>146</v>
      </c>
      <c r="F39" s="17"/>
    </row>
    <row r="40" spans="1:6" s="6" customFormat="1" ht="21" customHeight="1" x14ac:dyDescent="0.35">
      <c r="A40" s="19">
        <v>1</v>
      </c>
      <c r="B40" s="35" t="s">
        <v>304</v>
      </c>
      <c r="C40" s="37" t="e">
        <f>'CoP-MoF'!#REF!</f>
        <v>#REF!</v>
      </c>
      <c r="D40" s="19" t="s">
        <v>146</v>
      </c>
      <c r="F40" s="17"/>
    </row>
    <row r="41" spans="1:6" s="6" customFormat="1" ht="21" customHeight="1" x14ac:dyDescent="0.35">
      <c r="A41" s="19">
        <v>2</v>
      </c>
      <c r="B41" s="20" t="s">
        <v>218</v>
      </c>
      <c r="C41" s="37">
        <f>'CoP-MoF'!D21</f>
        <v>99000000</v>
      </c>
      <c r="D41" s="19" t="s">
        <v>146</v>
      </c>
      <c r="F41" s="17"/>
    </row>
    <row r="42" spans="1:6" s="6" customFormat="1" ht="21" customHeight="1" x14ac:dyDescent="0.35">
      <c r="A42" s="19"/>
      <c r="B42" s="20" t="s">
        <v>88</v>
      </c>
      <c r="C42" s="37" t="e">
        <f>'CoP-MoF'!#REF!</f>
        <v>#REF!</v>
      </c>
      <c r="D42" s="19" t="s">
        <v>146</v>
      </c>
      <c r="F42" s="17"/>
    </row>
    <row r="43" spans="1:6" s="6" customFormat="1" ht="21" customHeight="1" x14ac:dyDescent="0.35">
      <c r="A43" s="19"/>
      <c r="B43" s="16" t="s">
        <v>219</v>
      </c>
      <c r="C43" s="38" t="e">
        <f>SUM(C40:C42)-C42</f>
        <v>#REF!</v>
      </c>
      <c r="D43" s="19" t="s">
        <v>146</v>
      </c>
      <c r="F43" s="17"/>
    </row>
    <row r="44" spans="1:6" ht="21" customHeight="1" x14ac:dyDescent="0.35">
      <c r="A44" s="18" t="s">
        <v>77</v>
      </c>
      <c r="B44" s="459" t="s">
        <v>258</v>
      </c>
      <c r="C44" s="462"/>
      <c r="D44" s="462"/>
    </row>
    <row r="45" spans="1:6" s="6" customFormat="1" ht="21" customHeight="1" x14ac:dyDescent="0.35">
      <c r="A45" s="19">
        <v>1</v>
      </c>
      <c r="B45" s="27" t="s">
        <v>221</v>
      </c>
      <c r="C45" s="37" t="e">
        <f>C38</f>
        <v>#REF!</v>
      </c>
      <c r="D45" s="19" t="s">
        <v>146</v>
      </c>
      <c r="F45" s="17"/>
    </row>
    <row r="46" spans="1:6" s="6" customFormat="1" ht="21" customHeight="1" x14ac:dyDescent="0.35">
      <c r="A46" s="19">
        <v>2</v>
      </c>
      <c r="B46" s="20" t="s">
        <v>222</v>
      </c>
      <c r="C46" s="37" t="e">
        <f>C42</f>
        <v>#REF!</v>
      </c>
      <c r="D46" s="19" t="s">
        <v>146</v>
      </c>
      <c r="F46" s="17"/>
    </row>
    <row r="47" spans="1:6" s="6" customFormat="1" ht="21" customHeight="1" x14ac:dyDescent="0.35">
      <c r="A47" s="19">
        <v>3</v>
      </c>
      <c r="B47" s="20" t="s">
        <v>224</v>
      </c>
      <c r="C47" s="37" t="e">
        <f>C45-C46</f>
        <v>#REF!</v>
      </c>
      <c r="D47" s="19" t="s">
        <v>146</v>
      </c>
      <c r="F47" s="17"/>
    </row>
    <row r="48" spans="1:6" s="6" customFormat="1" ht="21" customHeight="1" x14ac:dyDescent="0.35">
      <c r="A48" s="19"/>
      <c r="B48" s="16" t="s">
        <v>225</v>
      </c>
      <c r="C48" s="37"/>
      <c r="D48" s="19" t="s">
        <v>146</v>
      </c>
      <c r="F48" s="17"/>
    </row>
    <row r="49" spans="1:6" s="6" customFormat="1" ht="21" customHeight="1" x14ac:dyDescent="0.35">
      <c r="A49" s="19">
        <v>1</v>
      </c>
      <c r="B49" s="20" t="s">
        <v>46</v>
      </c>
      <c r="C49" s="37" t="e">
        <f>Assump!#REF!</f>
        <v>#REF!</v>
      </c>
      <c r="D49" s="19" t="s">
        <v>146</v>
      </c>
      <c r="F49" s="17"/>
    </row>
    <row r="50" spans="1:6" s="6" customFormat="1" ht="21" customHeight="1" x14ac:dyDescent="0.35">
      <c r="A50" s="19">
        <v>3</v>
      </c>
      <c r="B50" s="20" t="s">
        <v>227</v>
      </c>
      <c r="C50" s="37" t="e">
        <f>Assump!#REF!</f>
        <v>#REF!</v>
      </c>
      <c r="D50" s="19" t="s">
        <v>146</v>
      </c>
      <c r="F50" s="17"/>
    </row>
    <row r="51" spans="1:6" s="6" customFormat="1" ht="21" customHeight="1" x14ac:dyDescent="0.35">
      <c r="A51" s="19">
        <v>4</v>
      </c>
      <c r="B51" s="20" t="s">
        <v>228</v>
      </c>
      <c r="C51" s="37" t="e">
        <f>Assump!#REF!</f>
        <v>#REF!</v>
      </c>
      <c r="D51" s="19" t="s">
        <v>146</v>
      </c>
      <c r="F51" s="17"/>
    </row>
    <row r="52" spans="1:6" s="6" customFormat="1" ht="21" customHeight="1" x14ac:dyDescent="0.35">
      <c r="A52" s="19">
        <v>6</v>
      </c>
      <c r="B52" s="20" t="s">
        <v>63</v>
      </c>
      <c r="C52" s="37" t="e">
        <f>Assump!#REF!</f>
        <v>#REF!</v>
      </c>
      <c r="D52" s="19" t="s">
        <v>146</v>
      </c>
      <c r="F52" s="17"/>
    </row>
    <row r="53" spans="1:6" s="6" customFormat="1" ht="21" customHeight="1" x14ac:dyDescent="0.35">
      <c r="A53" s="19">
        <v>7</v>
      </c>
      <c r="B53" s="20" t="s">
        <v>49</v>
      </c>
      <c r="C53" s="37" t="e">
        <f>Assump!#REF!</f>
        <v>#REF!</v>
      </c>
      <c r="D53" s="19" t="s">
        <v>146</v>
      </c>
      <c r="F53" s="17"/>
    </row>
    <row r="54" spans="1:6" s="6" customFormat="1" ht="21" customHeight="1" x14ac:dyDescent="0.35">
      <c r="A54" s="19">
        <v>8</v>
      </c>
      <c r="B54" s="20" t="s">
        <v>51</v>
      </c>
      <c r="C54" s="37" t="e">
        <f>Assump!#REF!</f>
        <v>#REF!</v>
      </c>
      <c r="D54" s="19" t="s">
        <v>146</v>
      </c>
      <c r="F54" s="17"/>
    </row>
    <row r="55" spans="1:6" s="6" customFormat="1" ht="21" customHeight="1" x14ac:dyDescent="0.35">
      <c r="A55" s="19">
        <v>9</v>
      </c>
      <c r="B55" s="20" t="s">
        <v>52</v>
      </c>
      <c r="C55" s="37" t="e">
        <f>C52-(C53+C54)</f>
        <v>#REF!</v>
      </c>
      <c r="D55" s="19" t="s">
        <v>146</v>
      </c>
      <c r="F55" s="17"/>
    </row>
  </sheetData>
  <customSheetViews>
    <customSheetView guid="{22475485-DA09-46DB-978D-BB94CE1E5597}" topLeftCell="A35">
      <selection activeCell="B40" sqref="B40"/>
      <pageMargins left="0.7" right="0.7" top="0.75" bottom="0.75" header="0.3" footer="0.3"/>
      <pageSetup paperSize="9" orientation="portrait" verticalDpi="0" copies="0" r:id="rId1"/>
    </customSheetView>
  </customSheetViews>
  <mergeCells count="7">
    <mergeCell ref="B44:D44"/>
    <mergeCell ref="A1:D1"/>
    <mergeCell ref="B3:D3"/>
    <mergeCell ref="B10:D10"/>
    <mergeCell ref="B19:D19"/>
    <mergeCell ref="A28:E28"/>
    <mergeCell ref="B29:D29"/>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C2:Q15"/>
  <sheetViews>
    <sheetView showGridLines="0" topLeftCell="B1" workbookViewId="0">
      <pane xSplit="2" ySplit="5" topLeftCell="D6" activePane="bottomRight" state="frozen"/>
      <selection activeCell="B1" sqref="B1"/>
      <selection pane="topRight" activeCell="C1" sqref="C1"/>
      <selection pane="bottomLeft" activeCell="B5" sqref="B5"/>
      <selection pane="bottomRight" activeCell="D13" sqref="D13"/>
    </sheetView>
  </sheetViews>
  <sheetFormatPr defaultColWidth="8.81640625" defaultRowHeight="14.5" x14ac:dyDescent="0.35"/>
  <cols>
    <col min="1" max="1" width="6.1796875" style="96" customWidth="1"/>
    <col min="2" max="2" width="4.54296875" style="96" customWidth="1"/>
    <col min="3" max="3" width="31.453125" style="51" customWidth="1"/>
    <col min="4" max="4" width="10.26953125" style="199" customWidth="1"/>
    <col min="5" max="5" width="2.1796875" style="44" customWidth="1"/>
    <col min="6" max="17" width="11.1796875" style="44" customWidth="1"/>
    <col min="18" max="16384" width="8.81640625" style="96"/>
  </cols>
  <sheetData>
    <row r="2" spans="3:17" ht="17.25" customHeight="1" x14ac:dyDescent="0.35">
      <c r="C2" s="145" t="s">
        <v>386</v>
      </c>
      <c r="D2" s="198"/>
      <c r="E2" s="131"/>
      <c r="F2" s="131"/>
      <c r="G2" s="131"/>
      <c r="H2" s="131"/>
      <c r="I2" s="131"/>
      <c r="J2" s="131"/>
      <c r="K2" s="131"/>
      <c r="L2" s="187"/>
      <c r="M2" s="131"/>
      <c r="N2" s="131"/>
      <c r="O2" s="131"/>
      <c r="P2" s="131"/>
      <c r="Q2" s="131"/>
    </row>
    <row r="3" spans="3:17" ht="12" customHeight="1" x14ac:dyDescent="0.35">
      <c r="C3" s="97"/>
      <c r="D3" s="44"/>
    </row>
    <row r="4" spans="3:17" ht="16.5" customHeight="1" x14ac:dyDescent="0.35">
      <c r="C4" s="118"/>
      <c r="D4" s="184"/>
      <c r="E4" s="93"/>
      <c r="F4" s="93" t="s">
        <v>514</v>
      </c>
      <c r="G4" s="93" t="s">
        <v>514</v>
      </c>
      <c r="H4" s="93" t="s">
        <v>514</v>
      </c>
      <c r="I4" s="93" t="s">
        <v>514</v>
      </c>
      <c r="J4" s="93" t="s">
        <v>514</v>
      </c>
      <c r="K4" s="93" t="s">
        <v>514</v>
      </c>
      <c r="L4" s="93" t="s">
        <v>514</v>
      </c>
      <c r="M4" s="93" t="s">
        <v>514</v>
      </c>
      <c r="N4" s="93" t="s">
        <v>514</v>
      </c>
      <c r="O4" s="93" t="s">
        <v>514</v>
      </c>
      <c r="P4" s="93" t="s">
        <v>514</v>
      </c>
      <c r="Q4" s="93" t="s">
        <v>514</v>
      </c>
    </row>
    <row r="5" spans="3:17" ht="18.75" customHeight="1" x14ac:dyDescent="0.35">
      <c r="C5" s="119" t="s">
        <v>597</v>
      </c>
      <c r="D5" s="94"/>
      <c r="E5" s="94"/>
      <c r="F5" s="94">
        <v>2025</v>
      </c>
      <c r="G5" s="94">
        <f>F5+1</f>
        <v>2026</v>
      </c>
      <c r="H5" s="94">
        <f t="shared" ref="H5:Q5" si="0">G5+1</f>
        <v>2027</v>
      </c>
      <c r="I5" s="94">
        <f t="shared" si="0"/>
        <v>2028</v>
      </c>
      <c r="J5" s="94">
        <f t="shared" si="0"/>
        <v>2029</v>
      </c>
      <c r="K5" s="94">
        <f t="shared" si="0"/>
        <v>2030</v>
      </c>
      <c r="L5" s="94">
        <f t="shared" si="0"/>
        <v>2031</v>
      </c>
      <c r="M5" s="94">
        <f t="shared" si="0"/>
        <v>2032</v>
      </c>
      <c r="N5" s="94">
        <f t="shared" si="0"/>
        <v>2033</v>
      </c>
      <c r="O5" s="94">
        <f t="shared" si="0"/>
        <v>2034</v>
      </c>
      <c r="P5" s="94">
        <f t="shared" si="0"/>
        <v>2035</v>
      </c>
      <c r="Q5" s="94">
        <f t="shared" si="0"/>
        <v>2036</v>
      </c>
    </row>
    <row r="6" spans="3:17" ht="17.25" customHeight="1" x14ac:dyDescent="0.35">
      <c r="C6" s="51" t="s">
        <v>55</v>
      </c>
      <c r="F6" s="100">
        <f>'P &amp; L'!D28</f>
        <v>0</v>
      </c>
      <c r="G6" s="100">
        <f>'P &amp; L'!E28</f>
        <v>0</v>
      </c>
      <c r="H6" s="100">
        <f>'P &amp; L'!F28</f>
        <v>46.194356081081111</v>
      </c>
      <c r="I6" s="100">
        <f>'P &amp; L'!G28</f>
        <v>92.43387489414431</v>
      </c>
      <c r="J6" s="100">
        <f>'P &amp; L'!H28</f>
        <v>140.54563674772527</v>
      </c>
      <c r="K6" s="100">
        <f>'P &amp; L'!I28</f>
        <v>190.546286333799</v>
      </c>
      <c r="L6" s="100">
        <f>'P &amp; L'!J28</f>
        <v>242.76695257198242</v>
      </c>
      <c r="M6" s="100">
        <f>'P &amp; L'!K28</f>
        <v>298.03599801844439</v>
      </c>
      <c r="N6" s="100" t="e">
        <f>'P &amp; L'!#REF!</f>
        <v>#REF!</v>
      </c>
      <c r="O6" s="100" t="e">
        <f>'P &amp; L'!#REF!</f>
        <v>#REF!</v>
      </c>
      <c r="P6" s="100" t="e">
        <f>'P &amp; L'!#REF!</f>
        <v>#REF!</v>
      </c>
      <c r="Q6" s="100" t="e">
        <f>'P &amp; L'!#REF!</f>
        <v>#REF!</v>
      </c>
    </row>
    <row r="7" spans="3:17" ht="17.25" customHeight="1" x14ac:dyDescent="0.35">
      <c r="C7" s="51" t="s">
        <v>387</v>
      </c>
      <c r="F7" s="100" t="e">
        <f>Depr!#REF!</f>
        <v>#REF!</v>
      </c>
      <c r="G7" s="100" t="e">
        <f>Depr!#REF!</f>
        <v>#REF!</v>
      </c>
      <c r="H7" s="100" t="e">
        <f>Depr!#REF!</f>
        <v>#REF!</v>
      </c>
      <c r="I7" s="100" t="e">
        <f>Depr!#REF!</f>
        <v>#REF!</v>
      </c>
      <c r="J7" s="100" t="e">
        <f>Depr!#REF!</f>
        <v>#REF!</v>
      </c>
      <c r="K7" s="100" t="e">
        <f>Depr!#REF!</f>
        <v>#REF!</v>
      </c>
      <c r="L7" s="100" t="e">
        <f>Depr!#REF!</f>
        <v>#REF!</v>
      </c>
      <c r="M7" s="100" t="e">
        <f>Depr!#REF!</f>
        <v>#REF!</v>
      </c>
      <c r="N7" s="100" t="e">
        <f>Depr!#REF!</f>
        <v>#REF!</v>
      </c>
      <c r="O7" s="100" t="e">
        <f>Depr!#REF!</f>
        <v>#REF!</v>
      </c>
      <c r="P7" s="100" t="e">
        <f>Depr!#REF!</f>
        <v>#REF!</v>
      </c>
      <c r="Q7" s="100" t="e">
        <f>Depr!#REF!</f>
        <v>#REF!</v>
      </c>
    </row>
    <row r="8" spans="3:17" ht="17.25" customHeight="1" x14ac:dyDescent="0.35">
      <c r="C8" s="51" t="s">
        <v>388</v>
      </c>
      <c r="F8" s="100">
        <f>Depr!C21</f>
        <v>160.82829391891892</v>
      </c>
      <c r="G8" s="100">
        <f>Depr!D21</f>
        <v>144.4238079391892</v>
      </c>
      <c r="H8" s="100">
        <f>Depr!E21</f>
        <v>129.70801904560813</v>
      </c>
      <c r="I8" s="100">
        <f>Depr!F21</f>
        <v>116.50482025633447</v>
      </c>
      <c r="J8" s="100">
        <f>Depr!G21</f>
        <v>104.65680087869511</v>
      </c>
      <c r="K8" s="100">
        <f>Depr!H21</f>
        <v>94.023214041620562</v>
      </c>
      <c r="L8" s="100">
        <f>Depr!I21</f>
        <v>84.478171900634237</v>
      </c>
      <c r="M8" s="100">
        <f>Depr!J21</f>
        <v>75.909042084270183</v>
      </c>
      <c r="N8" s="100" t="e">
        <f>Depr!#REF!</f>
        <v>#REF!</v>
      </c>
      <c r="O8" s="100" t="e">
        <f>Depr!#REF!</f>
        <v>#REF!</v>
      </c>
      <c r="P8" s="100" t="e">
        <f>Depr!#REF!</f>
        <v>#REF!</v>
      </c>
      <c r="Q8" s="100" t="e">
        <f>Depr!#REF!</f>
        <v>#REF!</v>
      </c>
    </row>
    <row r="9" spans="3:17" ht="17.25" customHeight="1" x14ac:dyDescent="0.35">
      <c r="C9" s="51" t="s">
        <v>389</v>
      </c>
      <c r="F9" s="100" t="e">
        <f t="shared" ref="F9:Q9" si="1">F6+F7-F8</f>
        <v>#REF!</v>
      </c>
      <c r="G9" s="100" t="e">
        <f t="shared" si="1"/>
        <v>#REF!</v>
      </c>
      <c r="H9" s="100" t="e">
        <f>H6+H7-H8</f>
        <v>#REF!</v>
      </c>
      <c r="I9" s="100" t="e">
        <f>I6+I7-I8</f>
        <v>#REF!</v>
      </c>
      <c r="J9" s="100" t="e">
        <f>J6+J7-J8</f>
        <v>#REF!</v>
      </c>
      <c r="K9" s="100" t="e">
        <f t="shared" si="1"/>
        <v>#REF!</v>
      </c>
      <c r="L9" s="100" t="e">
        <f t="shared" si="1"/>
        <v>#REF!</v>
      </c>
      <c r="M9" s="100" t="e">
        <f t="shared" si="1"/>
        <v>#REF!</v>
      </c>
      <c r="N9" s="100" t="e">
        <f t="shared" si="1"/>
        <v>#REF!</v>
      </c>
      <c r="O9" s="100" t="e">
        <f t="shared" si="1"/>
        <v>#REF!</v>
      </c>
      <c r="P9" s="100" t="e">
        <f t="shared" si="1"/>
        <v>#REF!</v>
      </c>
      <c r="Q9" s="100" t="e">
        <f t="shared" si="1"/>
        <v>#REF!</v>
      </c>
    </row>
    <row r="10" spans="3:17" ht="17.25" customHeight="1" x14ac:dyDescent="0.35">
      <c r="C10" s="51" t="s">
        <v>390</v>
      </c>
      <c r="F10" s="100" t="e">
        <f>E10+F9</f>
        <v>#REF!</v>
      </c>
      <c r="G10" s="100" t="e">
        <f t="shared" ref="G10:Q10" si="2">F10+G9</f>
        <v>#REF!</v>
      </c>
      <c r="H10" s="100" t="e">
        <f t="shared" si="2"/>
        <v>#REF!</v>
      </c>
      <c r="I10" s="100" t="e">
        <f t="shared" si="2"/>
        <v>#REF!</v>
      </c>
      <c r="J10" s="100" t="e">
        <f t="shared" si="2"/>
        <v>#REF!</v>
      </c>
      <c r="K10" s="100" t="e">
        <f t="shared" si="2"/>
        <v>#REF!</v>
      </c>
      <c r="L10" s="100" t="e">
        <f t="shared" si="2"/>
        <v>#REF!</v>
      </c>
      <c r="M10" s="100" t="e">
        <f t="shared" si="2"/>
        <v>#REF!</v>
      </c>
      <c r="N10" s="100" t="e">
        <f t="shared" si="2"/>
        <v>#REF!</v>
      </c>
      <c r="O10" s="100" t="e">
        <f t="shared" si="2"/>
        <v>#REF!</v>
      </c>
      <c r="P10" s="100" t="e">
        <f t="shared" si="2"/>
        <v>#REF!</v>
      </c>
      <c r="Q10" s="100" t="e">
        <f t="shared" si="2"/>
        <v>#REF!</v>
      </c>
    </row>
    <row r="11" spans="3:17" ht="17.25" customHeight="1" x14ac:dyDescent="0.35">
      <c r="C11" s="51" t="s">
        <v>391</v>
      </c>
      <c r="F11" s="200">
        <f>IF(E12&lt;0,E12,0)</f>
        <v>0</v>
      </c>
      <c r="G11" s="200" t="e">
        <f t="shared" ref="G11:Q11" si="3">IF(F12&lt;0,F12,0)</f>
        <v>#REF!</v>
      </c>
      <c r="H11" s="200" t="e">
        <f t="shared" si="3"/>
        <v>#REF!</v>
      </c>
      <c r="I11" s="200" t="e">
        <f t="shared" si="3"/>
        <v>#REF!</v>
      </c>
      <c r="J11" s="200" t="e">
        <f t="shared" si="3"/>
        <v>#REF!</v>
      </c>
      <c r="K11" s="200" t="e">
        <f t="shared" si="3"/>
        <v>#REF!</v>
      </c>
      <c r="L11" s="200" t="e">
        <f t="shared" si="3"/>
        <v>#REF!</v>
      </c>
      <c r="M11" s="200" t="e">
        <f t="shared" si="3"/>
        <v>#REF!</v>
      </c>
      <c r="N11" s="200" t="e">
        <f t="shared" si="3"/>
        <v>#REF!</v>
      </c>
      <c r="O11" s="200" t="e">
        <f t="shared" si="3"/>
        <v>#REF!</v>
      </c>
      <c r="P11" s="200" t="e">
        <f t="shared" si="3"/>
        <v>#REF!</v>
      </c>
      <c r="Q11" s="200" t="e">
        <f t="shared" si="3"/>
        <v>#REF!</v>
      </c>
    </row>
    <row r="12" spans="3:17" ht="17.25" customHeight="1" x14ac:dyDescent="0.35">
      <c r="C12" s="147" t="s">
        <v>392</v>
      </c>
      <c r="F12" s="100" t="e">
        <f t="shared" ref="F12:Q12" si="4">F9+F11</f>
        <v>#REF!</v>
      </c>
      <c r="G12" s="100" t="e">
        <f t="shared" si="4"/>
        <v>#REF!</v>
      </c>
      <c r="H12" s="100" t="e">
        <f t="shared" si="4"/>
        <v>#REF!</v>
      </c>
      <c r="I12" s="100" t="e">
        <f t="shared" si="4"/>
        <v>#REF!</v>
      </c>
      <c r="J12" s="100" t="e">
        <f t="shared" si="4"/>
        <v>#REF!</v>
      </c>
      <c r="K12" s="100" t="e">
        <f t="shared" si="4"/>
        <v>#REF!</v>
      </c>
      <c r="L12" s="100" t="e">
        <f t="shared" si="4"/>
        <v>#REF!</v>
      </c>
      <c r="M12" s="100" t="e">
        <f t="shared" si="4"/>
        <v>#REF!</v>
      </c>
      <c r="N12" s="100" t="e">
        <f t="shared" si="4"/>
        <v>#REF!</v>
      </c>
      <c r="O12" s="100" t="e">
        <f t="shared" si="4"/>
        <v>#REF!</v>
      </c>
      <c r="P12" s="100" t="e">
        <f t="shared" si="4"/>
        <v>#REF!</v>
      </c>
      <c r="Q12" s="100" t="e">
        <f t="shared" si="4"/>
        <v>#REF!</v>
      </c>
    </row>
    <row r="13" spans="3:17" ht="17.25" customHeight="1" x14ac:dyDescent="0.35">
      <c r="C13" s="51" t="s">
        <v>393</v>
      </c>
      <c r="D13" s="199">
        <v>0.33929999999999999</v>
      </c>
      <c r="F13" s="100" t="e">
        <f t="shared" ref="F13:Q13" si="5">F12*$D$13</f>
        <v>#REF!</v>
      </c>
      <c r="G13" s="100" t="e">
        <f t="shared" si="5"/>
        <v>#REF!</v>
      </c>
      <c r="H13" s="100" t="e">
        <f t="shared" si="5"/>
        <v>#REF!</v>
      </c>
      <c r="I13" s="100" t="e">
        <f t="shared" si="5"/>
        <v>#REF!</v>
      </c>
      <c r="J13" s="100" t="e">
        <f t="shared" si="5"/>
        <v>#REF!</v>
      </c>
      <c r="K13" s="100" t="e">
        <f t="shared" si="5"/>
        <v>#REF!</v>
      </c>
      <c r="L13" s="100" t="e">
        <f t="shared" si="5"/>
        <v>#REF!</v>
      </c>
      <c r="M13" s="100" t="e">
        <f t="shared" si="5"/>
        <v>#REF!</v>
      </c>
      <c r="N13" s="100" t="e">
        <f t="shared" si="5"/>
        <v>#REF!</v>
      </c>
      <c r="O13" s="100" t="e">
        <f t="shared" si="5"/>
        <v>#REF!</v>
      </c>
      <c r="P13" s="100" t="e">
        <f t="shared" si="5"/>
        <v>#REF!</v>
      </c>
      <c r="Q13" s="100" t="e">
        <f t="shared" si="5"/>
        <v>#REF!</v>
      </c>
    </row>
    <row r="14" spans="3:17" ht="17.25" customHeight="1" x14ac:dyDescent="0.35">
      <c r="C14" s="147" t="s">
        <v>394</v>
      </c>
      <c r="D14" s="199">
        <v>0.2001</v>
      </c>
      <c r="F14" s="100" t="e">
        <f t="shared" ref="F14:Q14" si="6">IF(F6&lt;0,0,(IF(F12=0,0,F6*$D$14)))</f>
        <v>#REF!</v>
      </c>
      <c r="G14" s="100" t="e">
        <f t="shared" si="6"/>
        <v>#REF!</v>
      </c>
      <c r="H14" s="100" t="e">
        <f t="shared" si="6"/>
        <v>#REF!</v>
      </c>
      <c r="I14" s="100" t="e">
        <f t="shared" si="6"/>
        <v>#REF!</v>
      </c>
      <c r="J14" s="100" t="e">
        <f t="shared" si="6"/>
        <v>#REF!</v>
      </c>
      <c r="K14" s="100" t="e">
        <f t="shared" si="6"/>
        <v>#REF!</v>
      </c>
      <c r="L14" s="100" t="e">
        <f t="shared" si="6"/>
        <v>#REF!</v>
      </c>
      <c r="M14" s="100" t="e">
        <f t="shared" si="6"/>
        <v>#REF!</v>
      </c>
      <c r="N14" s="100" t="e">
        <f t="shared" si="6"/>
        <v>#REF!</v>
      </c>
      <c r="O14" s="100" t="e">
        <f t="shared" si="6"/>
        <v>#REF!</v>
      </c>
      <c r="P14" s="100" t="e">
        <f t="shared" si="6"/>
        <v>#REF!</v>
      </c>
      <c r="Q14" s="100" t="e">
        <f t="shared" si="6"/>
        <v>#REF!</v>
      </c>
    </row>
    <row r="15" spans="3:17" ht="17.25" customHeight="1" x14ac:dyDescent="0.35">
      <c r="C15" s="147" t="s">
        <v>395</v>
      </c>
      <c r="F15" s="114" t="e">
        <f t="shared" ref="F15:Q15" si="7">MAX(F13:F14)</f>
        <v>#REF!</v>
      </c>
      <c r="G15" s="114" t="e">
        <f t="shared" si="7"/>
        <v>#REF!</v>
      </c>
      <c r="H15" s="114" t="e">
        <f t="shared" si="7"/>
        <v>#REF!</v>
      </c>
      <c r="I15" s="114" t="e">
        <f t="shared" si="7"/>
        <v>#REF!</v>
      </c>
      <c r="J15" s="114" t="e">
        <f t="shared" si="7"/>
        <v>#REF!</v>
      </c>
      <c r="K15" s="114" t="e">
        <f t="shared" si="7"/>
        <v>#REF!</v>
      </c>
      <c r="L15" s="114" t="e">
        <f t="shared" si="7"/>
        <v>#REF!</v>
      </c>
      <c r="M15" s="114" t="e">
        <f t="shared" si="7"/>
        <v>#REF!</v>
      </c>
      <c r="N15" s="114" t="e">
        <f t="shared" si="7"/>
        <v>#REF!</v>
      </c>
      <c r="O15" s="114" t="e">
        <f t="shared" si="7"/>
        <v>#REF!</v>
      </c>
      <c r="P15" s="114" t="e">
        <f t="shared" si="7"/>
        <v>#REF!</v>
      </c>
      <c r="Q15" s="114" t="e">
        <f t="shared" si="7"/>
        <v>#REF!</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5" tint="-0.499984740745262"/>
  </sheetPr>
  <dimension ref="B2:M31"/>
  <sheetViews>
    <sheetView showGridLines="0" topLeftCell="C11" workbookViewId="0">
      <selection activeCell="C21" sqref="C21:M21"/>
    </sheetView>
  </sheetViews>
  <sheetFormatPr defaultColWidth="32.26953125" defaultRowHeight="14.5" x14ac:dyDescent="0.35"/>
  <cols>
    <col min="1" max="1" width="5" style="96" customWidth="1"/>
    <col min="2" max="2" width="31.7265625" style="97" customWidth="1"/>
    <col min="3" max="10" width="12.1796875" style="44" customWidth="1"/>
    <col min="11" max="112" width="14" style="96" customWidth="1"/>
    <col min="113" max="16384" width="32.26953125" style="96"/>
  </cols>
  <sheetData>
    <row r="2" spans="2:13" ht="18" customHeight="1" x14ac:dyDescent="0.35">
      <c r="B2" s="135" t="s">
        <v>366</v>
      </c>
      <c r="C2" s="93" t="s">
        <v>381</v>
      </c>
      <c r="D2" s="93" t="s">
        <v>495</v>
      </c>
      <c r="E2" s="93"/>
      <c r="F2" s="93" t="s">
        <v>382</v>
      </c>
      <c r="G2" s="113"/>
      <c r="H2" s="93"/>
      <c r="I2" s="93" t="s">
        <v>383</v>
      </c>
    </row>
    <row r="3" spans="2:13" ht="18" customHeight="1" x14ac:dyDescent="0.35">
      <c r="B3" s="53" t="s">
        <v>384</v>
      </c>
      <c r="C3" s="186">
        <f>('CoP-MoF'!D6+'CoP-MoF'!D7)/A</f>
        <v>1100</v>
      </c>
      <c r="D3" s="186">
        <f>D6*C3/C6</f>
        <v>79.407488738738721</v>
      </c>
      <c r="E3" s="100"/>
      <c r="F3" s="186">
        <f>C3+D3+E3</f>
        <v>1179.4074887387387</v>
      </c>
      <c r="G3" s="54"/>
      <c r="H3" s="201"/>
      <c r="I3" s="201">
        <v>0.1</v>
      </c>
    </row>
    <row r="4" spans="2:13" ht="18" customHeight="1" x14ac:dyDescent="0.35">
      <c r="B4" s="97" t="s">
        <v>385</v>
      </c>
      <c r="C4" s="186">
        <f>('CoP-MoF'!D8+'CoP-MoF'!D10+'CoP-MoF'!D11)/A</f>
        <v>40</v>
      </c>
      <c r="D4" s="186">
        <f>D6*C4/C6</f>
        <v>2.8875450450450444</v>
      </c>
      <c r="E4" s="100"/>
      <c r="F4" s="186">
        <f>C4+D4+E4</f>
        <v>42.887545045045044</v>
      </c>
      <c r="G4" s="54"/>
      <c r="H4" s="201"/>
      <c r="I4" s="201">
        <v>0.15</v>
      </c>
    </row>
    <row r="5" spans="2:13" ht="18" customHeight="1" x14ac:dyDescent="0.35">
      <c r="B5" s="97" t="s">
        <v>796</v>
      </c>
      <c r="C5" s="186">
        <f>'CoP-MoF'!D9/A</f>
        <v>340</v>
      </c>
      <c r="D5" s="186">
        <f>D6*C5/C6</f>
        <v>24.544132882882877</v>
      </c>
      <c r="E5" s="100"/>
      <c r="F5" s="186">
        <f>C5+D5+E5</f>
        <v>364.54413288288288</v>
      </c>
      <c r="G5" s="54"/>
      <c r="H5" s="201"/>
      <c r="I5" s="201">
        <v>0.1</v>
      </c>
    </row>
    <row r="6" spans="2:13" ht="18" customHeight="1" x14ac:dyDescent="0.35">
      <c r="B6" s="92" t="s">
        <v>382</v>
      </c>
      <c r="C6" s="295">
        <f>SUM(C3:C5)</f>
        <v>1480</v>
      </c>
      <c r="D6" s="295">
        <f>'TL Schd'!Q10</f>
        <v>106.83916666666664</v>
      </c>
      <c r="E6" s="134"/>
      <c r="F6" s="295">
        <f>SUM(F3:F5)</f>
        <v>1586.8391666666666</v>
      </c>
      <c r="G6" s="202"/>
      <c r="H6" s="203"/>
      <c r="I6" s="203"/>
    </row>
    <row r="7" spans="2:13" x14ac:dyDescent="0.35">
      <c r="F7" s="44">
        <f>'CoP-MoF'!D5/A</f>
        <v>19.02</v>
      </c>
    </row>
    <row r="8" spans="2:13" x14ac:dyDescent="0.35">
      <c r="F8" s="186">
        <f>F6+F7</f>
        <v>1605.8591666666666</v>
      </c>
    </row>
    <row r="9" spans="2:13" ht="15.75" customHeight="1" x14ac:dyDescent="0.35">
      <c r="B9" s="135" t="s">
        <v>598</v>
      </c>
      <c r="C9" s="135"/>
      <c r="D9" s="135"/>
      <c r="E9" s="135"/>
      <c r="F9" s="135"/>
      <c r="G9" s="135"/>
      <c r="H9" s="135"/>
      <c r="I9" s="135"/>
      <c r="J9" s="135"/>
      <c r="K9" s="135"/>
      <c r="L9" s="135"/>
      <c r="M9" s="135"/>
    </row>
    <row r="10" spans="2:13" ht="15" customHeight="1" x14ac:dyDescent="0.35">
      <c r="B10" s="103" t="s">
        <v>325</v>
      </c>
      <c r="C10" s="71">
        <v>12</v>
      </c>
      <c r="D10" s="71">
        <v>12</v>
      </c>
      <c r="E10" s="71">
        <v>12</v>
      </c>
      <c r="F10" s="71">
        <v>12</v>
      </c>
      <c r="G10" s="71">
        <v>12</v>
      </c>
      <c r="H10" s="71">
        <v>12</v>
      </c>
      <c r="I10" s="71">
        <v>12</v>
      </c>
      <c r="J10" s="71">
        <v>12</v>
      </c>
      <c r="K10" s="71">
        <v>12</v>
      </c>
      <c r="L10" s="71">
        <v>12</v>
      </c>
      <c r="M10" s="71">
        <v>12</v>
      </c>
    </row>
    <row r="11" spans="2:13" s="58" customFormat="1" ht="21" customHeight="1" x14ac:dyDescent="0.35">
      <c r="B11" s="109" t="s">
        <v>599</v>
      </c>
      <c r="C11" s="72">
        <v>2027</v>
      </c>
      <c r="D11" s="72">
        <f t="shared" ref="D11:J11" si="0">C11+1</f>
        <v>2028</v>
      </c>
      <c r="E11" s="72">
        <f t="shared" si="0"/>
        <v>2029</v>
      </c>
      <c r="F11" s="72">
        <f t="shared" si="0"/>
        <v>2030</v>
      </c>
      <c r="G11" s="72">
        <f t="shared" si="0"/>
        <v>2031</v>
      </c>
      <c r="H11" s="72">
        <f t="shared" si="0"/>
        <v>2032</v>
      </c>
      <c r="I11" s="72">
        <f t="shared" si="0"/>
        <v>2033</v>
      </c>
      <c r="J11" s="72">
        <f t="shared" si="0"/>
        <v>2034</v>
      </c>
      <c r="K11" s="72">
        <f t="shared" ref="K11" si="1">J11+1</f>
        <v>2035</v>
      </c>
      <c r="L11" s="72">
        <f t="shared" ref="L11:M11" si="2">K11+1</f>
        <v>2036</v>
      </c>
      <c r="M11" s="72">
        <f t="shared" si="2"/>
        <v>2037</v>
      </c>
    </row>
    <row r="12" spans="2:13" s="97" customFormat="1" ht="21" customHeight="1" x14ac:dyDescent="0.35">
      <c r="B12" s="97" t="s">
        <v>60</v>
      </c>
      <c r="C12" s="305">
        <f>F3</f>
        <v>1179.4074887387387</v>
      </c>
      <c r="D12" s="305">
        <f t="shared" ref="D12:J12" si="3">(C14)</f>
        <v>1061.4667398648648</v>
      </c>
      <c r="E12" s="305">
        <f t="shared" si="3"/>
        <v>955.32006587837839</v>
      </c>
      <c r="F12" s="305">
        <f t="shared" si="3"/>
        <v>859.78805929054056</v>
      </c>
      <c r="G12" s="305">
        <f t="shared" si="3"/>
        <v>773.80925336148653</v>
      </c>
      <c r="H12" s="305">
        <f t="shared" si="3"/>
        <v>696.42832802533781</v>
      </c>
      <c r="I12" s="305">
        <f t="shared" si="3"/>
        <v>626.785495222804</v>
      </c>
      <c r="J12" s="305">
        <f t="shared" si="3"/>
        <v>564.10694570052362</v>
      </c>
      <c r="K12" s="305">
        <f t="shared" ref="K12" si="4">(J14)</f>
        <v>507.69625113047124</v>
      </c>
      <c r="L12" s="305">
        <f t="shared" ref="L12:M12" si="5">(K14)</f>
        <v>456.9266260174241</v>
      </c>
      <c r="M12" s="305">
        <f t="shared" si="5"/>
        <v>411.23396341568167</v>
      </c>
    </row>
    <row r="13" spans="2:13" s="97" customFormat="1" ht="21" customHeight="1" x14ac:dyDescent="0.35">
      <c r="B13" s="97" t="s">
        <v>397</v>
      </c>
      <c r="C13" s="343">
        <f>(C12*$I$3)</f>
        <v>117.94074887387387</v>
      </c>
      <c r="D13" s="305">
        <f t="shared" ref="D13:J13" si="6">(D12*$I$3)</f>
        <v>106.14667398648649</v>
      </c>
      <c r="E13" s="305">
        <f t="shared" si="6"/>
        <v>95.532006587837841</v>
      </c>
      <c r="F13" s="305">
        <f t="shared" si="6"/>
        <v>85.978805929054062</v>
      </c>
      <c r="G13" s="305">
        <f t="shared" si="6"/>
        <v>77.380925336148664</v>
      </c>
      <c r="H13" s="305">
        <f t="shared" si="6"/>
        <v>69.642832802533789</v>
      </c>
      <c r="I13" s="305">
        <f t="shared" si="6"/>
        <v>62.678549522280406</v>
      </c>
      <c r="J13" s="305">
        <f t="shared" si="6"/>
        <v>56.410694570052364</v>
      </c>
      <c r="K13" s="305">
        <f t="shared" ref="K13:L13" si="7">(K12*$I$3)</f>
        <v>50.769625113047127</v>
      </c>
      <c r="L13" s="305">
        <f t="shared" si="7"/>
        <v>45.692662601742413</v>
      </c>
      <c r="M13" s="305">
        <f t="shared" ref="M13" si="8">(M12*$I$3)</f>
        <v>41.123396341568167</v>
      </c>
    </row>
    <row r="14" spans="2:13" s="97" customFormat="1" ht="21" customHeight="1" x14ac:dyDescent="0.35">
      <c r="B14" s="97" t="s">
        <v>61</v>
      </c>
      <c r="C14" s="343">
        <f t="shared" ref="C14:J14" si="9">(C12-C13)</f>
        <v>1061.4667398648648</v>
      </c>
      <c r="D14" s="305">
        <f t="shared" si="9"/>
        <v>955.32006587837839</v>
      </c>
      <c r="E14" s="305">
        <f t="shared" si="9"/>
        <v>859.78805929054056</v>
      </c>
      <c r="F14" s="305">
        <f t="shared" si="9"/>
        <v>773.80925336148653</v>
      </c>
      <c r="G14" s="305">
        <f t="shared" si="9"/>
        <v>696.42832802533781</v>
      </c>
      <c r="H14" s="305">
        <f t="shared" si="9"/>
        <v>626.785495222804</v>
      </c>
      <c r="I14" s="305">
        <f t="shared" si="9"/>
        <v>564.10694570052362</v>
      </c>
      <c r="J14" s="305">
        <f t="shared" si="9"/>
        <v>507.69625113047124</v>
      </c>
      <c r="K14" s="305">
        <f t="shared" ref="K14:L14" si="10">(K12-K13)</f>
        <v>456.9266260174241</v>
      </c>
      <c r="L14" s="305">
        <f t="shared" si="10"/>
        <v>411.23396341568167</v>
      </c>
      <c r="M14" s="305">
        <f t="shared" ref="M14" si="11">(M12-M13)</f>
        <v>370.11056707411353</v>
      </c>
    </row>
    <row r="15" spans="2:13" s="97" customFormat="1" ht="21" customHeight="1" x14ac:dyDescent="0.35">
      <c r="B15" s="97" t="s">
        <v>62</v>
      </c>
      <c r="C15" s="343">
        <f>F4</f>
        <v>42.887545045045044</v>
      </c>
      <c r="D15" s="305">
        <f>C17</f>
        <v>36.454413288288286</v>
      </c>
      <c r="E15" s="305">
        <f t="shared" ref="E15:J15" si="12">(D17)</f>
        <v>30.986251295045044</v>
      </c>
      <c r="F15" s="305">
        <f t="shared" si="12"/>
        <v>26.338313600788286</v>
      </c>
      <c r="G15" s="305">
        <f t="shared" si="12"/>
        <v>22.387566560670045</v>
      </c>
      <c r="H15" s="305">
        <f t="shared" si="12"/>
        <v>19.029431576569539</v>
      </c>
      <c r="I15" s="305">
        <f t="shared" si="12"/>
        <v>16.175016840084108</v>
      </c>
      <c r="J15" s="305">
        <f t="shared" si="12"/>
        <v>13.748764314071492</v>
      </c>
      <c r="K15" s="305">
        <f t="shared" ref="K15" si="13">(J17)</f>
        <v>11.686449666960769</v>
      </c>
      <c r="L15" s="305">
        <f t="shared" ref="L15:M15" si="14">(K17)</f>
        <v>9.9334822169166532</v>
      </c>
      <c r="M15" s="305">
        <f t="shared" si="14"/>
        <v>8.4434598843791555</v>
      </c>
    </row>
    <row r="16" spans="2:13" s="97" customFormat="1" ht="21" customHeight="1" x14ac:dyDescent="0.35">
      <c r="B16" s="97" t="s">
        <v>397</v>
      </c>
      <c r="C16" s="343">
        <f>(C15*$I$4)</f>
        <v>6.4331317567567563</v>
      </c>
      <c r="D16" s="305">
        <f t="shared" ref="D16:J16" si="15">(D15*$I$4)</f>
        <v>5.4681619932432426</v>
      </c>
      <c r="E16" s="305">
        <f t="shared" si="15"/>
        <v>4.6479376942567567</v>
      </c>
      <c r="F16" s="305">
        <f t="shared" si="15"/>
        <v>3.9507470401182427</v>
      </c>
      <c r="G16" s="305">
        <f t="shared" si="15"/>
        <v>3.3581349841005066</v>
      </c>
      <c r="H16" s="305">
        <f t="shared" si="15"/>
        <v>2.8544147364854306</v>
      </c>
      <c r="I16" s="305">
        <f t="shared" si="15"/>
        <v>2.426252526012616</v>
      </c>
      <c r="J16" s="305">
        <f t="shared" si="15"/>
        <v>2.0623146471107239</v>
      </c>
      <c r="K16" s="305">
        <f t="shared" ref="K16:L16" si="16">(K15*$I$4)</f>
        <v>1.7529674500441152</v>
      </c>
      <c r="L16" s="305">
        <f t="shared" si="16"/>
        <v>1.4900223325374979</v>
      </c>
      <c r="M16" s="305">
        <f t="shared" ref="M16" si="17">(M15*$I$4)</f>
        <v>1.2665189826568732</v>
      </c>
    </row>
    <row r="17" spans="2:13" s="97" customFormat="1" ht="21" customHeight="1" x14ac:dyDescent="0.35">
      <c r="B17" s="97" t="s">
        <v>182</v>
      </c>
      <c r="C17" s="343">
        <f t="shared" ref="C17:J17" si="18">(C15-C16)</f>
        <v>36.454413288288286</v>
      </c>
      <c r="D17" s="305">
        <f t="shared" si="18"/>
        <v>30.986251295045044</v>
      </c>
      <c r="E17" s="305">
        <f t="shared" si="18"/>
        <v>26.338313600788286</v>
      </c>
      <c r="F17" s="305">
        <f t="shared" si="18"/>
        <v>22.387566560670045</v>
      </c>
      <c r="G17" s="305">
        <f t="shared" si="18"/>
        <v>19.029431576569539</v>
      </c>
      <c r="H17" s="305">
        <f t="shared" si="18"/>
        <v>16.175016840084108</v>
      </c>
      <c r="I17" s="305">
        <f t="shared" si="18"/>
        <v>13.748764314071492</v>
      </c>
      <c r="J17" s="305">
        <f t="shared" si="18"/>
        <v>11.686449666960769</v>
      </c>
      <c r="K17" s="305">
        <f t="shared" ref="K17:L17" si="19">(K15-K16)</f>
        <v>9.9334822169166532</v>
      </c>
      <c r="L17" s="305">
        <f t="shared" si="19"/>
        <v>8.4434598843791555</v>
      </c>
      <c r="M17" s="305">
        <f t="shared" ref="M17" si="20">(M15-M16)</f>
        <v>7.1769409017222827</v>
      </c>
    </row>
    <row r="18" spans="2:13" s="97" customFormat="1" ht="21" customHeight="1" x14ac:dyDescent="0.35">
      <c r="B18" s="97" t="s">
        <v>796</v>
      </c>
      <c r="C18" s="343">
        <f>F5</f>
        <v>364.54413288288288</v>
      </c>
      <c r="D18" s="305">
        <f>C20</f>
        <v>328.08971959459461</v>
      </c>
      <c r="E18" s="305">
        <f t="shared" ref="E18:J18" si="21">D20</f>
        <v>295.28074763513513</v>
      </c>
      <c r="F18" s="305">
        <f t="shared" si="21"/>
        <v>265.7526728716216</v>
      </c>
      <c r="G18" s="305">
        <f t="shared" si="21"/>
        <v>239.17740558445945</v>
      </c>
      <c r="H18" s="305">
        <f t="shared" si="21"/>
        <v>215.25966502601349</v>
      </c>
      <c r="I18" s="305">
        <f t="shared" si="21"/>
        <v>193.73369852341216</v>
      </c>
      <c r="J18" s="305">
        <f t="shared" si="21"/>
        <v>174.36032867107093</v>
      </c>
      <c r="K18" s="305">
        <f t="shared" ref="K18" si="22">J20</f>
        <v>156.92429580396384</v>
      </c>
      <c r="L18" s="305">
        <f t="shared" ref="L18:M18" si="23">K20</f>
        <v>141.23186622356747</v>
      </c>
      <c r="M18" s="305">
        <f t="shared" si="23"/>
        <v>127.10867960121072</v>
      </c>
    </row>
    <row r="19" spans="2:13" s="97" customFormat="1" ht="21" customHeight="1" x14ac:dyDescent="0.35">
      <c r="B19" s="97" t="s">
        <v>397</v>
      </c>
      <c r="C19" s="343">
        <f>(C18*$I$5)</f>
        <v>36.454413288288286</v>
      </c>
      <c r="D19" s="305">
        <f>(D18*$I$5)</f>
        <v>32.808971959459463</v>
      </c>
      <c r="E19" s="305">
        <f t="shared" ref="E19:J19" si="24">(E18*$I$5)</f>
        <v>29.528074763513516</v>
      </c>
      <c r="F19" s="305">
        <f t="shared" si="24"/>
        <v>26.575267287162163</v>
      </c>
      <c r="G19" s="305">
        <f t="shared" si="24"/>
        <v>23.917740558445946</v>
      </c>
      <c r="H19" s="305">
        <f t="shared" si="24"/>
        <v>21.525966502601349</v>
      </c>
      <c r="I19" s="305">
        <f t="shared" si="24"/>
        <v>19.373369852341217</v>
      </c>
      <c r="J19" s="305">
        <f t="shared" si="24"/>
        <v>17.436032867107095</v>
      </c>
      <c r="K19" s="305">
        <f t="shared" ref="K19:L19" si="25">(K18*$I$5)</f>
        <v>15.692429580396386</v>
      </c>
      <c r="L19" s="305">
        <f t="shared" si="25"/>
        <v>14.123186622356748</v>
      </c>
      <c r="M19" s="305">
        <f t="shared" ref="M19" si="26">(M18*$I$5)</f>
        <v>12.710867960121073</v>
      </c>
    </row>
    <row r="20" spans="2:13" s="97" customFormat="1" ht="21" customHeight="1" x14ac:dyDescent="0.35">
      <c r="B20" s="97" t="s">
        <v>797</v>
      </c>
      <c r="C20" s="305">
        <f t="shared" ref="C20:D20" si="27">(C18-C19)</f>
        <v>328.08971959459461</v>
      </c>
      <c r="D20" s="305">
        <f t="shared" si="27"/>
        <v>295.28074763513513</v>
      </c>
      <c r="E20" s="305">
        <f t="shared" ref="E20:J20" si="28">(E18-E19)</f>
        <v>265.7526728716216</v>
      </c>
      <c r="F20" s="305">
        <f t="shared" si="28"/>
        <v>239.17740558445945</v>
      </c>
      <c r="G20" s="305">
        <f t="shared" si="28"/>
        <v>215.25966502601349</v>
      </c>
      <c r="H20" s="305">
        <f t="shared" si="28"/>
        <v>193.73369852341216</v>
      </c>
      <c r="I20" s="305">
        <f t="shared" si="28"/>
        <v>174.36032867107093</v>
      </c>
      <c r="J20" s="305">
        <f t="shared" si="28"/>
        <v>156.92429580396384</v>
      </c>
      <c r="K20" s="305">
        <f t="shared" ref="K20:L20" si="29">(K18-K19)</f>
        <v>141.23186622356747</v>
      </c>
      <c r="L20" s="305">
        <f t="shared" si="29"/>
        <v>127.10867960121072</v>
      </c>
      <c r="M20" s="305">
        <f t="shared" ref="M20" si="30">(M18-M19)</f>
        <v>114.39781164108965</v>
      </c>
    </row>
    <row r="21" spans="2:13" s="97" customFormat="1" ht="21" customHeight="1" x14ac:dyDescent="0.35">
      <c r="B21" s="135" t="s">
        <v>396</v>
      </c>
      <c r="C21" s="306">
        <f>C13+C16+C19</f>
        <v>160.82829391891892</v>
      </c>
      <c r="D21" s="306">
        <f t="shared" ref="D21:J21" si="31">D13+D16+D19</f>
        <v>144.4238079391892</v>
      </c>
      <c r="E21" s="306">
        <f t="shared" si="31"/>
        <v>129.70801904560813</v>
      </c>
      <c r="F21" s="306">
        <f t="shared" si="31"/>
        <v>116.50482025633447</v>
      </c>
      <c r="G21" s="306">
        <f t="shared" si="31"/>
        <v>104.65680087869511</v>
      </c>
      <c r="H21" s="306">
        <f t="shared" si="31"/>
        <v>94.023214041620562</v>
      </c>
      <c r="I21" s="306">
        <f t="shared" si="31"/>
        <v>84.478171900634237</v>
      </c>
      <c r="J21" s="306">
        <f t="shared" si="31"/>
        <v>75.909042084270183</v>
      </c>
      <c r="K21" s="306">
        <f t="shared" ref="K21:L21" si="32">K13+K16+K19</f>
        <v>68.21502214348763</v>
      </c>
      <c r="L21" s="306">
        <f t="shared" si="32"/>
        <v>61.30587155663666</v>
      </c>
      <c r="M21" s="306">
        <f t="shared" ref="M21" si="33">M13+M16+M19</f>
        <v>55.100783284346114</v>
      </c>
    </row>
    <row r="22" spans="2:13" x14ac:dyDescent="0.35">
      <c r="B22" s="135" t="s">
        <v>748</v>
      </c>
      <c r="C22" s="306">
        <f>C14+C17+C20</f>
        <v>1426.0108727477477</v>
      </c>
      <c r="D22" s="306">
        <f t="shared" ref="D22:J22" si="34">D14+D17+D20</f>
        <v>1281.5870648085586</v>
      </c>
      <c r="E22" s="306">
        <f t="shared" si="34"/>
        <v>1151.8790457629505</v>
      </c>
      <c r="F22" s="306">
        <f t="shared" si="34"/>
        <v>1035.3742255066161</v>
      </c>
      <c r="G22" s="306">
        <f t="shared" si="34"/>
        <v>930.71742462792088</v>
      </c>
      <c r="H22" s="306">
        <f t="shared" si="34"/>
        <v>836.6942105863003</v>
      </c>
      <c r="I22" s="306">
        <f t="shared" si="34"/>
        <v>752.21603868566604</v>
      </c>
      <c r="J22" s="306">
        <f t="shared" si="34"/>
        <v>676.30699660139589</v>
      </c>
      <c r="K22" s="306">
        <f t="shared" ref="K22:L22" si="35">K14+K17+K20</f>
        <v>608.09197445790824</v>
      </c>
      <c r="L22" s="306">
        <f t="shared" si="35"/>
        <v>546.78610290127153</v>
      </c>
      <c r="M22" s="306">
        <f t="shared" ref="M22" si="36">M14+M17+M20</f>
        <v>491.68531961692543</v>
      </c>
    </row>
    <row r="25" spans="2:13" x14ac:dyDescent="0.35">
      <c r="B25" s="468" t="s">
        <v>874</v>
      </c>
      <c r="C25" s="465" t="s">
        <v>876</v>
      </c>
      <c r="D25" s="466"/>
      <c r="E25" s="467"/>
      <c r="F25" s="465" t="s">
        <v>877</v>
      </c>
      <c r="G25" s="466"/>
      <c r="H25" s="467"/>
    </row>
    <row r="26" spans="2:13" x14ac:dyDescent="0.35">
      <c r="B26" s="469"/>
      <c r="C26" s="396" t="s">
        <v>878</v>
      </c>
      <c r="D26" s="418" t="s">
        <v>457</v>
      </c>
      <c r="E26" s="418" t="s">
        <v>454</v>
      </c>
      <c r="F26" s="396" t="s">
        <v>878</v>
      </c>
      <c r="G26" s="418" t="s">
        <v>457</v>
      </c>
      <c r="H26" s="396" t="s">
        <v>454</v>
      </c>
    </row>
    <row r="27" spans="2:13" x14ac:dyDescent="0.35">
      <c r="B27" s="393" t="s">
        <v>213</v>
      </c>
      <c r="C27" s="394">
        <f>7.02+6</f>
        <v>13.02</v>
      </c>
      <c r="D27" s="394">
        <v>0</v>
      </c>
      <c r="E27" s="419">
        <f>SUM(C27:D27)</f>
        <v>13.02</v>
      </c>
      <c r="F27" s="394">
        <v>6</v>
      </c>
      <c r="G27" s="394">
        <v>0</v>
      </c>
      <c r="H27" s="394">
        <f>SUM(F27:G27)</f>
        <v>6</v>
      </c>
      <c r="J27" s="186">
        <f>J28+H27+E27</f>
        <v>1605.8591666666666</v>
      </c>
    </row>
    <row r="28" spans="2:13" x14ac:dyDescent="0.35">
      <c r="B28" s="393" t="s">
        <v>384</v>
      </c>
      <c r="C28" s="394">
        <f>200+200+200+100</f>
        <v>700</v>
      </c>
      <c r="D28" s="394">
        <f>$D$31*C28/SUM($C$28:$C$30)</f>
        <v>17.911911554921542</v>
      </c>
      <c r="E28" s="419">
        <f t="shared" ref="E28:E31" si="37">SUM(C28:D28)</f>
        <v>717.91191155492152</v>
      </c>
      <c r="F28" s="394">
        <f>200+100+100</f>
        <v>400</v>
      </c>
      <c r="G28" s="394">
        <f>$G$31*F28/SUM($F$28:$F$30)</f>
        <v>45.649122807017534</v>
      </c>
      <c r="H28" s="394">
        <f t="shared" ref="H28:H31" si="38">SUM(F28:G28)</f>
        <v>445.64912280701753</v>
      </c>
      <c r="J28" s="186">
        <f>E28+E29+E30+H28+H29+H30</f>
        <v>1586.8391666666666</v>
      </c>
    </row>
    <row r="29" spans="2:13" x14ac:dyDescent="0.35">
      <c r="B29" s="393" t="s">
        <v>385</v>
      </c>
      <c r="C29" s="394">
        <v>1</v>
      </c>
      <c r="D29" s="394">
        <f t="shared" ref="D29:D30" si="39">$D$31*C29/SUM($C$28:$C$30)</f>
        <v>2.5588445078459345E-2</v>
      </c>
      <c r="E29" s="419">
        <f t="shared" si="37"/>
        <v>1.0255884450784594</v>
      </c>
      <c r="F29" s="394">
        <f>14+25</f>
        <v>39</v>
      </c>
      <c r="G29" s="394">
        <f t="shared" ref="G29:G30" si="40">$G$31*F29/SUM($F$28:$F$30)</f>
        <v>4.4507894736842095</v>
      </c>
      <c r="H29" s="394">
        <f t="shared" si="38"/>
        <v>43.45078947368421</v>
      </c>
      <c r="J29" s="186">
        <f>J28-F6</f>
        <v>0</v>
      </c>
    </row>
    <row r="30" spans="2:13" x14ac:dyDescent="0.35">
      <c r="B30" s="393" t="s">
        <v>796</v>
      </c>
      <c r="C30" s="394">
        <v>0</v>
      </c>
      <c r="D30" s="394">
        <f t="shared" si="39"/>
        <v>0</v>
      </c>
      <c r="E30" s="419">
        <f t="shared" si="37"/>
        <v>0</v>
      </c>
      <c r="F30" s="394">
        <f>100+100+140</f>
        <v>340</v>
      </c>
      <c r="G30" s="394">
        <f t="shared" si="40"/>
        <v>38.801754385964905</v>
      </c>
      <c r="H30" s="394">
        <f t="shared" si="38"/>
        <v>378.8017543859649</v>
      </c>
    </row>
    <row r="31" spans="2:13" s="391" customFormat="1" x14ac:dyDescent="0.35">
      <c r="B31" s="392" t="s">
        <v>454</v>
      </c>
      <c r="C31" s="395">
        <f>SUM(C27:C30)</f>
        <v>714.02</v>
      </c>
      <c r="D31" s="395">
        <f>'TL Schd'!D10</f>
        <v>17.9375</v>
      </c>
      <c r="E31" s="420">
        <f t="shared" si="37"/>
        <v>731.95749999999998</v>
      </c>
      <c r="F31" s="395">
        <f>SUM(F27:F30)</f>
        <v>785</v>
      </c>
      <c r="G31" s="395">
        <f>'TL Schd'!E10</f>
        <v>88.901666666666642</v>
      </c>
      <c r="H31" s="395">
        <f t="shared" si="38"/>
        <v>873.90166666666664</v>
      </c>
      <c r="I31" s="47"/>
      <c r="J31" s="47"/>
    </row>
  </sheetData>
  <customSheetViews>
    <customSheetView guid="{22475485-DA09-46DB-978D-BB94CE1E5597}">
      <selection activeCell="D4" sqref="D4"/>
      <pageMargins left="0.7" right="0.7" top="0.75" bottom="0.75" header="0.3" footer="0.3"/>
      <pageSetup paperSize="9" orientation="landscape" verticalDpi="300" r:id="rId1"/>
    </customSheetView>
  </customSheetViews>
  <mergeCells count="3">
    <mergeCell ref="C25:E25"/>
    <mergeCell ref="F25:H25"/>
    <mergeCell ref="B25:B26"/>
  </mergeCells>
  <pageMargins left="0.7" right="0.7" top="0.75" bottom="0.75" header="0.3" footer="0.3"/>
  <pageSetup paperSize="9" orientation="landscape"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E17"/>
  <sheetViews>
    <sheetView workbookViewId="0"/>
  </sheetViews>
  <sheetFormatPr defaultColWidth="8.81640625" defaultRowHeight="14.5" x14ac:dyDescent="0.35"/>
  <cols>
    <col min="1" max="1" width="32" customWidth="1"/>
    <col min="2" max="2" width="11.81640625" style="11" customWidth="1"/>
    <col min="3" max="3" width="16.81640625" style="11" customWidth="1"/>
  </cols>
  <sheetData>
    <row r="1" spans="1:5" s="28" customFormat="1" ht="22.5" customHeight="1" x14ac:dyDescent="0.35">
      <c r="A1" s="28" t="s">
        <v>306</v>
      </c>
      <c r="B1" s="28" t="s">
        <v>318</v>
      </c>
      <c r="C1" s="28" t="s">
        <v>307</v>
      </c>
    </row>
    <row r="2" spans="1:5" s="29" customFormat="1" ht="22.5" customHeight="1" x14ac:dyDescent="0.35">
      <c r="A2" s="28" t="s">
        <v>308</v>
      </c>
      <c r="B2" s="30">
        <v>34</v>
      </c>
      <c r="C2" s="30">
        <v>8</v>
      </c>
      <c r="E2" s="29">
        <f>B2*C2</f>
        <v>272</v>
      </c>
    </row>
    <row r="3" spans="1:5" s="29" customFormat="1" ht="22.5" customHeight="1" x14ac:dyDescent="0.35">
      <c r="A3" s="28" t="s">
        <v>309</v>
      </c>
      <c r="B3" s="30">
        <v>7.5</v>
      </c>
      <c r="C3" s="30">
        <v>8</v>
      </c>
      <c r="E3" s="29">
        <f t="shared" ref="E3:E11" si="0">B3*C3</f>
        <v>60</v>
      </c>
    </row>
    <row r="4" spans="1:5" s="29" customFormat="1" ht="22.5" customHeight="1" x14ac:dyDescent="0.35">
      <c r="A4" s="28" t="s">
        <v>310</v>
      </c>
      <c r="B4" s="30">
        <v>22.5</v>
      </c>
      <c r="C4" s="30">
        <v>8</v>
      </c>
      <c r="D4" s="29">
        <f>SUM(B2:B4)</f>
        <v>64</v>
      </c>
      <c r="E4" s="29">
        <f t="shared" si="0"/>
        <v>180</v>
      </c>
    </row>
    <row r="5" spans="1:5" s="29" customFormat="1" ht="22.5" customHeight="1" x14ac:dyDescent="0.35">
      <c r="A5" s="28" t="s">
        <v>311</v>
      </c>
      <c r="B5" s="30">
        <v>34</v>
      </c>
      <c r="C5" s="30">
        <v>10</v>
      </c>
      <c r="E5" s="29">
        <f t="shared" si="0"/>
        <v>340</v>
      </c>
    </row>
    <row r="6" spans="1:5" s="29" customFormat="1" ht="22.5" customHeight="1" x14ac:dyDescent="0.35">
      <c r="A6" s="28" t="s">
        <v>312</v>
      </c>
      <c r="B6" s="30">
        <v>30</v>
      </c>
      <c r="C6" s="30">
        <v>10</v>
      </c>
      <c r="D6" s="29">
        <f>SUM(B5:B6)</f>
        <v>64</v>
      </c>
      <c r="E6" s="29">
        <f t="shared" si="0"/>
        <v>300</v>
      </c>
    </row>
    <row r="7" spans="1:5" s="29" customFormat="1" ht="22.5" customHeight="1" x14ac:dyDescent="0.35">
      <c r="A7" s="28" t="s">
        <v>313</v>
      </c>
      <c r="B7" s="30">
        <v>3</v>
      </c>
      <c r="C7" s="30">
        <v>24</v>
      </c>
      <c r="E7" s="29">
        <f t="shared" si="0"/>
        <v>72</v>
      </c>
    </row>
    <row r="8" spans="1:5" s="29" customFormat="1" ht="22.5" customHeight="1" x14ac:dyDescent="0.35">
      <c r="A8" s="28" t="s">
        <v>314</v>
      </c>
      <c r="B8" s="30">
        <v>6</v>
      </c>
      <c r="C8" s="30">
        <v>16</v>
      </c>
      <c r="E8" s="29">
        <f t="shared" si="0"/>
        <v>96</v>
      </c>
    </row>
    <row r="9" spans="1:5" s="29" customFormat="1" ht="22.5" customHeight="1" x14ac:dyDescent="0.35">
      <c r="A9" s="28" t="s">
        <v>319</v>
      </c>
      <c r="B9" s="30">
        <v>23</v>
      </c>
      <c r="C9" s="30">
        <v>20</v>
      </c>
      <c r="E9" s="29">
        <f t="shared" si="0"/>
        <v>460</v>
      </c>
    </row>
    <row r="10" spans="1:5" s="29" customFormat="1" ht="22.5" customHeight="1" x14ac:dyDescent="0.35">
      <c r="A10" s="28" t="s">
        <v>315</v>
      </c>
      <c r="B10" s="30">
        <v>75</v>
      </c>
      <c r="C10" s="30">
        <v>11</v>
      </c>
      <c r="E10" s="29">
        <f t="shared" si="0"/>
        <v>825</v>
      </c>
    </row>
    <row r="11" spans="1:5" s="29" customFormat="1" ht="22.5" customHeight="1" x14ac:dyDescent="0.35">
      <c r="A11" s="28" t="s">
        <v>316</v>
      </c>
      <c r="B11" s="30">
        <v>90</v>
      </c>
      <c r="C11" s="30">
        <v>8</v>
      </c>
      <c r="E11" s="29">
        <f t="shared" si="0"/>
        <v>720</v>
      </c>
    </row>
    <row r="12" spans="1:5" s="29" customFormat="1" ht="22.5" customHeight="1" x14ac:dyDescent="0.35">
      <c r="A12" s="28" t="s">
        <v>317</v>
      </c>
      <c r="B12" s="30"/>
      <c r="C12" s="30">
        <v>10</v>
      </c>
    </row>
    <row r="13" spans="1:5" s="29" customFormat="1" ht="22.5" customHeight="1" x14ac:dyDescent="0.35">
      <c r="A13" s="28"/>
      <c r="B13" s="30">
        <f>SUM(B2:B11)</f>
        <v>325</v>
      </c>
      <c r="C13" s="30">
        <f>SUM(C2:C11)</f>
        <v>123</v>
      </c>
      <c r="E13" s="30">
        <f>SUM(E2:E11)</f>
        <v>3325</v>
      </c>
    </row>
    <row r="14" spans="1:5" ht="22.5" customHeight="1" x14ac:dyDescent="0.35"/>
    <row r="15" spans="1:5" ht="22.5" customHeight="1" x14ac:dyDescent="0.35"/>
    <row r="16" spans="1:5" ht="22.5" customHeight="1" x14ac:dyDescent="0.35"/>
    <row r="17" ht="22.5" customHeight="1" x14ac:dyDescent="0.35"/>
  </sheetData>
  <customSheetViews>
    <customSheetView guid="{22475485-DA09-46DB-978D-BB94CE1E5597}"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A6095F-A486-4993-8BB1-A6EFC2C11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Det CoP_MOF</vt:lpstr>
      <vt:lpstr>Sheet3</vt:lpstr>
      <vt:lpstr>CoP-MoF</vt:lpstr>
      <vt:lpstr>Det Assump</vt:lpstr>
      <vt:lpstr>Assump</vt:lpstr>
      <vt:lpstr>Sheet2</vt:lpstr>
      <vt:lpstr>P &amp; L</vt:lpstr>
      <vt:lpstr>BS</vt:lpstr>
      <vt:lpstr>Cash Flow</vt:lpstr>
      <vt:lpstr>BEP</vt:lpstr>
      <vt:lpstr>IRR</vt:lpstr>
      <vt:lpstr>DSCR</vt:lpstr>
      <vt:lpstr>Loan Assumptions</vt:lpstr>
      <vt:lpstr>TL Schd</vt:lpstr>
      <vt:lpstr>Ratio</vt:lpstr>
      <vt:lpstr>WC</vt:lpstr>
      <vt:lpstr>PBP-IRR</vt:lpstr>
      <vt:lpstr>NPV</vt:lpstr>
      <vt:lpstr>P E</vt:lpstr>
      <vt:lpstr>PE</vt:lpstr>
      <vt:lpstr>Tax</vt:lpstr>
      <vt:lpstr>Depr</vt: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P Mishra</dc:creator>
  <cp:lastModifiedBy>Aneesh Mallick</cp:lastModifiedBy>
  <cp:lastPrinted>2024-08-25T10:21:37Z</cp:lastPrinted>
  <dcterms:created xsi:type="dcterms:W3CDTF">2015-03-21T00:42:44Z</dcterms:created>
  <dcterms:modified xsi:type="dcterms:W3CDTF">2024-09-05T06:15:33Z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{4AF292D0-B31F-47DC-AF2C-4A134CE844EB}</vt:lpwstr>
  </property>
</Properties>
</file>