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12\Desktop\"/>
    </mc:Choice>
  </mc:AlternateContent>
  <bookViews>
    <workbookView xWindow="-120" yWindow="-120" windowWidth="21840" windowHeight="13140" activeTab="3"/>
  </bookViews>
  <sheets>
    <sheet name="Sheet1" sheetId="1" r:id="rId1"/>
    <sheet name="Sheet2" sheetId="2" r:id="rId2"/>
    <sheet name="Sheet3" sheetId="3" r:id="rId3"/>
    <sheet name="Sheet4" sheetId="5" r:id="rId4"/>
  </sheets>
  <definedNames>
    <definedName name="_xlnm._FilterDatabase" localSheetId="0" hidden="1">Sheet1!$C$2:$J$84</definedName>
    <definedName name="_xlnm._FilterDatabase" localSheetId="2" hidden="1">Sheet3!$C$3:$K$3</definedName>
    <definedName name="_xlnm.Print_Area" localSheetId="1">Sheet2!$A$1:$D$44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5" l="1"/>
  <c r="H87" i="5"/>
  <c r="H79" i="3"/>
  <c r="G80" i="3"/>
  <c r="G79" i="3"/>
  <c r="H38" i="3" l="1"/>
  <c r="H60" i="3"/>
  <c r="H55" i="3"/>
  <c r="H61" i="3"/>
  <c r="H19" i="3"/>
  <c r="G19" i="3"/>
  <c r="H33" i="3"/>
  <c r="G33" i="3"/>
  <c r="H22" i="3"/>
  <c r="G22" i="3"/>
  <c r="H32" i="3"/>
  <c r="G32" i="3"/>
  <c r="H29" i="3"/>
  <c r="G29" i="3"/>
  <c r="H16" i="3"/>
  <c r="G16" i="3"/>
  <c r="H48" i="3"/>
  <c r="G20" i="3"/>
  <c r="H18" i="3"/>
  <c r="H30" i="3"/>
  <c r="G30" i="3"/>
  <c r="H17" i="3"/>
  <c r="G2" i="3"/>
  <c r="I85" i="3" l="1"/>
  <c r="I84" i="3"/>
  <c r="I83" i="3"/>
  <c r="I82" i="3"/>
  <c r="I81" i="3"/>
  <c r="I80" i="3"/>
  <c r="I79" i="3"/>
  <c r="I78" i="3"/>
  <c r="I77" i="3"/>
  <c r="I76" i="3"/>
  <c r="I75" i="3"/>
  <c r="I74" i="3"/>
  <c r="I73" i="3"/>
  <c r="G72" i="3"/>
  <c r="I72" i="3" s="1"/>
  <c r="I71" i="3"/>
  <c r="I70" i="3"/>
  <c r="I69" i="3"/>
  <c r="I68" i="3"/>
  <c r="I67" i="3"/>
  <c r="I66" i="3"/>
  <c r="I65" i="3"/>
  <c r="I64" i="3"/>
  <c r="I63" i="3"/>
  <c r="I62" i="3"/>
  <c r="I60" i="3"/>
  <c r="I59" i="3"/>
  <c r="I58" i="3"/>
  <c r="I57" i="3"/>
  <c r="I56" i="3"/>
  <c r="H56" i="3"/>
  <c r="I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I47" i="3"/>
  <c r="H47" i="3"/>
  <c r="I46" i="3"/>
  <c r="I45" i="3"/>
  <c r="I44" i="3"/>
  <c r="H44" i="3"/>
  <c r="I43" i="3"/>
  <c r="H43" i="3"/>
  <c r="I42" i="3"/>
  <c r="H42" i="3"/>
  <c r="I41" i="3"/>
  <c r="I40" i="3"/>
  <c r="I39" i="3"/>
  <c r="H39" i="3"/>
  <c r="I38" i="3"/>
  <c r="I37" i="3"/>
  <c r="H37" i="3"/>
  <c r="I36" i="3"/>
  <c r="H36" i="3"/>
  <c r="I35" i="3"/>
  <c r="H35" i="3"/>
  <c r="I34" i="3"/>
  <c r="H34" i="3"/>
  <c r="H31" i="3"/>
  <c r="I31" i="3" s="1"/>
  <c r="G31" i="3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I22" i="3"/>
  <c r="G21" i="3"/>
  <c r="I21" i="3" s="1"/>
  <c r="I20" i="3"/>
  <c r="I19" i="3"/>
  <c r="G18" i="3"/>
  <c r="I18" i="3" s="1"/>
  <c r="G17" i="3"/>
  <c r="I17" i="3" s="1"/>
  <c r="I16" i="3"/>
  <c r="I15" i="3"/>
  <c r="H15" i="3"/>
  <c r="G15" i="3"/>
  <c r="I14" i="3"/>
  <c r="I13" i="3"/>
  <c r="I12" i="3"/>
  <c r="I11" i="3"/>
  <c r="I10" i="3"/>
  <c r="I9" i="3"/>
  <c r="I8" i="3"/>
  <c r="H7" i="3"/>
  <c r="I7" i="3" s="1"/>
  <c r="I6" i="3"/>
  <c r="I5" i="3"/>
  <c r="I4" i="3"/>
  <c r="G14" i="1"/>
  <c r="G15" i="1"/>
  <c r="H1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H7" i="1"/>
  <c r="H6" i="1"/>
  <c r="H5" i="1"/>
  <c r="H4" i="1"/>
  <c r="H3" i="1"/>
  <c r="H84" i="1"/>
  <c r="G49" i="1"/>
  <c r="G1" i="1"/>
  <c r="F1" i="1"/>
  <c r="G32" i="1"/>
  <c r="G31" i="1"/>
  <c r="G29" i="1"/>
  <c r="G30" i="1"/>
  <c r="G28" i="1"/>
  <c r="G59" i="1"/>
  <c r="G55" i="1"/>
  <c r="G54" i="1"/>
  <c r="G56" i="1"/>
  <c r="G60" i="1"/>
  <c r="G45" i="1"/>
  <c r="G44" i="1"/>
  <c r="I61" i="3" l="1"/>
  <c r="H2" i="3"/>
  <c r="I29" i="3"/>
  <c r="I32" i="3"/>
  <c r="I33" i="3"/>
  <c r="I30" i="3"/>
  <c r="G47" i="1"/>
  <c r="G46" i="1"/>
  <c r="I2" i="3" l="1"/>
  <c r="G52" i="1"/>
  <c r="G53" i="1"/>
  <c r="G48" i="1"/>
  <c r="G51" i="1"/>
  <c r="G50" i="1"/>
  <c r="G43" i="1"/>
  <c r="G42" i="1"/>
  <c r="G41" i="1"/>
  <c r="G38" i="1" l="1"/>
  <c r="G37" i="1"/>
  <c r="G36" i="1"/>
  <c r="G35" i="1"/>
  <c r="G34" i="1"/>
  <c r="G33" i="1"/>
  <c r="F30" i="1"/>
  <c r="F29" i="1"/>
  <c r="F28" i="1"/>
  <c r="F32" i="1"/>
  <c r="F31" i="1"/>
  <c r="G27" i="1"/>
  <c r="G26" i="1"/>
  <c r="G25" i="1"/>
  <c r="G24" i="1"/>
  <c r="G23" i="1"/>
  <c r="G22" i="1"/>
  <c r="G13" i="1"/>
  <c r="G6" i="1"/>
  <c r="F14" i="1"/>
  <c r="F15" i="1"/>
  <c r="F16" i="1"/>
  <c r="F17" i="1"/>
  <c r="F18" i="1"/>
  <c r="F19" i="1"/>
  <c r="F20" i="1"/>
  <c r="F21" i="1"/>
  <c r="F71" i="1"/>
  <c r="H1" i="1" l="1"/>
</calcChain>
</file>

<file path=xl/sharedStrings.xml><?xml version="1.0" encoding="utf-8"?>
<sst xmlns="http://schemas.openxmlformats.org/spreadsheetml/2006/main" count="989" uniqueCount="270">
  <si>
    <t>S.No.</t>
  </si>
  <si>
    <t xml:space="preserve">Machine Name </t>
  </si>
  <si>
    <t>Specifications</t>
  </si>
  <si>
    <t>Paste Cattle 100 ltr.</t>
  </si>
  <si>
    <t>Fluid Bed Dryer 120 Kg.</t>
  </si>
  <si>
    <t xml:space="preserve">Rapid Mixer Granulator 240 ltr. </t>
  </si>
  <si>
    <t>Complete assembly, Contact Parts - SS316,other parts - SS304</t>
  </si>
  <si>
    <t xml:space="preserve">Multi Mill </t>
  </si>
  <si>
    <t>With Vaccum Pump, Complete assembly, Contact Parts - SS316,other parts - SS304</t>
  </si>
  <si>
    <t>Qty.</t>
  </si>
  <si>
    <t>Sifter 32"</t>
  </si>
  <si>
    <t>Octagonal Blender 450 ltr.</t>
  </si>
  <si>
    <t>Coating Pan</t>
  </si>
  <si>
    <t xml:space="preserve">Blister Machine </t>
  </si>
  <si>
    <t xml:space="preserve">Strip Machine </t>
  </si>
  <si>
    <t>Complete assembly, Contact Parts - SS304</t>
  </si>
  <si>
    <t>Alu Alu Machine</t>
  </si>
  <si>
    <t>Liquid Tank</t>
  </si>
  <si>
    <t>Sugar Tank- 500ltr., Manufacturing Tank-1500 ltr. ,Storage Tank - 2000 ltr. Complete assembly, Contact Parts - SS304</t>
  </si>
  <si>
    <t>Turn Table 36" Dia</t>
  </si>
  <si>
    <t>Links</t>
  </si>
  <si>
    <t>Auto 4 head vertical air jet cleaning</t>
  </si>
  <si>
    <t>Auto 4 head liquid bottle filling Machine</t>
  </si>
  <si>
    <t>Auto 4 head Cap sealing machine</t>
  </si>
  <si>
    <t>With Changeover of each size, motorised height arrangement for capping section,acrylic enclosure with SS304 frame</t>
  </si>
  <si>
    <t>With Changeover of each size 50ml,250 ml,500ml with acrylic enclosure with SS304 frame, float tank capacity-150ltr., nitrogen flushing etc.</t>
  </si>
  <si>
    <t>With acrylic enclosure, Castor wheel,Loading and Unloading Trays etc.</t>
  </si>
  <si>
    <t>Online Bottle Inspection Machine with Magnifying Dome</t>
  </si>
  <si>
    <t>with Accessories</t>
  </si>
  <si>
    <t>Auto Linear Measuring placement and pressing machine</t>
  </si>
  <si>
    <t>Changeover of each size of chute and oriental</t>
  </si>
  <si>
    <t>Auto Self Adhesive Vertical Labelling Machine</t>
  </si>
  <si>
    <t>Continous Inkjet printing,Missing label detection, Rejection system and accessories.</t>
  </si>
  <si>
    <t>Packing Conveyor Belt</t>
  </si>
  <si>
    <t>9" width endless sandwich belt 8 ft. length</t>
  </si>
  <si>
    <t>Puff Wall Panels</t>
  </si>
  <si>
    <t>80mm thickness,40m3 density</t>
  </si>
  <si>
    <t>50mm thickness,40m3 density</t>
  </si>
  <si>
    <t>30mm thickness,40m3 density</t>
  </si>
  <si>
    <t>250 sqm.</t>
  </si>
  <si>
    <t>80 sqm.</t>
  </si>
  <si>
    <t>590 sqm.</t>
  </si>
  <si>
    <t>400 sqm.</t>
  </si>
  <si>
    <t>1000mm x 1000mm, PPGI channel</t>
  </si>
  <si>
    <t>Vision Cutout with Toughened Glass</t>
  </si>
  <si>
    <t>Return Air riser panel</t>
  </si>
  <si>
    <t>230 sqm.</t>
  </si>
  <si>
    <t>Single door,Honeycomb,750mm x 2100mm</t>
  </si>
  <si>
    <t>Single door,Honeycomb,900mm x 2100mm</t>
  </si>
  <si>
    <t>GPSP Power Coated Door with Accessories hinges,door closer,lock, kick plate(SS304) etc.</t>
  </si>
  <si>
    <t>Single door,Honeycomb,1000mm x 2100mm</t>
  </si>
  <si>
    <t>Double door,Honeycomb,1200mm x 2100mm</t>
  </si>
  <si>
    <t>Double door,Honeycomb,1500mm x 2100mm</t>
  </si>
  <si>
    <t>PVC Coving</t>
  </si>
  <si>
    <t>960rmt.</t>
  </si>
  <si>
    <t>Aluminium Truss with suspension</t>
  </si>
  <si>
    <t>33rmt.</t>
  </si>
  <si>
    <t>Angle G.I. Sheet</t>
  </si>
  <si>
    <t>SITC of sheet metal work of G.S.S. ducting complete fix.</t>
  </si>
  <si>
    <t>24G</t>
  </si>
  <si>
    <t>22G</t>
  </si>
  <si>
    <t>16000 sqf.</t>
  </si>
  <si>
    <t>2000 sqf.</t>
  </si>
  <si>
    <t>12mm</t>
  </si>
  <si>
    <t>9mm</t>
  </si>
  <si>
    <t>9000 sqf.</t>
  </si>
  <si>
    <t>610mm x 610mm x 150mm</t>
  </si>
  <si>
    <t>305mm x 305mm x 150mm</t>
  </si>
  <si>
    <t>Supply of Duct Insulation XLPE FR with aluminium foil</t>
  </si>
  <si>
    <t>710mm x 710mm</t>
  </si>
  <si>
    <t>400mm x 400mm</t>
  </si>
  <si>
    <t>450mm x 450mm</t>
  </si>
  <si>
    <t>300mm x 300mm</t>
  </si>
  <si>
    <t>SITC Electrical Panel for AHU and condensing unit</t>
  </si>
  <si>
    <t>8000 CFM</t>
  </si>
  <si>
    <t>4000 CFM</t>
  </si>
  <si>
    <t>120rmt.</t>
  </si>
  <si>
    <t>1500 CFM/4.25TR</t>
  </si>
  <si>
    <t>4000 CFM/11TR</t>
  </si>
  <si>
    <t>8000 CFM without cooling coil</t>
  </si>
  <si>
    <t>3000 CFM/ 8.75 TR</t>
  </si>
  <si>
    <t>AHU 1000CFM/ 3 TR</t>
  </si>
  <si>
    <t>Supply of copper refrigerant piping for condensing unit</t>
  </si>
  <si>
    <t>With all fittings and pipe insulation, expansion valves and suppports.</t>
  </si>
  <si>
    <t>Supply and Return Air grill</t>
  </si>
  <si>
    <t>Diffuser</t>
  </si>
  <si>
    <t>SITC of SS304 capsule type grill</t>
  </si>
  <si>
    <t>SITC of 0.3 micron HEPA filter</t>
  </si>
  <si>
    <t>SITC of ceiling mounted HEPA housing</t>
  </si>
  <si>
    <t>SITC AHU 1000CFM</t>
  </si>
  <si>
    <t>SITC AHU 3000 CFM</t>
  </si>
  <si>
    <t>SITC AHU 8000 CFM</t>
  </si>
  <si>
    <t>SITC AHU 4000 CFM</t>
  </si>
  <si>
    <t>SITC AHU 1500 CFM</t>
  </si>
  <si>
    <t>HVAC Solutions</t>
  </si>
  <si>
    <t>NPM Machinery</t>
  </si>
  <si>
    <t>RP Engg.</t>
  </si>
  <si>
    <t xml:space="preserve"> 300 holes with size 0 </t>
  </si>
  <si>
    <t>Manual capsule filling machine</t>
  </si>
  <si>
    <t xml:space="preserve"> PAAM size 1 </t>
  </si>
  <si>
    <t>Capsule machine lodar make</t>
  </si>
  <si>
    <t>VEEGO</t>
  </si>
  <si>
    <t xml:space="preserve">Machine with 240 x 64 LCD display and storage of 95 test method and 48 reports </t>
  </si>
  <si>
    <t xml:space="preserve">Machine with 128 x 64 LCD display and storage of 25 test method and 25 reports </t>
  </si>
  <si>
    <t>Tablet Disintegration Test M/c with 2 glass beakers containing 6 tubes</t>
  </si>
  <si>
    <t>Tablet Dissolution Test with 8 shaft</t>
  </si>
  <si>
    <t>RPM- 25-200,8 nos. dissolution glass vessel.</t>
  </si>
  <si>
    <t>Friability Test appratus</t>
  </si>
  <si>
    <t>2 drums,25rpm,4line lcd display</t>
  </si>
  <si>
    <t>Melting/Boiling point appratus</t>
  </si>
  <si>
    <t>Capillary length-125mm, Dia- 1.4-1.6, 7" touchscreen</t>
  </si>
  <si>
    <t>Capillary length-125mm, Dia- 1.4-1.6, LCD</t>
  </si>
  <si>
    <t>Tablet Hardness Tester</t>
  </si>
  <si>
    <t>Electronic load cell with solid state strain gauge Range 400N,Tablet Thickness- 35mm,</t>
  </si>
  <si>
    <t>Auto Leak test appratus</t>
  </si>
  <si>
    <t>300mm PC vaccum desiccators,vaccum level- 600mmhg.</t>
  </si>
  <si>
    <t>100ppm, dispensing resolution- 0.01ml,builtin magnetic stirrer and digital speed controller</t>
  </si>
  <si>
    <t>Karl Fischer Titration Appratus</t>
  </si>
  <si>
    <t>7 inch touch screen, computer based</t>
  </si>
  <si>
    <t>Potentiometric Titrators</t>
  </si>
  <si>
    <t>Tap Bulk density test appratus</t>
  </si>
  <si>
    <t>For Aqueous and non aqueous and redox titrations,valve less dispenser,builtin magnetic stirrer.</t>
  </si>
  <si>
    <t>Tap height -USP-I- 14mm &amp; USP-II-3mm with stepper motor,4x4 matrix feather touch keyboard,</t>
  </si>
  <si>
    <t>Distrubution Transformer 250KVA</t>
  </si>
  <si>
    <t>Continous, Rated input-11000v, output-433v,3 phase,delta-star</t>
  </si>
  <si>
    <t>Servo Voltage Stabilizer 250 KVA</t>
  </si>
  <si>
    <t>Balance type upto 40%</t>
  </si>
  <si>
    <t>Double rotary tableting machine B tooling 35 station</t>
  </si>
  <si>
    <t>Double rotary tableting machine D tooling 27 station</t>
  </si>
  <si>
    <t>Guru Pharma Machinery</t>
  </si>
  <si>
    <t xml:space="preserve">Forming reel dia. 440 mm,fill area 1100mm, punching width-222mm, Max web indexing - 150 mm. </t>
  </si>
  <si>
    <t>10 ton, Gravity feed frame, auto lubrication arrangement, with SS 316.</t>
  </si>
  <si>
    <t>6.5 ton, Gravity feed frame, auto lubrication arrangement, with SS 316.</t>
  </si>
  <si>
    <t>Turn Table 30" Dia</t>
  </si>
  <si>
    <t>With Changeover of each size 50ml,250 ml,500ml with acrylic enclosure with SS304 frame etc., Bottle size- 40mm to 130mm,∅ 27mm to ∅90mm, output- 60bpm.</t>
  </si>
  <si>
    <r>
      <t>Disk Height 860mm,Container size- 58mm to 120mm,</t>
    </r>
    <r>
      <rPr>
        <sz val="11"/>
        <color theme="1"/>
        <rFont val="Segoe UI Symbol"/>
        <family val="2"/>
      </rPr>
      <t>∅ 20mm to ∅60mm.,</t>
    </r>
  </si>
  <si>
    <r>
      <t>Disk Height 860mm,Container size- 58mm to 120mm,</t>
    </r>
    <r>
      <rPr>
        <sz val="11"/>
        <color theme="1"/>
        <rFont val="Segoe UI Symbol"/>
        <family val="2"/>
      </rPr>
      <t>∅ 28mm to ∅60mm., output- 30 to 40bpm.</t>
    </r>
  </si>
  <si>
    <t xml:space="preserve">Auto Single head dry syrup powder filling </t>
  </si>
  <si>
    <r>
      <t>Height 860mm, Round container size- 58mm to 120mm,</t>
    </r>
    <r>
      <rPr>
        <sz val="11"/>
        <color theme="1"/>
        <rFont val="Segoe UI Symbol"/>
        <family val="2"/>
      </rPr>
      <t>∅ 28mm to ∅60mm. , Flat- L-30-70mm, B-20-50mm,H-58-120mm Output- 10 to 20bpm, filling range- 10-100gms.</t>
    </r>
  </si>
  <si>
    <t>Auto Single head screw cap sealing</t>
  </si>
  <si>
    <t>Auto Round Bottle Sticker Labelling</t>
  </si>
  <si>
    <r>
      <t>Height 860mm, Round container size- 58mm to 120mm,</t>
    </r>
    <r>
      <rPr>
        <sz val="11"/>
        <color theme="1"/>
        <rFont val="Segoe UI Symbol"/>
        <family val="2"/>
      </rPr>
      <t>∅ 28mm to ∅60mm. , Flat- L-30-70mm, B-20-50mm,H-58-120mm Output- 20 to 40bpm.</t>
    </r>
  </si>
  <si>
    <r>
      <t>Height 860mm, Round container size- 58mm to 120mm,</t>
    </r>
    <r>
      <rPr>
        <sz val="11"/>
        <color theme="1"/>
        <rFont val="Segoe UI Symbol"/>
        <family val="2"/>
      </rPr>
      <t>∅ 28mm to ∅60mm. ,Label size L- 30-120 mm, B- 20-70 mm. Output- 20 to 40bpm.</t>
    </r>
  </si>
  <si>
    <t>Amount as per client</t>
  </si>
  <si>
    <t>Amount assesment</t>
  </si>
  <si>
    <t>Kingspan Jindal</t>
  </si>
  <si>
    <t>GST Extra</t>
  </si>
  <si>
    <t>Rapid Services GST extra</t>
  </si>
  <si>
    <t>Chamunda Pharma Machinery        (incl GST)</t>
  </si>
  <si>
    <t>Gurutegh Bahdur Metal works GST extra</t>
  </si>
  <si>
    <t>Shiv Enterprises   ( incl GST)</t>
  </si>
  <si>
    <t>https://www.indiamart.com/proddetail/automatic-dry-powder-filling-machine-9397598288.html</t>
  </si>
  <si>
    <t>Difference</t>
  </si>
  <si>
    <t>https://www.indiamart.com/proddetail/stainless-steel-tilting-paste-kettle-machine-22709774991.html?pos=10&amp;kwd=paste%20kettle&amp;tags=A||||8210.732|Price|product|||TS|rsf:gd-|-qr_nm:gd|res:RC3|com-cf:nl|ptrs:na|ktp:N0|mc:131742|mtp:G|qry_typ:P|lang:en|wc:2|flavl:0|cs:8332|v=4</t>
  </si>
  <si>
    <t>https://www.indiamart.com/proddetail/fluid-bed-dryer-21282086833.html?pos=8&amp;kwd=fluid</t>
  </si>
  <si>
    <t>https://www.indiamart.com/proddetail/high-speed-rapid-mixer-granulator-machine-2853714036655.html?pos=6&amp;kwd=rapid%20mixer%20granulator&amp;tags=A||||8228.275|Price|product|||TS|rsf:gd-|-stype:attr=1|qr_nm:gd|res:RC4|com-cf:nl|ptrs:na|ktp:N0|mc:8965|mtp:S|qry_typ:P|lang:en|wc:3|flavl:0-1|cs:9654|v=4</t>
  </si>
  <si>
    <t>https://www.indiamart.com/proddetail/pharma-vibro-sifter-3905263862.html?pos=5&amp;kwd=pharma%20vibro%20sifter&amp;tags=A||||8281.036|Price|product|||LSnp|rsf:gd-|-stype:attr=1|qr_nm:gd|res:RC4|com-cf:nl|ptrs:na|ktp:N0|mc:44038|mtp:S|qry_typ:P|lang:en|wc:4|flavl:0-2|cs:9695|v=4</t>
  </si>
  <si>
    <t>https://www.indiamart.com/proddetail/pharmaceutical-octagonal-blender-2854056178662.html?pos=1&amp;kwd=octagonal%20blender%20ss316&amp;tags=A||||8769.508|Price|product|||TS|rsf:gd-|-stype:attr=1|qr_nm:gd|res:RC3|com-cf:nl|ptrs:na|ktp:N0|mc:17829|mtp:S|qry_typ:P|lang:en|wc:3|flavl:0|cs:9606|v=4</t>
  </si>
  <si>
    <t>https://www.indiamart.com/proddetail/multi-mill-machine-2179394162.html</t>
  </si>
  <si>
    <t>Coating Pan 48"</t>
  </si>
  <si>
    <t>https://www.indiamart.com/proddetail/coating-pan-17790867530.html?pos=2&amp;DualProdscaps</t>
  </si>
  <si>
    <t>https://www.indiamart.com/proddetail/tablet-blister-packing-machine-2853671942612.html?pos=13&amp;kwd=tablet%20blister%20packing%20machine&amp;tags=BA||||8228.275|Price|product|||MDC|rsf:gd-|-stype:attr=1|qr_nm:gd|res:RC4|com-cf:nl|ptrs:na|ktp:N0|mc:143119|mtp:S|qry_typ:P|lang:en|wc:4|flavl:0-2|cs:9743|v=4</t>
  </si>
  <si>
    <t>https://www.indiamart.com/proddetail/pharmaceutical-strip-packing-machine-22296680612.html?mTd=1</t>
  </si>
  <si>
    <t>https://www.indiamart.com/proddetail/alu-alu-blister-machine-21379982962.html?pos=3&amp;DualProdscaps</t>
  </si>
  <si>
    <t>1. https://www.indiamart.com/proddetail/ss-304-water-storage-tank-2000-ltr-2853166255062.html?pos=8&amp;kwd=ss%20304%20water%20storage%20tank&amp;tags=BA||||8788.382|Price|product|||TS|rsf:gd-|-stype:attr=1|qr_nm:gd|res:RC5|com-cf:nl|ptrs:na|ktp:N0|mc:167125|mtp:S|isu:1|qry_typ:P|lang:en|wc:7|flavl:5|cs:10228|v=4                                                                    2. https://www.indiamart.com/proddetail/sugar-melting-tank-with-filter-2850944271573.html?pos=11&amp;kwd=sugar%20tank&amp;tags=BA||||8752.144|Price|product|||MDC|rsf:gd-|-stype:attr=1|qr_nm:gd|res:RC3|com-cf:nl|ptrs:na|ktp:N0|mc:31936|mtp:S|isu:1|qry_typ:P|lang:en|wc:4|flavl:0-1|cs:10264|v=4                               3.https://www.indiamart.com/proddetail/1500-liter-mixing-tank-20830476930.html</t>
  </si>
  <si>
    <t>Shivam Pharma Packaging Machine</t>
  </si>
  <si>
    <t>https://www.indiamart.com/proddetail/online-bottle-visual-inspection-machine-10490180830.html?pos=2&amp;kwd=online%20bottle%20inspection%20machine&amp;tags=BA||||8228.275|Price|product|||TS|rsf:gd-|-stype:attr=1|qr_nm:gd|res:RC3|com-cf:nl|ptrs:na|ktp:N0|mc:23756|mtp:S|qry_typ:P|lang:en|wc:4|flavl:0|cs:9603|v=4</t>
  </si>
  <si>
    <t>https://www.indiamart.com/proddetail/automatic-bopp-labeling-machine-21118336291.html?pos=5&amp;DualProdscaps</t>
  </si>
  <si>
    <t>https://www.indiamart.com/proddetail/puf-insulated-wall-panels-17445534012.html?pos=1&amp;kwd=puf%20wall%20panel&amp;tags=A|PL|||8226.563|Price|product|||ILlc|rsf:pl-|-stype:attr=1|qr_nm:gd|res:RC5|com-cf:nl|ptrs:na|ktp:N0|mc:144811|mtp:S|qry_typ:P|lang:en|wc:3|flavl:0|cs:9648|v=4</t>
  </si>
  <si>
    <t>https://www.indiamart.com/proddetail/puf-insulated-wall-panel-2853661109888.html?pos=3&amp;kwd=puf</t>
  </si>
  <si>
    <t>https://www.indiamart.com/proddetail/insulating-glass-panel-20427410148.html?pos=4&amp;DualProdscaps</t>
  </si>
  <si>
    <t>https://www.indiamart.com/proddetail/80mm-puff-panel-24046403112.html</t>
  </si>
  <si>
    <t>https://www.indiamart.com/proddetail/dormount-aluminium-coving-22180525033.html?pos=2&amp;kwd=aluminium%20covings&amp;tags=A||||8661.854|Price|product|||TS|rsf:gd-|-stype:attr=1|qr_nm:gd|res:RC3|com-cf:nl|ptrs:na|ktp:N0|mc:216511|mtp:S|qry_typ:P|lang:en|wc:2|flavl:0|cs:9642|v=4</t>
  </si>
  <si>
    <t>https://www.indiamart.com/proddetail/aluminium-stage-truss-2854389289430.html?pos=1&amp;nh=Y&amp;DualProdscaps</t>
  </si>
  <si>
    <t>https://www.indiamart.com/proddetail/35x35x6-mm-mild-steel-angle-2853396851697.html?mTd=1</t>
  </si>
  <si>
    <t>https://www.indiamart.com/proddetail/air-handling-unit-2853084049173.html?pos=10&amp;kwd=1000%20cfm%20ahu&amp;tags=A||||8788.382|Price|product|||TS|rsf:gd-|-stype:attr=1|qr_nm:gd|res:RC3|com-cf:nl|ptrs:na|ktp:N0|mc:20754|mtp:G|qry_typ:P|lang:en|wc:3|flavl:7|cs:9592|v=4</t>
  </si>
  <si>
    <t>https://www.indiamart.com/proddetail/air-handling-unit-20636518333.html</t>
  </si>
  <si>
    <t>https://www.indiamart.com/proddetail/daikin-ahu-air-handling-unit-24099099897.html?pos=5&amp;DualProdscaps</t>
  </si>
  <si>
    <t>https://www.indiamart.com/proddetail/ahu-air-conditioner-23181128791.html</t>
  </si>
  <si>
    <t>https://www.indiamart.com/proddetail/air-handling-unit-ahu-2853218439573.html?pos=5&amp;DualProdscaps</t>
  </si>
  <si>
    <t>https://www.indiamart.com/proddetail/double-sided-rotary-tablet-press-gmp-model-2852100892762.html?pos=2&amp;DualProdscaps</t>
  </si>
  <si>
    <t>https://www.indiamart.com/proddetail/3-ton-condensing-unit-14317569788.html</t>
  </si>
  <si>
    <t>https://www.tradeindia.com/products/5-5-ton-outdoor-condensing-unit-9131569.html</t>
  </si>
  <si>
    <t>https://www.tradeindia.com/products/hitachi-8-5-ton-ductable-air-conditioner-c8904247.html</t>
  </si>
  <si>
    <t>https://www.indiamart.com/proddetail/610x610x150-mm-hepa-filter-16179180988.html</t>
  </si>
  <si>
    <t>https://www.indiamart.com/proddetail/hepa-filter-box-flange-24907863991.html</t>
  </si>
  <si>
    <t>https://www.indiamart.com/proddetail/stainless-steel-perforated-grill-2850640357891.html</t>
  </si>
  <si>
    <t>https://www.indiamart.com/proddetail/perforated-grills-for-clean-room-2850139662555.html?mTd=1</t>
  </si>
  <si>
    <t>1500-3000CFM</t>
  </si>
  <si>
    <t>https://www.indiamart.com/proddetail/karl-fischer-titrator-2853387519633.html?pos=10&amp;blform=2</t>
  </si>
  <si>
    <t>https://www.indiamart.com/proddetail/karl-fischer-autotitrator-24116961991.html?pos=7&amp;DualProdsdual</t>
  </si>
  <si>
    <t>https://www.indiamart.com/proddetail/300-holes-manual-capsule-filling-machine-2848981128312.html?pos=2&amp;kwd=300%20hole%20manual%20capsule%20filling%20machine&amp;tags=A||||8211.142|Price|product|||TS|rsf:gd-|-stype:attr=1|qr_nm:gd|res:RC4|com-cf:nl|ptrs:na|ktp:N0|mc:9827|mtp:S|qry_typ:P|lang:en|wc:6|flavl:0|cs:9561|v=4</t>
  </si>
  <si>
    <t>https://www.indiamart.com/proddetail/semi-automatic-capsule-loader-22214571648.html</t>
  </si>
  <si>
    <t>https://www.indiamart.com/proddetail/tablet-disintegration-tester-dt-1000-2852607202791.html?pos=19&amp;kwd=tablet%20disintegration%20test%20apparatus&amp;tags=A||||8752.144|Price|product|||TS|rsf:gd-|-stype:attr=1|qr_nm:gd|res:RC3|com-cf:nl|ptrs:na|ktp:N0|mc:148972|mtp:S|qry_typ:P|lang:en|wc:4|cs:8896|v=4</t>
  </si>
  <si>
    <t>https://www.indiamart.com/proddetail/dissolution-test-apparatus-19532659448.html</t>
  </si>
  <si>
    <t>https://www.indiamart.com/proddetail/ft-20-digital-friability-tester-1968252848.html?pos=8&amp;kwd=tablet%20friability%20tester&amp;tags=A||||8211.142|Price|product|||TS|rsf:gd-|-stype:attr=1|qr_nm:gd|res:RC4|com-cf:nl|ptrs:na|ktp:N0|mc:2928|mtp:S|qry_typ:P|lang:en|wc:3|flavl:0|cs:9553|v=4</t>
  </si>
  <si>
    <t>https://www.indiamart.com/proddetail/analab-programmable-melting-boiling-point-apparatus-model-thermocal25-6722741248.html?pos=3&amp;kwd=melting%20point%20apparatus&amp;tags=A||||8281.036|Price|product|||LSlc|rsf:gd-|-qr_nm:gd|res:RC4|com-cf:nl|ptrs:na|ktp:N0|mc:9973|mtp:S|qry_typ:P|lang:en|wc:3|flavl:0|cs:8260|v=4</t>
  </si>
  <si>
    <t>https://www.indiamart.com/proddetail/auto-potentiometer-titrator-iris-2853040447655.html?pos=15&amp;kwd=potentiometric%20titrator&amp;tags=A||||8237.554|Price|product|||TS|rsf:gd-|-qr_nm:gd|res:RC3|com-cf:nl|ptrs:na|ktp:N0|mc:161915|mtp:S|qry_typ:P|lang:en|wc:2|cs:7586|v=4</t>
  </si>
  <si>
    <t>https://www.indiamart.com/proddetail/labindia-td-1025-tap-density-tester-23281207655.html?pos=3&amp;kwd=tap%20bulk%20density%20test%20apparatus%20veego&amp;tags=A||||8281.036|Price|product||test|TS|rsf:gd-|-cq:test|stype:attr=1-br|qr_nm:gd|res:RC4|com-cf:nl|ptrs:na|ktp:N0|mc:140409|mtp:S|qry_typ:P|lang:en|wc:6|cs:9985|v=4</t>
  </si>
  <si>
    <t>https://www.aajjo.com/transformers-transformer-parts/3-phase-250-kva-distribution-transformer-in-patna-hinduja-power-solutions/product</t>
  </si>
  <si>
    <t>https://www.servostabilizer.org.in/product/250-kva-servo-voltage-stabilizer/</t>
  </si>
  <si>
    <t>https://www.indiamart.com/proddetail/flat-forming-blister-packaging-machines-17383551162.html</t>
  </si>
  <si>
    <t>https://www.indiamart.com/proddetail/digital-tablet-hardness-tester-2854480284288.html?pos=15&amp;kwd=digital%20tablet%20hardness%20tester&amp;tags=A||||8786.56|Price|product|||MDC|rsf:gd-|-stype:attr=1|qr_nm:gd|res:RC4|com-cf:nl|ptrs:na|ktp:N0|mc:2929|mtp:S|qry_typ:P|lang:en|wc:4|cs:8792|v=4</t>
  </si>
  <si>
    <t>https://www.indiamart.com/proddetail/digital-automatic-leak-test-apparatus-19533467812.html?pos=12&amp;kwd=auto%20leak%20test%20apparatus%20pharma&amp;tags=A||||8752.144|Price|product|||TS|rsf:gd-|-stype:attr=1|qr_nm:gd|res:RC4|com-cf:nl|ptrs:na|ktp:N0|mc:11396|mtp:S|qry_typ:P|lang:en|wc:5|flavl:0|cs:9602|v=4</t>
  </si>
  <si>
    <t>https://www.indiamart.com/proddetail/melting-boiling-point-apparatus-23406047555.html?pos=4&amp;kwd=melting%20boiling%20point%20apparatus%20touch%20screen&amp;tags=A||||8746.929|Price|product|||TS|rsf:gd-|-stype:attr=1|qr_nm:gd|res:RC3|com-cf:nl|ptrs:na|ktp:N0|mc:9973|mtp:S|qry_typ:P|lang:en|wc:6|flavl:0|cs:9562|v=4</t>
  </si>
  <si>
    <t>https://www.indiamart.com/proddetail/aarkeylab-tablet-disintegration-apparatus-7034957333.html?pos=25&amp;kwd=tablet%20disintegration%20test%20apparatus&amp;tags=A||||8752.144|Price|product|||TS|rsf:gd-|-stype:attr=1|qr_nm:gd|res:RC3|com-cf:nl|ptrs:na|ktp:N0|mc:148972|mtp:S|qry_typ:P|lang:en|wc:4|cs:8896|v=4</t>
  </si>
  <si>
    <t>https://www.indiamart.com/proddetail/xlpe-thermal-insulation-sheet-2852901479812.html?pos=11&amp;kwd=aluminium%20foil%20xlpe%20foam%20insulation%20sheet%20thickness&amp;tags=A||||8038.093|Price|product|||SSnp|rsf:gd-|-stype:attr=1|qr_nm:gd|res:RC4|com-cf:nl|ptrs:na|ktp:N0|mc:150401|mtp:S|isu:1|qry_typ:P|lang:en|wc:9|flavl:0-1|cs:10307|v=4</t>
  </si>
  <si>
    <t>https://www.indiamart.com/proddetail/xlpe-aluminium-insulation-25429077388.html</t>
  </si>
  <si>
    <t>https://bldsteels.com/product/electrical-appliance-sheet/</t>
  </si>
  <si>
    <t>https://bldsteels.com/product/gi-ducting-sheets/</t>
  </si>
  <si>
    <t>https://www.indiamart.com/proddetail/square-diffuser-hvac-27100131491.html</t>
  </si>
  <si>
    <t>https://www.indiamart.com/proddetail/ip-67-control-panel-22923779462.html?pos=1&amp;DualProdscaps</t>
  </si>
  <si>
    <t>https://www.fairflow.in/ventilation-grilles.html</t>
  </si>
  <si>
    <t>https://www.amazon.in/Thickness-Flexible-Seamless-Conditioners-Refrigeration/dp/B01A2420M4?source=ps-sl-shoppingads-lpcontext&amp;ref_=fplfs&amp;psc=1&amp;smid=AH017Z3M1ZJ3T                                                                             https://www.indiamart.com/proddetail/danfoss-expansion-valve-tgen-25-2849391904555.html</t>
  </si>
  <si>
    <t>https://www.indiamart.com/proddetail/insulated-metal-door-14977872833.html?pos=2&amp;DualProdscaps</t>
  </si>
  <si>
    <t xml:space="preserve">Remarks </t>
  </si>
  <si>
    <t>only supply</t>
  </si>
  <si>
    <t>Auto 4 head ROPP Cap sealing machine</t>
  </si>
  <si>
    <t xml:space="preserve">SITC of condensing unit with Air cooled condenser, condenser fan </t>
  </si>
  <si>
    <t>3.0T with motor compressor with R-410.</t>
  </si>
  <si>
    <t>5.5 T  with motor compressor with R-410.</t>
  </si>
  <si>
    <t>8.5 T  with motor compressor with R-410.</t>
  </si>
  <si>
    <t>Cannot be measured as it is as per site requirement and also this is fabrication work which includes labour charges which varies as per nature of work.</t>
  </si>
  <si>
    <t>Round BOPP Labeling Machine at Rs 1800000 in Ahmedabad | ID: 2854357942562 (indiamart.com)</t>
  </si>
  <si>
    <t>https://www.indiamart.com/proddetail/alu-alu-blister-double-track-3436813288.html?pos=1&amp;DualProdscaps</t>
  </si>
  <si>
    <t>https://www.indiamart.com/proddetail/rapid-mixer-granulator-26654934191.html?pos=2&amp;DualProdscaps</t>
  </si>
  <si>
    <t>https://www.indiamart.com/proddetail/double-sided-rotary-tablet-press-square-gmp-7372410991.html?pos=6&amp;DualProdscaps</t>
  </si>
  <si>
    <t>https://www.indiamart.com/proddetail/fluid-bed-dryer-7053908362.html?pos=14&amp;DualProdscaps</t>
  </si>
  <si>
    <t>https://www.multipackfillingmachine.com/product/automatic-measuring-dosing-cup-placement-pressing-machine/</t>
  </si>
  <si>
    <t>https://insulatebuilding.com/shop/shop-by-brand/aerolam/aerolam-xlpe-9mm/</t>
  </si>
  <si>
    <t>https://www.amazon.in/Thickness-Flexible-Seamless-Conditioners-Refrigeration/dp/B01A242D5I/ref=dp_fod_sccl_1/261-9082453-7130500?pd_rd_w=QE305&amp;content-id=amzn1.sym.fef71d27-0afa-4421-a7c1-f24b8bd4a32e&amp;pf_rd_p=fef71d27-0afa-4421-a7c1-f24b8bd4a32e&amp;pf_rd_r=HHP96H7VYPVM2CRDDFSK&amp;pd_rd_wg=QqovZ&amp;pd_rd_r=38cfa769-adc6-4100-a45d-ddf305294520&amp;pd_rd_i=B01A242D5I&amp;psc=1                                                                         https://www.indiamart.com/proddetail/danfoss-expansion-valve-22414245412.html?pos=8&amp;DualProdscaps</t>
  </si>
  <si>
    <t>https://www.indiamart.com/proddetail/ss-octagonal-blender-2853257290933.html?pos=5&amp;DualProdscaps</t>
  </si>
  <si>
    <t>https://www.multipackfillingmachine.com/product/oral-liquid-manufacturing-plant-oral-liquid-syrup-suspension-making-plant-manufacturing-plant/</t>
  </si>
  <si>
    <t>https://www.multipackfillingmachine.com/product/paste-preparation-kettle-starch-paste-kettle/</t>
  </si>
  <si>
    <t>https://www.multipackfillingmachine.com/product/automatic-single-head-screw-capping-machine-with-vibrator-bowl/</t>
  </si>
  <si>
    <t>https://www.multipackfillingmachine.com/product/single-head-auger-powder-filling-machine-auger-filler-line/</t>
  </si>
  <si>
    <t>https://www.veegoinstrument.com/tablet-friability-test-apparatus.html</t>
  </si>
  <si>
    <t>https://www.veegoinstrument.com/tablet-dissolution-test-apparatus.html</t>
  </si>
  <si>
    <t>https://www.veegoinstrument.com/laboratory-instruments.html</t>
  </si>
  <si>
    <t>https://www.veegoinstrument.com/potentiometric-titrators.html</t>
  </si>
  <si>
    <t>https://www.veegoinstrument.com/melting-point-apparatus.html</t>
  </si>
  <si>
    <t>https://www.multipackfillingmachine.com/product/vibro-sifter-vibro-sifter-machine/</t>
  </si>
  <si>
    <t>https://www.tradeindia.com/products/return-air-diffuser-c7832155.html</t>
  </si>
  <si>
    <t>https://www.tradeindia.com/products/conventional-coating-pan-c9459466.html</t>
  </si>
  <si>
    <t>https://www.indiamart.com/proddetail/stainless-steel-perforated-grill-2850640357891.html?mTd=1</t>
  </si>
  <si>
    <t xml:space="preserve">same </t>
  </si>
  <si>
    <t>https://www.indiamart.com/proddetail/filter-air-handling-unit-15088448655.html</t>
  </si>
  <si>
    <t>S. No.</t>
  </si>
  <si>
    <t xml:space="preserve"> Name </t>
  </si>
  <si>
    <t xml:space="preserve"> Vendor </t>
  </si>
  <si>
    <t>Total</t>
  </si>
  <si>
    <t xml:space="preserve"> Amount shown by company     (Excluding GST) (INR) </t>
  </si>
  <si>
    <t xml:space="preserve"> Market Rate as per RKA (INR) </t>
  </si>
  <si>
    <t>Shiv Enterprises</t>
  </si>
  <si>
    <t>Gurutegh Bahadur Metal works</t>
  </si>
  <si>
    <t>Rapid Services</t>
  </si>
  <si>
    <t>Chamunda Pharma Machinery</t>
  </si>
  <si>
    <t>RP Engineering</t>
  </si>
  <si>
    <t>VEEGO Instruments Corporation</t>
  </si>
  <si>
    <t xml:space="preserve"> QTY      (in nos.)</t>
  </si>
  <si>
    <t xml:space="preserve">Shiv Enterprises  </t>
  </si>
  <si>
    <t xml:space="preserve">Chamunda Pharma Machinery  </t>
  </si>
  <si>
    <t>https://www.aajjo.com/pharmaceutical-machinery-equipment/double-rotary-high-speed-tablet-press-machine-model-namenumber-dpm-37-d-in-ahmadabad-deepuj-pharma-machinery/product#google_vignette</t>
  </si>
  <si>
    <t>Specfications</t>
  </si>
  <si>
    <r>
      <t>Disk Height 860mm,Container size- 58mm to 120mm,</t>
    </r>
    <r>
      <rPr>
        <sz val="11"/>
        <color theme="1"/>
        <rFont val="Calibri"/>
        <family val="2"/>
        <scheme val="minor"/>
      </rPr>
      <t>∅ 20mm to ∅60mm.,</t>
    </r>
  </si>
  <si>
    <r>
      <t>Disk Height 860mm,Container size- 58mm to 120mm,</t>
    </r>
    <r>
      <rPr>
        <sz val="11"/>
        <color theme="1"/>
        <rFont val="Calibri"/>
        <family val="2"/>
        <scheme val="minor"/>
      </rPr>
      <t>∅ 28mm to ∅60mm., output- 30 to 40bpm.</t>
    </r>
  </si>
  <si>
    <r>
      <t>Height 860mm, Round container size- 58mm to 120mm,</t>
    </r>
    <r>
      <rPr>
        <sz val="11"/>
        <color theme="1"/>
        <rFont val="Calibri"/>
        <family val="2"/>
        <scheme val="minor"/>
      </rPr>
      <t>∅ 28mm to ∅60mm. , Flat- L-30-70mm, B-20-50mm,H-58-120mm Output- 10 to 20bpm, filling range- 10-100gms.</t>
    </r>
  </si>
  <si>
    <r>
      <t>Height 860mm, Round container size- 58mm to 120mm,</t>
    </r>
    <r>
      <rPr>
        <sz val="11"/>
        <color theme="1"/>
        <rFont val="Calibri"/>
        <family val="2"/>
        <scheme val="minor"/>
      </rPr>
      <t>∅ 28mm to ∅60mm. , Flat- L-30-70mm, B-20-50mm,H-58-120mm Output- 20 to 40bpm.</t>
    </r>
  </si>
  <si>
    <r>
      <t>Height 860mm, Round container size- 58mm to 120mm,</t>
    </r>
    <r>
      <rPr>
        <sz val="11"/>
        <color theme="1"/>
        <rFont val="Calibri"/>
        <family val="2"/>
        <scheme val="minor"/>
      </rPr>
      <t>∅ 28mm to ∅60mm. ,Label size L- 30-120 mm, B- 20-70 mm. Output- 20 to 40bpm.</t>
    </r>
  </si>
  <si>
    <t>Syrup Plant Liquid Tanks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</si>
</sst>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 Symbo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6" fillId="0" borderId="1" xfId="2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diamart.com/proddetail/coating-pan-17790867530.html?pos=2&amp;DualProdscaps" TargetMode="External"/><Relationship Id="rId2" Type="http://schemas.openxmlformats.org/officeDocument/2006/relationships/hyperlink" Target="https://www.indiamart.com/proddetail/multi-mill-machine-2179394162.html" TargetMode="External"/><Relationship Id="rId1" Type="http://schemas.openxmlformats.org/officeDocument/2006/relationships/hyperlink" Target="https://www.indiamart.com/proddetail/fluid-bed-dryer-21282086833.html?pos=8&amp;kwd=flui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diamart.com/proddetail/pharmaceutical-strip-packing-machine-22296680612.html?mTd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diamart.com/proddetail/double-sided-rotary-tablet-press-square-gmp-7372410991.html?pos=6&amp;DualProdscaps" TargetMode="External"/><Relationship Id="rId2" Type="http://schemas.openxmlformats.org/officeDocument/2006/relationships/hyperlink" Target="https://www.indiamart.com/proddetail/bopp-labeling-machine-2854357942562.html?pos=1&amp;nh=Y&amp;DualProdscaps" TargetMode="External"/><Relationship Id="rId1" Type="http://schemas.openxmlformats.org/officeDocument/2006/relationships/hyperlink" Target="https://www.indiamart.com/proddetail/flat-forming-blister-packaging-machines-17383551162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74" zoomScale="85" zoomScaleNormal="85" workbookViewId="0">
      <selection activeCell="A3" sqref="A3:A84"/>
    </sheetView>
  </sheetViews>
  <sheetFormatPr defaultRowHeight="15" x14ac:dyDescent="0.25"/>
  <cols>
    <col min="1" max="1" width="19.42578125" customWidth="1"/>
    <col min="2" max="2" width="5.7109375" customWidth="1"/>
    <col min="3" max="3" width="34.28515625" customWidth="1"/>
    <col min="4" max="4" width="10.140625" customWidth="1"/>
    <col min="5" max="5" width="32.28515625" customWidth="1"/>
    <col min="6" max="9" width="21.42578125" customWidth="1"/>
    <col min="10" max="10" width="255.7109375" bestFit="1" customWidth="1"/>
  </cols>
  <sheetData>
    <row r="1" spans="1:10" x14ac:dyDescent="0.25">
      <c r="F1" s="23">
        <f>SUBTOTAL(9,F3:F84)</f>
        <v>35149810</v>
      </c>
      <c r="G1" s="23">
        <f t="shared" ref="G1:H1" si="0">SUBTOTAL(9,G3:G84)</f>
        <v>24874421.810000002</v>
      </c>
      <c r="H1" s="23">
        <f t="shared" si="0"/>
        <v>10275388.190000001</v>
      </c>
      <c r="I1" s="23"/>
    </row>
    <row r="2" spans="1:10" x14ac:dyDescent="0.25">
      <c r="B2" s="31" t="s">
        <v>0</v>
      </c>
      <c r="C2" s="29" t="s">
        <v>1</v>
      </c>
      <c r="D2" s="28" t="s">
        <v>9</v>
      </c>
      <c r="E2" s="31" t="s">
        <v>2</v>
      </c>
      <c r="F2" s="31" t="s">
        <v>143</v>
      </c>
      <c r="G2" s="31" t="s">
        <v>144</v>
      </c>
      <c r="H2" s="31" t="s">
        <v>152</v>
      </c>
      <c r="I2" s="31" t="s">
        <v>215</v>
      </c>
      <c r="J2" s="31" t="s">
        <v>20</v>
      </c>
    </row>
    <row r="3" spans="1:10" ht="30" x14ac:dyDescent="0.25">
      <c r="A3" s="27" t="s">
        <v>96</v>
      </c>
      <c r="B3" s="32">
        <v>1</v>
      </c>
      <c r="C3" s="3" t="s">
        <v>3</v>
      </c>
      <c r="D3" s="22">
        <v>1</v>
      </c>
      <c r="E3" s="3" t="s">
        <v>6</v>
      </c>
      <c r="F3" s="11">
        <v>205000</v>
      </c>
      <c r="G3" s="11">
        <v>170000</v>
      </c>
      <c r="H3" s="13">
        <f t="shared" ref="H3:H66" si="1">F3-G3</f>
        <v>35000</v>
      </c>
      <c r="I3" s="39" t="s">
        <v>216</v>
      </c>
      <c r="J3" s="26" t="s">
        <v>153</v>
      </c>
    </row>
    <row r="4" spans="1:10" ht="30" x14ac:dyDescent="0.25">
      <c r="A4" s="46" t="s">
        <v>146</v>
      </c>
      <c r="B4" s="10">
        <v>2</v>
      </c>
      <c r="C4" s="3" t="s">
        <v>4</v>
      </c>
      <c r="D4" s="22">
        <v>1</v>
      </c>
      <c r="E4" s="3" t="s">
        <v>6</v>
      </c>
      <c r="F4" s="11">
        <v>995000</v>
      </c>
      <c r="G4" s="11">
        <v>900000</v>
      </c>
      <c r="H4" s="13">
        <f t="shared" si="1"/>
        <v>95000</v>
      </c>
      <c r="I4" s="39" t="s">
        <v>216</v>
      </c>
      <c r="J4" s="26" t="s">
        <v>154</v>
      </c>
    </row>
    <row r="5" spans="1:10" ht="30" x14ac:dyDescent="0.25">
      <c r="A5" s="47"/>
      <c r="B5" s="10">
        <v>3</v>
      </c>
      <c r="C5" s="3" t="s">
        <v>5</v>
      </c>
      <c r="D5" s="22">
        <v>1</v>
      </c>
      <c r="E5" s="3" t="s">
        <v>6</v>
      </c>
      <c r="F5" s="11">
        <v>1215000</v>
      </c>
      <c r="G5" s="11">
        <v>1200000</v>
      </c>
      <c r="H5" s="13">
        <f t="shared" si="1"/>
        <v>15000</v>
      </c>
      <c r="I5" s="39" t="s">
        <v>216</v>
      </c>
      <c r="J5" s="26" t="s">
        <v>155</v>
      </c>
    </row>
    <row r="6" spans="1:10" ht="45" x14ac:dyDescent="0.25">
      <c r="A6" s="47"/>
      <c r="B6" s="10">
        <v>4</v>
      </c>
      <c r="C6" s="3" t="s">
        <v>7</v>
      </c>
      <c r="D6" s="22">
        <v>2</v>
      </c>
      <c r="E6" s="3" t="s">
        <v>8</v>
      </c>
      <c r="F6" s="11">
        <v>400000</v>
      </c>
      <c r="G6" s="11">
        <f>145000*2</f>
        <v>290000</v>
      </c>
      <c r="H6" s="13">
        <f t="shared" si="1"/>
        <v>110000</v>
      </c>
      <c r="I6" s="39" t="s">
        <v>216</v>
      </c>
      <c r="J6" s="26" t="s">
        <v>158</v>
      </c>
    </row>
    <row r="7" spans="1:10" ht="30" x14ac:dyDescent="0.25">
      <c r="A7" s="47"/>
      <c r="B7" s="10">
        <v>5</v>
      </c>
      <c r="C7" s="3" t="s">
        <v>10</v>
      </c>
      <c r="D7" s="22">
        <v>1</v>
      </c>
      <c r="E7" s="3" t="s">
        <v>6</v>
      </c>
      <c r="F7" s="11">
        <v>150000</v>
      </c>
      <c r="G7" s="11">
        <v>90000</v>
      </c>
      <c r="H7" s="13">
        <f t="shared" si="1"/>
        <v>60000</v>
      </c>
      <c r="I7" s="39" t="s">
        <v>216</v>
      </c>
      <c r="J7" s="26" t="s">
        <v>156</v>
      </c>
    </row>
    <row r="8" spans="1:10" ht="30" x14ac:dyDescent="0.25">
      <c r="B8" s="10">
        <v>6</v>
      </c>
      <c r="C8" s="3" t="s">
        <v>11</v>
      </c>
      <c r="D8" s="22">
        <v>1</v>
      </c>
      <c r="E8" s="3" t="s">
        <v>6</v>
      </c>
      <c r="F8" s="11">
        <v>500000</v>
      </c>
      <c r="G8" s="11">
        <v>250000</v>
      </c>
      <c r="H8" s="13">
        <f t="shared" si="1"/>
        <v>250000</v>
      </c>
      <c r="I8" s="39" t="s">
        <v>216</v>
      </c>
      <c r="J8" s="26" t="s">
        <v>157</v>
      </c>
    </row>
    <row r="9" spans="1:10" ht="30" x14ac:dyDescent="0.25">
      <c r="B9" s="10">
        <v>7</v>
      </c>
      <c r="C9" s="3" t="s">
        <v>159</v>
      </c>
      <c r="D9" s="22">
        <v>1</v>
      </c>
      <c r="E9" s="3" t="s">
        <v>15</v>
      </c>
      <c r="F9" s="11">
        <v>815000</v>
      </c>
      <c r="G9" s="11">
        <v>500000</v>
      </c>
      <c r="H9" s="13">
        <f t="shared" si="1"/>
        <v>315000</v>
      </c>
      <c r="I9" s="39" t="s">
        <v>216</v>
      </c>
      <c r="J9" s="26" t="s">
        <v>160</v>
      </c>
    </row>
    <row r="10" spans="1:10" ht="30" x14ac:dyDescent="0.25">
      <c r="B10" s="10">
        <v>8</v>
      </c>
      <c r="C10" s="3" t="s">
        <v>13</v>
      </c>
      <c r="D10" s="22">
        <v>1</v>
      </c>
      <c r="E10" s="3" t="s">
        <v>15</v>
      </c>
      <c r="F10" s="11">
        <v>810000</v>
      </c>
      <c r="G10" s="11">
        <v>800000</v>
      </c>
      <c r="H10" s="13">
        <f t="shared" si="1"/>
        <v>10000</v>
      </c>
      <c r="I10" s="39" t="s">
        <v>216</v>
      </c>
      <c r="J10" s="26" t="s">
        <v>161</v>
      </c>
    </row>
    <row r="11" spans="1:10" ht="30" x14ac:dyDescent="0.25">
      <c r="B11" s="10">
        <v>9</v>
      </c>
      <c r="C11" s="3" t="s">
        <v>14</v>
      </c>
      <c r="D11" s="22">
        <v>1</v>
      </c>
      <c r="E11" s="3" t="s">
        <v>15</v>
      </c>
      <c r="F11" s="11">
        <v>400000</v>
      </c>
      <c r="G11" s="11">
        <v>350000</v>
      </c>
      <c r="H11" s="13">
        <f t="shared" si="1"/>
        <v>50000</v>
      </c>
      <c r="I11" s="39" t="s">
        <v>216</v>
      </c>
      <c r="J11" s="26" t="s">
        <v>162</v>
      </c>
    </row>
    <row r="12" spans="1:10" ht="30" x14ac:dyDescent="0.25">
      <c r="B12" s="10">
        <v>10</v>
      </c>
      <c r="C12" s="3" t="s">
        <v>16</v>
      </c>
      <c r="D12" s="22">
        <v>1</v>
      </c>
      <c r="E12" s="3" t="s">
        <v>15</v>
      </c>
      <c r="F12" s="11">
        <v>1285000</v>
      </c>
      <c r="G12" s="11">
        <v>900000</v>
      </c>
      <c r="H12" s="13">
        <f t="shared" si="1"/>
        <v>385000</v>
      </c>
      <c r="I12" s="39" t="s">
        <v>216</v>
      </c>
      <c r="J12" s="26" t="s">
        <v>163</v>
      </c>
    </row>
    <row r="13" spans="1:10" ht="60" x14ac:dyDescent="0.25">
      <c r="B13" s="10">
        <v>11</v>
      </c>
      <c r="C13" s="3" t="s">
        <v>17</v>
      </c>
      <c r="D13" s="22">
        <v>1</v>
      </c>
      <c r="E13" s="3" t="s">
        <v>18</v>
      </c>
      <c r="F13" s="11">
        <v>1800000</v>
      </c>
      <c r="G13" s="11">
        <f>380000+62000+145000</f>
        <v>587000</v>
      </c>
      <c r="H13" s="13">
        <f t="shared" si="1"/>
        <v>1213000</v>
      </c>
      <c r="I13" s="39" t="s">
        <v>216</v>
      </c>
      <c r="J13" s="26" t="s">
        <v>164</v>
      </c>
    </row>
    <row r="14" spans="1:10" ht="45" x14ac:dyDescent="0.25">
      <c r="A14" s="48" t="s">
        <v>95</v>
      </c>
      <c r="B14" s="32">
        <v>12</v>
      </c>
      <c r="C14" s="3" t="s">
        <v>19</v>
      </c>
      <c r="D14" s="22">
        <v>1</v>
      </c>
      <c r="E14" s="3" t="s">
        <v>26</v>
      </c>
      <c r="F14" s="11">
        <f>11000+6500+5500+5000+10000+88500</f>
        <v>126500</v>
      </c>
      <c r="G14" s="11">
        <f>60000</f>
        <v>60000</v>
      </c>
      <c r="H14" s="13">
        <f t="shared" si="1"/>
        <v>66500</v>
      </c>
      <c r="I14" s="39" t="s">
        <v>216</v>
      </c>
      <c r="J14" s="26" t="s">
        <v>165</v>
      </c>
    </row>
    <row r="15" spans="1:10" ht="75" x14ac:dyDescent="0.25">
      <c r="A15" s="48"/>
      <c r="B15" s="10">
        <v>13</v>
      </c>
      <c r="C15" s="3" t="s">
        <v>21</v>
      </c>
      <c r="D15" s="22">
        <v>1</v>
      </c>
      <c r="E15" s="3" t="s">
        <v>134</v>
      </c>
      <c r="F15" s="11">
        <f>56000+17000+8000+360000</f>
        <v>441000</v>
      </c>
      <c r="G15" s="11">
        <f>200000</f>
        <v>200000</v>
      </c>
      <c r="H15" s="13">
        <f t="shared" si="1"/>
        <v>241000</v>
      </c>
      <c r="I15" s="39" t="s">
        <v>216</v>
      </c>
      <c r="J15" s="26" t="s">
        <v>165</v>
      </c>
    </row>
    <row r="16" spans="1:10" ht="75" x14ac:dyDescent="0.25">
      <c r="A16" s="46" t="s">
        <v>146</v>
      </c>
      <c r="B16" s="10">
        <v>14</v>
      </c>
      <c r="C16" s="3" t="s">
        <v>22</v>
      </c>
      <c r="D16" s="22">
        <v>1</v>
      </c>
      <c r="E16" s="3" t="s">
        <v>25</v>
      </c>
      <c r="F16" s="11">
        <f>112000+64000+55000+29000+18000+24000+55000+15000+16000+14000+10000+8000+17000+435000</f>
        <v>872000</v>
      </c>
      <c r="G16" s="11">
        <v>580000</v>
      </c>
      <c r="H16" s="13">
        <f t="shared" si="1"/>
        <v>292000</v>
      </c>
      <c r="I16" s="39" t="s">
        <v>216</v>
      </c>
      <c r="J16" s="26" t="s">
        <v>165</v>
      </c>
    </row>
    <row r="17" spans="1:10" ht="60" x14ac:dyDescent="0.25">
      <c r="A17" s="47"/>
      <c r="B17" s="10">
        <v>15</v>
      </c>
      <c r="C17" s="3" t="s">
        <v>217</v>
      </c>
      <c r="D17" s="22">
        <v>1</v>
      </c>
      <c r="E17" s="3" t="s">
        <v>24</v>
      </c>
      <c r="F17" s="11">
        <f>26500+21500+60000+60000+25000+525000</f>
        <v>718000</v>
      </c>
      <c r="G17" s="11">
        <v>450000</v>
      </c>
      <c r="H17" s="13">
        <f t="shared" si="1"/>
        <v>268000</v>
      </c>
      <c r="I17" s="39" t="s">
        <v>216</v>
      </c>
      <c r="J17" s="26" t="s">
        <v>165</v>
      </c>
    </row>
    <row r="18" spans="1:10" ht="30" x14ac:dyDescent="0.25">
      <c r="A18" s="47"/>
      <c r="B18" s="10">
        <v>16</v>
      </c>
      <c r="C18" s="3" t="s">
        <v>27</v>
      </c>
      <c r="D18" s="22">
        <v>1</v>
      </c>
      <c r="E18" s="3" t="s">
        <v>28</v>
      </c>
      <c r="F18" s="11">
        <f>91000+21500</f>
        <v>112500</v>
      </c>
      <c r="G18" s="11">
        <v>95000</v>
      </c>
      <c r="H18" s="13">
        <f t="shared" si="1"/>
        <v>17500</v>
      </c>
      <c r="I18" s="39" t="s">
        <v>216</v>
      </c>
      <c r="J18" s="26" t="s">
        <v>166</v>
      </c>
    </row>
    <row r="19" spans="1:10" ht="30" x14ac:dyDescent="0.25">
      <c r="A19" s="47"/>
      <c r="B19" s="10">
        <v>17</v>
      </c>
      <c r="C19" s="3" t="s">
        <v>29</v>
      </c>
      <c r="D19" s="22">
        <v>1</v>
      </c>
      <c r="E19" s="3" t="s">
        <v>30</v>
      </c>
      <c r="F19" s="11">
        <f>38500+35000+475000</f>
        <v>548500</v>
      </c>
      <c r="G19" s="11">
        <v>200000</v>
      </c>
      <c r="H19" s="13">
        <f t="shared" si="1"/>
        <v>348500</v>
      </c>
      <c r="I19" s="39" t="s">
        <v>216</v>
      </c>
      <c r="J19" s="26" t="s">
        <v>165</v>
      </c>
    </row>
    <row r="20" spans="1:10" ht="45" x14ac:dyDescent="0.25">
      <c r="B20" s="10">
        <v>18</v>
      </c>
      <c r="C20" s="3" t="s">
        <v>31</v>
      </c>
      <c r="D20" s="22">
        <v>1</v>
      </c>
      <c r="E20" s="3" t="s">
        <v>32</v>
      </c>
      <c r="F20" s="11">
        <f>165000+245000+110000+650000+65000+8000+17000+326000</f>
        <v>1586000</v>
      </c>
      <c r="G20" s="11">
        <v>1500000</v>
      </c>
      <c r="H20" s="13">
        <f t="shared" si="1"/>
        <v>86000</v>
      </c>
      <c r="I20" s="39" t="s">
        <v>216</v>
      </c>
      <c r="J20" s="26" t="s">
        <v>167</v>
      </c>
    </row>
    <row r="21" spans="1:10" ht="30" x14ac:dyDescent="0.25">
      <c r="B21" s="10">
        <v>19</v>
      </c>
      <c r="C21" s="3" t="s">
        <v>33</v>
      </c>
      <c r="D21" s="22">
        <v>1</v>
      </c>
      <c r="E21" s="3" t="s">
        <v>34</v>
      </c>
      <c r="F21" s="11">
        <f>95000+27000</f>
        <v>122000</v>
      </c>
      <c r="G21" s="11">
        <v>85000</v>
      </c>
      <c r="H21" s="13">
        <f t="shared" si="1"/>
        <v>37000</v>
      </c>
      <c r="I21" s="39" t="s">
        <v>216</v>
      </c>
      <c r="J21" s="26" t="s">
        <v>165</v>
      </c>
    </row>
    <row r="22" spans="1:10" x14ac:dyDescent="0.25">
      <c r="A22" s="45" t="s">
        <v>145</v>
      </c>
      <c r="B22" s="33">
        <v>20</v>
      </c>
      <c r="C22" s="24" t="s">
        <v>35</v>
      </c>
      <c r="D22" s="22" t="s">
        <v>42</v>
      </c>
      <c r="E22" s="3" t="s">
        <v>36</v>
      </c>
      <c r="F22" s="11">
        <v>780000</v>
      </c>
      <c r="G22" s="11">
        <f>400*1800</f>
        <v>720000</v>
      </c>
      <c r="H22" s="13">
        <f t="shared" si="1"/>
        <v>60000</v>
      </c>
      <c r="I22" s="39" t="s">
        <v>216</v>
      </c>
      <c r="J22" s="26" t="s">
        <v>168</v>
      </c>
    </row>
    <row r="23" spans="1:10" x14ac:dyDescent="0.25">
      <c r="A23" s="45"/>
      <c r="B23" s="10">
        <v>21</v>
      </c>
      <c r="C23" s="24" t="s">
        <v>35</v>
      </c>
      <c r="D23" s="22" t="s">
        <v>39</v>
      </c>
      <c r="E23" s="3" t="s">
        <v>37</v>
      </c>
      <c r="F23" s="11">
        <v>300000</v>
      </c>
      <c r="G23" s="11">
        <f>1210*250</f>
        <v>302500</v>
      </c>
      <c r="H23" s="13">
        <f t="shared" si="1"/>
        <v>-2500</v>
      </c>
      <c r="I23" s="39" t="s">
        <v>216</v>
      </c>
      <c r="J23" s="26" t="s">
        <v>169</v>
      </c>
    </row>
    <row r="24" spans="1:10" x14ac:dyDescent="0.25">
      <c r="A24" s="46" t="s">
        <v>146</v>
      </c>
      <c r="B24" s="10">
        <v>22</v>
      </c>
      <c r="C24" s="24" t="s">
        <v>35</v>
      </c>
      <c r="D24" s="22" t="s">
        <v>40</v>
      </c>
      <c r="E24" s="3" t="s">
        <v>37</v>
      </c>
      <c r="F24" s="11">
        <v>96000</v>
      </c>
      <c r="G24" s="11">
        <f>1210*80</f>
        <v>96800</v>
      </c>
      <c r="H24" s="13">
        <f t="shared" si="1"/>
        <v>-800</v>
      </c>
      <c r="I24" s="39" t="s">
        <v>216</v>
      </c>
      <c r="J24" s="26" t="s">
        <v>169</v>
      </c>
    </row>
    <row r="25" spans="1:10" x14ac:dyDescent="0.25">
      <c r="A25" s="47"/>
      <c r="B25" s="10">
        <v>23</v>
      </c>
      <c r="C25" s="24" t="s">
        <v>35</v>
      </c>
      <c r="D25" s="22" t="s">
        <v>41</v>
      </c>
      <c r="E25" s="3" t="s">
        <v>38</v>
      </c>
      <c r="F25" s="11">
        <v>708000</v>
      </c>
      <c r="G25" s="11">
        <f>590*1210</f>
        <v>713900</v>
      </c>
      <c r="H25" s="13">
        <f t="shared" si="1"/>
        <v>-5900</v>
      </c>
      <c r="I25" s="39" t="s">
        <v>216</v>
      </c>
      <c r="J25" s="26" t="s">
        <v>169</v>
      </c>
    </row>
    <row r="26" spans="1:10" x14ac:dyDescent="0.25">
      <c r="A26" s="47"/>
      <c r="B26" s="10">
        <v>24</v>
      </c>
      <c r="C26" s="3" t="s">
        <v>44</v>
      </c>
      <c r="D26" s="22">
        <v>6</v>
      </c>
      <c r="E26" s="3" t="s">
        <v>43</v>
      </c>
      <c r="F26" s="11">
        <v>28800</v>
      </c>
      <c r="G26" s="11">
        <f>10.7639*6*250</f>
        <v>16145.849999999999</v>
      </c>
      <c r="H26" s="13">
        <f t="shared" si="1"/>
        <v>12654.150000000001</v>
      </c>
      <c r="I26" s="39" t="s">
        <v>216</v>
      </c>
      <c r="J26" s="26" t="s">
        <v>170</v>
      </c>
    </row>
    <row r="27" spans="1:10" x14ac:dyDescent="0.25">
      <c r="A27" s="47"/>
      <c r="B27" s="10">
        <v>25</v>
      </c>
      <c r="C27" s="3" t="s">
        <v>45</v>
      </c>
      <c r="D27" s="22" t="s">
        <v>46</v>
      </c>
      <c r="E27" s="3" t="s">
        <v>36</v>
      </c>
      <c r="F27" s="11">
        <v>667000</v>
      </c>
      <c r="G27" s="11">
        <f>1950*230</f>
        <v>448500</v>
      </c>
      <c r="H27" s="13">
        <f t="shared" si="1"/>
        <v>218500</v>
      </c>
      <c r="I27" s="39" t="s">
        <v>216</v>
      </c>
      <c r="J27" s="26" t="s">
        <v>171</v>
      </c>
    </row>
    <row r="28" spans="1:10" s="15" customFormat="1" ht="30" customHeight="1" x14ac:dyDescent="0.25">
      <c r="B28" s="34">
        <v>26</v>
      </c>
      <c r="C28" s="25" t="s">
        <v>49</v>
      </c>
      <c r="D28" s="19">
        <v>10</v>
      </c>
      <c r="E28" s="20" t="s">
        <v>47</v>
      </c>
      <c r="F28" s="21">
        <f>59850+9159*10</f>
        <v>151440</v>
      </c>
      <c r="G28" s="21">
        <f>6000*0.75*2.1*D28</f>
        <v>94500</v>
      </c>
      <c r="H28" s="13">
        <f t="shared" si="1"/>
        <v>56940</v>
      </c>
      <c r="I28" s="39" t="s">
        <v>216</v>
      </c>
      <c r="J28" s="26" t="s">
        <v>214</v>
      </c>
    </row>
    <row r="29" spans="1:10" s="15" customFormat="1" ht="45" x14ac:dyDescent="0.25">
      <c r="B29" s="34">
        <v>27</v>
      </c>
      <c r="C29" s="25" t="s">
        <v>49</v>
      </c>
      <c r="D29" s="19">
        <v>50</v>
      </c>
      <c r="E29" s="20" t="s">
        <v>48</v>
      </c>
      <c r="F29" s="21">
        <f>399000+9159*50</f>
        <v>856950</v>
      </c>
      <c r="G29" s="21">
        <f>0.9*D29*6000*2.1</f>
        <v>567000</v>
      </c>
      <c r="H29" s="13">
        <f t="shared" si="1"/>
        <v>289950</v>
      </c>
      <c r="I29" s="39" t="s">
        <v>216</v>
      </c>
      <c r="J29" s="26" t="s">
        <v>214</v>
      </c>
    </row>
    <row r="30" spans="1:10" s="15" customFormat="1" ht="45" x14ac:dyDescent="0.25">
      <c r="B30" s="34">
        <v>28</v>
      </c>
      <c r="C30" s="25" t="s">
        <v>49</v>
      </c>
      <c r="D30" s="19">
        <v>20</v>
      </c>
      <c r="E30" s="20" t="s">
        <v>50</v>
      </c>
      <c r="F30" s="21">
        <f>159600+20*9159</f>
        <v>342780</v>
      </c>
      <c r="G30" s="21">
        <f>1*2.1*D30*6000</f>
        <v>252000</v>
      </c>
      <c r="H30" s="13">
        <f t="shared" si="1"/>
        <v>90780</v>
      </c>
      <c r="I30" s="39" t="s">
        <v>216</v>
      </c>
      <c r="J30" s="26" t="s">
        <v>214</v>
      </c>
    </row>
    <row r="31" spans="1:10" s="15" customFormat="1" ht="45" x14ac:dyDescent="0.25">
      <c r="B31" s="34">
        <v>29</v>
      </c>
      <c r="C31" s="25" t="s">
        <v>49</v>
      </c>
      <c r="D31" s="19">
        <v>5</v>
      </c>
      <c r="E31" s="20" t="s">
        <v>51</v>
      </c>
      <c r="F31" s="21">
        <f>47880+14773*5</f>
        <v>121745</v>
      </c>
      <c r="G31" s="21">
        <f>D31*6000*2.1*1.2</f>
        <v>75600</v>
      </c>
      <c r="H31" s="13">
        <f t="shared" si="1"/>
        <v>46145</v>
      </c>
      <c r="I31" s="39" t="s">
        <v>216</v>
      </c>
      <c r="J31" s="26" t="s">
        <v>214</v>
      </c>
    </row>
    <row r="32" spans="1:10" s="15" customFormat="1" ht="45" x14ac:dyDescent="0.25">
      <c r="B32" s="34">
        <v>30</v>
      </c>
      <c r="C32" s="25" t="s">
        <v>49</v>
      </c>
      <c r="D32" s="19">
        <v>5</v>
      </c>
      <c r="E32" s="20" t="s">
        <v>52</v>
      </c>
      <c r="F32" s="21">
        <f>47880+14773*5</f>
        <v>121745</v>
      </c>
      <c r="G32" s="21">
        <f>D32*6000*2.1*1.5</f>
        <v>94500</v>
      </c>
      <c r="H32" s="13">
        <f t="shared" si="1"/>
        <v>27245</v>
      </c>
      <c r="I32" s="39" t="s">
        <v>216</v>
      </c>
      <c r="J32" s="26" t="s">
        <v>214</v>
      </c>
    </row>
    <row r="33" spans="1:10" x14ac:dyDescent="0.25">
      <c r="B33" s="10">
        <v>31</v>
      </c>
      <c r="C33" s="3" t="s">
        <v>53</v>
      </c>
      <c r="D33" s="22" t="s">
        <v>54</v>
      </c>
      <c r="E33" s="3"/>
      <c r="F33" s="11">
        <v>192000</v>
      </c>
      <c r="G33" s="11">
        <f>180*960</f>
        <v>172800</v>
      </c>
      <c r="H33" s="13">
        <f t="shared" si="1"/>
        <v>19200</v>
      </c>
      <c r="I33" s="39" t="s">
        <v>216</v>
      </c>
      <c r="J33" s="26" t="s">
        <v>172</v>
      </c>
    </row>
    <row r="34" spans="1:10" x14ac:dyDescent="0.25">
      <c r="B34" s="10">
        <v>32</v>
      </c>
      <c r="C34" s="3" t="s">
        <v>55</v>
      </c>
      <c r="D34" s="22" t="s">
        <v>56</v>
      </c>
      <c r="E34" s="3"/>
      <c r="F34" s="11">
        <v>47850</v>
      </c>
      <c r="G34" s="11">
        <f>33*1500</f>
        <v>49500</v>
      </c>
      <c r="H34" s="13">
        <f t="shared" si="1"/>
        <v>-1650</v>
      </c>
      <c r="I34" s="39" t="s">
        <v>216</v>
      </c>
      <c r="J34" s="26" t="s">
        <v>173</v>
      </c>
    </row>
    <row r="35" spans="1:10" x14ac:dyDescent="0.25">
      <c r="B35" s="10">
        <v>33</v>
      </c>
      <c r="C35" s="3" t="s">
        <v>57</v>
      </c>
      <c r="D35" s="22" t="s">
        <v>76</v>
      </c>
      <c r="E35" s="3"/>
      <c r="F35" s="11">
        <v>14400</v>
      </c>
      <c r="G35" s="11">
        <f>120*3*56.5</f>
        <v>20340</v>
      </c>
      <c r="H35" s="13">
        <f t="shared" si="1"/>
        <v>-5940</v>
      </c>
      <c r="I35" s="39" t="s">
        <v>216</v>
      </c>
      <c r="J35" s="26" t="s">
        <v>174</v>
      </c>
    </row>
    <row r="36" spans="1:10" x14ac:dyDescent="0.25">
      <c r="A36" s="45" t="s">
        <v>94</v>
      </c>
      <c r="B36" s="10">
        <v>34</v>
      </c>
      <c r="C36" s="3" t="s">
        <v>89</v>
      </c>
      <c r="D36" s="22">
        <v>6</v>
      </c>
      <c r="E36" s="3" t="s">
        <v>81</v>
      </c>
      <c r="F36" s="11">
        <v>570000</v>
      </c>
      <c r="G36" s="11">
        <f>95000*6</f>
        <v>570000</v>
      </c>
      <c r="H36" s="13">
        <f t="shared" si="1"/>
        <v>0</v>
      </c>
      <c r="I36" s="39" t="s">
        <v>216</v>
      </c>
      <c r="J36" s="26" t="s">
        <v>175</v>
      </c>
    </row>
    <row r="37" spans="1:10" x14ac:dyDescent="0.25">
      <c r="A37" s="45"/>
      <c r="B37" s="10">
        <v>35</v>
      </c>
      <c r="C37" s="3" t="s">
        <v>90</v>
      </c>
      <c r="D37" s="22">
        <v>3</v>
      </c>
      <c r="E37" s="3" t="s">
        <v>80</v>
      </c>
      <c r="F37" s="11">
        <v>345000</v>
      </c>
      <c r="G37" s="11">
        <f>50000*3</f>
        <v>150000</v>
      </c>
      <c r="H37" s="13">
        <f t="shared" si="1"/>
        <v>195000</v>
      </c>
      <c r="I37" s="39" t="s">
        <v>216</v>
      </c>
      <c r="J37" s="26" t="s">
        <v>177</v>
      </c>
    </row>
    <row r="38" spans="1:10" x14ac:dyDescent="0.25">
      <c r="A38" s="46" t="s">
        <v>146</v>
      </c>
      <c r="B38" s="10">
        <v>36</v>
      </c>
      <c r="C38" s="3" t="s">
        <v>91</v>
      </c>
      <c r="D38" s="22">
        <v>2</v>
      </c>
      <c r="E38" s="3" t="s">
        <v>79</v>
      </c>
      <c r="F38" s="11">
        <v>310000</v>
      </c>
      <c r="G38" s="11">
        <f>120000*2</f>
        <v>240000</v>
      </c>
      <c r="H38" s="13">
        <f t="shared" si="1"/>
        <v>70000</v>
      </c>
      <c r="I38" s="39" t="s">
        <v>216</v>
      </c>
      <c r="J38" s="26" t="s">
        <v>178</v>
      </c>
    </row>
    <row r="39" spans="1:10" x14ac:dyDescent="0.25">
      <c r="A39" s="47"/>
      <c r="B39" s="10">
        <v>37</v>
      </c>
      <c r="C39" s="3" t="s">
        <v>92</v>
      </c>
      <c r="D39" s="22">
        <v>1</v>
      </c>
      <c r="E39" s="3" t="s">
        <v>78</v>
      </c>
      <c r="F39" s="11">
        <v>175000</v>
      </c>
      <c r="G39" s="11">
        <v>100000</v>
      </c>
      <c r="H39" s="13">
        <f t="shared" si="1"/>
        <v>75000</v>
      </c>
      <c r="I39" s="39" t="s">
        <v>216</v>
      </c>
      <c r="J39" s="26" t="s">
        <v>176</v>
      </c>
    </row>
    <row r="40" spans="1:10" x14ac:dyDescent="0.25">
      <c r="A40" s="47"/>
      <c r="B40" s="10">
        <v>38</v>
      </c>
      <c r="C40" s="3" t="s">
        <v>93</v>
      </c>
      <c r="D40" s="22">
        <v>1</v>
      </c>
      <c r="E40" s="3" t="s">
        <v>77</v>
      </c>
      <c r="F40" s="11">
        <v>105000</v>
      </c>
      <c r="G40" s="11">
        <v>105000</v>
      </c>
      <c r="H40" s="13">
        <f t="shared" si="1"/>
        <v>0</v>
      </c>
      <c r="I40" s="39" t="s">
        <v>216</v>
      </c>
      <c r="J40" s="26" t="s">
        <v>179</v>
      </c>
    </row>
    <row r="41" spans="1:10" ht="30" x14ac:dyDescent="0.25">
      <c r="A41" s="47"/>
      <c r="B41" s="10">
        <v>39</v>
      </c>
      <c r="C41" s="24" t="s">
        <v>218</v>
      </c>
      <c r="D41" s="22">
        <v>7</v>
      </c>
      <c r="E41" s="3" t="s">
        <v>219</v>
      </c>
      <c r="F41" s="11">
        <v>280000</v>
      </c>
      <c r="G41" s="11">
        <f>42000*7</f>
        <v>294000</v>
      </c>
      <c r="H41" s="13">
        <f t="shared" si="1"/>
        <v>-14000</v>
      </c>
      <c r="I41" s="39" t="s">
        <v>216</v>
      </c>
      <c r="J41" s="26" t="s">
        <v>181</v>
      </c>
    </row>
    <row r="42" spans="1:10" ht="30" x14ac:dyDescent="0.25">
      <c r="A42" s="47"/>
      <c r="B42" s="10">
        <v>40</v>
      </c>
      <c r="C42" s="24" t="s">
        <v>218</v>
      </c>
      <c r="D42" s="22">
        <v>4</v>
      </c>
      <c r="E42" s="3" t="s">
        <v>220</v>
      </c>
      <c r="F42" s="11">
        <v>272000</v>
      </c>
      <c r="G42" s="11">
        <f>75000*4</f>
        <v>300000</v>
      </c>
      <c r="H42" s="13">
        <f t="shared" si="1"/>
        <v>-28000</v>
      </c>
      <c r="I42" s="39" t="s">
        <v>216</v>
      </c>
      <c r="J42" s="26" t="s">
        <v>182</v>
      </c>
    </row>
    <row r="43" spans="1:10" ht="30" x14ac:dyDescent="0.25">
      <c r="B43" s="10">
        <v>41</v>
      </c>
      <c r="C43" s="24" t="s">
        <v>218</v>
      </c>
      <c r="D43" s="22">
        <v>2</v>
      </c>
      <c r="E43" s="3" t="s">
        <v>221</v>
      </c>
      <c r="F43" s="11">
        <v>212000</v>
      </c>
      <c r="G43" s="11">
        <f>112000*2</f>
        <v>224000</v>
      </c>
      <c r="H43" s="13">
        <f t="shared" si="1"/>
        <v>-12000</v>
      </c>
      <c r="I43" s="39" t="s">
        <v>216</v>
      </c>
      <c r="J43" s="26" t="s">
        <v>183</v>
      </c>
    </row>
    <row r="44" spans="1:10" s="15" customFormat="1" ht="27.75" customHeight="1" x14ac:dyDescent="0.25">
      <c r="B44" s="34">
        <v>42</v>
      </c>
      <c r="C44" s="25" t="s">
        <v>58</v>
      </c>
      <c r="D44" s="19" t="s">
        <v>61</v>
      </c>
      <c r="E44" s="20" t="s">
        <v>59</v>
      </c>
      <c r="F44" s="21">
        <v>1920000</v>
      </c>
      <c r="G44" s="21">
        <f>(1035.59*16000)/32</f>
        <v>517794.99999999994</v>
      </c>
      <c r="H44" s="13">
        <f t="shared" si="1"/>
        <v>1402205</v>
      </c>
      <c r="I44" s="39" t="s">
        <v>216</v>
      </c>
      <c r="J44" s="26" t="s">
        <v>208</v>
      </c>
    </row>
    <row r="45" spans="1:10" s="15" customFormat="1" ht="30" x14ac:dyDescent="0.25">
      <c r="B45" s="34">
        <v>43</v>
      </c>
      <c r="C45" s="25" t="s">
        <v>58</v>
      </c>
      <c r="D45" s="19" t="s">
        <v>62</v>
      </c>
      <c r="E45" s="20" t="s">
        <v>60</v>
      </c>
      <c r="F45" s="21">
        <v>270000</v>
      </c>
      <c r="G45" s="21">
        <f>(1377.12*2000)/32</f>
        <v>86070</v>
      </c>
      <c r="H45" s="13">
        <f t="shared" si="1"/>
        <v>183930</v>
      </c>
      <c r="I45" s="39" t="s">
        <v>216</v>
      </c>
      <c r="J45" s="26" t="s">
        <v>209</v>
      </c>
    </row>
    <row r="46" spans="1:10" s="15" customFormat="1" ht="27.75" customHeight="1" x14ac:dyDescent="0.25">
      <c r="B46" s="34">
        <v>44</v>
      </c>
      <c r="C46" s="25" t="s">
        <v>68</v>
      </c>
      <c r="D46" s="19" t="s">
        <v>65</v>
      </c>
      <c r="E46" s="16" t="s">
        <v>63</v>
      </c>
      <c r="F46" s="17">
        <v>540000</v>
      </c>
      <c r="G46" s="17">
        <f>205*836</f>
        <v>171380</v>
      </c>
      <c r="H46" s="13">
        <f t="shared" si="1"/>
        <v>368620</v>
      </c>
      <c r="I46" s="39" t="s">
        <v>216</v>
      </c>
      <c r="J46" s="26" t="s">
        <v>206</v>
      </c>
    </row>
    <row r="47" spans="1:10" s="15" customFormat="1" ht="30" x14ac:dyDescent="0.25">
      <c r="B47" s="34">
        <v>45</v>
      </c>
      <c r="C47" s="25" t="s">
        <v>68</v>
      </c>
      <c r="D47" s="19" t="s">
        <v>65</v>
      </c>
      <c r="E47" s="16" t="s">
        <v>64</v>
      </c>
      <c r="F47" s="17">
        <v>495000</v>
      </c>
      <c r="G47" s="17">
        <f>145*836</f>
        <v>121220</v>
      </c>
      <c r="H47" s="13">
        <f t="shared" si="1"/>
        <v>373780</v>
      </c>
      <c r="I47" s="39" t="s">
        <v>216</v>
      </c>
      <c r="J47" s="26" t="s">
        <v>207</v>
      </c>
    </row>
    <row r="48" spans="1:10" ht="30" customHeight="1" x14ac:dyDescent="0.25">
      <c r="B48" s="10">
        <v>46</v>
      </c>
      <c r="C48" s="24" t="s">
        <v>88</v>
      </c>
      <c r="D48" s="2">
        <v>50</v>
      </c>
      <c r="E48" s="1" t="s">
        <v>66</v>
      </c>
      <c r="F48" s="12">
        <v>260000</v>
      </c>
      <c r="G48" s="12">
        <f>4500*50</f>
        <v>225000</v>
      </c>
      <c r="H48" s="13">
        <f t="shared" si="1"/>
        <v>35000</v>
      </c>
      <c r="I48" s="39" t="s">
        <v>216</v>
      </c>
      <c r="J48" s="26" t="s">
        <v>184</v>
      </c>
    </row>
    <row r="49" spans="1:10" ht="30" x14ac:dyDescent="0.25">
      <c r="B49" s="10">
        <v>47</v>
      </c>
      <c r="C49" s="24" t="s">
        <v>88</v>
      </c>
      <c r="D49" s="2">
        <v>16</v>
      </c>
      <c r="E49" s="1" t="s">
        <v>67</v>
      </c>
      <c r="F49" s="12">
        <v>57600</v>
      </c>
      <c r="G49" s="12">
        <f>3300*16</f>
        <v>52800</v>
      </c>
      <c r="H49" s="13">
        <f t="shared" si="1"/>
        <v>4800</v>
      </c>
      <c r="I49" s="39" t="s">
        <v>216</v>
      </c>
      <c r="J49" s="26" t="s">
        <v>185</v>
      </c>
    </row>
    <row r="50" spans="1:10" x14ac:dyDescent="0.25">
      <c r="B50" s="10">
        <v>48</v>
      </c>
      <c r="C50" s="24" t="s">
        <v>87</v>
      </c>
      <c r="D50" s="2">
        <v>50</v>
      </c>
      <c r="E50" s="1" t="s">
        <v>66</v>
      </c>
      <c r="F50" s="12">
        <v>240000</v>
      </c>
      <c r="G50" s="12">
        <f>4500*50</f>
        <v>225000</v>
      </c>
      <c r="H50" s="13">
        <f t="shared" si="1"/>
        <v>15000</v>
      </c>
      <c r="I50" s="39" t="s">
        <v>216</v>
      </c>
      <c r="J50" s="26" t="s">
        <v>184</v>
      </c>
    </row>
    <row r="51" spans="1:10" x14ac:dyDescent="0.25">
      <c r="B51" s="10">
        <v>49</v>
      </c>
      <c r="C51" s="24" t="s">
        <v>87</v>
      </c>
      <c r="D51" s="2">
        <v>16</v>
      </c>
      <c r="E51" s="1" t="s">
        <v>67</v>
      </c>
      <c r="F51" s="12">
        <v>51200</v>
      </c>
      <c r="G51" s="12">
        <f>3300*16</f>
        <v>52800</v>
      </c>
      <c r="H51" s="13">
        <f t="shared" si="1"/>
        <v>-1600</v>
      </c>
      <c r="I51" s="39" t="s">
        <v>216</v>
      </c>
      <c r="J51" s="26" t="s">
        <v>185</v>
      </c>
    </row>
    <row r="52" spans="1:10" x14ac:dyDescent="0.25">
      <c r="B52" s="10">
        <v>50</v>
      </c>
      <c r="C52" s="24" t="s">
        <v>86</v>
      </c>
      <c r="D52" s="2">
        <v>50</v>
      </c>
      <c r="E52" s="1" t="s">
        <v>69</v>
      </c>
      <c r="F52" s="12">
        <v>210000</v>
      </c>
      <c r="G52" s="12">
        <f>2.33*2.33*400*50</f>
        <v>108578.00000000001</v>
      </c>
      <c r="H52" s="13">
        <f t="shared" si="1"/>
        <v>101421.99999999999</v>
      </c>
      <c r="I52" s="39" t="s">
        <v>216</v>
      </c>
      <c r="J52" s="26" t="s">
        <v>186</v>
      </c>
    </row>
    <row r="53" spans="1:10" x14ac:dyDescent="0.25">
      <c r="B53" s="10">
        <v>51</v>
      </c>
      <c r="C53" s="24" t="s">
        <v>86</v>
      </c>
      <c r="D53" s="2">
        <v>16</v>
      </c>
      <c r="E53" s="1" t="s">
        <v>70</v>
      </c>
      <c r="F53" s="12">
        <v>54400</v>
      </c>
      <c r="G53" s="12">
        <f>1.33*1.33*400*16</f>
        <v>11320.960000000001</v>
      </c>
      <c r="H53" s="13">
        <f t="shared" si="1"/>
        <v>43079.040000000001</v>
      </c>
      <c r="I53" s="39" t="s">
        <v>216</v>
      </c>
      <c r="J53" s="26" t="s">
        <v>187</v>
      </c>
    </row>
    <row r="54" spans="1:10" x14ac:dyDescent="0.25">
      <c r="B54" s="10">
        <v>52</v>
      </c>
      <c r="C54" s="24" t="s">
        <v>86</v>
      </c>
      <c r="D54" s="2">
        <v>50</v>
      </c>
      <c r="E54" s="1" t="s">
        <v>71</v>
      </c>
      <c r="F54" s="12">
        <v>280000</v>
      </c>
      <c r="G54" s="12">
        <f>1.5*1.5*300*50</f>
        <v>33750</v>
      </c>
      <c r="H54" s="13">
        <f t="shared" si="1"/>
        <v>246250</v>
      </c>
      <c r="I54" s="39" t="s">
        <v>216</v>
      </c>
      <c r="J54" s="26" t="s">
        <v>212</v>
      </c>
    </row>
    <row r="55" spans="1:10" x14ac:dyDescent="0.25">
      <c r="B55" s="10">
        <v>53</v>
      </c>
      <c r="C55" s="24" t="s">
        <v>86</v>
      </c>
      <c r="D55" s="2">
        <v>16</v>
      </c>
      <c r="E55" s="1" t="s">
        <v>72</v>
      </c>
      <c r="F55" s="12">
        <v>76800</v>
      </c>
      <c r="G55" s="12">
        <f>1*350*16</f>
        <v>5600</v>
      </c>
      <c r="H55" s="13">
        <f t="shared" si="1"/>
        <v>71200</v>
      </c>
      <c r="I55" s="39" t="s">
        <v>216</v>
      </c>
      <c r="J55" s="26" t="s">
        <v>212</v>
      </c>
    </row>
    <row r="56" spans="1:10" s="15" customFormat="1" ht="30" customHeight="1" x14ac:dyDescent="0.25">
      <c r="B56" s="34">
        <v>54</v>
      </c>
      <c r="C56" s="25" t="s">
        <v>73</v>
      </c>
      <c r="D56" s="16">
        <v>10</v>
      </c>
      <c r="E56" s="16" t="s">
        <v>188</v>
      </c>
      <c r="F56" s="17">
        <v>750000</v>
      </c>
      <c r="G56" s="17">
        <f>55000*10</f>
        <v>550000</v>
      </c>
      <c r="H56" s="13">
        <f t="shared" si="1"/>
        <v>200000</v>
      </c>
      <c r="I56" s="39" t="s">
        <v>216</v>
      </c>
      <c r="J56" s="26" t="s">
        <v>211</v>
      </c>
    </row>
    <row r="57" spans="1:10" s="15" customFormat="1" ht="30" x14ac:dyDescent="0.25">
      <c r="B57" s="34">
        <v>55</v>
      </c>
      <c r="C57" s="25" t="s">
        <v>73</v>
      </c>
      <c r="D57" s="16">
        <v>1</v>
      </c>
      <c r="E57" s="16" t="s">
        <v>75</v>
      </c>
      <c r="F57" s="17">
        <v>120000</v>
      </c>
      <c r="G57" s="17">
        <v>55000</v>
      </c>
      <c r="H57" s="13">
        <f t="shared" si="1"/>
        <v>65000</v>
      </c>
      <c r="I57" s="39" t="s">
        <v>216</v>
      </c>
      <c r="J57" s="26" t="s">
        <v>211</v>
      </c>
    </row>
    <row r="58" spans="1:10" s="15" customFormat="1" ht="30" x14ac:dyDescent="0.25">
      <c r="B58" s="34">
        <v>56</v>
      </c>
      <c r="C58" s="25" t="s">
        <v>73</v>
      </c>
      <c r="D58" s="16">
        <v>1</v>
      </c>
      <c r="E58" s="16" t="s">
        <v>74</v>
      </c>
      <c r="F58" s="17">
        <v>230000</v>
      </c>
      <c r="G58" s="17">
        <v>55000</v>
      </c>
      <c r="H58" s="13">
        <f t="shared" si="1"/>
        <v>175000</v>
      </c>
      <c r="I58" s="39" t="s">
        <v>216</v>
      </c>
      <c r="J58" s="26" t="s">
        <v>211</v>
      </c>
    </row>
    <row r="59" spans="1:10" s="15" customFormat="1" ht="45" x14ac:dyDescent="0.25">
      <c r="B59" s="34">
        <v>57</v>
      </c>
      <c r="C59" s="20" t="s">
        <v>82</v>
      </c>
      <c r="D59" s="16">
        <v>14</v>
      </c>
      <c r="E59" s="20" t="s">
        <v>83</v>
      </c>
      <c r="F59" s="21">
        <v>630000</v>
      </c>
      <c r="G59" s="21">
        <f>(5748+10400)*D59</f>
        <v>226072</v>
      </c>
      <c r="H59" s="13">
        <f t="shared" si="1"/>
        <v>403928</v>
      </c>
      <c r="I59" s="39" t="s">
        <v>216</v>
      </c>
      <c r="J59" s="26" t="s">
        <v>213</v>
      </c>
    </row>
    <row r="60" spans="1:10" s="15" customFormat="1" x14ac:dyDescent="0.25">
      <c r="B60" s="34">
        <v>58</v>
      </c>
      <c r="C60" s="16" t="s">
        <v>84</v>
      </c>
      <c r="D60" s="16">
        <v>127</v>
      </c>
      <c r="E60" s="16" t="s">
        <v>85</v>
      </c>
      <c r="F60" s="17">
        <v>482600</v>
      </c>
      <c r="G60" s="17">
        <f>950*D60</f>
        <v>120650</v>
      </c>
      <c r="H60" s="13">
        <f t="shared" si="1"/>
        <v>361950</v>
      </c>
      <c r="I60" s="39" t="s">
        <v>216</v>
      </c>
      <c r="J60" s="26" t="s">
        <v>210</v>
      </c>
    </row>
    <row r="61" spans="1:10" x14ac:dyDescent="0.25">
      <c r="A61" s="49" t="s">
        <v>150</v>
      </c>
      <c r="B61" s="35">
        <v>59</v>
      </c>
      <c r="C61" s="4" t="s">
        <v>98</v>
      </c>
      <c r="D61" s="1">
        <v>1</v>
      </c>
      <c r="E61" s="1" t="s">
        <v>97</v>
      </c>
      <c r="F61" s="12">
        <v>150000</v>
      </c>
      <c r="G61" s="12">
        <v>65000</v>
      </c>
      <c r="H61" s="13">
        <f t="shared" si="1"/>
        <v>85000</v>
      </c>
      <c r="I61" s="39" t="s">
        <v>216</v>
      </c>
      <c r="J61" s="26" t="s">
        <v>191</v>
      </c>
    </row>
    <row r="62" spans="1:10" x14ac:dyDescent="0.25">
      <c r="A62" s="49"/>
      <c r="B62" s="10">
        <v>60</v>
      </c>
      <c r="C62" s="4" t="s">
        <v>100</v>
      </c>
      <c r="D62" s="1">
        <v>1</v>
      </c>
      <c r="E62" s="1" t="s">
        <v>99</v>
      </c>
      <c r="F62" s="12">
        <v>225000</v>
      </c>
      <c r="G62" s="12">
        <v>100000</v>
      </c>
      <c r="H62" s="13">
        <f t="shared" si="1"/>
        <v>125000</v>
      </c>
      <c r="I62" s="39" t="s">
        <v>216</v>
      </c>
      <c r="J62" s="26" t="s">
        <v>192</v>
      </c>
    </row>
    <row r="63" spans="1:10" ht="30" customHeight="1" x14ac:dyDescent="0.25">
      <c r="A63" s="28" t="s">
        <v>101</v>
      </c>
      <c r="B63" s="36">
        <v>61</v>
      </c>
      <c r="C63" s="24" t="s">
        <v>104</v>
      </c>
      <c r="D63" s="1">
        <v>1</v>
      </c>
      <c r="E63" s="1" t="s">
        <v>103</v>
      </c>
      <c r="F63" s="12">
        <v>78500</v>
      </c>
      <c r="G63" s="12">
        <v>70000</v>
      </c>
      <c r="H63" s="13">
        <f t="shared" si="1"/>
        <v>8500</v>
      </c>
      <c r="I63" s="39" t="s">
        <v>216</v>
      </c>
      <c r="J63" s="26" t="s">
        <v>193</v>
      </c>
    </row>
    <row r="64" spans="1:10" ht="30" x14ac:dyDescent="0.25">
      <c r="A64" s="46" t="s">
        <v>146</v>
      </c>
      <c r="B64" s="10"/>
      <c r="C64" s="24" t="s">
        <v>104</v>
      </c>
      <c r="D64" s="1">
        <v>1</v>
      </c>
      <c r="E64" s="1" t="s">
        <v>102</v>
      </c>
      <c r="F64" s="12">
        <v>129500</v>
      </c>
      <c r="G64" s="12">
        <v>135000</v>
      </c>
      <c r="H64" s="13">
        <f t="shared" si="1"/>
        <v>-5500</v>
      </c>
      <c r="I64" s="39" t="s">
        <v>216</v>
      </c>
      <c r="J64" s="26" t="s">
        <v>205</v>
      </c>
    </row>
    <row r="65" spans="1:10" x14ac:dyDescent="0.25">
      <c r="A65" s="47"/>
      <c r="B65" s="10">
        <v>62</v>
      </c>
      <c r="C65" s="1" t="s">
        <v>105</v>
      </c>
      <c r="D65" s="1">
        <v>1</v>
      </c>
      <c r="E65" s="1" t="s">
        <v>106</v>
      </c>
      <c r="F65" s="12">
        <v>247500</v>
      </c>
      <c r="G65" s="12">
        <v>188000</v>
      </c>
      <c r="H65" s="13">
        <f t="shared" si="1"/>
        <v>59500</v>
      </c>
      <c r="I65" s="39" t="s">
        <v>216</v>
      </c>
      <c r="J65" s="26" t="s">
        <v>194</v>
      </c>
    </row>
    <row r="66" spans="1:10" x14ac:dyDescent="0.25">
      <c r="A66" s="47"/>
      <c r="B66" s="10">
        <v>63</v>
      </c>
      <c r="C66" s="1" t="s">
        <v>107</v>
      </c>
      <c r="D66" s="1">
        <v>1</v>
      </c>
      <c r="E66" s="1" t="s">
        <v>108</v>
      </c>
      <c r="F66" s="12">
        <v>57500</v>
      </c>
      <c r="G66" s="12">
        <v>45000</v>
      </c>
      <c r="H66" s="13">
        <f t="shared" si="1"/>
        <v>12500</v>
      </c>
      <c r="I66" s="39" t="s">
        <v>216</v>
      </c>
      <c r="J66" s="26" t="s">
        <v>195</v>
      </c>
    </row>
    <row r="67" spans="1:10" x14ac:dyDescent="0.25">
      <c r="A67" s="47"/>
      <c r="B67" s="10">
        <v>64</v>
      </c>
      <c r="C67" s="44" t="s">
        <v>109</v>
      </c>
      <c r="D67" s="1">
        <v>1</v>
      </c>
      <c r="E67" s="1" t="s">
        <v>110</v>
      </c>
      <c r="F67" s="12">
        <v>345500</v>
      </c>
      <c r="G67" s="12">
        <v>162500</v>
      </c>
      <c r="H67" s="13">
        <f t="shared" ref="H67:H83" si="2">F67-G67</f>
        <v>183000</v>
      </c>
      <c r="I67" s="39" t="s">
        <v>216</v>
      </c>
      <c r="J67" s="26" t="s">
        <v>204</v>
      </c>
    </row>
    <row r="68" spans="1:10" x14ac:dyDescent="0.25">
      <c r="A68" s="47"/>
      <c r="B68" s="10">
        <v>65</v>
      </c>
      <c r="C68" s="44"/>
      <c r="D68" s="1">
        <v>1</v>
      </c>
      <c r="E68" s="1" t="s">
        <v>111</v>
      </c>
      <c r="F68" s="12">
        <v>162500</v>
      </c>
      <c r="G68" s="12">
        <v>136800</v>
      </c>
      <c r="H68" s="13">
        <f t="shared" si="2"/>
        <v>25700</v>
      </c>
      <c r="I68" s="39" t="s">
        <v>216</v>
      </c>
      <c r="J68" s="26" t="s">
        <v>196</v>
      </c>
    </row>
    <row r="69" spans="1:10" ht="45" x14ac:dyDescent="0.25">
      <c r="A69" s="47"/>
      <c r="B69" s="10">
        <v>66</v>
      </c>
      <c r="C69" s="22" t="s">
        <v>112</v>
      </c>
      <c r="D69" s="1">
        <v>1</v>
      </c>
      <c r="E69" s="3" t="s">
        <v>113</v>
      </c>
      <c r="F69" s="11">
        <v>224500</v>
      </c>
      <c r="G69" s="11">
        <v>250000</v>
      </c>
      <c r="H69" s="13">
        <f t="shared" si="2"/>
        <v>-25500</v>
      </c>
      <c r="I69" s="39" t="s">
        <v>216</v>
      </c>
      <c r="J69" s="26" t="s">
        <v>202</v>
      </c>
    </row>
    <row r="70" spans="1:10" x14ac:dyDescent="0.25">
      <c r="B70" s="10">
        <v>67</v>
      </c>
      <c r="C70" s="1" t="s">
        <v>114</v>
      </c>
      <c r="D70" s="1">
        <v>1</v>
      </c>
      <c r="E70" s="1" t="s">
        <v>115</v>
      </c>
      <c r="F70" s="12">
        <v>92500</v>
      </c>
      <c r="G70" s="12">
        <v>70000</v>
      </c>
      <c r="H70" s="13">
        <f t="shared" si="2"/>
        <v>22500</v>
      </c>
      <c r="I70" s="39" t="s">
        <v>216</v>
      </c>
      <c r="J70" s="26" t="s">
        <v>203</v>
      </c>
    </row>
    <row r="71" spans="1:10" ht="45" x14ac:dyDescent="0.25">
      <c r="B71" s="10">
        <v>68</v>
      </c>
      <c r="C71" s="4" t="s">
        <v>117</v>
      </c>
      <c r="D71" s="1">
        <v>2</v>
      </c>
      <c r="E71" s="3" t="s">
        <v>116</v>
      </c>
      <c r="F71" s="11">
        <f>139500+149500</f>
        <v>289000</v>
      </c>
      <c r="G71" s="11">
        <v>300000</v>
      </c>
      <c r="H71" s="13">
        <f t="shared" si="2"/>
        <v>-11000</v>
      </c>
      <c r="I71" s="39" t="s">
        <v>216</v>
      </c>
      <c r="J71" s="26" t="s">
        <v>190</v>
      </c>
    </row>
    <row r="72" spans="1:10" x14ac:dyDescent="0.25">
      <c r="B72" s="10">
        <v>69</v>
      </c>
      <c r="C72" s="4" t="s">
        <v>117</v>
      </c>
      <c r="D72" s="1">
        <v>1</v>
      </c>
      <c r="E72" s="1" t="s">
        <v>118</v>
      </c>
      <c r="F72" s="12">
        <v>348000</v>
      </c>
      <c r="G72" s="12">
        <v>350000</v>
      </c>
      <c r="H72" s="13">
        <f t="shared" si="2"/>
        <v>-2000</v>
      </c>
      <c r="I72" s="39" t="s">
        <v>216</v>
      </c>
      <c r="J72" s="26" t="s">
        <v>189</v>
      </c>
    </row>
    <row r="73" spans="1:10" ht="45" x14ac:dyDescent="0.25">
      <c r="B73" s="10">
        <v>70</v>
      </c>
      <c r="C73" s="1" t="s">
        <v>119</v>
      </c>
      <c r="D73" s="1">
        <v>1</v>
      </c>
      <c r="E73" s="3" t="s">
        <v>121</v>
      </c>
      <c r="F73" s="11">
        <v>348000</v>
      </c>
      <c r="G73" s="11">
        <v>280000</v>
      </c>
      <c r="H73" s="13">
        <f t="shared" si="2"/>
        <v>68000</v>
      </c>
      <c r="I73" s="39" t="s">
        <v>216</v>
      </c>
      <c r="J73" s="26" t="s">
        <v>197</v>
      </c>
    </row>
    <row r="74" spans="1:10" x14ac:dyDescent="0.25">
      <c r="B74" s="10">
        <v>71</v>
      </c>
      <c r="C74" s="1" t="s">
        <v>120</v>
      </c>
      <c r="D74" s="1">
        <v>1</v>
      </c>
      <c r="E74" s="1" t="s">
        <v>122</v>
      </c>
      <c r="F74" s="12">
        <v>89500</v>
      </c>
      <c r="G74" s="12">
        <v>80000</v>
      </c>
      <c r="H74" s="13">
        <f t="shared" si="2"/>
        <v>9500</v>
      </c>
      <c r="I74" s="39" t="s">
        <v>216</v>
      </c>
      <c r="J74" s="26" t="s">
        <v>198</v>
      </c>
    </row>
    <row r="75" spans="1:10" ht="24" customHeight="1" x14ac:dyDescent="0.25">
      <c r="A75" s="45" t="s">
        <v>149</v>
      </c>
      <c r="B75" s="37">
        <v>72</v>
      </c>
      <c r="C75" s="1" t="s">
        <v>123</v>
      </c>
      <c r="D75" s="1">
        <v>1</v>
      </c>
      <c r="E75" s="1" t="s">
        <v>124</v>
      </c>
      <c r="F75" s="12">
        <v>405000</v>
      </c>
      <c r="G75" s="12">
        <v>375000</v>
      </c>
      <c r="H75" s="13">
        <f t="shared" si="2"/>
        <v>30000</v>
      </c>
      <c r="I75" s="39" t="s">
        <v>216</v>
      </c>
      <c r="J75" s="26" t="s">
        <v>199</v>
      </c>
    </row>
    <row r="76" spans="1:10" ht="20.25" customHeight="1" x14ac:dyDescent="0.25">
      <c r="A76" s="45"/>
      <c r="B76" s="10">
        <v>73</v>
      </c>
      <c r="C76" s="1" t="s">
        <v>125</v>
      </c>
      <c r="D76" s="1">
        <v>1</v>
      </c>
      <c r="E76" s="1" t="s">
        <v>126</v>
      </c>
      <c r="F76" s="12">
        <v>390000</v>
      </c>
      <c r="G76" s="12">
        <v>375000</v>
      </c>
      <c r="H76" s="13">
        <f t="shared" si="2"/>
        <v>15000</v>
      </c>
      <c r="I76" s="39" t="s">
        <v>216</v>
      </c>
      <c r="J76" s="26" t="s">
        <v>200</v>
      </c>
    </row>
    <row r="77" spans="1:10" ht="45" x14ac:dyDescent="0.25">
      <c r="A77" s="30" t="s">
        <v>147</v>
      </c>
      <c r="B77" s="38">
        <v>74</v>
      </c>
      <c r="C77" s="1" t="s">
        <v>13</v>
      </c>
      <c r="D77" s="1">
        <v>1</v>
      </c>
      <c r="E77" s="3" t="s">
        <v>130</v>
      </c>
      <c r="F77" s="11">
        <v>1750000</v>
      </c>
      <c r="G77" s="11">
        <v>2000000</v>
      </c>
      <c r="H77" s="13">
        <f t="shared" si="2"/>
        <v>-250000</v>
      </c>
      <c r="I77" s="39" t="s">
        <v>216</v>
      </c>
      <c r="J77" s="26" t="s">
        <v>201</v>
      </c>
    </row>
    <row r="78" spans="1:10" ht="45" x14ac:dyDescent="0.25">
      <c r="A78" s="49" t="s">
        <v>148</v>
      </c>
      <c r="B78" s="35">
        <v>75</v>
      </c>
      <c r="C78" s="3" t="s">
        <v>128</v>
      </c>
      <c r="D78" s="1">
        <v>1</v>
      </c>
      <c r="E78" s="3" t="s">
        <v>131</v>
      </c>
      <c r="F78" s="11">
        <v>1082000</v>
      </c>
      <c r="G78" s="11">
        <v>750000</v>
      </c>
      <c r="H78" s="13">
        <f t="shared" si="2"/>
        <v>332000</v>
      </c>
      <c r="I78" s="39" t="s">
        <v>216</v>
      </c>
      <c r="J78" s="26" t="s">
        <v>180</v>
      </c>
    </row>
    <row r="79" spans="1:10" ht="45" x14ac:dyDescent="0.25">
      <c r="A79" s="49"/>
      <c r="B79" s="10">
        <v>76</v>
      </c>
      <c r="C79" s="3" t="s">
        <v>127</v>
      </c>
      <c r="D79" s="1">
        <v>1</v>
      </c>
      <c r="E79" s="3" t="s">
        <v>132</v>
      </c>
      <c r="F79" s="11">
        <v>1038000</v>
      </c>
      <c r="G79" s="11">
        <v>750000</v>
      </c>
      <c r="H79" s="13">
        <f t="shared" si="2"/>
        <v>288000</v>
      </c>
      <c r="I79" s="39" t="s">
        <v>216</v>
      </c>
      <c r="J79" s="26" t="s">
        <v>180</v>
      </c>
    </row>
    <row r="80" spans="1:10" ht="48" x14ac:dyDescent="0.3">
      <c r="A80" s="45" t="s">
        <v>129</v>
      </c>
      <c r="B80" s="34">
        <v>77</v>
      </c>
      <c r="C80" s="1" t="s">
        <v>133</v>
      </c>
      <c r="D80" s="1">
        <v>1</v>
      </c>
      <c r="E80" s="3" t="s">
        <v>135</v>
      </c>
      <c r="F80" s="11">
        <v>69000</v>
      </c>
      <c r="G80" s="11">
        <v>50000</v>
      </c>
      <c r="H80" s="13">
        <f t="shared" si="2"/>
        <v>19000</v>
      </c>
      <c r="I80" s="39" t="s">
        <v>216</v>
      </c>
      <c r="J80" s="26" t="s">
        <v>165</v>
      </c>
    </row>
    <row r="81" spans="1:10" ht="48" x14ac:dyDescent="0.3">
      <c r="A81" s="45"/>
      <c r="B81" s="10">
        <v>78</v>
      </c>
      <c r="C81" s="1" t="s">
        <v>21</v>
      </c>
      <c r="D81" s="1">
        <v>1</v>
      </c>
      <c r="E81" s="3" t="s">
        <v>136</v>
      </c>
      <c r="F81" s="11">
        <v>281500</v>
      </c>
      <c r="G81" s="11">
        <v>200000</v>
      </c>
      <c r="H81" s="13">
        <f t="shared" si="2"/>
        <v>81500</v>
      </c>
      <c r="I81" s="39" t="s">
        <v>216</v>
      </c>
      <c r="J81" s="26" t="s">
        <v>165</v>
      </c>
    </row>
    <row r="82" spans="1:10" ht="49.5" customHeight="1" x14ac:dyDescent="0.3">
      <c r="A82" s="46" t="s">
        <v>146</v>
      </c>
      <c r="B82" s="10">
        <v>79</v>
      </c>
      <c r="C82" s="3" t="s">
        <v>137</v>
      </c>
      <c r="D82" s="1">
        <v>1</v>
      </c>
      <c r="E82" s="3" t="s">
        <v>138</v>
      </c>
      <c r="F82" s="11">
        <v>335000</v>
      </c>
      <c r="G82" s="11">
        <v>320000</v>
      </c>
      <c r="H82" s="13">
        <f t="shared" si="2"/>
        <v>15000</v>
      </c>
      <c r="I82" s="39" t="s">
        <v>216</v>
      </c>
      <c r="J82" s="26" t="s">
        <v>151</v>
      </c>
    </row>
    <row r="83" spans="1:10" ht="81" x14ac:dyDescent="0.3">
      <c r="A83" s="47"/>
      <c r="B83" s="10">
        <v>80</v>
      </c>
      <c r="C83" s="1" t="s">
        <v>139</v>
      </c>
      <c r="D83" s="1">
        <v>1</v>
      </c>
      <c r="E83" s="3" t="s">
        <v>141</v>
      </c>
      <c r="F83" s="11">
        <v>265000</v>
      </c>
      <c r="G83" s="11">
        <v>190000</v>
      </c>
      <c r="H83" s="13">
        <f t="shared" si="2"/>
        <v>75000</v>
      </c>
      <c r="I83" s="39" t="s">
        <v>216</v>
      </c>
      <c r="J83" s="26" t="s">
        <v>165</v>
      </c>
    </row>
    <row r="84" spans="1:10" ht="81" x14ac:dyDescent="0.3">
      <c r="A84" s="47"/>
      <c r="B84" s="10">
        <v>81</v>
      </c>
      <c r="C84" s="1" t="s">
        <v>140</v>
      </c>
      <c r="D84" s="1">
        <v>1</v>
      </c>
      <c r="E84" s="3" t="s">
        <v>142</v>
      </c>
      <c r="F84" s="11">
        <v>280000</v>
      </c>
      <c r="G84" s="11">
        <v>200000</v>
      </c>
      <c r="H84" s="13">
        <f>F84-G84</f>
        <v>80000</v>
      </c>
      <c r="I84" s="39" t="s">
        <v>216</v>
      </c>
      <c r="J84" s="1" t="s">
        <v>165</v>
      </c>
    </row>
    <row r="85" spans="1:10" x14ac:dyDescent="0.25">
      <c r="H85" s="14"/>
      <c r="I85" s="14"/>
    </row>
  </sheetData>
  <mergeCells count="14">
    <mergeCell ref="C67:C68"/>
    <mergeCell ref="A75:A76"/>
    <mergeCell ref="A4:A7"/>
    <mergeCell ref="A82:A84"/>
    <mergeCell ref="A64:A69"/>
    <mergeCell ref="A38:A42"/>
    <mergeCell ref="A24:A27"/>
    <mergeCell ref="A16:A19"/>
    <mergeCell ref="A80:A81"/>
    <mergeCell ref="A14:A15"/>
    <mergeCell ref="A22:A23"/>
    <mergeCell ref="A61:A62"/>
    <mergeCell ref="A36:A37"/>
    <mergeCell ref="A78:A79"/>
  </mergeCells>
  <phoneticPr fontId="1" type="noConversion"/>
  <hyperlinks>
    <hyperlink ref="J3" display="https://www.indiamart.com/proddetail/stainless-steel-tilting-paste-kettle-machine-22709774991.html?pos=10&amp;kwd=paste%20kettle&amp;tags=A||||8210.732|Price|product|||TS|rsf:gd-|-qr_nm:gd|res:RC3|com-cf:nl|ptrs:na|ktp:N0|mc:131742|mtp:G|qry_typ:P|lang:en|wc:2|fl"/>
    <hyperlink ref="J4" r:id="rId1"/>
    <hyperlink ref="J5" display="https://www.indiamart.com/proddetail/high-speed-rapid-mixer-granulator-machine-2853714036655.html?pos=6&amp;kwd=rapid%20mixer%20granulator&amp;tags=A||||8228.275|Price|product|||TS|rsf:gd-|-stype:attr=1|qr_nm:gd|res:RC4|com-cf:nl|ptrs:na|ktp:N0|mc:8965|mtp:S|qry_"/>
    <hyperlink ref="J6" r:id="rId2"/>
    <hyperlink ref="J7" display="https://www.indiamart.com/proddetail/pharma-vibro-sifter-3905263862.html?pos=5&amp;kwd=pharma%20vibro%20sifter&amp;tags=A||||8281.036|Price|product|||LSnp|rsf:gd-|-stype:attr=1|qr_nm:gd|res:RC4|com-cf:nl|ptrs:na|ktp:N0|mc:44038|mtp:S|qry_typ:P|lang:en|wc:4|flavl:"/>
    <hyperlink ref="J8" display="https://www.indiamart.com/proddetail/pharmaceutical-octagonal-blender-2854056178662.html?pos=1&amp;kwd=octagonal%20blender%20ss316&amp;tags=A||||8769.508|Price|product|||TS|rsf:gd-|-stype:attr=1|qr_nm:gd|res:RC3|com-cf:nl|ptrs:na|ktp:N0|mc:17829|mtp:S|qry_typ:P|l"/>
    <hyperlink ref="J9" r:id="rId3"/>
    <hyperlink ref="J10" display="https://www.indiamart.com/proddetail/tablet-blister-packing-machine-2853671942612.html?pos=13&amp;kwd=tablet%20blister%20packing%20machine&amp;tags=BA||||8228.275|Price|product|||MDC|rsf:gd-|-stype:attr=1|qr_nm:gd|res:RC4|com-cf:nl|ptrs:na|ktp:N0|mc:143119|mtp:S|"/>
    <hyperlink ref="J11" r:id="rId4"/>
  </hyperlinks>
  <pageMargins left="0.7" right="0.7" top="0.75" bottom="0.75" header="0.3" footer="0.3"/>
  <pageSetup scale="77" orientation="portrait" r:id="rId5"/>
  <colBreaks count="1" manualBreakCount="1">
    <brk id="1" max="1048575" man="1"/>
  </colBreaks>
  <ignoredErrors>
    <ignoredError sqref="G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100" workbookViewId="0">
      <selection activeCell="H16" sqref="H16"/>
    </sheetView>
  </sheetViews>
  <sheetFormatPr defaultRowHeight="15" x14ac:dyDescent="0.25"/>
  <cols>
    <col min="1" max="1" width="8" customWidth="1"/>
    <col min="2" max="2" width="35.85546875" customWidth="1"/>
    <col min="3" max="3" width="5.140625" bestFit="1" customWidth="1"/>
    <col min="4" max="4" width="70" customWidth="1"/>
  </cols>
  <sheetData>
    <row r="1" spans="1:4" ht="15.75" x14ac:dyDescent="0.25">
      <c r="A1" s="7" t="s">
        <v>0</v>
      </c>
      <c r="B1" s="8" t="s">
        <v>1</v>
      </c>
      <c r="C1" s="9" t="s">
        <v>9</v>
      </c>
      <c r="D1" s="7" t="s">
        <v>2</v>
      </c>
    </row>
    <row r="2" spans="1:4" x14ac:dyDescent="0.25">
      <c r="A2" s="10">
        <v>1</v>
      </c>
      <c r="B2" s="3" t="s">
        <v>3</v>
      </c>
      <c r="C2" s="5">
        <v>1</v>
      </c>
      <c r="D2" s="3" t="s">
        <v>6</v>
      </c>
    </row>
    <row r="3" spans="1:4" x14ac:dyDescent="0.25">
      <c r="A3" s="10">
        <v>2</v>
      </c>
      <c r="B3" s="3" t="s">
        <v>4</v>
      </c>
      <c r="C3" s="5">
        <v>1</v>
      </c>
      <c r="D3" s="3" t="s">
        <v>6</v>
      </c>
    </row>
    <row r="4" spans="1:4" x14ac:dyDescent="0.25">
      <c r="A4" s="10">
        <v>3</v>
      </c>
      <c r="B4" s="3" t="s">
        <v>5</v>
      </c>
      <c r="C4" s="5">
        <v>1</v>
      </c>
      <c r="D4" s="3" t="s">
        <v>6</v>
      </c>
    </row>
    <row r="5" spans="1:4" ht="30" x14ac:dyDescent="0.25">
      <c r="A5" s="10">
        <v>4</v>
      </c>
      <c r="B5" s="3" t="s">
        <v>7</v>
      </c>
      <c r="C5" s="5">
        <v>2</v>
      </c>
      <c r="D5" s="3" t="s">
        <v>8</v>
      </c>
    </row>
    <row r="6" spans="1:4" x14ac:dyDescent="0.25">
      <c r="A6" s="10">
        <v>5</v>
      </c>
      <c r="B6" s="3" t="s">
        <v>10</v>
      </c>
      <c r="C6" s="5">
        <v>1</v>
      </c>
      <c r="D6" s="3" t="s">
        <v>6</v>
      </c>
    </row>
    <row r="7" spans="1:4" x14ac:dyDescent="0.25">
      <c r="A7" s="10">
        <v>6</v>
      </c>
      <c r="B7" s="3" t="s">
        <v>11</v>
      </c>
      <c r="C7" s="5">
        <v>1</v>
      </c>
      <c r="D7" s="3" t="s">
        <v>6</v>
      </c>
    </row>
    <row r="8" spans="1:4" x14ac:dyDescent="0.25">
      <c r="A8" s="10">
        <v>7</v>
      </c>
      <c r="B8" s="3" t="s">
        <v>12</v>
      </c>
      <c r="C8" s="5">
        <v>1</v>
      </c>
      <c r="D8" s="3" t="s">
        <v>15</v>
      </c>
    </row>
    <row r="9" spans="1:4" x14ac:dyDescent="0.25">
      <c r="A9" s="10">
        <v>8</v>
      </c>
      <c r="B9" s="3" t="s">
        <v>13</v>
      </c>
      <c r="C9" s="5">
        <v>1</v>
      </c>
      <c r="D9" s="3" t="s">
        <v>15</v>
      </c>
    </row>
    <row r="10" spans="1:4" x14ac:dyDescent="0.25">
      <c r="A10" s="10">
        <v>9</v>
      </c>
      <c r="B10" s="3" t="s">
        <v>14</v>
      </c>
      <c r="C10" s="5">
        <v>1</v>
      </c>
      <c r="D10" s="3" t="s">
        <v>15</v>
      </c>
    </row>
    <row r="11" spans="1:4" x14ac:dyDescent="0.25">
      <c r="A11" s="10">
        <v>10</v>
      </c>
      <c r="B11" s="3" t="s">
        <v>16</v>
      </c>
      <c r="C11" s="5">
        <v>1</v>
      </c>
      <c r="D11" s="3" t="s">
        <v>15</v>
      </c>
    </row>
    <row r="12" spans="1:4" ht="30" x14ac:dyDescent="0.25">
      <c r="A12" s="10">
        <v>11</v>
      </c>
      <c r="B12" s="3" t="s">
        <v>17</v>
      </c>
      <c r="C12" s="5">
        <v>1</v>
      </c>
      <c r="D12" s="3" t="s">
        <v>18</v>
      </c>
    </row>
    <row r="13" spans="1:4" x14ac:dyDescent="0.25">
      <c r="A13" s="10">
        <v>12</v>
      </c>
      <c r="B13" s="3" t="s">
        <v>19</v>
      </c>
      <c r="C13" s="5">
        <v>1</v>
      </c>
      <c r="D13" s="3" t="s">
        <v>26</v>
      </c>
    </row>
    <row r="14" spans="1:4" ht="45" x14ac:dyDescent="0.25">
      <c r="A14" s="10">
        <v>13</v>
      </c>
      <c r="B14" s="3" t="s">
        <v>21</v>
      </c>
      <c r="C14" s="5">
        <v>1</v>
      </c>
      <c r="D14" s="3" t="s">
        <v>134</v>
      </c>
    </row>
    <row r="15" spans="1:4" ht="30" x14ac:dyDescent="0.25">
      <c r="A15" s="10">
        <v>14</v>
      </c>
      <c r="B15" s="3" t="s">
        <v>22</v>
      </c>
      <c r="C15" s="5">
        <v>1</v>
      </c>
      <c r="D15" s="3" t="s">
        <v>25</v>
      </c>
    </row>
    <row r="16" spans="1:4" ht="30" x14ac:dyDescent="0.25">
      <c r="A16" s="10">
        <v>15</v>
      </c>
      <c r="B16" s="3" t="s">
        <v>23</v>
      </c>
      <c r="C16" s="5">
        <v>1</v>
      </c>
      <c r="D16" s="3" t="s">
        <v>24</v>
      </c>
    </row>
    <row r="17" spans="1:4" ht="30" x14ac:dyDescent="0.25">
      <c r="A17" s="10">
        <v>16</v>
      </c>
      <c r="B17" s="3" t="s">
        <v>27</v>
      </c>
      <c r="C17" s="5">
        <v>1</v>
      </c>
      <c r="D17" s="3" t="s">
        <v>28</v>
      </c>
    </row>
    <row r="18" spans="1:4" ht="30" x14ac:dyDescent="0.25">
      <c r="A18" s="10">
        <v>17</v>
      </c>
      <c r="B18" s="3" t="s">
        <v>29</v>
      </c>
      <c r="C18" s="5">
        <v>1</v>
      </c>
      <c r="D18" s="3" t="s">
        <v>30</v>
      </c>
    </row>
    <row r="19" spans="1:4" ht="30" x14ac:dyDescent="0.25">
      <c r="A19" s="10">
        <v>18</v>
      </c>
      <c r="B19" s="3" t="s">
        <v>31</v>
      </c>
      <c r="C19" s="5">
        <v>1</v>
      </c>
      <c r="D19" s="3" t="s">
        <v>32</v>
      </c>
    </row>
    <row r="20" spans="1:4" x14ac:dyDescent="0.25">
      <c r="A20" s="10">
        <v>19</v>
      </c>
      <c r="B20" s="3" t="s">
        <v>33</v>
      </c>
      <c r="C20" s="5">
        <v>1</v>
      </c>
      <c r="D20" s="3" t="s">
        <v>34</v>
      </c>
    </row>
    <row r="21" spans="1:4" x14ac:dyDescent="0.25">
      <c r="A21" s="10">
        <v>20</v>
      </c>
      <c r="B21" s="4" t="s">
        <v>98</v>
      </c>
      <c r="C21" s="1">
        <v>1</v>
      </c>
      <c r="D21" s="3" t="s">
        <v>97</v>
      </c>
    </row>
    <row r="22" spans="1:4" x14ac:dyDescent="0.25">
      <c r="A22" s="10">
        <v>21</v>
      </c>
      <c r="B22" s="4" t="s">
        <v>100</v>
      </c>
      <c r="C22" s="1">
        <v>1</v>
      </c>
      <c r="D22" s="3" t="s">
        <v>99</v>
      </c>
    </row>
    <row r="23" spans="1:4" ht="30" x14ac:dyDescent="0.25">
      <c r="A23" s="10">
        <v>22</v>
      </c>
      <c r="B23" s="50" t="s">
        <v>104</v>
      </c>
      <c r="C23" s="1">
        <v>1</v>
      </c>
      <c r="D23" s="3" t="s">
        <v>103</v>
      </c>
    </row>
    <row r="24" spans="1:4" ht="30" x14ac:dyDescent="0.25">
      <c r="A24" s="10">
        <v>23</v>
      </c>
      <c r="B24" s="51"/>
      <c r="C24" s="1">
        <v>1</v>
      </c>
      <c r="D24" s="3" t="s">
        <v>102</v>
      </c>
    </row>
    <row r="25" spans="1:4" x14ac:dyDescent="0.25">
      <c r="A25" s="10">
        <v>24</v>
      </c>
      <c r="B25" s="1" t="s">
        <v>105</v>
      </c>
      <c r="C25" s="1">
        <v>1</v>
      </c>
      <c r="D25" s="3" t="s">
        <v>106</v>
      </c>
    </row>
    <row r="26" spans="1:4" x14ac:dyDescent="0.25">
      <c r="A26" s="10">
        <v>25</v>
      </c>
      <c r="B26" s="1" t="s">
        <v>107</v>
      </c>
      <c r="C26" s="1">
        <v>1</v>
      </c>
      <c r="D26" s="3" t="s">
        <v>108</v>
      </c>
    </row>
    <row r="27" spans="1:4" x14ac:dyDescent="0.25">
      <c r="A27" s="10">
        <v>26</v>
      </c>
      <c r="B27" s="52" t="s">
        <v>109</v>
      </c>
      <c r="C27" s="1">
        <v>1</v>
      </c>
      <c r="D27" s="3" t="s">
        <v>110</v>
      </c>
    </row>
    <row r="28" spans="1:4" x14ac:dyDescent="0.25">
      <c r="A28" s="10">
        <v>27</v>
      </c>
      <c r="B28" s="53"/>
      <c r="C28" s="1"/>
      <c r="D28" s="3" t="s">
        <v>111</v>
      </c>
    </row>
    <row r="29" spans="1:4" ht="30" x14ac:dyDescent="0.25">
      <c r="A29" s="10">
        <v>28</v>
      </c>
      <c r="B29" s="5" t="s">
        <v>112</v>
      </c>
      <c r="C29" s="1">
        <v>1</v>
      </c>
      <c r="D29" s="3" t="s">
        <v>113</v>
      </c>
    </row>
    <row r="30" spans="1:4" x14ac:dyDescent="0.25">
      <c r="A30" s="10">
        <v>29</v>
      </c>
      <c r="B30" s="1" t="s">
        <v>114</v>
      </c>
      <c r="C30" s="1">
        <v>1</v>
      </c>
      <c r="D30" s="3" t="s">
        <v>115</v>
      </c>
    </row>
    <row r="31" spans="1:4" ht="30" x14ac:dyDescent="0.25">
      <c r="A31" s="10">
        <v>30</v>
      </c>
      <c r="B31" s="44" t="s">
        <v>117</v>
      </c>
      <c r="C31" s="1">
        <v>2</v>
      </c>
      <c r="D31" s="3" t="s">
        <v>116</v>
      </c>
    </row>
    <row r="32" spans="1:4" x14ac:dyDescent="0.25">
      <c r="A32" s="10">
        <v>31</v>
      </c>
      <c r="B32" s="44"/>
      <c r="C32" s="1">
        <v>1</v>
      </c>
      <c r="D32" s="3" t="s">
        <v>118</v>
      </c>
    </row>
    <row r="33" spans="1:4" ht="30" x14ac:dyDescent="0.25">
      <c r="A33" s="10">
        <v>32</v>
      </c>
      <c r="B33" s="1" t="s">
        <v>119</v>
      </c>
      <c r="C33" s="1">
        <v>1</v>
      </c>
      <c r="D33" s="3" t="s">
        <v>121</v>
      </c>
    </row>
    <row r="34" spans="1:4" ht="30" x14ac:dyDescent="0.25">
      <c r="A34" s="10">
        <v>33</v>
      </c>
      <c r="B34" s="1" t="s">
        <v>120</v>
      </c>
      <c r="C34" s="1">
        <v>1</v>
      </c>
      <c r="D34" s="3" t="s">
        <v>122</v>
      </c>
    </row>
    <row r="35" spans="1:4" x14ac:dyDescent="0.25">
      <c r="A35" s="10">
        <v>34</v>
      </c>
      <c r="B35" s="1" t="s">
        <v>123</v>
      </c>
      <c r="C35" s="1">
        <v>1</v>
      </c>
      <c r="D35" s="3" t="s">
        <v>124</v>
      </c>
    </row>
    <row r="36" spans="1:4" x14ac:dyDescent="0.25">
      <c r="A36" s="10">
        <v>35</v>
      </c>
      <c r="B36" s="1" t="s">
        <v>125</v>
      </c>
      <c r="C36" s="1">
        <v>1</v>
      </c>
      <c r="D36" s="3" t="s">
        <v>126</v>
      </c>
    </row>
    <row r="37" spans="1:4" ht="30" x14ac:dyDescent="0.25">
      <c r="A37" s="10">
        <v>36</v>
      </c>
      <c r="B37" s="1" t="s">
        <v>13</v>
      </c>
      <c r="C37" s="1">
        <v>1</v>
      </c>
      <c r="D37" s="3" t="s">
        <v>130</v>
      </c>
    </row>
    <row r="38" spans="1:4" ht="30" x14ac:dyDescent="0.25">
      <c r="A38" s="10">
        <v>37</v>
      </c>
      <c r="B38" s="3" t="s">
        <v>128</v>
      </c>
      <c r="C38" s="1">
        <v>1</v>
      </c>
      <c r="D38" s="3" t="s">
        <v>131</v>
      </c>
    </row>
    <row r="39" spans="1:4" ht="30" x14ac:dyDescent="0.25">
      <c r="A39" s="10">
        <v>38</v>
      </c>
      <c r="B39" s="3" t="s">
        <v>127</v>
      </c>
      <c r="C39" s="1">
        <v>1</v>
      </c>
      <c r="D39" s="3" t="s">
        <v>132</v>
      </c>
    </row>
    <row r="40" spans="1:4" ht="16.5" x14ac:dyDescent="0.3">
      <c r="A40" s="10">
        <v>39</v>
      </c>
      <c r="B40" s="1" t="s">
        <v>133</v>
      </c>
      <c r="C40" s="1">
        <v>1</v>
      </c>
      <c r="D40" s="3" t="s">
        <v>135</v>
      </c>
    </row>
    <row r="41" spans="1:4" ht="33" x14ac:dyDescent="0.3">
      <c r="A41" s="10">
        <v>40</v>
      </c>
      <c r="B41" s="1" t="s">
        <v>21</v>
      </c>
      <c r="C41" s="1">
        <v>1</v>
      </c>
      <c r="D41" s="3" t="s">
        <v>136</v>
      </c>
    </row>
    <row r="42" spans="1:4" ht="49.5" x14ac:dyDescent="0.3">
      <c r="A42" s="10">
        <v>41</v>
      </c>
      <c r="B42" s="3" t="s">
        <v>137</v>
      </c>
      <c r="C42" s="1">
        <v>1</v>
      </c>
      <c r="D42" s="3" t="s">
        <v>138</v>
      </c>
    </row>
    <row r="43" spans="1:4" ht="49.5" x14ac:dyDescent="0.3">
      <c r="A43" s="10">
        <v>42</v>
      </c>
      <c r="B43" s="1" t="s">
        <v>139</v>
      </c>
      <c r="C43" s="1">
        <v>1</v>
      </c>
      <c r="D43" s="3" t="s">
        <v>141</v>
      </c>
    </row>
    <row r="44" spans="1:4" ht="49.5" x14ac:dyDescent="0.3">
      <c r="A44" s="10">
        <v>43</v>
      </c>
      <c r="B44" s="1" t="s">
        <v>140</v>
      </c>
      <c r="C44" s="1">
        <v>1</v>
      </c>
      <c r="D44" s="3" t="s">
        <v>142</v>
      </c>
    </row>
  </sheetData>
  <mergeCells count="3">
    <mergeCell ref="B31:B32"/>
    <mergeCell ref="B23:B24"/>
    <mergeCell ref="B27:B28"/>
  </mergeCells>
  <pageMargins left="0.7" right="0.7" top="0.75" bottom="0.75" header="0.3" footer="0.3"/>
  <pageSetup scale="67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5"/>
  <sheetViews>
    <sheetView workbookViewId="0">
      <selection activeCell="F3" sqref="F3:F85"/>
    </sheetView>
  </sheetViews>
  <sheetFormatPr defaultRowHeight="15" x14ac:dyDescent="0.25"/>
  <cols>
    <col min="3" max="3" width="5.7109375" bestFit="1" customWidth="1"/>
    <col min="4" max="4" width="27.7109375" customWidth="1"/>
    <col min="5" max="5" width="9.7109375" bestFit="1" customWidth="1"/>
    <col min="6" max="6" width="29.85546875" customWidth="1"/>
    <col min="7" max="7" width="11.85546875" customWidth="1"/>
    <col min="8" max="8" width="12.7109375" customWidth="1"/>
    <col min="9" max="9" width="11" customWidth="1"/>
    <col min="10" max="10" width="9" bestFit="1" customWidth="1"/>
    <col min="11" max="11" width="255.7109375" bestFit="1" customWidth="1"/>
  </cols>
  <sheetData>
    <row r="2" spans="2:11" x14ac:dyDescent="0.25">
      <c r="G2" s="23">
        <f>SUBTOTAL(9,G4:G85)</f>
        <v>34998607</v>
      </c>
      <c r="H2" s="23">
        <f>SUBTOTAL(9,H4:H85)</f>
        <v>34439774.810000002</v>
      </c>
      <c r="I2" s="23">
        <f>SUBTOTAL(9,I4:I85)</f>
        <v>558832.18999999994</v>
      </c>
    </row>
    <row r="3" spans="2:11" x14ac:dyDescent="0.25">
      <c r="C3" s="1" t="s">
        <v>0</v>
      </c>
      <c r="D3" s="3" t="s">
        <v>1</v>
      </c>
      <c r="E3" s="22" t="s">
        <v>9</v>
      </c>
      <c r="F3" s="1" t="s">
        <v>2</v>
      </c>
      <c r="G3" s="1" t="s">
        <v>143</v>
      </c>
      <c r="H3" s="1" t="s">
        <v>144</v>
      </c>
      <c r="I3" s="1" t="s">
        <v>152</v>
      </c>
      <c r="J3" s="1" t="s">
        <v>215</v>
      </c>
      <c r="K3" s="1" t="s">
        <v>20</v>
      </c>
    </row>
    <row r="4" spans="2:11" ht="30" x14ac:dyDescent="0.25">
      <c r="B4" s="27" t="s">
        <v>96</v>
      </c>
      <c r="C4" s="6">
        <v>1</v>
      </c>
      <c r="D4" s="3" t="s">
        <v>3</v>
      </c>
      <c r="E4" s="40">
        <v>1</v>
      </c>
      <c r="F4" s="3" t="s">
        <v>6</v>
      </c>
      <c r="G4" s="11">
        <v>205000</v>
      </c>
      <c r="H4" s="11">
        <v>325000</v>
      </c>
      <c r="I4" s="13">
        <f t="shared" ref="I4:I35" si="0">G4-H4</f>
        <v>-120000</v>
      </c>
      <c r="J4" s="13" t="s">
        <v>216</v>
      </c>
      <c r="K4" s="1" t="s">
        <v>233</v>
      </c>
    </row>
    <row r="5" spans="2:11" ht="30" x14ac:dyDescent="0.25">
      <c r="B5" s="46" t="s">
        <v>146</v>
      </c>
      <c r="C5" s="2">
        <v>2</v>
      </c>
      <c r="D5" s="3" t="s">
        <v>4</v>
      </c>
      <c r="E5" s="40">
        <v>1</v>
      </c>
      <c r="F5" s="3" t="s">
        <v>6</v>
      </c>
      <c r="G5" s="11">
        <v>995000</v>
      </c>
      <c r="H5" s="11">
        <v>1000000</v>
      </c>
      <c r="I5" s="13">
        <f t="shared" si="0"/>
        <v>-5000</v>
      </c>
      <c r="J5" s="13" t="s">
        <v>216</v>
      </c>
      <c r="K5" s="1" t="s">
        <v>227</v>
      </c>
    </row>
    <row r="6" spans="2:11" ht="30" x14ac:dyDescent="0.25">
      <c r="B6" s="47"/>
      <c r="C6" s="2">
        <v>3</v>
      </c>
      <c r="D6" s="3" t="s">
        <v>5</v>
      </c>
      <c r="E6" s="40">
        <v>1</v>
      </c>
      <c r="F6" s="3" t="s">
        <v>6</v>
      </c>
      <c r="G6" s="11">
        <v>1215000</v>
      </c>
      <c r="H6" s="11">
        <v>1250000</v>
      </c>
      <c r="I6" s="13">
        <f t="shared" si="0"/>
        <v>-35000</v>
      </c>
      <c r="J6" s="13" t="s">
        <v>216</v>
      </c>
      <c r="K6" s="26" t="s">
        <v>225</v>
      </c>
    </row>
    <row r="7" spans="2:11" ht="45" x14ac:dyDescent="0.25">
      <c r="B7" s="47"/>
      <c r="C7" s="2">
        <v>4</v>
      </c>
      <c r="D7" s="3" t="s">
        <v>7</v>
      </c>
      <c r="E7" s="40">
        <v>2</v>
      </c>
      <c r="F7" s="3" t="s">
        <v>8</v>
      </c>
      <c r="G7" s="11">
        <v>400000</v>
      </c>
      <c r="H7" s="11">
        <f>145000*2</f>
        <v>290000</v>
      </c>
      <c r="I7" s="13">
        <f t="shared" si="0"/>
        <v>110000</v>
      </c>
      <c r="J7" s="13" t="s">
        <v>216</v>
      </c>
      <c r="K7" s="43" t="s">
        <v>158</v>
      </c>
    </row>
    <row r="8" spans="2:11" ht="30" x14ac:dyDescent="0.25">
      <c r="B8" s="47"/>
      <c r="C8" s="6">
        <v>5</v>
      </c>
      <c r="D8" s="3" t="s">
        <v>10</v>
      </c>
      <c r="E8" s="40">
        <v>1</v>
      </c>
      <c r="F8" s="3" t="s">
        <v>6</v>
      </c>
      <c r="G8" s="11">
        <v>150000</v>
      </c>
      <c r="H8" s="11">
        <v>125000</v>
      </c>
      <c r="I8" s="13">
        <f t="shared" si="0"/>
        <v>25000</v>
      </c>
      <c r="J8" s="13" t="s">
        <v>216</v>
      </c>
      <c r="K8" s="43" t="s">
        <v>241</v>
      </c>
    </row>
    <row r="9" spans="2:11" ht="30" x14ac:dyDescent="0.25">
      <c r="C9" s="2">
        <v>6</v>
      </c>
      <c r="D9" s="3" t="s">
        <v>11</v>
      </c>
      <c r="E9" s="40">
        <v>1</v>
      </c>
      <c r="F9" s="3" t="s">
        <v>6</v>
      </c>
      <c r="G9" s="11">
        <v>500000</v>
      </c>
      <c r="H9" s="11">
        <v>730000</v>
      </c>
      <c r="I9" s="13">
        <f t="shared" si="0"/>
        <v>-230000</v>
      </c>
      <c r="J9" s="13" t="s">
        <v>216</v>
      </c>
      <c r="K9" s="1" t="s">
        <v>231</v>
      </c>
    </row>
    <row r="10" spans="2:11" ht="30" x14ac:dyDescent="0.25">
      <c r="C10" s="2">
        <v>7</v>
      </c>
      <c r="D10" s="3" t="s">
        <v>159</v>
      </c>
      <c r="E10" s="40">
        <v>1</v>
      </c>
      <c r="F10" s="3" t="s">
        <v>15</v>
      </c>
      <c r="G10" s="11">
        <v>815000</v>
      </c>
      <c r="H10" s="11">
        <v>970000</v>
      </c>
      <c r="I10" s="13">
        <f t="shared" si="0"/>
        <v>-155000</v>
      </c>
      <c r="J10" s="13" t="s">
        <v>216</v>
      </c>
      <c r="K10" s="1" t="s">
        <v>243</v>
      </c>
    </row>
    <row r="11" spans="2:11" ht="30" x14ac:dyDescent="0.25">
      <c r="C11" s="2">
        <v>8</v>
      </c>
      <c r="D11" s="3" t="s">
        <v>13</v>
      </c>
      <c r="E11" s="40">
        <v>1</v>
      </c>
      <c r="F11" s="3" t="s">
        <v>15</v>
      </c>
      <c r="G11" s="11">
        <v>810000</v>
      </c>
      <c r="H11" s="11">
        <v>800000</v>
      </c>
      <c r="I11" s="13">
        <f t="shared" si="0"/>
        <v>10000</v>
      </c>
      <c r="J11" s="13" t="s">
        <v>216</v>
      </c>
      <c r="K11" s="1" t="s">
        <v>161</v>
      </c>
    </row>
    <row r="12" spans="2:11" ht="30" x14ac:dyDescent="0.25">
      <c r="C12" s="6">
        <v>9</v>
      </c>
      <c r="D12" s="3" t="s">
        <v>14</v>
      </c>
      <c r="E12" s="40">
        <v>1</v>
      </c>
      <c r="F12" s="3" t="s">
        <v>15</v>
      </c>
      <c r="G12" s="11">
        <v>400000</v>
      </c>
      <c r="H12" s="11">
        <v>350000</v>
      </c>
      <c r="I12" s="13">
        <f t="shared" si="0"/>
        <v>50000</v>
      </c>
      <c r="J12" s="13" t="s">
        <v>216</v>
      </c>
      <c r="K12" s="1" t="s">
        <v>162</v>
      </c>
    </row>
    <row r="13" spans="2:11" ht="30" x14ac:dyDescent="0.25">
      <c r="C13" s="2">
        <v>10</v>
      </c>
      <c r="D13" s="3" t="s">
        <v>16</v>
      </c>
      <c r="E13" s="40">
        <v>1</v>
      </c>
      <c r="F13" s="3" t="s">
        <v>15</v>
      </c>
      <c r="G13" s="11">
        <v>1285000</v>
      </c>
      <c r="H13" s="11">
        <v>1250000</v>
      </c>
      <c r="I13" s="13">
        <f t="shared" si="0"/>
        <v>35000</v>
      </c>
      <c r="J13" s="13" t="s">
        <v>216</v>
      </c>
      <c r="K13" s="26" t="s">
        <v>224</v>
      </c>
    </row>
    <row r="14" spans="2:11" ht="75" x14ac:dyDescent="0.25">
      <c r="C14" s="2">
        <v>11</v>
      </c>
      <c r="D14" s="3" t="s">
        <v>17</v>
      </c>
      <c r="E14" s="40">
        <v>1</v>
      </c>
      <c r="F14" s="3" t="s">
        <v>18</v>
      </c>
      <c r="G14" s="11">
        <v>1800000</v>
      </c>
      <c r="H14" s="11">
        <v>1900000</v>
      </c>
      <c r="I14" s="13">
        <f t="shared" si="0"/>
        <v>-100000</v>
      </c>
      <c r="J14" s="13" t="s">
        <v>216</v>
      </c>
      <c r="K14" s="3" t="s">
        <v>232</v>
      </c>
    </row>
    <row r="15" spans="2:11" ht="45" x14ac:dyDescent="0.25">
      <c r="B15" s="48" t="s">
        <v>95</v>
      </c>
      <c r="C15" s="2">
        <v>12</v>
      </c>
      <c r="D15" s="3" t="s">
        <v>19</v>
      </c>
      <c r="E15" s="40">
        <v>1</v>
      </c>
      <c r="F15" s="3" t="s">
        <v>26</v>
      </c>
      <c r="G15" s="11">
        <f>11000+6500+5500+5000+10000+88500</f>
        <v>126500</v>
      </c>
      <c r="H15" s="11">
        <f>60000</f>
        <v>60000</v>
      </c>
      <c r="I15" s="13">
        <f t="shared" si="0"/>
        <v>66500</v>
      </c>
      <c r="J15" s="13"/>
      <c r="K15" s="1" t="s">
        <v>165</v>
      </c>
    </row>
    <row r="16" spans="2:11" ht="90" x14ac:dyDescent="0.25">
      <c r="B16" s="48"/>
      <c r="C16" s="6">
        <v>13</v>
      </c>
      <c r="D16" s="3" t="s">
        <v>21</v>
      </c>
      <c r="E16" s="40">
        <v>1</v>
      </c>
      <c r="F16" s="3" t="s">
        <v>134</v>
      </c>
      <c r="G16" s="11">
        <f>56000+17000+8000+360000</f>
        <v>441000</v>
      </c>
      <c r="H16" s="11">
        <f>56000+17000+8000+200000</f>
        <v>281000</v>
      </c>
      <c r="I16" s="13">
        <f t="shared" si="0"/>
        <v>160000</v>
      </c>
      <c r="J16" s="13"/>
      <c r="K16" s="1" t="s">
        <v>165</v>
      </c>
    </row>
    <row r="17" spans="2:11" ht="75" x14ac:dyDescent="0.25">
      <c r="B17" s="46" t="s">
        <v>146</v>
      </c>
      <c r="C17" s="2">
        <v>14</v>
      </c>
      <c r="D17" s="3" t="s">
        <v>22</v>
      </c>
      <c r="E17" s="40">
        <v>1</v>
      </c>
      <c r="F17" s="3" t="s">
        <v>25</v>
      </c>
      <c r="G17" s="11">
        <f>112000+64000+55000+29000+18000+24000+55000+15000+16000+14000+10000+8000+17000+435000</f>
        <v>872000</v>
      </c>
      <c r="H17" s="11">
        <f>112000+64000+55000+29000+18000+24000+55000+15000+16000+14000+10000+8000+17000+580000</f>
        <v>1017000</v>
      </c>
      <c r="I17" s="13">
        <f t="shared" si="0"/>
        <v>-145000</v>
      </c>
      <c r="J17" s="13"/>
      <c r="K17" s="1" t="s">
        <v>165</v>
      </c>
    </row>
    <row r="18" spans="2:11" ht="60" x14ac:dyDescent="0.25">
      <c r="B18" s="47"/>
      <c r="C18" s="2">
        <v>15</v>
      </c>
      <c r="D18" s="3" t="s">
        <v>217</v>
      </c>
      <c r="E18" s="40">
        <v>1</v>
      </c>
      <c r="F18" s="3" t="s">
        <v>24</v>
      </c>
      <c r="G18" s="11">
        <f>26500+21500+60000+60000+25000+525000</f>
        <v>718000</v>
      </c>
      <c r="H18" s="11">
        <f>26500+21500+60000+60000+25000+450000</f>
        <v>643000</v>
      </c>
      <c r="I18" s="13">
        <f t="shared" si="0"/>
        <v>75000</v>
      </c>
      <c r="J18" s="13"/>
      <c r="K18" s="1" t="s">
        <v>165</v>
      </c>
    </row>
    <row r="19" spans="2:11" ht="45" x14ac:dyDescent="0.25">
      <c r="B19" s="47"/>
      <c r="C19" s="2">
        <v>16</v>
      </c>
      <c r="D19" s="3" t="s">
        <v>27</v>
      </c>
      <c r="E19" s="40">
        <v>1</v>
      </c>
      <c r="F19" s="3" t="s">
        <v>28</v>
      </c>
      <c r="G19" s="11">
        <f>91000+21500</f>
        <v>112500</v>
      </c>
      <c r="H19" s="11">
        <f>95000+21500</f>
        <v>116500</v>
      </c>
      <c r="I19" s="13">
        <f t="shared" si="0"/>
        <v>-4000</v>
      </c>
      <c r="J19" s="13"/>
      <c r="K19" s="1" t="s">
        <v>166</v>
      </c>
    </row>
    <row r="20" spans="2:11" ht="45" x14ac:dyDescent="0.25">
      <c r="B20" s="47"/>
      <c r="C20" s="6">
        <v>17</v>
      </c>
      <c r="D20" s="3" t="s">
        <v>29</v>
      </c>
      <c r="E20" s="40">
        <v>1</v>
      </c>
      <c r="F20" s="3" t="s">
        <v>30</v>
      </c>
      <c r="G20" s="11">
        <f>38500+35000+475000</f>
        <v>548500</v>
      </c>
      <c r="H20" s="11">
        <v>650000</v>
      </c>
      <c r="I20" s="13">
        <f t="shared" si="0"/>
        <v>-101500</v>
      </c>
      <c r="J20" s="13"/>
      <c r="K20" s="1" t="s">
        <v>228</v>
      </c>
    </row>
    <row r="21" spans="2:11" ht="60" x14ac:dyDescent="0.25">
      <c r="C21" s="2">
        <v>18</v>
      </c>
      <c r="D21" s="3" t="s">
        <v>31</v>
      </c>
      <c r="E21" s="40">
        <v>1</v>
      </c>
      <c r="F21" s="3" t="s">
        <v>32</v>
      </c>
      <c r="G21" s="11">
        <f>165000+245000+110000+650000+65000+8000+17000+326000</f>
        <v>1586000</v>
      </c>
      <c r="H21" s="11">
        <v>1800000</v>
      </c>
      <c r="I21" s="13">
        <f t="shared" si="0"/>
        <v>-214000</v>
      </c>
      <c r="J21" s="13"/>
      <c r="K21" s="26" t="s">
        <v>223</v>
      </c>
    </row>
    <row r="22" spans="2:11" ht="30" x14ac:dyDescent="0.25">
      <c r="C22" s="2">
        <v>19</v>
      </c>
      <c r="D22" s="3" t="s">
        <v>33</v>
      </c>
      <c r="E22" s="40">
        <v>1</v>
      </c>
      <c r="F22" s="3" t="s">
        <v>34</v>
      </c>
      <c r="G22" s="11">
        <f>95000+27000</f>
        <v>122000</v>
      </c>
      <c r="H22" s="11">
        <f>85000+27000</f>
        <v>112000</v>
      </c>
      <c r="I22" s="13">
        <f t="shared" si="0"/>
        <v>10000</v>
      </c>
      <c r="J22" s="13"/>
      <c r="K22" s="1" t="s">
        <v>165</v>
      </c>
    </row>
    <row r="23" spans="2:11" x14ac:dyDescent="0.25">
      <c r="B23" s="45" t="s">
        <v>145</v>
      </c>
      <c r="C23" s="2">
        <v>20</v>
      </c>
      <c r="D23" s="24" t="s">
        <v>35</v>
      </c>
      <c r="E23" s="40" t="s">
        <v>42</v>
      </c>
      <c r="F23" s="3" t="s">
        <v>36</v>
      </c>
      <c r="G23" s="11">
        <v>780000</v>
      </c>
      <c r="H23" s="11">
        <f>400*1800</f>
        <v>720000</v>
      </c>
      <c r="I23" s="13">
        <f t="shared" si="0"/>
        <v>60000</v>
      </c>
      <c r="J23" s="13"/>
      <c r="K23" s="1" t="s">
        <v>168</v>
      </c>
    </row>
    <row r="24" spans="2:11" x14ac:dyDescent="0.25">
      <c r="B24" s="45"/>
      <c r="C24" s="6">
        <v>21</v>
      </c>
      <c r="D24" s="24" t="s">
        <v>35</v>
      </c>
      <c r="E24" s="40" t="s">
        <v>39</v>
      </c>
      <c r="F24" s="3" t="s">
        <v>37</v>
      </c>
      <c r="G24" s="11">
        <v>300000</v>
      </c>
      <c r="H24" s="11">
        <f>1210*250</f>
        <v>302500</v>
      </c>
      <c r="I24" s="13">
        <f t="shared" si="0"/>
        <v>-2500</v>
      </c>
      <c r="J24" s="13"/>
      <c r="K24" s="1" t="s">
        <v>169</v>
      </c>
    </row>
    <row r="25" spans="2:11" x14ac:dyDescent="0.25">
      <c r="B25" s="46" t="s">
        <v>146</v>
      </c>
      <c r="C25" s="2">
        <v>22</v>
      </c>
      <c r="D25" s="24" t="s">
        <v>35</v>
      </c>
      <c r="E25" s="40" t="s">
        <v>40</v>
      </c>
      <c r="F25" s="3" t="s">
        <v>37</v>
      </c>
      <c r="G25" s="11">
        <v>96000</v>
      </c>
      <c r="H25" s="11">
        <f>1210*80</f>
        <v>96800</v>
      </c>
      <c r="I25" s="13">
        <f t="shared" si="0"/>
        <v>-800</v>
      </c>
      <c r="J25" s="13"/>
      <c r="K25" s="1" t="s">
        <v>169</v>
      </c>
    </row>
    <row r="26" spans="2:11" x14ac:dyDescent="0.25">
      <c r="B26" s="47"/>
      <c r="C26" s="2">
        <v>23</v>
      </c>
      <c r="D26" s="24" t="s">
        <v>35</v>
      </c>
      <c r="E26" s="40" t="s">
        <v>41</v>
      </c>
      <c r="F26" s="3" t="s">
        <v>38</v>
      </c>
      <c r="G26" s="11">
        <v>708000</v>
      </c>
      <c r="H26" s="11">
        <f>590*1210</f>
        <v>713900</v>
      </c>
      <c r="I26" s="13">
        <f t="shared" si="0"/>
        <v>-5900</v>
      </c>
      <c r="J26" s="13"/>
      <c r="K26" s="1" t="s">
        <v>169</v>
      </c>
    </row>
    <row r="27" spans="2:11" ht="30" x14ac:dyDescent="0.25">
      <c r="B27" s="47"/>
      <c r="C27" s="2">
        <v>24</v>
      </c>
      <c r="D27" s="3" t="s">
        <v>44</v>
      </c>
      <c r="E27" s="40">
        <v>6</v>
      </c>
      <c r="F27" s="3" t="s">
        <v>43</v>
      </c>
      <c r="G27" s="11">
        <v>28800</v>
      </c>
      <c r="H27" s="11">
        <f>10.7639*6*250</f>
        <v>16145.849999999999</v>
      </c>
      <c r="I27" s="13">
        <f t="shared" si="0"/>
        <v>12654.150000000001</v>
      </c>
      <c r="J27" s="13"/>
      <c r="K27" s="1" t="s">
        <v>170</v>
      </c>
    </row>
    <row r="28" spans="2:11" x14ac:dyDescent="0.25">
      <c r="B28" s="47"/>
      <c r="C28" s="6">
        <v>25</v>
      </c>
      <c r="D28" s="3" t="s">
        <v>45</v>
      </c>
      <c r="E28" s="40" t="s">
        <v>46</v>
      </c>
      <c r="F28" s="3" t="s">
        <v>36</v>
      </c>
      <c r="G28" s="11">
        <v>667000</v>
      </c>
      <c r="H28" s="11">
        <f>1950*230</f>
        <v>448500</v>
      </c>
      <c r="I28" s="13">
        <f t="shared" si="0"/>
        <v>218500</v>
      </c>
      <c r="J28" s="13"/>
      <c r="K28" s="1" t="s">
        <v>171</v>
      </c>
    </row>
    <row r="29" spans="2:11" ht="60" x14ac:dyDescent="0.25">
      <c r="B29" s="15"/>
      <c r="C29" s="2">
        <v>26</v>
      </c>
      <c r="D29" s="25" t="s">
        <v>49</v>
      </c>
      <c r="E29" s="19">
        <v>10</v>
      </c>
      <c r="F29" s="20" t="s">
        <v>47</v>
      </c>
      <c r="G29" s="21">
        <f>59850+9159*10</f>
        <v>151440</v>
      </c>
      <c r="H29" s="21">
        <f>6000*0.75*2.1*E29+9159*10</f>
        <v>186090</v>
      </c>
      <c r="I29" s="13">
        <f t="shared" si="0"/>
        <v>-34650</v>
      </c>
      <c r="J29" s="18"/>
      <c r="K29" s="16" t="s">
        <v>214</v>
      </c>
    </row>
    <row r="30" spans="2:11" ht="60" x14ac:dyDescent="0.25">
      <c r="B30" s="15"/>
      <c r="C30" s="2">
        <v>27</v>
      </c>
      <c r="D30" s="25" t="s">
        <v>49</v>
      </c>
      <c r="E30" s="19">
        <v>50</v>
      </c>
      <c r="F30" s="20" t="s">
        <v>48</v>
      </c>
      <c r="G30" s="21">
        <f>399000+9159*50</f>
        <v>856950</v>
      </c>
      <c r="H30" s="21">
        <f>0.9*E30*6000*2.1+9159*50</f>
        <v>1024950</v>
      </c>
      <c r="I30" s="13">
        <f t="shared" si="0"/>
        <v>-168000</v>
      </c>
      <c r="J30" s="18"/>
      <c r="K30" s="16" t="s">
        <v>214</v>
      </c>
    </row>
    <row r="31" spans="2:11" ht="60" x14ac:dyDescent="0.25">
      <c r="B31" s="15"/>
      <c r="C31" s="2">
        <v>28</v>
      </c>
      <c r="D31" s="25" t="s">
        <v>49</v>
      </c>
      <c r="E31" s="19">
        <v>20</v>
      </c>
      <c r="F31" s="20" t="s">
        <v>50</v>
      </c>
      <c r="G31" s="21">
        <f>159600+20*9159</f>
        <v>342780</v>
      </c>
      <c r="H31" s="21">
        <f>1*2.1*E31*6000</f>
        <v>252000</v>
      </c>
      <c r="I31" s="13">
        <f t="shared" si="0"/>
        <v>90780</v>
      </c>
      <c r="J31" s="18"/>
      <c r="K31" s="16" t="s">
        <v>214</v>
      </c>
    </row>
    <row r="32" spans="2:11" ht="60" x14ac:dyDescent="0.25">
      <c r="B32" s="15"/>
      <c r="C32" s="6">
        <v>29</v>
      </c>
      <c r="D32" s="25" t="s">
        <v>49</v>
      </c>
      <c r="E32" s="19">
        <v>5</v>
      </c>
      <c r="F32" s="20" t="s">
        <v>51</v>
      </c>
      <c r="G32" s="21">
        <f>47880+14773*5</f>
        <v>121745</v>
      </c>
      <c r="H32" s="21">
        <f>E32*6000*2.1*1.2+14773*5</f>
        <v>149465</v>
      </c>
      <c r="I32" s="13">
        <f t="shared" si="0"/>
        <v>-27720</v>
      </c>
      <c r="J32" s="18"/>
      <c r="K32" s="16" t="s">
        <v>214</v>
      </c>
    </row>
    <row r="33" spans="2:11" ht="60" x14ac:dyDescent="0.25">
      <c r="B33" s="15"/>
      <c r="C33" s="2">
        <v>30</v>
      </c>
      <c r="D33" s="25" t="s">
        <v>49</v>
      </c>
      <c r="E33" s="19">
        <v>5</v>
      </c>
      <c r="F33" s="20" t="s">
        <v>52</v>
      </c>
      <c r="G33" s="21">
        <f>47880+14773*5</f>
        <v>121745</v>
      </c>
      <c r="H33" s="21">
        <f>E33*6000*2.1*1.5+14773*5</f>
        <v>168365</v>
      </c>
      <c r="I33" s="13">
        <f t="shared" si="0"/>
        <v>-46620</v>
      </c>
      <c r="J33" s="18"/>
      <c r="K33" s="16" t="s">
        <v>214</v>
      </c>
    </row>
    <row r="34" spans="2:11" x14ac:dyDescent="0.25">
      <c r="C34" s="2">
        <v>31</v>
      </c>
      <c r="D34" s="3" t="s">
        <v>53</v>
      </c>
      <c r="E34" s="40" t="s">
        <v>54</v>
      </c>
      <c r="F34" s="3"/>
      <c r="G34" s="11">
        <v>192000</v>
      </c>
      <c r="H34" s="11">
        <f>180*960</f>
        <v>172800</v>
      </c>
      <c r="I34" s="13">
        <f t="shared" si="0"/>
        <v>19200</v>
      </c>
      <c r="J34" s="13"/>
      <c r="K34" s="1" t="s">
        <v>172</v>
      </c>
    </row>
    <row r="35" spans="2:11" ht="30" x14ac:dyDescent="0.25">
      <c r="C35" s="2">
        <v>32</v>
      </c>
      <c r="D35" s="3" t="s">
        <v>55</v>
      </c>
      <c r="E35" s="40" t="s">
        <v>56</v>
      </c>
      <c r="F35" s="3"/>
      <c r="G35" s="11">
        <v>47850</v>
      </c>
      <c r="H35" s="11">
        <f>33*1500</f>
        <v>49500</v>
      </c>
      <c r="I35" s="13">
        <f t="shared" si="0"/>
        <v>-1650</v>
      </c>
      <c r="J35" s="13"/>
      <c r="K35" s="1" t="s">
        <v>173</v>
      </c>
    </row>
    <row r="36" spans="2:11" x14ac:dyDescent="0.25">
      <c r="C36" s="6">
        <v>33</v>
      </c>
      <c r="D36" s="3" t="s">
        <v>57</v>
      </c>
      <c r="E36" s="40" t="s">
        <v>76</v>
      </c>
      <c r="F36" s="3"/>
      <c r="G36" s="11">
        <v>14400</v>
      </c>
      <c r="H36" s="11">
        <f>120*3*56.5</f>
        <v>20340</v>
      </c>
      <c r="I36" s="13">
        <f t="shared" ref="I36:I67" si="1">G36-H36</f>
        <v>-5940</v>
      </c>
      <c r="J36" s="13"/>
      <c r="K36" s="1" t="s">
        <v>174</v>
      </c>
    </row>
    <row r="37" spans="2:11" x14ac:dyDescent="0.25">
      <c r="B37" s="45" t="s">
        <v>94</v>
      </c>
      <c r="C37" s="2">
        <v>34</v>
      </c>
      <c r="D37" s="3" t="s">
        <v>89</v>
      </c>
      <c r="E37" s="40">
        <v>6</v>
      </c>
      <c r="F37" s="3" t="s">
        <v>81</v>
      </c>
      <c r="G37" s="11">
        <v>570000</v>
      </c>
      <c r="H37" s="11">
        <f>95000*6</f>
        <v>570000</v>
      </c>
      <c r="I37" s="13">
        <f t="shared" si="1"/>
        <v>0</v>
      </c>
      <c r="J37" s="13"/>
      <c r="K37" s="1" t="s">
        <v>175</v>
      </c>
    </row>
    <row r="38" spans="2:11" x14ac:dyDescent="0.25">
      <c r="B38" s="45"/>
      <c r="C38" s="2">
        <v>35</v>
      </c>
      <c r="D38" s="3" t="s">
        <v>90</v>
      </c>
      <c r="E38" s="40">
        <v>3</v>
      </c>
      <c r="F38" s="3" t="s">
        <v>80</v>
      </c>
      <c r="G38" s="11">
        <v>345000</v>
      </c>
      <c r="H38" s="11">
        <f>125000*3</f>
        <v>375000</v>
      </c>
      <c r="I38" s="13">
        <f t="shared" si="1"/>
        <v>-30000</v>
      </c>
      <c r="J38" s="18"/>
      <c r="K38" s="1" t="s">
        <v>246</v>
      </c>
    </row>
    <row r="39" spans="2:11" x14ac:dyDescent="0.25">
      <c r="B39" s="46" t="s">
        <v>146</v>
      </c>
      <c r="C39" s="2">
        <v>36</v>
      </c>
      <c r="D39" s="3" t="s">
        <v>91</v>
      </c>
      <c r="E39" s="40">
        <v>2</v>
      </c>
      <c r="F39" s="3" t="s">
        <v>79</v>
      </c>
      <c r="G39" s="11">
        <v>310000</v>
      </c>
      <c r="H39" s="11">
        <f>120000*2</f>
        <v>240000</v>
      </c>
      <c r="I39" s="13">
        <f t="shared" si="1"/>
        <v>70000</v>
      </c>
      <c r="J39" s="13"/>
      <c r="K39" s="1" t="s">
        <v>178</v>
      </c>
    </row>
    <row r="40" spans="2:11" x14ac:dyDescent="0.25">
      <c r="B40" s="47"/>
      <c r="C40" s="6">
        <v>37</v>
      </c>
      <c r="D40" s="3" t="s">
        <v>92</v>
      </c>
      <c r="E40" s="40">
        <v>1</v>
      </c>
      <c r="F40" s="3" t="s">
        <v>78</v>
      </c>
      <c r="G40" s="11">
        <v>175000</v>
      </c>
      <c r="H40" s="11">
        <v>100000</v>
      </c>
      <c r="I40" s="13">
        <f t="shared" si="1"/>
        <v>75000</v>
      </c>
      <c r="J40" s="13"/>
      <c r="K40" s="1" t="s">
        <v>176</v>
      </c>
    </row>
    <row r="41" spans="2:11" x14ac:dyDescent="0.25">
      <c r="B41" s="47"/>
      <c r="C41" s="2">
        <v>38</v>
      </c>
      <c r="D41" s="3" t="s">
        <v>93</v>
      </c>
      <c r="E41" s="40">
        <v>1</v>
      </c>
      <c r="F41" s="3" t="s">
        <v>77</v>
      </c>
      <c r="G41" s="11">
        <v>105000</v>
      </c>
      <c r="H41" s="11">
        <v>105000</v>
      </c>
      <c r="I41" s="13">
        <f t="shared" si="1"/>
        <v>0</v>
      </c>
      <c r="J41" s="13"/>
      <c r="K41" s="1" t="s">
        <v>179</v>
      </c>
    </row>
    <row r="42" spans="2:11" ht="45" x14ac:dyDescent="0.25">
      <c r="B42" s="47"/>
      <c r="C42" s="2">
        <v>39</v>
      </c>
      <c r="D42" s="24" t="s">
        <v>218</v>
      </c>
      <c r="E42" s="40">
        <v>7</v>
      </c>
      <c r="F42" s="3" t="s">
        <v>219</v>
      </c>
      <c r="G42" s="11">
        <v>280000</v>
      </c>
      <c r="H42" s="11">
        <f>42000*7</f>
        <v>294000</v>
      </c>
      <c r="I42" s="13">
        <f t="shared" si="1"/>
        <v>-14000</v>
      </c>
      <c r="J42" s="13"/>
      <c r="K42" s="1" t="s">
        <v>181</v>
      </c>
    </row>
    <row r="43" spans="2:11" ht="45" x14ac:dyDescent="0.25">
      <c r="B43" s="47"/>
      <c r="C43" s="2">
        <v>40</v>
      </c>
      <c r="D43" s="24" t="s">
        <v>218</v>
      </c>
      <c r="E43" s="40">
        <v>4</v>
      </c>
      <c r="F43" s="3" t="s">
        <v>220</v>
      </c>
      <c r="G43" s="11">
        <v>272000</v>
      </c>
      <c r="H43" s="11">
        <f>75000*4</f>
        <v>300000</v>
      </c>
      <c r="I43" s="13">
        <f t="shared" si="1"/>
        <v>-28000</v>
      </c>
      <c r="J43" s="13"/>
      <c r="K43" s="1" t="s">
        <v>182</v>
      </c>
    </row>
    <row r="44" spans="2:11" ht="45" x14ac:dyDescent="0.25">
      <c r="C44" s="6">
        <v>41</v>
      </c>
      <c r="D44" s="24" t="s">
        <v>218</v>
      </c>
      <c r="E44" s="40">
        <v>2</v>
      </c>
      <c r="F44" s="3" t="s">
        <v>221</v>
      </c>
      <c r="G44" s="11">
        <v>212000</v>
      </c>
      <c r="H44" s="11">
        <f>112000*2</f>
        <v>224000</v>
      </c>
      <c r="I44" s="13">
        <f t="shared" si="1"/>
        <v>-12000</v>
      </c>
      <c r="J44" s="13"/>
      <c r="K44" s="1" t="s">
        <v>183</v>
      </c>
    </row>
    <row r="45" spans="2:11" ht="30" x14ac:dyDescent="0.25">
      <c r="B45" s="15"/>
      <c r="C45" s="2">
        <v>42</v>
      </c>
      <c r="D45" s="25" t="s">
        <v>58</v>
      </c>
      <c r="E45" s="19" t="s">
        <v>61</v>
      </c>
      <c r="F45" s="20" t="s">
        <v>59</v>
      </c>
      <c r="G45" s="21">
        <v>1920000</v>
      </c>
      <c r="H45" s="21">
        <v>1920000</v>
      </c>
      <c r="I45" s="13">
        <f t="shared" si="1"/>
        <v>0</v>
      </c>
      <c r="J45" s="18"/>
      <c r="K45" s="16" t="s">
        <v>222</v>
      </c>
    </row>
    <row r="46" spans="2:11" ht="30" x14ac:dyDescent="0.25">
      <c r="B46" s="15"/>
      <c r="C46" s="2">
        <v>43</v>
      </c>
      <c r="D46" s="25" t="s">
        <v>58</v>
      </c>
      <c r="E46" s="19" t="s">
        <v>62</v>
      </c>
      <c r="F46" s="20" t="s">
        <v>60</v>
      </c>
      <c r="G46" s="21">
        <v>270000</v>
      </c>
      <c r="H46" s="21">
        <v>270000</v>
      </c>
      <c r="I46" s="13">
        <f t="shared" si="1"/>
        <v>0</v>
      </c>
      <c r="J46" s="18" t="s">
        <v>245</v>
      </c>
      <c r="K46" s="16" t="s">
        <v>209</v>
      </c>
    </row>
    <row r="47" spans="2:11" ht="30" x14ac:dyDescent="0.25">
      <c r="B47" s="15"/>
      <c r="C47" s="2">
        <v>44</v>
      </c>
      <c r="D47" s="25" t="s">
        <v>68</v>
      </c>
      <c r="E47" s="19" t="s">
        <v>65</v>
      </c>
      <c r="F47" s="16" t="s">
        <v>63</v>
      </c>
      <c r="G47" s="17">
        <v>540000</v>
      </c>
      <c r="H47" s="17">
        <f>205*836</f>
        <v>171380</v>
      </c>
      <c r="I47" s="13">
        <f t="shared" si="1"/>
        <v>368620</v>
      </c>
      <c r="J47" s="18"/>
      <c r="K47" s="16" t="s">
        <v>206</v>
      </c>
    </row>
    <row r="48" spans="2:11" ht="30" x14ac:dyDescent="0.25">
      <c r="B48" s="15"/>
      <c r="C48" s="6">
        <v>45</v>
      </c>
      <c r="D48" s="25" t="s">
        <v>68</v>
      </c>
      <c r="E48" s="19" t="s">
        <v>65</v>
      </c>
      <c r="F48" s="16" t="s">
        <v>64</v>
      </c>
      <c r="G48" s="17">
        <v>495000</v>
      </c>
      <c r="H48" s="17">
        <f>20.81*9000</f>
        <v>187290</v>
      </c>
      <c r="I48" s="13">
        <f t="shared" si="1"/>
        <v>307710</v>
      </c>
      <c r="J48" s="18"/>
      <c r="K48" s="16" t="s">
        <v>229</v>
      </c>
    </row>
    <row r="49" spans="2:11" ht="30" x14ac:dyDescent="0.25">
      <c r="C49" s="2">
        <v>46</v>
      </c>
      <c r="D49" s="24" t="s">
        <v>88</v>
      </c>
      <c r="E49" s="2">
        <v>50</v>
      </c>
      <c r="F49" s="1" t="s">
        <v>66</v>
      </c>
      <c r="G49" s="12">
        <v>260000</v>
      </c>
      <c r="H49" s="12">
        <f>4500*50</f>
        <v>225000</v>
      </c>
      <c r="I49" s="13">
        <f t="shared" si="1"/>
        <v>35000</v>
      </c>
      <c r="J49" s="13"/>
      <c r="K49" s="1" t="s">
        <v>184</v>
      </c>
    </row>
    <row r="50" spans="2:11" ht="30" x14ac:dyDescent="0.25">
      <c r="C50" s="2">
        <v>47</v>
      </c>
      <c r="D50" s="24" t="s">
        <v>88</v>
      </c>
      <c r="E50" s="2">
        <v>16</v>
      </c>
      <c r="F50" s="1" t="s">
        <v>67</v>
      </c>
      <c r="G50" s="12">
        <v>57600</v>
      </c>
      <c r="H50" s="12">
        <f>3300*16</f>
        <v>52800</v>
      </c>
      <c r="I50" s="13">
        <f t="shared" si="1"/>
        <v>4800</v>
      </c>
      <c r="J50" s="13"/>
      <c r="K50" s="1" t="s">
        <v>185</v>
      </c>
    </row>
    <row r="51" spans="2:11" x14ac:dyDescent="0.25">
      <c r="C51" s="2">
        <v>48</v>
      </c>
      <c r="D51" s="24" t="s">
        <v>87</v>
      </c>
      <c r="E51" s="2">
        <v>50</v>
      </c>
      <c r="F51" s="1" t="s">
        <v>66</v>
      </c>
      <c r="G51" s="12">
        <v>240000</v>
      </c>
      <c r="H51" s="12">
        <f>4500*50</f>
        <v>225000</v>
      </c>
      <c r="I51" s="13">
        <f t="shared" si="1"/>
        <v>15000</v>
      </c>
      <c r="J51" s="13"/>
      <c r="K51" s="1" t="s">
        <v>184</v>
      </c>
    </row>
    <row r="52" spans="2:11" x14ac:dyDescent="0.25">
      <c r="C52" s="6">
        <v>49</v>
      </c>
      <c r="D52" s="24" t="s">
        <v>87</v>
      </c>
      <c r="E52" s="2">
        <v>16</v>
      </c>
      <c r="F52" s="1" t="s">
        <v>67</v>
      </c>
      <c r="G52" s="12">
        <v>51200</v>
      </c>
      <c r="H52" s="12">
        <f>3300*16</f>
        <v>52800</v>
      </c>
      <c r="I52" s="13">
        <f t="shared" si="1"/>
        <v>-1600</v>
      </c>
      <c r="J52" s="13"/>
      <c r="K52" s="1" t="s">
        <v>185</v>
      </c>
    </row>
    <row r="53" spans="2:11" ht="30" x14ac:dyDescent="0.25">
      <c r="C53" s="2">
        <v>50</v>
      </c>
      <c r="D53" s="24" t="s">
        <v>86</v>
      </c>
      <c r="E53" s="2">
        <v>50</v>
      </c>
      <c r="F53" s="1" t="s">
        <v>69</v>
      </c>
      <c r="G53" s="12">
        <v>210000</v>
      </c>
      <c r="H53" s="12">
        <f>2.33*2.33*400*50</f>
        <v>108578.00000000001</v>
      </c>
      <c r="I53" s="13">
        <f t="shared" si="1"/>
        <v>101421.99999999999</v>
      </c>
      <c r="J53" s="13"/>
      <c r="K53" s="1" t="s">
        <v>186</v>
      </c>
    </row>
    <row r="54" spans="2:11" ht="30" x14ac:dyDescent="0.25">
      <c r="C54" s="2">
        <v>51</v>
      </c>
      <c r="D54" s="24" t="s">
        <v>86</v>
      </c>
      <c r="E54" s="2">
        <v>16</v>
      </c>
      <c r="F54" s="1" t="s">
        <v>70</v>
      </c>
      <c r="G54" s="12">
        <v>54400</v>
      </c>
      <c r="H54" s="12">
        <f>1.33*1.33*400*16</f>
        <v>11320.960000000001</v>
      </c>
      <c r="I54" s="13">
        <f t="shared" si="1"/>
        <v>43079.040000000001</v>
      </c>
      <c r="J54" s="13"/>
      <c r="K54" s="1" t="s">
        <v>187</v>
      </c>
    </row>
    <row r="55" spans="2:11" ht="30" x14ac:dyDescent="0.25">
      <c r="C55" s="2">
        <v>52</v>
      </c>
      <c r="D55" s="24" t="s">
        <v>86</v>
      </c>
      <c r="E55" s="2">
        <v>50</v>
      </c>
      <c r="F55" s="1" t="s">
        <v>71</v>
      </c>
      <c r="G55" s="12">
        <v>280000</v>
      </c>
      <c r="H55" s="12">
        <f>E55*4000</f>
        <v>200000</v>
      </c>
      <c r="I55" s="13">
        <f t="shared" si="1"/>
        <v>80000</v>
      </c>
      <c r="J55" s="13"/>
      <c r="K55" s="1" t="s">
        <v>244</v>
      </c>
    </row>
    <row r="56" spans="2:11" ht="30" x14ac:dyDescent="0.25">
      <c r="C56" s="6">
        <v>53</v>
      </c>
      <c r="D56" s="24" t="s">
        <v>86</v>
      </c>
      <c r="E56" s="2">
        <v>16</v>
      </c>
      <c r="F56" s="1" t="s">
        <v>72</v>
      </c>
      <c r="G56" s="12">
        <v>76800</v>
      </c>
      <c r="H56" s="12">
        <f>1*350*16</f>
        <v>5600</v>
      </c>
      <c r="I56" s="13">
        <f t="shared" si="1"/>
        <v>71200</v>
      </c>
      <c r="J56" s="13"/>
      <c r="K56" s="1" t="s">
        <v>212</v>
      </c>
    </row>
    <row r="57" spans="2:11" ht="30" x14ac:dyDescent="0.25">
      <c r="B57" s="15"/>
      <c r="C57" s="2">
        <v>54</v>
      </c>
      <c r="D57" s="25" t="s">
        <v>73</v>
      </c>
      <c r="E57" s="16">
        <v>10</v>
      </c>
      <c r="F57" s="16" t="s">
        <v>188</v>
      </c>
      <c r="G57" s="17">
        <v>750000</v>
      </c>
      <c r="H57" s="17">
        <v>750000</v>
      </c>
      <c r="I57" s="13">
        <f t="shared" si="1"/>
        <v>0</v>
      </c>
      <c r="J57" s="18" t="s">
        <v>245</v>
      </c>
      <c r="K57" s="16" t="s">
        <v>211</v>
      </c>
    </row>
    <row r="58" spans="2:11" ht="30" x14ac:dyDescent="0.25">
      <c r="B58" s="15"/>
      <c r="C58" s="2">
        <v>55</v>
      </c>
      <c r="D58" s="25" t="s">
        <v>73</v>
      </c>
      <c r="E58" s="16">
        <v>1</v>
      </c>
      <c r="F58" s="16" t="s">
        <v>75</v>
      </c>
      <c r="G58" s="17">
        <v>120000</v>
      </c>
      <c r="H58" s="17">
        <v>55000</v>
      </c>
      <c r="I58" s="13">
        <f t="shared" si="1"/>
        <v>65000</v>
      </c>
      <c r="J58" s="18"/>
      <c r="K58" s="16" t="s">
        <v>211</v>
      </c>
    </row>
    <row r="59" spans="2:11" ht="30" x14ac:dyDescent="0.25">
      <c r="B59" s="15"/>
      <c r="C59" s="2">
        <v>56</v>
      </c>
      <c r="D59" s="25" t="s">
        <v>73</v>
      </c>
      <c r="E59" s="16">
        <v>1</v>
      </c>
      <c r="F59" s="16" t="s">
        <v>74</v>
      </c>
      <c r="G59" s="17">
        <v>230000</v>
      </c>
      <c r="H59" s="17">
        <v>230000</v>
      </c>
      <c r="I59" s="13">
        <f t="shared" si="1"/>
        <v>0</v>
      </c>
      <c r="J59" s="18" t="s">
        <v>245</v>
      </c>
      <c r="K59" s="16" t="s">
        <v>211</v>
      </c>
    </row>
    <row r="60" spans="2:11" ht="45" x14ac:dyDescent="0.25">
      <c r="B60" s="15"/>
      <c r="C60" s="6">
        <v>57</v>
      </c>
      <c r="D60" s="20" t="s">
        <v>82</v>
      </c>
      <c r="E60" s="16">
        <v>14</v>
      </c>
      <c r="F60" s="20" t="s">
        <v>83</v>
      </c>
      <c r="G60" s="21">
        <v>630000</v>
      </c>
      <c r="H60" s="21">
        <f>(12475+12500)*E60</f>
        <v>349650</v>
      </c>
      <c r="I60" s="13">
        <f t="shared" si="1"/>
        <v>280350</v>
      </c>
      <c r="J60" s="18"/>
      <c r="K60" s="20" t="s">
        <v>230</v>
      </c>
    </row>
    <row r="61" spans="2:11" x14ac:dyDescent="0.25">
      <c r="B61" s="15"/>
      <c r="C61" s="2">
        <v>58</v>
      </c>
      <c r="D61" s="16" t="s">
        <v>84</v>
      </c>
      <c r="E61" s="42">
        <v>127</v>
      </c>
      <c r="F61" s="16" t="s">
        <v>85</v>
      </c>
      <c r="G61" s="17">
        <v>482600</v>
      </c>
      <c r="H61" s="17">
        <f>4500*E61</f>
        <v>571500</v>
      </c>
      <c r="I61" s="13">
        <f t="shared" si="1"/>
        <v>-88900</v>
      </c>
      <c r="J61" s="18"/>
      <c r="K61" s="16" t="s">
        <v>242</v>
      </c>
    </row>
    <row r="62" spans="2:11" x14ac:dyDescent="0.25">
      <c r="B62" s="49" t="s">
        <v>260</v>
      </c>
      <c r="C62" s="2">
        <v>59</v>
      </c>
      <c r="D62" s="4" t="s">
        <v>98</v>
      </c>
      <c r="E62" s="1">
        <v>1</v>
      </c>
      <c r="F62" s="1" t="s">
        <v>97</v>
      </c>
      <c r="G62" s="12">
        <v>127119</v>
      </c>
      <c r="H62" s="12">
        <v>65000</v>
      </c>
      <c r="I62" s="13">
        <f t="shared" si="1"/>
        <v>62119</v>
      </c>
      <c r="J62" s="13"/>
      <c r="K62" s="1" t="s">
        <v>191</v>
      </c>
    </row>
    <row r="63" spans="2:11" x14ac:dyDescent="0.25">
      <c r="B63" s="49"/>
      <c r="C63" s="2">
        <v>60</v>
      </c>
      <c r="D63" s="4" t="s">
        <v>100</v>
      </c>
      <c r="E63" s="1">
        <v>1</v>
      </c>
      <c r="F63" s="1" t="s">
        <v>99</v>
      </c>
      <c r="G63" s="12">
        <v>190678</v>
      </c>
      <c r="H63" s="12">
        <v>100000</v>
      </c>
      <c r="I63" s="13">
        <f t="shared" si="1"/>
        <v>90678</v>
      </c>
      <c r="J63" s="13"/>
      <c r="K63" s="1" t="s">
        <v>192</v>
      </c>
    </row>
    <row r="64" spans="2:11" ht="45" x14ac:dyDescent="0.25">
      <c r="B64" s="28" t="s">
        <v>101</v>
      </c>
      <c r="C64" s="6">
        <v>61</v>
      </c>
      <c r="D64" s="24" t="s">
        <v>104</v>
      </c>
      <c r="E64" s="1">
        <v>1</v>
      </c>
      <c r="F64" s="1" t="s">
        <v>103</v>
      </c>
      <c r="G64" s="12">
        <v>78500</v>
      </c>
      <c r="H64" s="12">
        <v>70000</v>
      </c>
      <c r="I64" s="13">
        <f t="shared" si="1"/>
        <v>8500</v>
      </c>
      <c r="J64" s="13"/>
      <c r="K64" s="1" t="s">
        <v>193</v>
      </c>
    </row>
    <row r="65" spans="2:11" ht="45" x14ac:dyDescent="0.25">
      <c r="B65" s="46" t="s">
        <v>146</v>
      </c>
      <c r="C65" s="2">
        <v>62</v>
      </c>
      <c r="D65" s="24" t="s">
        <v>104</v>
      </c>
      <c r="E65" s="1">
        <v>1</v>
      </c>
      <c r="F65" s="1" t="s">
        <v>102</v>
      </c>
      <c r="G65" s="12">
        <v>129500</v>
      </c>
      <c r="H65" s="12">
        <v>135000</v>
      </c>
      <c r="I65" s="13">
        <f t="shared" si="1"/>
        <v>-5500</v>
      </c>
      <c r="J65" s="13"/>
      <c r="K65" s="1" t="s">
        <v>205</v>
      </c>
    </row>
    <row r="66" spans="2:11" x14ac:dyDescent="0.25">
      <c r="B66" s="47"/>
      <c r="C66" s="2">
        <v>63</v>
      </c>
      <c r="D66" s="1" t="s">
        <v>105</v>
      </c>
      <c r="E66" s="1">
        <v>1</v>
      </c>
      <c r="F66" s="1" t="s">
        <v>106</v>
      </c>
      <c r="G66" s="12">
        <v>247500</v>
      </c>
      <c r="H66" s="12">
        <v>250000</v>
      </c>
      <c r="I66" s="13">
        <f t="shared" si="1"/>
        <v>-2500</v>
      </c>
      <c r="J66" s="13"/>
      <c r="K66" s="1" t="s">
        <v>237</v>
      </c>
    </row>
    <row r="67" spans="2:11" x14ac:dyDescent="0.25">
      <c r="B67" s="47"/>
      <c r="C67" s="2">
        <v>64</v>
      </c>
      <c r="D67" s="1" t="s">
        <v>107</v>
      </c>
      <c r="E67" s="1">
        <v>1</v>
      </c>
      <c r="F67" s="1" t="s">
        <v>108</v>
      </c>
      <c r="G67" s="12">
        <v>57500</v>
      </c>
      <c r="H67" s="12">
        <v>80000</v>
      </c>
      <c r="I67" s="13">
        <f t="shared" si="1"/>
        <v>-22500</v>
      </c>
      <c r="J67" s="13"/>
      <c r="K67" s="1" t="s">
        <v>236</v>
      </c>
    </row>
    <row r="68" spans="2:11" x14ac:dyDescent="0.25">
      <c r="B68" s="47"/>
      <c r="C68" s="6">
        <v>65</v>
      </c>
      <c r="D68" s="4" t="s">
        <v>109</v>
      </c>
      <c r="E68" s="1">
        <v>1</v>
      </c>
      <c r="F68" s="1" t="s">
        <v>110</v>
      </c>
      <c r="G68" s="12">
        <v>345500</v>
      </c>
      <c r="H68" s="12">
        <v>480000</v>
      </c>
      <c r="I68" s="13">
        <f t="shared" ref="I68:I99" si="2">G68-H68</f>
        <v>-134500</v>
      </c>
      <c r="J68" s="13"/>
      <c r="K68" s="1" t="s">
        <v>240</v>
      </c>
    </row>
    <row r="69" spans="2:11" x14ac:dyDescent="0.25">
      <c r="B69" s="47"/>
      <c r="C69" s="2">
        <v>66</v>
      </c>
      <c r="D69" s="4" t="s">
        <v>109</v>
      </c>
      <c r="E69" s="1"/>
      <c r="F69" s="1" t="s">
        <v>111</v>
      </c>
      <c r="G69" s="12">
        <v>162500</v>
      </c>
      <c r="H69" s="12">
        <v>165000</v>
      </c>
      <c r="I69" s="13">
        <f t="shared" si="2"/>
        <v>-2500</v>
      </c>
      <c r="J69" s="13"/>
      <c r="K69" s="1" t="s">
        <v>238</v>
      </c>
    </row>
    <row r="70" spans="2:11" ht="45" x14ac:dyDescent="0.25">
      <c r="B70" s="47"/>
      <c r="C70" s="2">
        <v>67</v>
      </c>
      <c r="D70" s="40" t="s">
        <v>112</v>
      </c>
      <c r="E70" s="1">
        <v>1</v>
      </c>
      <c r="F70" s="3" t="s">
        <v>113</v>
      </c>
      <c r="G70" s="11">
        <v>224500</v>
      </c>
      <c r="H70" s="11">
        <v>250000</v>
      </c>
      <c r="I70" s="13">
        <f t="shared" si="2"/>
        <v>-25500</v>
      </c>
      <c r="J70" s="13"/>
      <c r="K70" s="1" t="s">
        <v>202</v>
      </c>
    </row>
    <row r="71" spans="2:11" x14ac:dyDescent="0.25">
      <c r="C71" s="2">
        <v>68</v>
      </c>
      <c r="D71" s="1" t="s">
        <v>114</v>
      </c>
      <c r="E71" s="1">
        <v>1</v>
      </c>
      <c r="F71" s="1" t="s">
        <v>115</v>
      </c>
      <c r="G71" s="12">
        <v>92500</v>
      </c>
      <c r="H71" s="12">
        <v>70000</v>
      </c>
      <c r="I71" s="13">
        <f t="shared" si="2"/>
        <v>22500</v>
      </c>
      <c r="J71" s="13"/>
      <c r="K71" s="1" t="s">
        <v>203</v>
      </c>
    </row>
    <row r="72" spans="2:11" ht="45" x14ac:dyDescent="0.25">
      <c r="C72" s="6">
        <v>69</v>
      </c>
      <c r="D72" s="4" t="s">
        <v>117</v>
      </c>
      <c r="E72" s="1">
        <v>2</v>
      </c>
      <c r="F72" s="3" t="s">
        <v>116</v>
      </c>
      <c r="G72" s="11">
        <f>139500+149500</f>
        <v>289000</v>
      </c>
      <c r="H72" s="11">
        <v>300000</v>
      </c>
      <c r="I72" s="13">
        <f t="shared" si="2"/>
        <v>-11000</v>
      </c>
      <c r="J72" s="13"/>
      <c r="K72" s="1" t="s">
        <v>190</v>
      </c>
    </row>
    <row r="73" spans="2:11" x14ac:dyDescent="0.25">
      <c r="C73" s="2">
        <v>70</v>
      </c>
      <c r="D73" s="4" t="s">
        <v>117</v>
      </c>
      <c r="E73" s="1">
        <v>1</v>
      </c>
      <c r="F73" s="1" t="s">
        <v>118</v>
      </c>
      <c r="G73" s="12">
        <v>348000</v>
      </c>
      <c r="H73" s="12">
        <v>350000</v>
      </c>
      <c r="I73" s="13">
        <f t="shared" si="2"/>
        <v>-2000</v>
      </c>
      <c r="J73" s="13"/>
      <c r="K73" s="26" t="s">
        <v>189</v>
      </c>
    </row>
    <row r="74" spans="2:11" ht="60" x14ac:dyDescent="0.25">
      <c r="C74" s="2">
        <v>71</v>
      </c>
      <c r="D74" s="1" t="s">
        <v>119</v>
      </c>
      <c r="E74" s="1">
        <v>1</v>
      </c>
      <c r="F74" s="3" t="s">
        <v>121</v>
      </c>
      <c r="G74" s="11">
        <v>348000</v>
      </c>
      <c r="H74" s="11">
        <v>335000</v>
      </c>
      <c r="I74" s="13">
        <f t="shared" si="2"/>
        <v>13000</v>
      </c>
      <c r="J74" s="13"/>
      <c r="K74" s="1" t="s">
        <v>239</v>
      </c>
    </row>
    <row r="75" spans="2:11" x14ac:dyDescent="0.25">
      <c r="C75" s="2">
        <v>72</v>
      </c>
      <c r="D75" s="1" t="s">
        <v>120</v>
      </c>
      <c r="E75" s="1">
        <v>1</v>
      </c>
      <c r="F75" s="1" t="s">
        <v>122</v>
      </c>
      <c r="G75" s="12">
        <v>89500</v>
      </c>
      <c r="H75" s="12">
        <v>80000</v>
      </c>
      <c r="I75" s="13">
        <f t="shared" si="2"/>
        <v>9500</v>
      </c>
      <c r="J75" s="13"/>
      <c r="K75" s="1" t="s">
        <v>198</v>
      </c>
    </row>
    <row r="76" spans="2:11" x14ac:dyDescent="0.25">
      <c r="B76" s="45" t="s">
        <v>149</v>
      </c>
      <c r="C76" s="6">
        <v>73</v>
      </c>
      <c r="D76" s="1" t="s">
        <v>123</v>
      </c>
      <c r="E76" s="1"/>
      <c r="F76" s="1" t="s">
        <v>124</v>
      </c>
      <c r="G76" s="12">
        <v>405000</v>
      </c>
      <c r="H76" s="12">
        <v>375000</v>
      </c>
      <c r="I76" s="13">
        <f t="shared" si="2"/>
        <v>30000</v>
      </c>
      <c r="J76" s="13"/>
      <c r="K76" s="1" t="s">
        <v>199</v>
      </c>
    </row>
    <row r="77" spans="2:11" x14ac:dyDescent="0.25">
      <c r="B77" s="45"/>
      <c r="C77" s="2">
        <v>74</v>
      </c>
      <c r="D77" s="1" t="s">
        <v>125</v>
      </c>
      <c r="E77" s="1"/>
      <c r="F77" s="1" t="s">
        <v>126</v>
      </c>
      <c r="G77" s="12">
        <v>390000</v>
      </c>
      <c r="H77" s="12">
        <v>375000</v>
      </c>
      <c r="I77" s="13">
        <f t="shared" si="2"/>
        <v>15000</v>
      </c>
      <c r="J77" s="13"/>
      <c r="K77" s="1" t="s">
        <v>200</v>
      </c>
    </row>
    <row r="78" spans="2:11" ht="60" x14ac:dyDescent="0.25">
      <c r="B78" s="41" t="s">
        <v>147</v>
      </c>
      <c r="C78" s="2">
        <v>75</v>
      </c>
      <c r="D78" s="1" t="s">
        <v>13</v>
      </c>
      <c r="E78" s="1"/>
      <c r="F78" s="3" t="s">
        <v>130</v>
      </c>
      <c r="G78" s="11">
        <v>1750000</v>
      </c>
      <c r="H78" s="11">
        <v>2000000</v>
      </c>
      <c r="I78" s="13">
        <f t="shared" si="2"/>
        <v>-250000</v>
      </c>
      <c r="J78" s="13"/>
      <c r="K78" s="26" t="s">
        <v>201</v>
      </c>
    </row>
    <row r="79" spans="2:11" ht="45" x14ac:dyDescent="0.25">
      <c r="B79" s="49" t="s">
        <v>261</v>
      </c>
      <c r="C79" s="2">
        <v>76</v>
      </c>
      <c r="D79" s="3" t="s">
        <v>128</v>
      </c>
      <c r="E79" s="1"/>
      <c r="F79" s="3" t="s">
        <v>131</v>
      </c>
      <c r="G79" s="11">
        <f>988000+20000</f>
        <v>1008000</v>
      </c>
      <c r="H79" s="11">
        <f>800000</f>
        <v>800000</v>
      </c>
      <c r="I79" s="13">
        <f t="shared" si="2"/>
        <v>208000</v>
      </c>
      <c r="J79" s="13"/>
      <c r="K79" s="26" t="s">
        <v>226</v>
      </c>
    </row>
    <row r="80" spans="2:11" ht="45" x14ac:dyDescent="0.25">
      <c r="B80" s="49"/>
      <c r="C80" s="6">
        <v>77</v>
      </c>
      <c r="D80" s="3" t="s">
        <v>127</v>
      </c>
      <c r="E80" s="1"/>
      <c r="F80" s="3" t="s">
        <v>132</v>
      </c>
      <c r="G80" s="11">
        <f>998000+20000</f>
        <v>1018000</v>
      </c>
      <c r="H80" s="11">
        <v>1250000</v>
      </c>
      <c r="I80" s="13">
        <f t="shared" si="2"/>
        <v>-232000</v>
      </c>
      <c r="J80" s="13"/>
      <c r="K80" s="26" t="s">
        <v>262</v>
      </c>
    </row>
    <row r="81" spans="2:11" ht="48" x14ac:dyDescent="0.3">
      <c r="B81" s="45" t="s">
        <v>129</v>
      </c>
      <c r="C81" s="2">
        <v>78</v>
      </c>
      <c r="D81" s="1" t="s">
        <v>133</v>
      </c>
      <c r="E81" s="1">
        <v>1</v>
      </c>
      <c r="F81" s="3" t="s">
        <v>135</v>
      </c>
      <c r="G81" s="11">
        <v>69000</v>
      </c>
      <c r="H81" s="11">
        <v>50000</v>
      </c>
      <c r="I81" s="13">
        <f t="shared" si="2"/>
        <v>19000</v>
      </c>
      <c r="J81" s="13"/>
      <c r="K81" s="1" t="s">
        <v>165</v>
      </c>
    </row>
    <row r="82" spans="2:11" ht="64.5" x14ac:dyDescent="0.3">
      <c r="B82" s="45"/>
      <c r="C82" s="2">
        <v>79</v>
      </c>
      <c r="D82" s="1" t="s">
        <v>21</v>
      </c>
      <c r="E82" s="1">
        <v>1</v>
      </c>
      <c r="F82" s="3" t="s">
        <v>136</v>
      </c>
      <c r="G82" s="11">
        <v>281500</v>
      </c>
      <c r="H82" s="11">
        <v>200000</v>
      </c>
      <c r="I82" s="13">
        <f t="shared" si="2"/>
        <v>81500</v>
      </c>
      <c r="J82" s="13"/>
      <c r="K82" s="1" t="s">
        <v>165</v>
      </c>
    </row>
    <row r="83" spans="2:11" ht="112.5" x14ac:dyDescent="0.3">
      <c r="B83" s="46" t="s">
        <v>146</v>
      </c>
      <c r="C83" s="2">
        <v>80</v>
      </c>
      <c r="D83" s="3" t="s">
        <v>137</v>
      </c>
      <c r="E83" s="1">
        <v>1</v>
      </c>
      <c r="F83" s="3" t="s">
        <v>138</v>
      </c>
      <c r="G83" s="11">
        <v>335000</v>
      </c>
      <c r="H83" s="11">
        <v>550000</v>
      </c>
      <c r="I83" s="13">
        <f t="shared" si="2"/>
        <v>-215000</v>
      </c>
      <c r="J83" s="13"/>
      <c r="K83" s="1" t="s">
        <v>235</v>
      </c>
    </row>
    <row r="84" spans="2:11" ht="96" x14ac:dyDescent="0.3">
      <c r="B84" s="47"/>
      <c r="C84" s="6">
        <v>81</v>
      </c>
      <c r="D84" s="1" t="s">
        <v>139</v>
      </c>
      <c r="E84" s="1">
        <v>1</v>
      </c>
      <c r="F84" s="3" t="s">
        <v>141</v>
      </c>
      <c r="G84" s="11">
        <v>265000</v>
      </c>
      <c r="H84" s="11">
        <v>325000</v>
      </c>
      <c r="I84" s="13">
        <f t="shared" si="2"/>
        <v>-60000</v>
      </c>
      <c r="J84" s="13"/>
      <c r="K84" s="1" t="s">
        <v>234</v>
      </c>
    </row>
    <row r="85" spans="2:11" ht="96" x14ac:dyDescent="0.3">
      <c r="B85" s="47"/>
      <c r="C85" s="2">
        <v>82</v>
      </c>
      <c r="D85" s="1" t="s">
        <v>140</v>
      </c>
      <c r="E85" s="1">
        <v>1</v>
      </c>
      <c r="F85" s="3" t="s">
        <v>142</v>
      </c>
      <c r="G85" s="11">
        <v>280000</v>
      </c>
      <c r="H85" s="11">
        <v>200000</v>
      </c>
      <c r="I85" s="13">
        <f t="shared" si="2"/>
        <v>80000</v>
      </c>
      <c r="J85" s="13"/>
      <c r="K85" s="1" t="s">
        <v>165</v>
      </c>
    </row>
  </sheetData>
  <autoFilter ref="C3:K3">
    <sortState ref="C4:K85">
      <sortCondition ref="C3"/>
    </sortState>
  </autoFilter>
  <mergeCells count="13">
    <mergeCell ref="B83:B85"/>
    <mergeCell ref="B39:B43"/>
    <mergeCell ref="B62:B63"/>
    <mergeCell ref="B65:B70"/>
    <mergeCell ref="B76:B77"/>
    <mergeCell ref="B79:B80"/>
    <mergeCell ref="B81:B82"/>
    <mergeCell ref="B5:B8"/>
    <mergeCell ref="B15:B16"/>
    <mergeCell ref="B17:B20"/>
    <mergeCell ref="B23:B24"/>
    <mergeCell ref="B25:B28"/>
    <mergeCell ref="B37:B38"/>
  </mergeCells>
  <hyperlinks>
    <hyperlink ref="K78" r:id="rId1"/>
    <hyperlink ref="K21" r:id="rId2" display="https://www.indiamart.com/proddetail/bopp-labeling-machine-2854357942562.html?pos=1&amp;nh=Y&amp;DualProdscaps"/>
    <hyperlink ref="K79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7"/>
  <sheetViews>
    <sheetView tabSelected="1" topLeftCell="A72" workbookViewId="0">
      <selection activeCell="F89" sqref="F89"/>
    </sheetView>
  </sheetViews>
  <sheetFormatPr defaultRowHeight="15" x14ac:dyDescent="0.25"/>
  <cols>
    <col min="2" max="2" width="9.140625" customWidth="1"/>
    <col min="3" max="3" width="6.140625" bestFit="1" customWidth="1"/>
    <col min="4" max="5" width="32.42578125" customWidth="1"/>
    <col min="6" max="6" width="17.28515625" customWidth="1"/>
    <col min="7" max="7" width="8.85546875" customWidth="1"/>
    <col min="8" max="8" width="18" customWidth="1"/>
    <col min="9" max="9" width="13.140625" customWidth="1"/>
  </cols>
  <sheetData>
    <row r="2" spans="3:9" ht="15.75" thickBot="1" x14ac:dyDescent="0.3"/>
    <row r="3" spans="3:9" ht="15.75" customHeight="1" x14ac:dyDescent="0.25">
      <c r="C3" s="54" t="s">
        <v>247</v>
      </c>
      <c r="D3" s="54" t="s">
        <v>248</v>
      </c>
      <c r="E3" s="54" t="s">
        <v>263</v>
      </c>
      <c r="F3" s="54" t="s">
        <v>249</v>
      </c>
      <c r="G3" s="54" t="s">
        <v>259</v>
      </c>
      <c r="H3" s="54" t="s">
        <v>251</v>
      </c>
      <c r="I3" s="54" t="s">
        <v>252</v>
      </c>
    </row>
    <row r="4" spans="3:9" x14ac:dyDescent="0.25">
      <c r="C4" s="55"/>
      <c r="D4" s="55"/>
      <c r="E4" s="74"/>
      <c r="F4" s="55"/>
      <c r="G4" s="55"/>
      <c r="H4" s="74"/>
      <c r="I4" s="74"/>
    </row>
    <row r="5" spans="3:9" x14ac:dyDescent="0.25">
      <c r="C5" s="58">
        <v>1</v>
      </c>
      <c r="D5" s="56" t="s">
        <v>3</v>
      </c>
      <c r="E5" s="71" t="s">
        <v>6</v>
      </c>
      <c r="F5" s="56" t="s">
        <v>257</v>
      </c>
      <c r="G5" s="58">
        <v>1</v>
      </c>
      <c r="H5" s="60">
        <v>205000</v>
      </c>
      <c r="I5" s="60">
        <v>325000</v>
      </c>
    </row>
    <row r="6" spans="3:9" x14ac:dyDescent="0.25">
      <c r="C6" s="58">
        <v>2</v>
      </c>
      <c r="D6" s="56" t="s">
        <v>4</v>
      </c>
      <c r="E6" s="72"/>
      <c r="F6" s="56" t="s">
        <v>257</v>
      </c>
      <c r="G6" s="58">
        <v>1</v>
      </c>
      <c r="H6" s="60">
        <v>995000</v>
      </c>
      <c r="I6" s="60">
        <v>1000000</v>
      </c>
    </row>
    <row r="7" spans="3:9" x14ac:dyDescent="0.25">
      <c r="C7" s="58">
        <v>3</v>
      </c>
      <c r="D7" s="56" t="s">
        <v>5</v>
      </c>
      <c r="E7" s="73"/>
      <c r="F7" s="56" t="s">
        <v>257</v>
      </c>
      <c r="G7" s="58">
        <v>1</v>
      </c>
      <c r="H7" s="60">
        <v>1215000</v>
      </c>
      <c r="I7" s="60">
        <v>1250000</v>
      </c>
    </row>
    <row r="8" spans="3:9" ht="45" x14ac:dyDescent="0.25">
      <c r="C8" s="58">
        <v>4</v>
      </c>
      <c r="D8" s="56" t="s">
        <v>7</v>
      </c>
      <c r="E8" s="66" t="s">
        <v>8</v>
      </c>
      <c r="F8" s="56" t="s">
        <v>257</v>
      </c>
      <c r="G8" s="58">
        <v>2</v>
      </c>
      <c r="H8" s="60">
        <v>400000</v>
      </c>
      <c r="I8" s="60">
        <v>290000</v>
      </c>
    </row>
    <row r="9" spans="3:9" x14ac:dyDescent="0.25">
      <c r="C9" s="58">
        <v>5</v>
      </c>
      <c r="D9" s="56" t="s">
        <v>10</v>
      </c>
      <c r="E9" s="69" t="s">
        <v>6</v>
      </c>
      <c r="F9" s="56" t="s">
        <v>257</v>
      </c>
      <c r="G9" s="58">
        <v>1</v>
      </c>
      <c r="H9" s="60">
        <v>150000</v>
      </c>
      <c r="I9" s="60">
        <v>125000</v>
      </c>
    </row>
    <row r="10" spans="3:9" x14ac:dyDescent="0.25">
      <c r="C10" s="58">
        <v>6</v>
      </c>
      <c r="D10" s="56" t="s">
        <v>11</v>
      </c>
      <c r="E10" s="70"/>
      <c r="F10" s="56" t="s">
        <v>257</v>
      </c>
      <c r="G10" s="58">
        <v>1</v>
      </c>
      <c r="H10" s="60">
        <v>500000</v>
      </c>
      <c r="I10" s="60">
        <v>730000</v>
      </c>
    </row>
    <row r="11" spans="3:9" x14ac:dyDescent="0.25">
      <c r="C11" s="58">
        <v>7</v>
      </c>
      <c r="D11" s="56" t="s">
        <v>159</v>
      </c>
      <c r="E11" s="71" t="s">
        <v>15</v>
      </c>
      <c r="F11" s="56" t="s">
        <v>257</v>
      </c>
      <c r="G11" s="58">
        <v>1</v>
      </c>
      <c r="H11" s="60">
        <v>815000</v>
      </c>
      <c r="I11" s="60">
        <v>970000</v>
      </c>
    </row>
    <row r="12" spans="3:9" x14ac:dyDescent="0.25">
      <c r="C12" s="58">
        <v>8</v>
      </c>
      <c r="D12" s="56" t="s">
        <v>13</v>
      </c>
      <c r="E12" s="72"/>
      <c r="F12" s="56" t="s">
        <v>257</v>
      </c>
      <c r="G12" s="58">
        <v>1</v>
      </c>
      <c r="H12" s="60">
        <v>810000</v>
      </c>
      <c r="I12" s="60">
        <v>800000</v>
      </c>
    </row>
    <row r="13" spans="3:9" x14ac:dyDescent="0.25">
      <c r="C13" s="58">
        <v>9</v>
      </c>
      <c r="D13" s="56" t="s">
        <v>14</v>
      </c>
      <c r="E13" s="72"/>
      <c r="F13" s="56" t="s">
        <v>257</v>
      </c>
      <c r="G13" s="58">
        <v>1</v>
      </c>
      <c r="H13" s="60">
        <v>400000</v>
      </c>
      <c r="I13" s="60">
        <v>350000</v>
      </c>
    </row>
    <row r="14" spans="3:9" x14ac:dyDescent="0.25">
      <c r="C14" s="58">
        <v>10</v>
      </c>
      <c r="D14" s="56" t="s">
        <v>16</v>
      </c>
      <c r="E14" s="73"/>
      <c r="F14" s="56" t="s">
        <v>257</v>
      </c>
      <c r="G14" s="58">
        <v>1</v>
      </c>
      <c r="H14" s="60">
        <v>1285000</v>
      </c>
      <c r="I14" s="60">
        <v>1250000</v>
      </c>
    </row>
    <row r="15" spans="3:9" ht="60" x14ac:dyDescent="0.25">
      <c r="C15" s="58">
        <v>11</v>
      </c>
      <c r="D15" s="56" t="s">
        <v>269</v>
      </c>
      <c r="E15" s="66" t="s">
        <v>18</v>
      </c>
      <c r="F15" s="56" t="s">
        <v>257</v>
      </c>
      <c r="G15" s="58">
        <v>1</v>
      </c>
      <c r="H15" s="60">
        <v>1800000</v>
      </c>
      <c r="I15" s="60">
        <v>1900000</v>
      </c>
    </row>
    <row r="16" spans="3:9" ht="15" customHeight="1" x14ac:dyDescent="0.25">
      <c r="C16" s="58">
        <v>12</v>
      </c>
      <c r="D16" s="56" t="s">
        <v>19</v>
      </c>
      <c r="E16" s="66" t="s">
        <v>26</v>
      </c>
      <c r="F16" s="56" t="s">
        <v>95</v>
      </c>
      <c r="G16" s="58">
        <v>1</v>
      </c>
      <c r="H16" s="60">
        <v>126500</v>
      </c>
      <c r="I16" s="60">
        <v>60000</v>
      </c>
    </row>
    <row r="17" spans="3:9" ht="75" x14ac:dyDescent="0.25">
      <c r="C17" s="58">
        <v>13</v>
      </c>
      <c r="D17" s="56" t="s">
        <v>21</v>
      </c>
      <c r="E17" s="66" t="s">
        <v>134</v>
      </c>
      <c r="F17" s="56" t="s">
        <v>95</v>
      </c>
      <c r="G17" s="58">
        <v>1</v>
      </c>
      <c r="H17" s="60">
        <v>441000</v>
      </c>
      <c r="I17" s="60">
        <v>281000</v>
      </c>
    </row>
    <row r="18" spans="3:9" ht="75" x14ac:dyDescent="0.25">
      <c r="C18" s="58">
        <v>14</v>
      </c>
      <c r="D18" s="56" t="s">
        <v>22</v>
      </c>
      <c r="E18" s="66" t="s">
        <v>25</v>
      </c>
      <c r="F18" s="56" t="s">
        <v>95</v>
      </c>
      <c r="G18" s="58">
        <v>1</v>
      </c>
      <c r="H18" s="60">
        <v>872000</v>
      </c>
      <c r="I18" s="60">
        <v>1017000</v>
      </c>
    </row>
    <row r="19" spans="3:9" ht="60" x14ac:dyDescent="0.25">
      <c r="C19" s="58">
        <v>15</v>
      </c>
      <c r="D19" s="56" t="s">
        <v>217</v>
      </c>
      <c r="E19" s="66" t="s">
        <v>24</v>
      </c>
      <c r="F19" s="56" t="s">
        <v>95</v>
      </c>
      <c r="G19" s="58">
        <v>1</v>
      </c>
      <c r="H19" s="60">
        <v>718000</v>
      </c>
      <c r="I19" s="60">
        <v>643000</v>
      </c>
    </row>
    <row r="20" spans="3:9" ht="30" x14ac:dyDescent="0.25">
      <c r="C20" s="58">
        <v>16</v>
      </c>
      <c r="D20" s="56" t="s">
        <v>27</v>
      </c>
      <c r="E20" s="66" t="s">
        <v>28</v>
      </c>
      <c r="F20" s="56" t="s">
        <v>95</v>
      </c>
      <c r="G20" s="58">
        <v>1</v>
      </c>
      <c r="H20" s="60">
        <v>112500</v>
      </c>
      <c r="I20" s="60">
        <v>116500</v>
      </c>
    </row>
    <row r="21" spans="3:9" ht="30" x14ac:dyDescent="0.25">
      <c r="C21" s="58">
        <v>17</v>
      </c>
      <c r="D21" s="56" t="s">
        <v>29</v>
      </c>
      <c r="E21" s="66" t="s">
        <v>30</v>
      </c>
      <c r="F21" s="56" t="s">
        <v>95</v>
      </c>
      <c r="G21" s="58">
        <v>1</v>
      </c>
      <c r="H21" s="60">
        <v>548500</v>
      </c>
      <c r="I21" s="60">
        <v>650000</v>
      </c>
    </row>
    <row r="22" spans="3:9" ht="45" x14ac:dyDescent="0.25">
      <c r="C22" s="58">
        <v>18</v>
      </c>
      <c r="D22" s="56" t="s">
        <v>31</v>
      </c>
      <c r="E22" s="66" t="s">
        <v>32</v>
      </c>
      <c r="F22" s="56" t="s">
        <v>95</v>
      </c>
      <c r="G22" s="58">
        <v>1</v>
      </c>
      <c r="H22" s="60">
        <v>1586000</v>
      </c>
      <c r="I22" s="60">
        <v>1800000</v>
      </c>
    </row>
    <row r="23" spans="3:9" ht="30" x14ac:dyDescent="0.25">
      <c r="C23" s="58">
        <v>19</v>
      </c>
      <c r="D23" s="56" t="s">
        <v>33</v>
      </c>
      <c r="E23" s="66" t="s">
        <v>34</v>
      </c>
      <c r="F23" s="56" t="s">
        <v>95</v>
      </c>
      <c r="G23" s="58">
        <v>1</v>
      </c>
      <c r="H23" s="60">
        <v>122000</v>
      </c>
      <c r="I23" s="60">
        <v>112000</v>
      </c>
    </row>
    <row r="24" spans="3:9" ht="15.75" customHeight="1" x14ac:dyDescent="0.25">
      <c r="C24" s="58">
        <v>20</v>
      </c>
      <c r="D24" s="56" t="s">
        <v>35</v>
      </c>
      <c r="E24" s="66" t="s">
        <v>36</v>
      </c>
      <c r="F24" s="56" t="s">
        <v>145</v>
      </c>
      <c r="G24" s="58" t="s">
        <v>42</v>
      </c>
      <c r="H24" s="60">
        <v>780000</v>
      </c>
      <c r="I24" s="60">
        <v>720000</v>
      </c>
    </row>
    <row r="25" spans="3:9" x14ac:dyDescent="0.25">
      <c r="C25" s="58">
        <v>21</v>
      </c>
      <c r="D25" s="56" t="s">
        <v>35</v>
      </c>
      <c r="E25" s="66" t="s">
        <v>37</v>
      </c>
      <c r="F25" s="56" t="s">
        <v>145</v>
      </c>
      <c r="G25" s="58" t="s">
        <v>39</v>
      </c>
      <c r="H25" s="60">
        <v>300000</v>
      </c>
      <c r="I25" s="60">
        <v>302500</v>
      </c>
    </row>
    <row r="26" spans="3:9" x14ac:dyDescent="0.25">
      <c r="C26" s="58">
        <v>22</v>
      </c>
      <c r="D26" s="56" t="s">
        <v>35</v>
      </c>
      <c r="E26" s="66" t="s">
        <v>37</v>
      </c>
      <c r="F26" s="56" t="s">
        <v>145</v>
      </c>
      <c r="G26" s="58" t="s">
        <v>40</v>
      </c>
      <c r="H26" s="60">
        <v>96000</v>
      </c>
      <c r="I26" s="60">
        <v>96800</v>
      </c>
    </row>
    <row r="27" spans="3:9" x14ac:dyDescent="0.25">
      <c r="C27" s="58">
        <v>23</v>
      </c>
      <c r="D27" s="56" t="s">
        <v>35</v>
      </c>
      <c r="E27" s="66" t="s">
        <v>38</v>
      </c>
      <c r="F27" s="56" t="s">
        <v>145</v>
      </c>
      <c r="G27" s="58" t="s">
        <v>41</v>
      </c>
      <c r="H27" s="60">
        <v>708000</v>
      </c>
      <c r="I27" s="60">
        <v>713900</v>
      </c>
    </row>
    <row r="28" spans="3:9" ht="30" x14ac:dyDescent="0.25">
      <c r="C28" s="58">
        <v>24</v>
      </c>
      <c r="D28" s="56" t="s">
        <v>44</v>
      </c>
      <c r="E28" s="66" t="s">
        <v>43</v>
      </c>
      <c r="F28" s="56" t="s">
        <v>145</v>
      </c>
      <c r="G28" s="58">
        <v>6</v>
      </c>
      <c r="H28" s="60">
        <v>28800</v>
      </c>
      <c r="I28" s="60">
        <v>16145.849999999999</v>
      </c>
    </row>
    <row r="29" spans="3:9" x14ac:dyDescent="0.25">
      <c r="C29" s="58">
        <v>25</v>
      </c>
      <c r="D29" s="56" t="s">
        <v>45</v>
      </c>
      <c r="E29" s="66" t="s">
        <v>36</v>
      </c>
      <c r="F29" s="56" t="s">
        <v>145</v>
      </c>
      <c r="G29" s="58" t="s">
        <v>46</v>
      </c>
      <c r="H29" s="60">
        <v>667000</v>
      </c>
      <c r="I29" s="60">
        <v>448500</v>
      </c>
    </row>
    <row r="30" spans="3:9" ht="45" x14ac:dyDescent="0.25">
      <c r="C30" s="58">
        <v>26</v>
      </c>
      <c r="D30" s="56" t="s">
        <v>49</v>
      </c>
      <c r="E30" s="67" t="s">
        <v>47</v>
      </c>
      <c r="F30" s="56" t="s">
        <v>145</v>
      </c>
      <c r="G30" s="58">
        <v>10</v>
      </c>
      <c r="H30" s="60">
        <v>151440</v>
      </c>
      <c r="I30" s="60">
        <v>186090</v>
      </c>
    </row>
    <row r="31" spans="3:9" ht="45" x14ac:dyDescent="0.25">
      <c r="C31" s="58">
        <v>27</v>
      </c>
      <c r="D31" s="56" t="s">
        <v>49</v>
      </c>
      <c r="E31" s="67" t="s">
        <v>48</v>
      </c>
      <c r="F31" s="56" t="s">
        <v>145</v>
      </c>
      <c r="G31" s="58">
        <v>50</v>
      </c>
      <c r="H31" s="60">
        <v>856950</v>
      </c>
      <c r="I31" s="60">
        <v>1024950</v>
      </c>
    </row>
    <row r="32" spans="3:9" ht="45" x14ac:dyDescent="0.25">
      <c r="C32" s="58">
        <v>28</v>
      </c>
      <c r="D32" s="56" t="s">
        <v>49</v>
      </c>
      <c r="E32" s="67" t="s">
        <v>50</v>
      </c>
      <c r="F32" s="56" t="s">
        <v>145</v>
      </c>
      <c r="G32" s="58">
        <v>20</v>
      </c>
      <c r="H32" s="60">
        <v>342780</v>
      </c>
      <c r="I32" s="60">
        <v>252000</v>
      </c>
    </row>
    <row r="33" spans="3:9" ht="45" x14ac:dyDescent="0.25">
      <c r="C33" s="58">
        <v>29</v>
      </c>
      <c r="D33" s="56" t="s">
        <v>49</v>
      </c>
      <c r="E33" s="67" t="s">
        <v>51</v>
      </c>
      <c r="F33" s="56" t="s">
        <v>145</v>
      </c>
      <c r="G33" s="58">
        <v>5</v>
      </c>
      <c r="H33" s="60">
        <v>121745</v>
      </c>
      <c r="I33" s="60">
        <v>149465</v>
      </c>
    </row>
    <row r="34" spans="3:9" ht="45" x14ac:dyDescent="0.25">
      <c r="C34" s="58">
        <v>30</v>
      </c>
      <c r="D34" s="56" t="s">
        <v>49</v>
      </c>
      <c r="E34" s="67" t="s">
        <v>52</v>
      </c>
      <c r="F34" s="56" t="s">
        <v>145</v>
      </c>
      <c r="G34" s="58">
        <v>5</v>
      </c>
      <c r="H34" s="60">
        <v>121745</v>
      </c>
      <c r="I34" s="60">
        <v>168365</v>
      </c>
    </row>
    <row r="35" spans="3:9" x14ac:dyDescent="0.25">
      <c r="C35" s="58">
        <v>31</v>
      </c>
      <c r="D35" s="56" t="s">
        <v>53</v>
      </c>
      <c r="E35" s="66"/>
      <c r="F35" s="56" t="s">
        <v>145</v>
      </c>
      <c r="G35" s="58" t="s">
        <v>54</v>
      </c>
      <c r="H35" s="60">
        <v>192000</v>
      </c>
      <c r="I35" s="60">
        <v>172800</v>
      </c>
    </row>
    <row r="36" spans="3:9" x14ac:dyDescent="0.25">
      <c r="C36" s="58">
        <v>32</v>
      </c>
      <c r="D36" s="56" t="s">
        <v>55</v>
      </c>
      <c r="E36" s="66"/>
      <c r="F36" s="56" t="s">
        <v>145</v>
      </c>
      <c r="G36" s="58" t="s">
        <v>56</v>
      </c>
      <c r="H36" s="60">
        <v>47850</v>
      </c>
      <c r="I36" s="60">
        <v>49500</v>
      </c>
    </row>
    <row r="37" spans="3:9" x14ac:dyDescent="0.25">
      <c r="C37" s="58">
        <v>33</v>
      </c>
      <c r="D37" s="56" t="s">
        <v>57</v>
      </c>
      <c r="E37" s="66"/>
      <c r="F37" s="56" t="s">
        <v>145</v>
      </c>
      <c r="G37" s="58" t="s">
        <v>76</v>
      </c>
      <c r="H37" s="60">
        <v>14400</v>
      </c>
      <c r="I37" s="60">
        <v>20340</v>
      </c>
    </row>
    <row r="38" spans="3:9" ht="15" customHeight="1" x14ac:dyDescent="0.25">
      <c r="C38" s="58">
        <v>34</v>
      </c>
      <c r="D38" s="56" t="s">
        <v>89</v>
      </c>
      <c r="E38" s="66" t="s">
        <v>81</v>
      </c>
      <c r="F38" s="56" t="s">
        <v>94</v>
      </c>
      <c r="G38" s="58">
        <v>6</v>
      </c>
      <c r="H38" s="60">
        <v>570000</v>
      </c>
      <c r="I38" s="60">
        <v>570000</v>
      </c>
    </row>
    <row r="39" spans="3:9" x14ac:dyDescent="0.25">
      <c r="C39" s="58">
        <v>35</v>
      </c>
      <c r="D39" s="56" t="s">
        <v>90</v>
      </c>
      <c r="E39" s="66" t="s">
        <v>80</v>
      </c>
      <c r="F39" s="56" t="s">
        <v>94</v>
      </c>
      <c r="G39" s="58">
        <v>3</v>
      </c>
      <c r="H39" s="60">
        <v>345000</v>
      </c>
      <c r="I39" s="60">
        <v>375000</v>
      </c>
    </row>
    <row r="40" spans="3:9" x14ac:dyDescent="0.25">
      <c r="C40" s="58">
        <v>36</v>
      </c>
      <c r="D40" s="56" t="s">
        <v>91</v>
      </c>
      <c r="E40" s="66" t="s">
        <v>79</v>
      </c>
      <c r="F40" s="56" t="s">
        <v>94</v>
      </c>
      <c r="G40" s="58">
        <v>2</v>
      </c>
      <c r="H40" s="60">
        <v>310000</v>
      </c>
      <c r="I40" s="60">
        <v>240000</v>
      </c>
    </row>
    <row r="41" spans="3:9" x14ac:dyDescent="0.25">
      <c r="C41" s="58">
        <v>37</v>
      </c>
      <c r="D41" s="56" t="s">
        <v>92</v>
      </c>
      <c r="E41" s="66" t="s">
        <v>78</v>
      </c>
      <c r="F41" s="56" t="s">
        <v>94</v>
      </c>
      <c r="G41" s="58">
        <v>1</v>
      </c>
      <c r="H41" s="60">
        <v>175000</v>
      </c>
      <c r="I41" s="60">
        <v>100000</v>
      </c>
    </row>
    <row r="42" spans="3:9" x14ac:dyDescent="0.25">
      <c r="C42" s="58">
        <v>38</v>
      </c>
      <c r="D42" s="56" t="s">
        <v>93</v>
      </c>
      <c r="E42" s="66" t="s">
        <v>77</v>
      </c>
      <c r="F42" s="56" t="s">
        <v>94</v>
      </c>
      <c r="G42" s="58">
        <v>1</v>
      </c>
      <c r="H42" s="60">
        <v>105000</v>
      </c>
      <c r="I42" s="60">
        <v>105000</v>
      </c>
    </row>
    <row r="43" spans="3:9" ht="30" x14ac:dyDescent="0.25">
      <c r="C43" s="58">
        <v>39</v>
      </c>
      <c r="D43" s="56" t="s">
        <v>218</v>
      </c>
      <c r="E43" s="66" t="s">
        <v>219</v>
      </c>
      <c r="F43" s="56" t="s">
        <v>94</v>
      </c>
      <c r="G43" s="58">
        <v>7</v>
      </c>
      <c r="H43" s="60">
        <v>280000</v>
      </c>
      <c r="I43" s="60">
        <v>294000</v>
      </c>
    </row>
    <row r="44" spans="3:9" ht="30" x14ac:dyDescent="0.25">
      <c r="C44" s="58">
        <v>40</v>
      </c>
      <c r="D44" s="56" t="s">
        <v>218</v>
      </c>
      <c r="E44" s="66" t="s">
        <v>220</v>
      </c>
      <c r="F44" s="56" t="s">
        <v>94</v>
      </c>
      <c r="G44" s="58">
        <v>4</v>
      </c>
      <c r="H44" s="60">
        <v>272000</v>
      </c>
      <c r="I44" s="60">
        <v>300000</v>
      </c>
    </row>
    <row r="45" spans="3:9" ht="30" x14ac:dyDescent="0.25">
      <c r="C45" s="58">
        <v>41</v>
      </c>
      <c r="D45" s="56" t="s">
        <v>218</v>
      </c>
      <c r="E45" s="66" t="s">
        <v>221</v>
      </c>
      <c r="F45" s="56" t="s">
        <v>94</v>
      </c>
      <c r="G45" s="58">
        <v>2</v>
      </c>
      <c r="H45" s="60">
        <v>212000</v>
      </c>
      <c r="I45" s="60">
        <v>224000</v>
      </c>
    </row>
    <row r="46" spans="3:9" ht="30" x14ac:dyDescent="0.25">
      <c r="C46" s="58">
        <v>42</v>
      </c>
      <c r="D46" s="56" t="s">
        <v>58</v>
      </c>
      <c r="E46" s="67" t="s">
        <v>59</v>
      </c>
      <c r="F46" s="56" t="s">
        <v>94</v>
      </c>
      <c r="G46" s="58" t="s">
        <v>61</v>
      </c>
      <c r="H46" s="60">
        <v>1920000</v>
      </c>
      <c r="I46" s="60">
        <v>1920000</v>
      </c>
    </row>
    <row r="47" spans="3:9" ht="30" x14ac:dyDescent="0.25">
      <c r="C47" s="58">
        <v>43</v>
      </c>
      <c r="D47" s="56" t="s">
        <v>58</v>
      </c>
      <c r="E47" s="67" t="s">
        <v>60</v>
      </c>
      <c r="F47" s="56" t="s">
        <v>94</v>
      </c>
      <c r="G47" s="58" t="s">
        <v>62</v>
      </c>
      <c r="H47" s="60">
        <v>270000</v>
      </c>
      <c r="I47" s="60">
        <v>270000</v>
      </c>
    </row>
    <row r="48" spans="3:9" ht="30" x14ac:dyDescent="0.25">
      <c r="C48" s="58">
        <v>44</v>
      </c>
      <c r="D48" s="56" t="s">
        <v>68</v>
      </c>
      <c r="E48" s="68" t="s">
        <v>63</v>
      </c>
      <c r="F48" s="56" t="s">
        <v>94</v>
      </c>
      <c r="G48" s="58" t="s">
        <v>65</v>
      </c>
      <c r="H48" s="61">
        <v>540000</v>
      </c>
      <c r="I48" s="61">
        <v>171380</v>
      </c>
    </row>
    <row r="49" spans="3:9" ht="30" x14ac:dyDescent="0.25">
      <c r="C49" s="58">
        <v>45</v>
      </c>
      <c r="D49" s="56" t="s">
        <v>68</v>
      </c>
      <c r="E49" s="68" t="s">
        <v>64</v>
      </c>
      <c r="F49" s="56" t="s">
        <v>94</v>
      </c>
      <c r="G49" s="58" t="s">
        <v>65</v>
      </c>
      <c r="H49" s="61">
        <v>495000</v>
      </c>
      <c r="I49" s="61">
        <v>187290</v>
      </c>
    </row>
    <row r="50" spans="3:9" ht="30" x14ac:dyDescent="0.25">
      <c r="C50" s="58">
        <v>46</v>
      </c>
      <c r="D50" s="56" t="s">
        <v>88</v>
      </c>
      <c r="E50" s="65" t="s">
        <v>66</v>
      </c>
      <c r="F50" s="56" t="s">
        <v>94</v>
      </c>
      <c r="G50" s="58">
        <v>50</v>
      </c>
      <c r="H50" s="61">
        <v>260000</v>
      </c>
      <c r="I50" s="61">
        <v>225000</v>
      </c>
    </row>
    <row r="51" spans="3:9" ht="30" x14ac:dyDescent="0.25">
      <c r="C51" s="58">
        <v>47</v>
      </c>
      <c r="D51" s="56" t="s">
        <v>88</v>
      </c>
      <c r="E51" s="65" t="s">
        <v>67</v>
      </c>
      <c r="F51" s="56" t="s">
        <v>94</v>
      </c>
      <c r="G51" s="58">
        <v>16</v>
      </c>
      <c r="H51" s="61">
        <v>57600</v>
      </c>
      <c r="I51" s="61">
        <v>52800</v>
      </c>
    </row>
    <row r="52" spans="3:9" x14ac:dyDescent="0.25">
      <c r="C52" s="58">
        <v>48</v>
      </c>
      <c r="D52" s="56" t="s">
        <v>87</v>
      </c>
      <c r="E52" s="65" t="s">
        <v>66</v>
      </c>
      <c r="F52" s="56" t="s">
        <v>94</v>
      </c>
      <c r="G52" s="58">
        <v>50</v>
      </c>
      <c r="H52" s="61">
        <v>240000</v>
      </c>
      <c r="I52" s="61">
        <v>225000</v>
      </c>
    </row>
    <row r="53" spans="3:9" x14ac:dyDescent="0.25">
      <c r="C53" s="58">
        <v>49</v>
      </c>
      <c r="D53" s="56" t="s">
        <v>87</v>
      </c>
      <c r="E53" s="65" t="s">
        <v>67</v>
      </c>
      <c r="F53" s="56" t="s">
        <v>94</v>
      </c>
      <c r="G53" s="58">
        <v>16</v>
      </c>
      <c r="H53" s="61">
        <v>51200</v>
      </c>
      <c r="I53" s="61">
        <v>52800</v>
      </c>
    </row>
    <row r="54" spans="3:9" x14ac:dyDescent="0.25">
      <c r="C54" s="58">
        <v>50</v>
      </c>
      <c r="D54" s="56" t="s">
        <v>86</v>
      </c>
      <c r="E54" s="65" t="s">
        <v>69</v>
      </c>
      <c r="F54" s="56" t="s">
        <v>94</v>
      </c>
      <c r="G54" s="58">
        <v>50</v>
      </c>
      <c r="H54" s="61">
        <v>210000</v>
      </c>
      <c r="I54" s="61">
        <v>108578.00000000001</v>
      </c>
    </row>
    <row r="55" spans="3:9" x14ac:dyDescent="0.25">
      <c r="C55" s="58">
        <v>51</v>
      </c>
      <c r="D55" s="56" t="s">
        <v>86</v>
      </c>
      <c r="E55" s="65" t="s">
        <v>70</v>
      </c>
      <c r="F55" s="56" t="s">
        <v>94</v>
      </c>
      <c r="G55" s="58">
        <v>16</v>
      </c>
      <c r="H55" s="61">
        <v>54400</v>
      </c>
      <c r="I55" s="61">
        <v>11320.960000000001</v>
      </c>
    </row>
    <row r="56" spans="3:9" x14ac:dyDescent="0.25">
      <c r="C56" s="58">
        <v>52</v>
      </c>
      <c r="D56" s="56" t="s">
        <v>86</v>
      </c>
      <c r="E56" s="65" t="s">
        <v>71</v>
      </c>
      <c r="F56" s="56" t="s">
        <v>94</v>
      </c>
      <c r="G56" s="58">
        <v>50</v>
      </c>
      <c r="H56" s="61">
        <v>280000</v>
      </c>
      <c r="I56" s="61">
        <v>200000</v>
      </c>
    </row>
    <row r="57" spans="3:9" x14ac:dyDescent="0.25">
      <c r="C57" s="58">
        <v>53</v>
      </c>
      <c r="D57" s="56" t="s">
        <v>86</v>
      </c>
      <c r="E57" s="65" t="s">
        <v>72</v>
      </c>
      <c r="F57" s="56" t="s">
        <v>94</v>
      </c>
      <c r="G57" s="58">
        <v>16</v>
      </c>
      <c r="H57" s="61">
        <v>76800</v>
      </c>
      <c r="I57" s="61">
        <v>5600</v>
      </c>
    </row>
    <row r="58" spans="3:9" ht="30" x14ac:dyDescent="0.25">
      <c r="C58" s="58">
        <v>54</v>
      </c>
      <c r="D58" s="56" t="s">
        <v>73</v>
      </c>
      <c r="E58" s="68" t="s">
        <v>188</v>
      </c>
      <c r="F58" s="56" t="s">
        <v>94</v>
      </c>
      <c r="G58" s="58">
        <v>10</v>
      </c>
      <c r="H58" s="61">
        <v>750000</v>
      </c>
      <c r="I58" s="61">
        <v>750000</v>
      </c>
    </row>
    <row r="59" spans="3:9" ht="30" x14ac:dyDescent="0.25">
      <c r="C59" s="58">
        <v>55</v>
      </c>
      <c r="D59" s="56" t="s">
        <v>73</v>
      </c>
      <c r="E59" s="68" t="s">
        <v>75</v>
      </c>
      <c r="F59" s="56" t="s">
        <v>94</v>
      </c>
      <c r="G59" s="58">
        <v>1</v>
      </c>
      <c r="H59" s="61">
        <v>120000</v>
      </c>
      <c r="I59" s="61">
        <v>55000</v>
      </c>
    </row>
    <row r="60" spans="3:9" ht="30" x14ac:dyDescent="0.25">
      <c r="C60" s="58">
        <v>56</v>
      </c>
      <c r="D60" s="56" t="s">
        <v>73</v>
      </c>
      <c r="E60" s="68" t="s">
        <v>74</v>
      </c>
      <c r="F60" s="56" t="s">
        <v>94</v>
      </c>
      <c r="G60" s="58">
        <v>1</v>
      </c>
      <c r="H60" s="61">
        <v>230000</v>
      </c>
      <c r="I60" s="61">
        <v>230000</v>
      </c>
    </row>
    <row r="61" spans="3:9" ht="45" x14ac:dyDescent="0.25">
      <c r="C61" s="58">
        <v>57</v>
      </c>
      <c r="D61" s="56" t="s">
        <v>82</v>
      </c>
      <c r="E61" s="67" t="s">
        <v>83</v>
      </c>
      <c r="F61" s="56" t="s">
        <v>94</v>
      </c>
      <c r="G61" s="58">
        <v>14</v>
      </c>
      <c r="H61" s="60">
        <v>630000</v>
      </c>
      <c r="I61" s="60">
        <v>349650</v>
      </c>
    </row>
    <row r="62" spans="3:9" x14ac:dyDescent="0.25">
      <c r="C62" s="58">
        <v>58</v>
      </c>
      <c r="D62" s="58" t="s">
        <v>84</v>
      </c>
      <c r="E62" s="68" t="s">
        <v>85</v>
      </c>
      <c r="F62" s="56" t="s">
        <v>94</v>
      </c>
      <c r="G62" s="58">
        <v>127</v>
      </c>
      <c r="H62" s="61">
        <v>482600</v>
      </c>
      <c r="I62" s="61">
        <v>571500</v>
      </c>
    </row>
    <row r="63" spans="3:9" ht="15" customHeight="1" x14ac:dyDescent="0.25">
      <c r="C63" s="58">
        <v>59</v>
      </c>
      <c r="D63" s="58" t="s">
        <v>98</v>
      </c>
      <c r="E63" s="65" t="s">
        <v>97</v>
      </c>
      <c r="F63" s="56" t="s">
        <v>253</v>
      </c>
      <c r="G63" s="58">
        <v>1</v>
      </c>
      <c r="H63" s="61">
        <v>127119</v>
      </c>
      <c r="I63" s="61">
        <v>65000</v>
      </c>
    </row>
    <row r="64" spans="3:9" x14ac:dyDescent="0.25">
      <c r="C64" s="58">
        <v>60</v>
      </c>
      <c r="D64" s="58" t="s">
        <v>100</v>
      </c>
      <c r="E64" s="65" t="s">
        <v>99</v>
      </c>
      <c r="F64" s="56" t="s">
        <v>253</v>
      </c>
      <c r="G64" s="58">
        <v>1</v>
      </c>
      <c r="H64" s="61">
        <v>190678</v>
      </c>
      <c r="I64" s="61">
        <v>100000</v>
      </c>
    </row>
    <row r="65" spans="3:9" ht="45" x14ac:dyDescent="0.25">
      <c r="C65" s="58">
        <v>61</v>
      </c>
      <c r="D65" s="56" t="s">
        <v>104</v>
      </c>
      <c r="E65" s="65" t="s">
        <v>103</v>
      </c>
      <c r="F65" s="56" t="s">
        <v>258</v>
      </c>
      <c r="G65" s="58">
        <v>1</v>
      </c>
      <c r="H65" s="61">
        <v>78500</v>
      </c>
      <c r="I65" s="61">
        <v>70000</v>
      </c>
    </row>
    <row r="66" spans="3:9" ht="45" x14ac:dyDescent="0.25">
      <c r="C66" s="58">
        <v>62</v>
      </c>
      <c r="D66" s="56" t="s">
        <v>104</v>
      </c>
      <c r="E66" s="65" t="s">
        <v>102</v>
      </c>
      <c r="F66" s="56" t="s">
        <v>258</v>
      </c>
      <c r="G66" s="58">
        <v>1</v>
      </c>
      <c r="H66" s="61">
        <v>129500</v>
      </c>
      <c r="I66" s="61">
        <v>135000</v>
      </c>
    </row>
    <row r="67" spans="3:9" x14ac:dyDescent="0.25">
      <c r="C67" s="58">
        <v>63</v>
      </c>
      <c r="D67" s="58" t="s">
        <v>105</v>
      </c>
      <c r="E67" s="65" t="s">
        <v>106</v>
      </c>
      <c r="F67" s="57" t="s">
        <v>258</v>
      </c>
      <c r="G67" s="58">
        <v>1</v>
      </c>
      <c r="H67" s="61">
        <v>247500</v>
      </c>
      <c r="I67" s="61">
        <v>250000</v>
      </c>
    </row>
    <row r="68" spans="3:9" x14ac:dyDescent="0.25">
      <c r="C68" s="58">
        <v>64</v>
      </c>
      <c r="D68" s="58" t="s">
        <v>107</v>
      </c>
      <c r="E68" s="65" t="s">
        <v>108</v>
      </c>
      <c r="F68" s="57"/>
      <c r="G68" s="58">
        <v>1</v>
      </c>
      <c r="H68" s="61">
        <v>57500</v>
      </c>
      <c r="I68" s="61">
        <v>80000</v>
      </c>
    </row>
    <row r="69" spans="3:9" x14ac:dyDescent="0.25">
      <c r="C69" s="58">
        <v>65</v>
      </c>
      <c r="D69" s="58" t="s">
        <v>109</v>
      </c>
      <c r="E69" s="65" t="s">
        <v>110</v>
      </c>
      <c r="F69" s="57"/>
      <c r="G69" s="58">
        <v>1</v>
      </c>
      <c r="H69" s="61">
        <v>345500</v>
      </c>
      <c r="I69" s="61">
        <v>480000</v>
      </c>
    </row>
    <row r="70" spans="3:9" x14ac:dyDescent="0.25">
      <c r="C70" s="58">
        <v>66</v>
      </c>
      <c r="D70" s="58" t="s">
        <v>109</v>
      </c>
      <c r="E70" s="65" t="s">
        <v>111</v>
      </c>
      <c r="F70" s="57" t="s">
        <v>258</v>
      </c>
      <c r="G70" s="58">
        <v>1</v>
      </c>
      <c r="H70" s="61">
        <v>162500</v>
      </c>
      <c r="I70" s="61">
        <v>165000</v>
      </c>
    </row>
    <row r="71" spans="3:9" ht="45" x14ac:dyDescent="0.25">
      <c r="C71" s="58">
        <v>67</v>
      </c>
      <c r="D71" s="58" t="s">
        <v>112</v>
      </c>
      <c r="E71" s="66" t="s">
        <v>113</v>
      </c>
      <c r="F71" s="57"/>
      <c r="G71" s="58">
        <v>1</v>
      </c>
      <c r="H71" s="60">
        <v>224500</v>
      </c>
      <c r="I71" s="60">
        <v>250000</v>
      </c>
    </row>
    <row r="72" spans="3:9" x14ac:dyDescent="0.25">
      <c r="C72" s="58">
        <v>68</v>
      </c>
      <c r="D72" s="58" t="s">
        <v>114</v>
      </c>
      <c r="E72" s="65" t="s">
        <v>115</v>
      </c>
      <c r="F72" s="57"/>
      <c r="G72" s="58">
        <v>1</v>
      </c>
      <c r="H72" s="61">
        <v>92500</v>
      </c>
      <c r="I72" s="61">
        <v>70000</v>
      </c>
    </row>
    <row r="73" spans="3:9" ht="15" customHeight="1" x14ac:dyDescent="0.25">
      <c r="C73" s="58">
        <v>69</v>
      </c>
      <c r="D73" s="58" t="s">
        <v>117</v>
      </c>
      <c r="E73" s="66" t="s">
        <v>116</v>
      </c>
      <c r="F73" s="57" t="s">
        <v>258</v>
      </c>
      <c r="G73" s="58">
        <v>2</v>
      </c>
      <c r="H73" s="60">
        <v>289000</v>
      </c>
      <c r="I73" s="60">
        <v>300000</v>
      </c>
    </row>
    <row r="74" spans="3:9" x14ac:dyDescent="0.25">
      <c r="C74" s="58">
        <v>70</v>
      </c>
      <c r="D74" s="58" t="s">
        <v>117</v>
      </c>
      <c r="E74" s="65" t="s">
        <v>118</v>
      </c>
      <c r="F74" s="57"/>
      <c r="G74" s="58">
        <v>1</v>
      </c>
      <c r="H74" s="61">
        <v>348000</v>
      </c>
      <c r="I74" s="61">
        <v>350000</v>
      </c>
    </row>
    <row r="75" spans="3:9" ht="45" x14ac:dyDescent="0.25">
      <c r="C75" s="58">
        <v>71</v>
      </c>
      <c r="D75" s="58" t="s">
        <v>119</v>
      </c>
      <c r="E75" s="66" t="s">
        <v>121</v>
      </c>
      <c r="F75" s="57"/>
      <c r="G75" s="58">
        <v>1</v>
      </c>
      <c r="H75" s="60">
        <v>348000</v>
      </c>
      <c r="I75" s="60">
        <v>335000</v>
      </c>
    </row>
    <row r="76" spans="3:9" x14ac:dyDescent="0.25">
      <c r="C76" s="58">
        <v>72</v>
      </c>
      <c r="D76" s="58" t="s">
        <v>120</v>
      </c>
      <c r="E76" s="65" t="s">
        <v>122</v>
      </c>
      <c r="F76" s="57"/>
      <c r="G76" s="58">
        <v>1</v>
      </c>
      <c r="H76" s="61">
        <v>89500</v>
      </c>
      <c r="I76" s="61">
        <v>80000</v>
      </c>
    </row>
    <row r="77" spans="3:9" ht="15" customHeight="1" x14ac:dyDescent="0.25">
      <c r="C77" s="58">
        <v>73</v>
      </c>
      <c r="D77" s="58" t="s">
        <v>123</v>
      </c>
      <c r="E77" s="65" t="s">
        <v>124</v>
      </c>
      <c r="F77" s="57" t="s">
        <v>254</v>
      </c>
      <c r="G77" s="58">
        <v>1</v>
      </c>
      <c r="H77" s="61">
        <v>405000</v>
      </c>
      <c r="I77" s="61">
        <v>375000</v>
      </c>
    </row>
    <row r="78" spans="3:9" x14ac:dyDescent="0.25">
      <c r="C78" s="58">
        <v>74</v>
      </c>
      <c r="D78" s="58" t="s">
        <v>125</v>
      </c>
      <c r="E78" s="65" t="s">
        <v>126</v>
      </c>
      <c r="F78" s="57"/>
      <c r="G78" s="58">
        <v>1</v>
      </c>
      <c r="H78" s="61">
        <v>390000</v>
      </c>
      <c r="I78" s="61">
        <v>375000</v>
      </c>
    </row>
    <row r="79" spans="3:9" ht="45" x14ac:dyDescent="0.25">
      <c r="C79" s="58">
        <v>75</v>
      </c>
      <c r="D79" s="58" t="s">
        <v>13</v>
      </c>
      <c r="E79" s="66" t="s">
        <v>130</v>
      </c>
      <c r="F79" s="56" t="s">
        <v>255</v>
      </c>
      <c r="G79" s="58">
        <v>1</v>
      </c>
      <c r="H79" s="60">
        <v>1750000</v>
      </c>
      <c r="I79" s="60">
        <v>2000000</v>
      </c>
    </row>
    <row r="80" spans="3:9" ht="30" customHeight="1" x14ac:dyDescent="0.25">
      <c r="C80" s="58">
        <v>76</v>
      </c>
      <c r="D80" s="56" t="s">
        <v>128</v>
      </c>
      <c r="E80" s="66" t="s">
        <v>131</v>
      </c>
      <c r="F80" s="56" t="s">
        <v>256</v>
      </c>
      <c r="G80" s="58">
        <v>1</v>
      </c>
      <c r="H80" s="60">
        <v>1008000</v>
      </c>
      <c r="I80" s="60">
        <v>800000</v>
      </c>
    </row>
    <row r="81" spans="3:9" ht="27.75" customHeight="1" x14ac:dyDescent="0.25">
      <c r="C81" s="58">
        <v>77</v>
      </c>
      <c r="D81" s="56" t="s">
        <v>127</v>
      </c>
      <c r="E81" s="66" t="s">
        <v>132</v>
      </c>
      <c r="F81" s="56" t="s">
        <v>256</v>
      </c>
      <c r="G81" s="58">
        <v>1</v>
      </c>
      <c r="H81" s="60">
        <v>1018000</v>
      </c>
      <c r="I81" s="60">
        <v>1250000</v>
      </c>
    </row>
    <row r="82" spans="3:9" ht="15" customHeight="1" x14ac:dyDescent="0.25">
      <c r="C82" s="58">
        <v>78</v>
      </c>
      <c r="D82" s="58" t="s">
        <v>133</v>
      </c>
      <c r="E82" s="66" t="s">
        <v>264</v>
      </c>
      <c r="F82" s="62" t="s">
        <v>129</v>
      </c>
      <c r="G82" s="58">
        <v>1</v>
      </c>
      <c r="H82" s="60">
        <v>69000</v>
      </c>
      <c r="I82" s="60">
        <v>50000</v>
      </c>
    </row>
    <row r="83" spans="3:9" ht="45" x14ac:dyDescent="0.25">
      <c r="C83" s="58">
        <v>79</v>
      </c>
      <c r="D83" s="58" t="s">
        <v>21</v>
      </c>
      <c r="E83" s="66" t="s">
        <v>265</v>
      </c>
      <c r="F83" s="62"/>
      <c r="G83" s="58">
        <v>1</v>
      </c>
      <c r="H83" s="60">
        <v>281500</v>
      </c>
      <c r="I83" s="60">
        <v>200000</v>
      </c>
    </row>
    <row r="84" spans="3:9" ht="30" customHeight="1" x14ac:dyDescent="0.25">
      <c r="C84" s="58">
        <v>80</v>
      </c>
      <c r="D84" s="56" t="s">
        <v>137</v>
      </c>
      <c r="E84" s="66" t="s">
        <v>266</v>
      </c>
      <c r="F84" s="59" t="s">
        <v>129</v>
      </c>
      <c r="G84" s="58">
        <v>1</v>
      </c>
      <c r="H84" s="60">
        <v>335000</v>
      </c>
      <c r="I84" s="60">
        <v>550000</v>
      </c>
    </row>
    <row r="85" spans="3:9" ht="15" customHeight="1" x14ac:dyDescent="0.25">
      <c r="C85" s="58">
        <v>81</v>
      </c>
      <c r="D85" s="58" t="s">
        <v>139</v>
      </c>
      <c r="E85" s="66" t="s">
        <v>267</v>
      </c>
      <c r="F85" s="62" t="s">
        <v>129</v>
      </c>
      <c r="G85" s="58">
        <v>1</v>
      </c>
      <c r="H85" s="60">
        <v>265000</v>
      </c>
      <c r="I85" s="60">
        <v>325000</v>
      </c>
    </row>
    <row r="86" spans="3:9" ht="60" x14ac:dyDescent="0.25">
      <c r="C86" s="58">
        <v>82</v>
      </c>
      <c r="D86" s="58" t="s">
        <v>140</v>
      </c>
      <c r="E86" s="66" t="s">
        <v>268</v>
      </c>
      <c r="F86" s="62"/>
      <c r="G86" s="58">
        <v>1</v>
      </c>
      <c r="H86" s="60">
        <v>280000</v>
      </c>
      <c r="I86" s="60">
        <v>200000</v>
      </c>
    </row>
    <row r="87" spans="3:9" x14ac:dyDescent="0.25">
      <c r="C87" s="63" t="s">
        <v>250</v>
      </c>
      <c r="D87" s="63"/>
      <c r="E87" s="63"/>
      <c r="F87" s="63"/>
      <c r="G87" s="63"/>
      <c r="H87" s="64">
        <f>SUM(H5:H86)</f>
        <v>34998607</v>
      </c>
      <c r="I87" s="64">
        <f>SUM(I5:I86)</f>
        <v>34439774.810000002</v>
      </c>
    </row>
  </sheetData>
  <mergeCells count="17">
    <mergeCell ref="I3:I4"/>
    <mergeCell ref="C87:G87"/>
    <mergeCell ref="E5:E7"/>
    <mergeCell ref="E9:E10"/>
    <mergeCell ref="E11:E14"/>
    <mergeCell ref="E3:E4"/>
    <mergeCell ref="H3:H4"/>
    <mergeCell ref="F82:F83"/>
    <mergeCell ref="F85:F86"/>
    <mergeCell ref="F67:F69"/>
    <mergeCell ref="F70:F72"/>
    <mergeCell ref="F73:F76"/>
    <mergeCell ref="F77:F78"/>
    <mergeCell ref="C3:C4"/>
    <mergeCell ref="D3:D4"/>
    <mergeCell ref="F3:F4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Manas Upmanyu</cp:lastModifiedBy>
  <cp:lastPrinted>2024-10-08T00:07:19Z</cp:lastPrinted>
  <dcterms:created xsi:type="dcterms:W3CDTF">2024-10-03T06:55:19Z</dcterms:created>
  <dcterms:modified xsi:type="dcterms:W3CDTF">2024-10-17T10:09:26Z</dcterms:modified>
</cp:coreProperties>
</file>