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W:\In Progress Files\Yash Bhatnagar\VIS(2024-25)-PL407-357-482 Universal Import Export\WORKING\"/>
    </mc:Choice>
  </mc:AlternateContent>
  <xr:revisionPtr revIDLastSave="0" documentId="13_ncr:1_{3913F52B-F969-4B53-A950-B3658307CEB1}" xr6:coauthVersionLast="47" xr6:coauthVersionMax="47" xr10:uidLastSave="{00000000-0000-0000-0000-000000000000}"/>
  <bookViews>
    <workbookView xWindow="-120" yWindow="-120" windowWidth="21840" windowHeight="13140" activeTab="1" xr2:uid="{00000000-000D-0000-FFFF-FFFF00000000}"/>
  </bookViews>
  <sheets>
    <sheet name="Land" sheetId="3" r:id="rId1"/>
    <sheet name="Building" sheetId="1" r:id="rId2"/>
  </sheets>
  <definedNames>
    <definedName name="_xlnm._FilterDatabase" localSheetId="1" hidden="1">Building!$B$4:$R$11</definedName>
    <definedName name="_xlnm._FilterDatabase" localSheetId="0" hidden="1">Land!$B$3:$N$3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K19" i="3"/>
  <c r="H10" i="1" l="1"/>
  <c r="P10" i="1" s="1"/>
  <c r="N17" i="3"/>
  <c r="H25" i="1"/>
  <c r="Q19" i="1"/>
  <c r="O19" i="1"/>
  <c r="M19" i="1"/>
  <c r="G11" i="1"/>
  <c r="N10" i="1"/>
  <c r="I10" i="1"/>
  <c r="L10" i="1" s="1"/>
  <c r="N9" i="1"/>
  <c r="I9" i="1"/>
  <c r="L9" i="1" s="1"/>
  <c r="N8" i="1"/>
  <c r="I8" i="1"/>
  <c r="L8" i="1" s="1"/>
  <c r="H9" i="1"/>
  <c r="P9" i="1" s="1"/>
  <c r="H8" i="1"/>
  <c r="P8" i="1" s="1"/>
  <c r="H7" i="1"/>
  <c r="H6" i="1"/>
  <c r="I7" i="1"/>
  <c r="I6" i="1"/>
  <c r="I5" i="1"/>
  <c r="N4" i="3"/>
  <c r="L4" i="3"/>
  <c r="Q9" i="1" l="1"/>
  <c r="R19" i="1"/>
  <c r="S19" i="1" s="1"/>
  <c r="Q8" i="1"/>
  <c r="R8" i="1" s="1"/>
  <c r="R9" i="1"/>
  <c r="Q10" i="1"/>
  <c r="O12" i="3"/>
  <c r="O10" i="3"/>
  <c r="J10" i="3"/>
  <c r="R10" i="1" l="1"/>
  <c r="N7" i="1"/>
  <c r="L7" i="1"/>
  <c r="P7" i="1"/>
  <c r="Q7" i="1" l="1"/>
  <c r="R7" i="1" s="1"/>
  <c r="N6" i="1"/>
  <c r="L6" i="1"/>
  <c r="P6" i="1"/>
  <c r="H5" i="1"/>
  <c r="H11" i="1" s="1"/>
  <c r="P5" i="1" l="1"/>
  <c r="P11" i="1" s="1"/>
  <c r="Q6" i="1"/>
  <c r="R6" i="1" s="1"/>
  <c r="S27" i="1" l="1"/>
  <c r="T11" i="1"/>
  <c r="K5" i="3"/>
  <c r="N5" i="3" l="1"/>
  <c r="L5" i="3"/>
  <c r="L5" i="1" l="1"/>
  <c r="P4" i="3" l="1"/>
  <c r="S4" i="3" l="1"/>
  <c r="N5" i="1" l="1"/>
  <c r="Q5" i="1" l="1"/>
  <c r="Q11" i="1" s="1"/>
  <c r="R5" i="1" l="1"/>
  <c r="R11" i="1" l="1"/>
  <c r="T5" i="1"/>
  <c r="S22" i="1" l="1"/>
  <c r="S23" i="1" s="1"/>
  <c r="V11" i="1"/>
  <c r="S24" i="1" l="1"/>
  <c r="S26" i="1" s="1"/>
  <c r="S25" i="1" l="1"/>
</calcChain>
</file>

<file path=xl/sharedStrings.xml><?xml version="1.0" encoding="utf-8"?>
<sst xmlns="http://schemas.openxmlformats.org/spreadsheetml/2006/main" count="84" uniqueCount="68">
  <si>
    <t>S. No.</t>
  </si>
  <si>
    <t>Description</t>
  </si>
  <si>
    <t>Total</t>
  </si>
  <si>
    <t>Year of Valuation</t>
  </si>
  <si>
    <t>Economic Life(in Yrs.)</t>
  </si>
  <si>
    <t>Age 
(in Yrs.)</t>
  </si>
  <si>
    <t>Salvage 
Value</t>
  </si>
  <si>
    <t>Depreciation Rate</t>
  </si>
  <si>
    <t>Plinth Area Rate
(per sq. ft.)</t>
  </si>
  <si>
    <t>GCRC
(in Rs.)</t>
  </si>
  <si>
    <t>Depreciation
(in Rs.)</t>
  </si>
  <si>
    <t>DRC
(in Rs.)</t>
  </si>
  <si>
    <t>Year of Construction</t>
  </si>
  <si>
    <t>TOTAL (A)</t>
  </si>
  <si>
    <t>Value</t>
  </si>
  <si>
    <t>Round up</t>
  </si>
  <si>
    <t>RV</t>
  </si>
  <si>
    <t>DSV</t>
  </si>
  <si>
    <t>Insurance value</t>
  </si>
  <si>
    <t>Plinth Area of Building
(in sq.mt.)</t>
  </si>
  <si>
    <t>Height
(in ft.)</t>
  </si>
  <si>
    <t>No. of Floors</t>
  </si>
  <si>
    <t>Sl. No.</t>
  </si>
  <si>
    <t>Mouza</t>
  </si>
  <si>
    <t>District</t>
  </si>
  <si>
    <t>TOTAL</t>
  </si>
  <si>
    <t>Name</t>
  </si>
  <si>
    <t>L&amp;B</t>
  </si>
  <si>
    <t>Notes:</t>
  </si>
  <si>
    <t>We were unable to measure the covered area of the structure present at site, as owner didn't allowed us to inspect the property. The area has been considered from old valuation report, dated - 13/07/2011, shred with us from bank's end.</t>
  </si>
  <si>
    <t>Type of Agreement</t>
  </si>
  <si>
    <t>Lease</t>
  </si>
  <si>
    <t xml:space="preserve"> Date</t>
  </si>
  <si>
    <t>Lessor</t>
  </si>
  <si>
    <t>Lessee</t>
  </si>
  <si>
    <t>STICE</t>
  </si>
  <si>
    <t>M/s.Universal Hotel Pvt. Ltd.</t>
  </si>
  <si>
    <t>Sinnar</t>
  </si>
  <si>
    <t>Nashik</t>
  </si>
  <si>
    <t>Plot No.</t>
  </si>
  <si>
    <t>S-7</t>
  </si>
  <si>
    <t>Gat Nos,</t>
  </si>
  <si>
    <t>914, 933 &amp; 936</t>
  </si>
  <si>
    <t>Area 
(sq. mt.)</t>
  </si>
  <si>
    <t>Area (Acres)</t>
  </si>
  <si>
    <t>Rate / sq. mt.</t>
  </si>
  <si>
    <t>Ground floor</t>
  </si>
  <si>
    <t xml:space="preserve">RCC </t>
  </si>
  <si>
    <t>First Floor</t>
  </si>
  <si>
    <t>Second Floor</t>
  </si>
  <si>
    <t>Third Floor</t>
  </si>
  <si>
    <t>Fourth Floor</t>
  </si>
  <si>
    <t>Club House</t>
  </si>
  <si>
    <t>Boundary wall</t>
  </si>
  <si>
    <t>NA</t>
  </si>
  <si>
    <t>Length
(in mt.)</t>
  </si>
  <si>
    <t>Length
(in ft.)</t>
  </si>
  <si>
    <t>Rate/running length
(in mt.)</t>
  </si>
  <si>
    <t>Circle rate</t>
  </si>
  <si>
    <t>Circle value</t>
  </si>
  <si>
    <t>1. All the details pertaining to the building area statement such as area, floor, etc has been taken as per the approved building provided.</t>
  </si>
  <si>
    <t>2.The maintenance of the building is good as per site survey</t>
  </si>
  <si>
    <t>3. Age of construction taken from the information as per details provided to us.</t>
  </si>
  <si>
    <t>Type of Structure</t>
  </si>
  <si>
    <t>Built-up Area
(in sq.ft.)</t>
  </si>
  <si>
    <t>Economic Life (in Yrs.)</t>
  </si>
  <si>
    <t>Depreciated Replacement Value
(INR)</t>
  </si>
  <si>
    <t>Gross Replacement value
(INR)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</si>
</sst>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6" formatCode="0.0"/>
  </numFmts>
  <fonts count="9"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12"/>
      <color theme="0"/>
      <name val="Arial"/>
      <family val="2"/>
    </font>
    <font>
      <sz val="11"/>
      <color theme="1"/>
      <name val="Arial"/>
      <family val="2"/>
    </font>
    <font>
      <b/>
      <sz val="11"/>
      <color theme="1"/>
      <name val="Arial"/>
      <family val="2"/>
    </font>
    <font>
      <sz val="11"/>
      <name val="Arial"/>
      <family val="2"/>
    </font>
    <font>
      <b/>
      <i/>
      <sz val="11"/>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2" fillId="0" borderId="0" applyFont="0" applyFill="0" applyBorder="0" applyAlignment="0" applyProtection="0"/>
  </cellStyleXfs>
  <cellXfs count="75">
    <xf numFmtId="0" fontId="0" fillId="0" borderId="0" xfId="0"/>
    <xf numFmtId="0" fontId="0" fillId="0" borderId="0" xfId="0" applyAlignment="1">
      <alignment vertical="top" wrapText="1"/>
    </xf>
    <xf numFmtId="0" fontId="0" fillId="0" borderId="0" xfId="0" applyAlignment="1">
      <alignment horizontal="center" vertical="top"/>
    </xf>
    <xf numFmtId="0" fontId="0" fillId="0" borderId="0" xfId="0" applyAlignment="1">
      <alignment vertical="top"/>
    </xf>
    <xf numFmtId="0" fontId="3" fillId="2" borderId="1" xfId="0" applyFont="1" applyFill="1" applyBorder="1" applyAlignment="1">
      <alignment horizontal="center" vertical="center" wrapText="1"/>
    </xf>
    <xf numFmtId="43" fontId="0" fillId="0" borderId="0" xfId="0" applyNumberFormat="1" applyAlignment="1">
      <alignment vertical="top"/>
    </xf>
    <xf numFmtId="0" fontId="1" fillId="0" borderId="0" xfId="0" applyFont="1" applyAlignment="1">
      <alignment vertical="top"/>
    </xf>
    <xf numFmtId="164" fontId="0" fillId="0" borderId="0" xfId="1" applyNumberFormat="1" applyFont="1" applyAlignment="1">
      <alignment vertical="top"/>
    </xf>
    <xf numFmtId="164" fontId="0" fillId="0" borderId="0" xfId="0" applyNumberFormat="1" applyAlignment="1">
      <alignment vertical="top"/>
    </xf>
    <xf numFmtId="43" fontId="0" fillId="0" borderId="0" xfId="0" applyNumberFormat="1"/>
    <xf numFmtId="0" fontId="4" fillId="2" borderId="1" xfId="0" applyFont="1" applyFill="1" applyBorder="1" applyAlignment="1">
      <alignment horizontal="center" vertical="center" wrapText="1"/>
    </xf>
    <xf numFmtId="164" fontId="5" fillId="0" borderId="1" xfId="1" applyNumberFormat="1" applyFont="1" applyFill="1" applyBorder="1" applyAlignment="1">
      <alignment horizontal="center" vertical="center"/>
    </xf>
    <xf numFmtId="164" fontId="6" fillId="5" borderId="1" xfId="1" applyNumberFormat="1" applyFont="1" applyFill="1" applyBorder="1" applyAlignment="1">
      <alignment horizontal="center" vertical="center"/>
    </xf>
    <xf numFmtId="0" fontId="5"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164" fontId="1" fillId="0" borderId="0" xfId="0" applyNumberFormat="1" applyFont="1" applyAlignment="1">
      <alignment vertical="top"/>
    </xf>
    <xf numFmtId="0" fontId="0" fillId="0" borderId="1" xfId="0" applyBorder="1"/>
    <xf numFmtId="0" fontId="1" fillId="0" borderId="1" xfId="0" applyFont="1" applyBorder="1"/>
    <xf numFmtId="164" fontId="0" fillId="6" borderId="1" xfId="1" applyNumberFormat="1" applyFont="1" applyFill="1" applyBorder="1"/>
    <xf numFmtId="164" fontId="1" fillId="6" borderId="1" xfId="0" applyNumberFormat="1" applyFont="1" applyFill="1" applyBorder="1"/>
    <xf numFmtId="164" fontId="0" fillId="0" borderId="0" xfId="0" applyNumberFormat="1"/>
    <xf numFmtId="1" fontId="7" fillId="4" borderId="1" xfId="0" quotePrefix="1" applyNumberFormat="1" applyFont="1" applyFill="1" applyBorder="1" applyAlignment="1">
      <alignment horizontal="center" vertical="center" wrapText="1"/>
    </xf>
    <xf numFmtId="0" fontId="0" fillId="0" borderId="5" xfId="0" applyBorder="1"/>
    <xf numFmtId="164" fontId="0" fillId="6" borderId="5" xfId="0" applyNumberFormat="1" applyFill="1" applyBorder="1"/>
    <xf numFmtId="0" fontId="0" fillId="0" borderId="9" xfId="0" applyBorder="1"/>
    <xf numFmtId="0" fontId="0" fillId="0" borderId="10" xfId="0" applyBorder="1"/>
    <xf numFmtId="164" fontId="6" fillId="5" borderId="3" xfId="1" applyNumberFormat="1" applyFont="1" applyFill="1" applyBorder="1" applyAlignment="1">
      <alignment horizontal="center" vertical="center"/>
    </xf>
    <xf numFmtId="43" fontId="5" fillId="0" borderId="1" xfId="1" applyFont="1" applyFill="1" applyBorder="1" applyAlignment="1">
      <alignment horizontal="center" vertical="center"/>
    </xf>
    <xf numFmtId="164" fontId="7" fillId="4" borderId="1" xfId="1" quotePrefix="1" applyNumberFormat="1" applyFont="1" applyFill="1" applyBorder="1" applyAlignment="1">
      <alignment horizontal="center" vertical="center" wrapText="1"/>
    </xf>
    <xf numFmtId="0" fontId="1" fillId="3" borderId="3" xfId="0" applyFont="1" applyFill="1" applyBorder="1" applyAlignment="1">
      <alignment horizontal="center" vertical="center"/>
    </xf>
    <xf numFmtId="164" fontId="1" fillId="3" borderId="1" xfId="0" applyNumberFormat="1" applyFont="1" applyFill="1" applyBorder="1"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164" fontId="0" fillId="0" borderId="1" xfId="1" applyNumberFormat="1" applyFont="1" applyFill="1" applyBorder="1" applyAlignment="1">
      <alignment horizontal="center" vertical="center" wrapText="1"/>
    </xf>
    <xf numFmtId="0" fontId="0" fillId="0" borderId="1" xfId="0" applyBorder="1" applyAlignment="1">
      <alignment vertical="center"/>
    </xf>
    <xf numFmtId="9" fontId="0" fillId="0" borderId="1" xfId="0" applyNumberFormat="1" applyBorder="1" applyAlignment="1">
      <alignment vertical="center"/>
    </xf>
    <xf numFmtId="43" fontId="0" fillId="0" borderId="1" xfId="1" applyFont="1" applyFill="1" applyBorder="1" applyAlignment="1">
      <alignment vertical="center"/>
    </xf>
    <xf numFmtId="164" fontId="0" fillId="0" borderId="1" xfId="1" applyNumberFormat="1" applyFont="1" applyFill="1" applyBorder="1" applyAlignment="1">
      <alignment vertical="center"/>
    </xf>
    <xf numFmtId="164" fontId="0" fillId="0" borderId="1" xfId="0" applyNumberFormat="1" applyBorder="1" applyAlignment="1">
      <alignment vertical="center"/>
    </xf>
    <xf numFmtId="0" fontId="0" fillId="0" borderId="4" xfId="0" applyBorder="1" applyAlignment="1">
      <alignment vertical="center" wrapText="1"/>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9" fontId="0" fillId="0" borderId="1" xfId="0" applyNumberFormat="1" applyBorder="1" applyAlignment="1">
      <alignment horizontal="center" vertical="center"/>
    </xf>
    <xf numFmtId="0" fontId="8" fillId="0" borderId="1" xfId="0" applyFont="1" applyBorder="1" applyAlignment="1">
      <alignment vertical="top"/>
    </xf>
    <xf numFmtId="166" fontId="0" fillId="0" borderId="0" xfId="0" applyNumberFormat="1"/>
    <xf numFmtId="164" fontId="6" fillId="5" borderId="2" xfId="1" applyNumberFormat="1" applyFont="1" applyFill="1" applyBorder="1" applyAlignment="1">
      <alignment horizontal="center" vertical="center"/>
    </xf>
    <xf numFmtId="164" fontId="6" fillId="5" borderId="4" xfId="1" applyNumberFormat="1" applyFont="1" applyFill="1" applyBorder="1" applyAlignment="1">
      <alignment horizontal="center" vertical="center"/>
    </xf>
    <xf numFmtId="0" fontId="8" fillId="0" borderId="6" xfId="0" applyFont="1" applyBorder="1" applyAlignment="1">
      <alignment horizontal="left"/>
    </xf>
    <xf numFmtId="0" fontId="8" fillId="0" borderId="7" xfId="0" applyFont="1" applyBorder="1" applyAlignment="1">
      <alignment horizontal="left"/>
    </xf>
    <xf numFmtId="0" fontId="8" fillId="0" borderId="8" xfId="0" applyFont="1" applyBorder="1" applyAlignment="1">
      <alignment horizontal="left"/>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164" fontId="0" fillId="0" borderId="1" xfId="1" applyNumberFormat="1" applyFont="1" applyFill="1" applyBorder="1" applyAlignment="1">
      <alignment horizontal="center" vertical="center"/>
    </xf>
    <xf numFmtId="43" fontId="0" fillId="0" borderId="1" xfId="1" applyNumberFormat="1" applyFont="1" applyFill="1" applyBorder="1" applyAlignment="1">
      <alignment horizontal="center" vertical="center"/>
    </xf>
    <xf numFmtId="43" fontId="1" fillId="3" borderId="1" xfId="0" applyNumberFormat="1" applyFont="1" applyFill="1" applyBorder="1" applyAlignment="1">
      <alignment horizontal="center" vertical="center"/>
    </xf>
    <xf numFmtId="164" fontId="1" fillId="3" borderId="1" xfId="0" applyNumberFormat="1" applyFont="1" applyFill="1" applyBorder="1" applyAlignment="1">
      <alignment horizontal="center" vertical="center"/>
    </xf>
    <xf numFmtId="0" fontId="0" fillId="0" borderId="2" xfId="0" applyBorder="1" applyAlignment="1">
      <alignment horizontal="left" vertical="top" wrapText="1"/>
    </xf>
    <xf numFmtId="0" fontId="0" fillId="0" borderId="4" xfId="0" applyBorder="1" applyAlignment="1">
      <alignment horizontal="left" vertical="top" wrapText="1"/>
    </xf>
    <xf numFmtId="0" fontId="8" fillId="0" borderId="2" xfId="0" applyFont="1" applyBorder="1" applyAlignment="1">
      <alignment horizontal="left" vertical="top"/>
    </xf>
    <xf numFmtId="0" fontId="8" fillId="0" borderId="4" xfId="0" applyFont="1" applyBorder="1" applyAlignment="1">
      <alignment horizontal="left" vertical="top"/>
    </xf>
    <xf numFmtId="0" fontId="8" fillId="0" borderId="3" xfId="0" applyFont="1" applyBorder="1" applyAlignment="1">
      <alignment horizontal="left" vertical="top"/>
    </xf>
    <xf numFmtId="0" fontId="0" fillId="0" borderId="1" xfId="0" applyBorder="1" applyAlignment="1">
      <alignment vertical="top"/>
    </xf>
    <xf numFmtId="0" fontId="0" fillId="0" borderId="3" xfId="0" applyBorder="1" applyAlignment="1">
      <alignment vertical="top" wrapText="1"/>
    </xf>
    <xf numFmtId="0" fontId="0" fillId="0" borderId="2" xfId="0" applyBorder="1" applyAlignment="1">
      <alignment horizontal="left" vertical="top"/>
    </xf>
    <xf numFmtId="0" fontId="0" fillId="0" borderId="4" xfId="0" applyBorder="1" applyAlignment="1">
      <alignment horizontal="left" vertical="top"/>
    </xf>
    <xf numFmtId="0" fontId="0" fillId="0" borderId="3" xfId="0" applyBorder="1" applyAlignment="1">
      <alignment horizontal="left" vertical="top"/>
    </xf>
    <xf numFmtId="0" fontId="3" fillId="2" borderId="1"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S19"/>
  <sheetViews>
    <sheetView zoomScale="85" zoomScaleNormal="85" workbookViewId="0">
      <selection activeCell="N5" sqref="N5"/>
    </sheetView>
  </sheetViews>
  <sheetFormatPr defaultRowHeight="15" x14ac:dyDescent="0.25"/>
  <cols>
    <col min="2" max="2" width="8.7109375" customWidth="1"/>
    <col min="3" max="3" width="15.7109375" customWidth="1"/>
    <col min="4" max="5" width="16.42578125" customWidth="1"/>
    <col min="6" max="6" width="17.85546875" customWidth="1"/>
    <col min="7" max="7" width="15.140625" customWidth="1"/>
    <col min="8" max="8" width="12.5703125" customWidth="1"/>
    <col min="9" max="9" width="9.140625" customWidth="1"/>
    <col min="10" max="10" width="11.7109375" customWidth="1"/>
    <col min="11" max="11" width="13.42578125" customWidth="1"/>
    <col min="12" max="12" width="12.28515625" customWidth="1"/>
    <col min="13" max="13" width="16.85546875" customWidth="1"/>
    <col min="14" max="14" width="16.7109375" customWidth="1"/>
    <col min="16" max="16" width="11.5703125" bestFit="1" customWidth="1"/>
  </cols>
  <sheetData>
    <row r="3" spans="2:19" ht="41.25" customHeight="1" x14ac:dyDescent="0.25">
      <c r="B3" s="10" t="s">
        <v>22</v>
      </c>
      <c r="C3" s="10" t="s">
        <v>30</v>
      </c>
      <c r="D3" s="10" t="s">
        <v>32</v>
      </c>
      <c r="E3" s="10" t="s">
        <v>33</v>
      </c>
      <c r="F3" s="10" t="s">
        <v>34</v>
      </c>
      <c r="G3" s="10" t="s">
        <v>23</v>
      </c>
      <c r="H3" s="10" t="s">
        <v>24</v>
      </c>
      <c r="I3" s="10" t="s">
        <v>39</v>
      </c>
      <c r="J3" s="10" t="s">
        <v>41</v>
      </c>
      <c r="K3" s="10" t="s">
        <v>43</v>
      </c>
      <c r="L3" s="10" t="s">
        <v>44</v>
      </c>
      <c r="M3" s="10" t="s">
        <v>45</v>
      </c>
      <c r="N3" s="10" t="s">
        <v>14</v>
      </c>
    </row>
    <row r="4" spans="2:19" ht="34.5" customHeight="1" x14ac:dyDescent="0.25">
      <c r="B4" s="13">
        <v>1</v>
      </c>
      <c r="C4" s="13" t="s">
        <v>31</v>
      </c>
      <c r="D4" s="14">
        <v>36270</v>
      </c>
      <c r="E4" s="15" t="s">
        <v>35</v>
      </c>
      <c r="F4" s="15" t="s">
        <v>36</v>
      </c>
      <c r="G4" s="16" t="s">
        <v>37</v>
      </c>
      <c r="H4" s="16" t="s">
        <v>38</v>
      </c>
      <c r="I4" s="16" t="s">
        <v>40</v>
      </c>
      <c r="J4" s="23" t="s">
        <v>42</v>
      </c>
      <c r="K4" s="30">
        <v>6000</v>
      </c>
      <c r="L4" s="29">
        <f>K4/4046.86</f>
        <v>1.4826309780916562</v>
      </c>
      <c r="M4" s="11">
        <v>6500</v>
      </c>
      <c r="N4" s="11">
        <f>M4*K4</f>
        <v>39000000</v>
      </c>
      <c r="P4" s="9">
        <f>M4/60</f>
        <v>108.33333333333333</v>
      </c>
      <c r="S4">
        <f>1146.8/60</f>
        <v>19.113333333333333</v>
      </c>
    </row>
    <row r="5" spans="2:19" ht="26.25" customHeight="1" x14ac:dyDescent="0.25">
      <c r="B5" s="49" t="s">
        <v>25</v>
      </c>
      <c r="C5" s="50"/>
      <c r="D5" s="50"/>
      <c r="E5" s="50"/>
      <c r="F5" s="50"/>
      <c r="G5" s="50"/>
      <c r="H5" s="50"/>
      <c r="I5" s="50"/>
      <c r="J5" s="50"/>
      <c r="K5" s="28">
        <f>SUM(K4:K4)</f>
        <v>6000</v>
      </c>
      <c r="L5" s="12">
        <f>SUM(L4:L4)</f>
        <v>1.4826309780916562</v>
      </c>
      <c r="M5" s="12"/>
      <c r="N5" s="12">
        <f>SUM(N4:N4)</f>
        <v>39000000</v>
      </c>
    </row>
    <row r="6" spans="2:19" x14ac:dyDescent="0.25">
      <c r="B6" s="51" t="s">
        <v>28</v>
      </c>
      <c r="C6" s="52"/>
      <c r="D6" s="52"/>
      <c r="E6" s="52"/>
      <c r="F6" s="52"/>
      <c r="G6" s="52"/>
      <c r="H6" s="52"/>
      <c r="I6" s="52"/>
      <c r="J6" s="52"/>
      <c r="K6" s="52"/>
      <c r="L6" s="52"/>
      <c r="M6" s="52"/>
      <c r="N6" s="53"/>
    </row>
    <row r="7" spans="2:19" ht="29.25" customHeight="1" x14ac:dyDescent="0.25">
      <c r="B7" s="26" t="s">
        <v>29</v>
      </c>
      <c r="N7" s="27"/>
    </row>
    <row r="8" spans="2:19" x14ac:dyDescent="0.25">
      <c r="B8" s="54"/>
      <c r="C8" s="55"/>
      <c r="D8" s="55"/>
      <c r="E8" s="55"/>
      <c r="F8" s="55"/>
      <c r="G8" s="55"/>
      <c r="H8" s="55"/>
      <c r="I8" s="55"/>
      <c r="J8" s="55"/>
      <c r="K8" s="55"/>
      <c r="L8" s="55"/>
      <c r="M8" s="55"/>
      <c r="N8" s="56"/>
      <c r="O8">
        <v>850000</v>
      </c>
    </row>
    <row r="9" spans="2:19" x14ac:dyDescent="0.25">
      <c r="L9" s="24"/>
      <c r="M9" s="25"/>
      <c r="O9">
        <v>720</v>
      </c>
    </row>
    <row r="10" spans="2:19" x14ac:dyDescent="0.25">
      <c r="J10">
        <f>330*720</f>
        <v>237600</v>
      </c>
      <c r="L10" s="18"/>
      <c r="M10" s="20"/>
      <c r="O10">
        <f>O8/O9</f>
        <v>1180.5555555555557</v>
      </c>
    </row>
    <row r="11" spans="2:19" x14ac:dyDescent="0.25">
      <c r="L11" s="19"/>
      <c r="M11" s="21"/>
    </row>
    <row r="12" spans="2:19" x14ac:dyDescent="0.25">
      <c r="O12">
        <f>1250*720</f>
        <v>900000</v>
      </c>
    </row>
    <row r="13" spans="2:19" x14ac:dyDescent="0.25">
      <c r="M13" s="22"/>
    </row>
    <row r="14" spans="2:19" x14ac:dyDescent="0.25">
      <c r="M14" s="22"/>
    </row>
    <row r="16" spans="2:19" x14ac:dyDescent="0.25">
      <c r="N16">
        <v>27050</v>
      </c>
    </row>
    <row r="17" spans="10:14" x14ac:dyDescent="0.25">
      <c r="J17" t="s">
        <v>58</v>
      </c>
      <c r="K17">
        <v>1070</v>
      </c>
      <c r="N17" s="48">
        <f>N16/10.7639</f>
        <v>2513.0296639693793</v>
      </c>
    </row>
    <row r="19" spans="10:14" x14ac:dyDescent="0.25">
      <c r="J19" t="s">
        <v>59</v>
      </c>
      <c r="K19" s="22">
        <f>K17*K4</f>
        <v>6420000</v>
      </c>
    </row>
  </sheetData>
  <mergeCells count="3">
    <mergeCell ref="B5:J5"/>
    <mergeCell ref="B6:N6"/>
    <mergeCell ref="B8:N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B27"/>
  <sheetViews>
    <sheetView tabSelected="1" topLeftCell="D7" zoomScale="95" zoomScaleNormal="95" workbookViewId="0">
      <selection activeCell="S24" sqref="S24"/>
    </sheetView>
  </sheetViews>
  <sheetFormatPr defaultRowHeight="15" x14ac:dyDescent="0.25"/>
  <cols>
    <col min="1" max="1" width="9.140625" style="3" customWidth="1"/>
    <col min="2" max="2" width="5.85546875" style="2" customWidth="1"/>
    <col min="3" max="3" width="11.5703125" style="1" customWidth="1"/>
    <col min="4" max="4" width="16.5703125" style="1" customWidth="1"/>
    <col min="5" max="6" width="7.5703125" style="1" customWidth="1"/>
    <col min="7" max="8" width="13.7109375" style="2" customWidth="1"/>
    <col min="9" max="9" width="7.28515625" style="2" customWidth="1"/>
    <col min="10" max="10" width="12.85546875" style="2" customWidth="1"/>
    <col min="11" max="11" width="10.42578125" style="3" customWidth="1"/>
    <col min="12" max="13" width="11.5703125" style="3" customWidth="1"/>
    <col min="14" max="14" width="10.85546875" style="3" customWidth="1"/>
    <col min="15" max="15" width="12.42578125" style="3" customWidth="1"/>
    <col min="16" max="16" width="14.5703125" style="3" customWidth="1"/>
    <col min="17" max="17" width="14" style="3" customWidth="1"/>
    <col min="18" max="18" width="13.7109375" style="3" customWidth="1"/>
    <col min="19" max="19" width="15" style="3" bestFit="1" customWidth="1"/>
    <col min="20" max="20" width="10.5703125" style="3" bestFit="1" customWidth="1"/>
    <col min="21" max="23" width="9.140625" style="3"/>
    <col min="24" max="24" width="15" style="3" bestFit="1" customWidth="1"/>
    <col min="25" max="16384" width="9.140625" style="3"/>
  </cols>
  <sheetData>
    <row r="1" spans="2:28" x14ac:dyDescent="0.25">
      <c r="L1" s="5"/>
    </row>
    <row r="2" spans="2:28" x14ac:dyDescent="0.25">
      <c r="B2" s="6"/>
      <c r="C2" s="6"/>
      <c r="D2" s="6"/>
      <c r="E2" s="6"/>
      <c r="F2" s="6"/>
      <c r="G2" s="6"/>
      <c r="H2" s="6"/>
      <c r="I2" s="6"/>
      <c r="J2" s="6"/>
    </row>
    <row r="3" spans="2:28" x14ac:dyDescent="0.25">
      <c r="B3" s="6"/>
      <c r="C3" s="6"/>
      <c r="D3" s="6"/>
      <c r="E3" s="6"/>
      <c r="F3" s="6"/>
      <c r="G3" s="17"/>
      <c r="H3" s="17"/>
      <c r="I3" s="6"/>
      <c r="J3" s="6"/>
      <c r="Q3" s="17"/>
      <c r="R3" s="17"/>
      <c r="S3" s="17"/>
    </row>
    <row r="4" spans="2:28" s="1" customFormat="1" ht="60" x14ac:dyDescent="0.25">
      <c r="B4" s="4" t="s">
        <v>0</v>
      </c>
      <c r="C4" s="4" t="s">
        <v>26</v>
      </c>
      <c r="D4" s="74" t="s">
        <v>63</v>
      </c>
      <c r="E4" s="4" t="s">
        <v>21</v>
      </c>
      <c r="F4" s="4" t="s">
        <v>20</v>
      </c>
      <c r="G4" s="4" t="s">
        <v>19</v>
      </c>
      <c r="H4" s="4" t="s">
        <v>64</v>
      </c>
      <c r="I4" s="4" t="s">
        <v>12</v>
      </c>
      <c r="J4" s="4" t="s">
        <v>3</v>
      </c>
      <c r="K4" s="4" t="s">
        <v>65</v>
      </c>
      <c r="L4" s="4" t="s">
        <v>5</v>
      </c>
      <c r="M4" s="4" t="s">
        <v>6</v>
      </c>
      <c r="N4" s="4" t="s">
        <v>7</v>
      </c>
      <c r="O4" s="4" t="s">
        <v>8</v>
      </c>
      <c r="P4" s="4" t="s">
        <v>67</v>
      </c>
      <c r="Q4" s="4" t="s">
        <v>10</v>
      </c>
      <c r="R4" s="4" t="s">
        <v>66</v>
      </c>
    </row>
    <row r="5" spans="2:28" ht="30" customHeight="1" x14ac:dyDescent="0.25">
      <c r="B5" s="35">
        <v>1</v>
      </c>
      <c r="C5" s="36" t="s">
        <v>46</v>
      </c>
      <c r="D5" s="36" t="s">
        <v>47</v>
      </c>
      <c r="E5" s="36">
        <v>1</v>
      </c>
      <c r="F5" s="37">
        <v>10</v>
      </c>
      <c r="G5" s="61">
        <v>562.85</v>
      </c>
      <c r="H5" s="60">
        <f>G5*10.76</f>
        <v>6056.2660000000005</v>
      </c>
      <c r="I5" s="35">
        <f>J5-32</f>
        <v>1992</v>
      </c>
      <c r="J5" s="38">
        <v>2024</v>
      </c>
      <c r="K5" s="38">
        <v>70</v>
      </c>
      <c r="L5" s="38">
        <f>J5-I5</f>
        <v>32</v>
      </c>
      <c r="M5" s="39">
        <v>0.1</v>
      </c>
      <c r="N5" s="40">
        <f>(1-M5)/K5</f>
        <v>1.2857142857142857E-2</v>
      </c>
      <c r="O5" s="41">
        <v>2000</v>
      </c>
      <c r="P5" s="42">
        <f>O5*H5</f>
        <v>12112532.000000002</v>
      </c>
      <c r="Q5" s="42">
        <f>P5*N5*IF(L5&gt;K5,K5,L5)</f>
        <v>4983441.7371428581</v>
      </c>
      <c r="R5" s="42">
        <f>P5-Q5</f>
        <v>7129090.2628571438</v>
      </c>
      <c r="T5" s="3">
        <f>R5/H5</f>
        <v>1177.1428571428571</v>
      </c>
      <c r="Z5" s="3">
        <v>1</v>
      </c>
      <c r="AA5" s="3">
        <v>50000</v>
      </c>
      <c r="AB5" s="3">
        <v>101.17</v>
      </c>
    </row>
    <row r="6" spans="2:28" ht="30" customHeight="1" x14ac:dyDescent="0.25">
      <c r="B6" s="35">
        <v>2</v>
      </c>
      <c r="C6" s="36" t="s">
        <v>48</v>
      </c>
      <c r="D6" s="36" t="s">
        <v>47</v>
      </c>
      <c r="E6" s="36">
        <v>1</v>
      </c>
      <c r="F6" s="37">
        <v>10</v>
      </c>
      <c r="G6" s="61">
        <v>644.25</v>
      </c>
      <c r="H6" s="60">
        <f t="shared" ref="H6:H9" si="0">G6*10.76</f>
        <v>6932.13</v>
      </c>
      <c r="I6" s="35">
        <f t="shared" ref="I6:I10" si="1">J6-32</f>
        <v>1992</v>
      </c>
      <c r="J6" s="38">
        <v>2024</v>
      </c>
      <c r="K6" s="38">
        <v>70</v>
      </c>
      <c r="L6" s="38">
        <f>J6-I6</f>
        <v>32</v>
      </c>
      <c r="M6" s="39">
        <v>0.1</v>
      </c>
      <c r="N6" s="40">
        <f>(1-M6)/K6</f>
        <v>1.2857142857142857E-2</v>
      </c>
      <c r="O6" s="41">
        <v>2000</v>
      </c>
      <c r="P6" s="42">
        <f>O6*H6</f>
        <v>13864260</v>
      </c>
      <c r="Q6" s="42">
        <f>P6*N6*IF(L6&gt;K6,K6,L6)</f>
        <v>5704152.6857142858</v>
      </c>
      <c r="R6" s="42">
        <f>P6-Q6</f>
        <v>8160107.3142857142</v>
      </c>
    </row>
    <row r="7" spans="2:28" ht="30" customHeight="1" x14ac:dyDescent="0.25">
      <c r="B7" s="35">
        <v>3</v>
      </c>
      <c r="C7" s="36" t="s">
        <v>49</v>
      </c>
      <c r="D7" s="36" t="s">
        <v>47</v>
      </c>
      <c r="E7" s="36">
        <v>1</v>
      </c>
      <c r="F7" s="37">
        <v>10</v>
      </c>
      <c r="G7" s="61">
        <v>469.6</v>
      </c>
      <c r="H7" s="60">
        <f t="shared" si="0"/>
        <v>5052.8959999999997</v>
      </c>
      <c r="I7" s="35">
        <f t="shared" si="1"/>
        <v>1992</v>
      </c>
      <c r="J7" s="38">
        <v>2024</v>
      </c>
      <c r="K7" s="38">
        <v>70</v>
      </c>
      <c r="L7" s="38">
        <f>J7-I7</f>
        <v>32</v>
      </c>
      <c r="M7" s="39">
        <v>0.1</v>
      </c>
      <c r="N7" s="40">
        <f>(1-M7)/K7</f>
        <v>1.2857142857142857E-2</v>
      </c>
      <c r="O7" s="41">
        <v>2000</v>
      </c>
      <c r="P7" s="42">
        <f>O7*H7</f>
        <v>10105792</v>
      </c>
      <c r="Q7" s="42">
        <f>P7*N7*IF(L7&gt;K7,K7,L7)</f>
        <v>4157811.5657142857</v>
      </c>
      <c r="R7" s="42">
        <f>P7-Q7</f>
        <v>5947980.4342857143</v>
      </c>
    </row>
    <row r="8" spans="2:28" ht="30" customHeight="1" x14ac:dyDescent="0.25">
      <c r="B8" s="35">
        <v>4</v>
      </c>
      <c r="C8" s="43" t="s">
        <v>50</v>
      </c>
      <c r="D8" s="36" t="s">
        <v>47</v>
      </c>
      <c r="E8" s="36">
        <v>1</v>
      </c>
      <c r="F8" s="37">
        <v>10</v>
      </c>
      <c r="G8" s="61">
        <v>487.7</v>
      </c>
      <c r="H8" s="60">
        <f t="shared" si="0"/>
        <v>5247.652</v>
      </c>
      <c r="I8" s="35">
        <f t="shared" si="1"/>
        <v>1992</v>
      </c>
      <c r="J8" s="38">
        <v>2024</v>
      </c>
      <c r="K8" s="38">
        <v>70</v>
      </c>
      <c r="L8" s="38">
        <f>J8-I8</f>
        <v>32</v>
      </c>
      <c r="M8" s="39">
        <v>0.1</v>
      </c>
      <c r="N8" s="40">
        <f>(1-M8)/K8</f>
        <v>1.2857142857142857E-2</v>
      </c>
      <c r="O8" s="41">
        <v>2000</v>
      </c>
      <c r="P8" s="42">
        <f>O8*H8</f>
        <v>10495304</v>
      </c>
      <c r="Q8" s="42">
        <f>P8*N8*IF(L8&gt;K8,K8,L8)</f>
        <v>4318067.9314285712</v>
      </c>
      <c r="R8" s="42">
        <f>P8-Q8</f>
        <v>6177236.0685714288</v>
      </c>
    </row>
    <row r="9" spans="2:28" ht="30" customHeight="1" x14ac:dyDescent="0.25">
      <c r="B9" s="35">
        <v>5</v>
      </c>
      <c r="C9" s="43" t="s">
        <v>51</v>
      </c>
      <c r="D9" s="36" t="s">
        <v>47</v>
      </c>
      <c r="E9" s="36">
        <v>1</v>
      </c>
      <c r="F9" s="37">
        <v>10</v>
      </c>
      <c r="G9" s="61">
        <v>481.58</v>
      </c>
      <c r="H9" s="60">
        <f t="shared" si="0"/>
        <v>5181.8008</v>
      </c>
      <c r="I9" s="35">
        <f t="shared" si="1"/>
        <v>1992</v>
      </c>
      <c r="J9" s="38">
        <v>2024</v>
      </c>
      <c r="K9" s="38">
        <v>70</v>
      </c>
      <c r="L9" s="38">
        <f t="shared" ref="L9:L10" si="2">J9-I9</f>
        <v>32</v>
      </c>
      <c r="M9" s="39">
        <v>0.1</v>
      </c>
      <c r="N9" s="40">
        <f t="shared" ref="N9:N10" si="3">(1-M9)/K9</f>
        <v>1.2857142857142857E-2</v>
      </c>
      <c r="O9" s="41">
        <v>2000</v>
      </c>
      <c r="P9" s="42">
        <f>O9*H9</f>
        <v>10363601.6</v>
      </c>
      <c r="Q9" s="42">
        <f t="shared" ref="Q9:Q10" si="4">P9*N9*IF(L9&gt;K9,K9,L9)</f>
        <v>4263881.8011428565</v>
      </c>
      <c r="R9" s="42">
        <f t="shared" ref="R9:R10" si="5">P9-Q9</f>
        <v>6099719.7988571431</v>
      </c>
    </row>
    <row r="10" spans="2:28" ht="30" customHeight="1" x14ac:dyDescent="0.25">
      <c r="B10" s="35">
        <v>6</v>
      </c>
      <c r="C10" s="43" t="s">
        <v>52</v>
      </c>
      <c r="D10" s="36" t="s">
        <v>47</v>
      </c>
      <c r="E10" s="36">
        <v>1</v>
      </c>
      <c r="F10" s="37">
        <v>10</v>
      </c>
      <c r="G10" s="61">
        <v>160</v>
      </c>
      <c r="H10" s="60">
        <f>G10*10.76</f>
        <v>1721.6</v>
      </c>
      <c r="I10" s="35">
        <f t="shared" si="1"/>
        <v>1992</v>
      </c>
      <c r="J10" s="38">
        <v>2024</v>
      </c>
      <c r="K10" s="38">
        <v>70</v>
      </c>
      <c r="L10" s="38">
        <f t="shared" si="2"/>
        <v>32</v>
      </c>
      <c r="M10" s="39">
        <v>0.1</v>
      </c>
      <c r="N10" s="40">
        <f t="shared" si="3"/>
        <v>1.2857142857142857E-2</v>
      </c>
      <c r="O10" s="41">
        <v>2000</v>
      </c>
      <c r="P10" s="42">
        <f>O10*H10</f>
        <v>3443200</v>
      </c>
      <c r="Q10" s="42">
        <f t="shared" si="4"/>
        <v>1416630.857142857</v>
      </c>
      <c r="R10" s="42">
        <f t="shared" si="5"/>
        <v>2026569.142857143</v>
      </c>
    </row>
    <row r="11" spans="2:28" ht="24.75" customHeight="1" x14ac:dyDescent="0.25">
      <c r="B11" s="57" t="s">
        <v>13</v>
      </c>
      <c r="C11" s="58"/>
      <c r="D11" s="59"/>
      <c r="E11" s="31"/>
      <c r="F11" s="31"/>
      <c r="G11" s="62">
        <f>SUM(G5:G10)</f>
        <v>2805.9799999999996</v>
      </c>
      <c r="H11" s="63">
        <f>SUM(H5:H10)</f>
        <v>30192.344800000003</v>
      </c>
      <c r="I11" s="33"/>
      <c r="J11" s="34"/>
      <c r="K11" s="34"/>
      <c r="L11" s="34"/>
      <c r="M11" s="34"/>
      <c r="N11" s="34"/>
      <c r="O11" s="34"/>
      <c r="P11" s="32">
        <f t="shared" ref="P11:R11" si="6">SUM(P5:P10)</f>
        <v>60384689.600000001</v>
      </c>
      <c r="Q11" s="32">
        <f t="shared" si="6"/>
        <v>24843986.578285713</v>
      </c>
      <c r="R11" s="32">
        <f t="shared" si="6"/>
        <v>35540703.021714285</v>
      </c>
      <c r="T11" s="7">
        <f>P11/$G$11</f>
        <v>21520.000000000004</v>
      </c>
      <c r="V11" s="7">
        <f>R11/$G$11</f>
        <v>12666.057142857144</v>
      </c>
      <c r="X11" s="5"/>
    </row>
    <row r="12" spans="2:28" x14ac:dyDescent="0.25">
      <c r="B12" s="66" t="s">
        <v>28</v>
      </c>
      <c r="C12" s="67"/>
      <c r="D12" s="67"/>
      <c r="E12" s="67"/>
      <c r="F12" s="67"/>
      <c r="G12" s="67"/>
      <c r="H12" s="67"/>
      <c r="I12" s="67"/>
      <c r="J12" s="67"/>
      <c r="K12" s="67"/>
      <c r="L12" s="67"/>
      <c r="M12" s="67"/>
      <c r="N12" s="67"/>
      <c r="O12" s="67"/>
      <c r="P12" s="67"/>
      <c r="Q12" s="67"/>
      <c r="R12" s="68"/>
      <c r="S12" s="47"/>
    </row>
    <row r="13" spans="2:28" ht="17.25" customHeight="1" x14ac:dyDescent="0.25">
      <c r="B13" s="71" t="s">
        <v>60</v>
      </c>
      <c r="C13" s="72"/>
      <c r="D13" s="72"/>
      <c r="E13" s="72"/>
      <c r="F13" s="72"/>
      <c r="G13" s="72"/>
      <c r="H13" s="72"/>
      <c r="I13" s="72"/>
      <c r="J13" s="72"/>
      <c r="K13" s="72"/>
      <c r="L13" s="72"/>
      <c r="M13" s="72"/>
      <c r="N13" s="72"/>
      <c r="O13" s="72"/>
      <c r="P13" s="72"/>
      <c r="Q13" s="72"/>
      <c r="R13" s="73"/>
      <c r="S13" s="69"/>
    </row>
    <row r="14" spans="2:28" ht="17.25" customHeight="1" x14ac:dyDescent="0.25">
      <c r="B14" s="64" t="s">
        <v>61</v>
      </c>
      <c r="C14" s="65"/>
      <c r="D14" s="65"/>
      <c r="E14" s="65"/>
      <c r="F14" s="65"/>
      <c r="G14" s="65"/>
      <c r="H14" s="65"/>
      <c r="I14" s="65"/>
      <c r="J14" s="65"/>
      <c r="K14" s="65"/>
      <c r="L14" s="65"/>
      <c r="M14" s="65"/>
      <c r="N14" s="65"/>
      <c r="O14" s="65"/>
      <c r="P14" s="65"/>
      <c r="Q14" s="65"/>
      <c r="R14" s="65"/>
      <c r="S14" s="70"/>
    </row>
    <row r="15" spans="2:28" ht="17.25" customHeight="1" x14ac:dyDescent="0.25">
      <c r="B15" s="64" t="s">
        <v>62</v>
      </c>
      <c r="C15" s="65"/>
      <c r="D15" s="65"/>
      <c r="E15" s="65"/>
      <c r="F15" s="65"/>
      <c r="G15" s="65"/>
      <c r="H15" s="65"/>
      <c r="I15" s="65"/>
      <c r="J15" s="65"/>
      <c r="K15" s="65"/>
      <c r="L15" s="65"/>
      <c r="M15" s="65"/>
      <c r="N15" s="65"/>
      <c r="O15" s="65"/>
      <c r="P15" s="65"/>
      <c r="Q15" s="65"/>
      <c r="R15" s="65"/>
      <c r="S15" s="70"/>
    </row>
    <row r="16" spans="2:28" x14ac:dyDescent="0.25">
      <c r="S16" s="7"/>
    </row>
    <row r="18" spans="2:20" ht="45" x14ac:dyDescent="0.25">
      <c r="B18" s="4" t="s">
        <v>0</v>
      </c>
      <c r="C18" s="4" t="s">
        <v>26</v>
      </c>
      <c r="D18" s="4" t="s">
        <v>1</v>
      </c>
      <c r="E18" s="4" t="s">
        <v>21</v>
      </c>
      <c r="F18" s="4"/>
      <c r="G18" s="4" t="s">
        <v>55</v>
      </c>
      <c r="H18" s="4" t="s">
        <v>56</v>
      </c>
      <c r="I18" s="4" t="s">
        <v>20</v>
      </c>
      <c r="J18" s="4" t="s">
        <v>12</v>
      </c>
      <c r="K18" s="4" t="s">
        <v>3</v>
      </c>
      <c r="L18" s="4" t="s">
        <v>4</v>
      </c>
      <c r="M18" s="4" t="s">
        <v>5</v>
      </c>
      <c r="N18" s="4" t="s">
        <v>6</v>
      </c>
      <c r="O18" s="4" t="s">
        <v>7</v>
      </c>
      <c r="P18" s="4" t="s">
        <v>57</v>
      </c>
      <c r="Q18" s="4" t="s">
        <v>9</v>
      </c>
      <c r="R18" s="4" t="s">
        <v>10</v>
      </c>
      <c r="S18" s="4" t="s">
        <v>11</v>
      </c>
    </row>
    <row r="19" spans="2:20" ht="30" x14ac:dyDescent="0.25">
      <c r="B19" s="35">
        <v>1</v>
      </c>
      <c r="C19" s="45" t="s">
        <v>53</v>
      </c>
      <c r="D19" s="45"/>
      <c r="E19" s="45" t="s">
        <v>54</v>
      </c>
      <c r="F19" s="45"/>
      <c r="G19" s="45">
        <v>320</v>
      </c>
      <c r="H19" s="35">
        <f>3.28*G19</f>
        <v>1049.5999999999999</v>
      </c>
      <c r="I19" s="35">
        <v>6</v>
      </c>
      <c r="J19" s="35">
        <v>1992</v>
      </c>
      <c r="K19" s="35">
        <v>2024</v>
      </c>
      <c r="L19" s="35">
        <v>60</v>
      </c>
      <c r="M19" s="35">
        <f>K19-J19</f>
        <v>32</v>
      </c>
      <c r="N19" s="46">
        <v>0.1</v>
      </c>
      <c r="O19" s="35">
        <f>(1-N19)/L19</f>
        <v>1.5000000000000001E-2</v>
      </c>
      <c r="P19" s="35">
        <v>5000</v>
      </c>
      <c r="Q19" s="44">
        <f>P19*G19</f>
        <v>1600000</v>
      </c>
      <c r="R19" s="44">
        <f t="shared" ref="R19" si="7">Q19*O19*IF(M19&gt;L19,L19,M19)</f>
        <v>768000.00000000012</v>
      </c>
      <c r="S19" s="44">
        <f t="shared" ref="S19" si="8">Q19-R19</f>
        <v>831999.99999999988</v>
      </c>
    </row>
    <row r="20" spans="2:20" x14ac:dyDescent="0.25">
      <c r="S20" s="8">
        <v>900000</v>
      </c>
    </row>
    <row r="21" spans="2:20" x14ac:dyDescent="0.25">
      <c r="T21" s="3">
        <v>2.3199999999999998</v>
      </c>
    </row>
    <row r="22" spans="2:20" x14ac:dyDescent="0.25">
      <c r="R22" s="3" t="s">
        <v>27</v>
      </c>
      <c r="S22" s="8">
        <f>S20+R11+Land!N5</f>
        <v>75440703.021714285</v>
      </c>
      <c r="T22" s="3">
        <v>2.02</v>
      </c>
    </row>
    <row r="23" spans="2:20" x14ac:dyDescent="0.25">
      <c r="R23" s="3" t="s">
        <v>2</v>
      </c>
      <c r="S23" s="8">
        <f>SUM(S22:S22)</f>
        <v>75440703.021714285</v>
      </c>
    </row>
    <row r="24" spans="2:20" x14ac:dyDescent="0.25">
      <c r="R24" s="3" t="s">
        <v>15</v>
      </c>
      <c r="S24" s="7">
        <f>ROUND(S23,-5)</f>
        <v>75400000</v>
      </c>
    </row>
    <row r="25" spans="2:20" x14ac:dyDescent="0.25">
      <c r="H25" s="2">
        <f>27050*10.76</f>
        <v>291058</v>
      </c>
      <c r="R25" s="3" t="s">
        <v>16</v>
      </c>
      <c r="S25" s="7">
        <f>0.85*S24</f>
        <v>64090000</v>
      </c>
    </row>
    <row r="26" spans="2:20" x14ac:dyDescent="0.25">
      <c r="R26" s="3" t="s">
        <v>17</v>
      </c>
      <c r="S26" s="7">
        <f>0.75*S24</f>
        <v>56550000</v>
      </c>
    </row>
    <row r="27" spans="2:20" x14ac:dyDescent="0.25">
      <c r="R27" s="3" t="s">
        <v>18</v>
      </c>
      <c r="S27" s="5">
        <f>0.8*P11</f>
        <v>48307751.680000007</v>
      </c>
    </row>
  </sheetData>
  <mergeCells count="5">
    <mergeCell ref="B11:D11"/>
    <mergeCell ref="B12:R12"/>
    <mergeCell ref="B13:R13"/>
    <mergeCell ref="B14:R14"/>
    <mergeCell ref="B15:R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Land</vt:lpstr>
      <vt:lpstr>Building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Jitendra Malhotra</dc:creator>
  <cp:lastModifiedBy>Mahesh Joshi</cp:lastModifiedBy>
  <dcterms:created xsi:type="dcterms:W3CDTF">2024-06-27T18:21:05Z</dcterms:created>
  <dcterms:modified xsi:type="dcterms:W3CDTF">2024-10-10T11:56:40Z</dcterms:modified>
</cp:coreProperties>
</file>