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6"/>
  <workbookPr/>
  <mc:AlternateContent xmlns:mc="http://schemas.openxmlformats.org/markup-compatibility/2006">
    <mc:Choice Requires="x15">
      <x15ac:absPath xmlns:x15ac="http://schemas.microsoft.com/office/spreadsheetml/2010/11/ac" url="/Users/babarshah/Desktop/ZAK Documents/CBG Projects/ZAK VENTURE BIOGAS PVT LTD/UPNEDA/Satyam  : Ghaziabad/SBI LOAN/"/>
    </mc:Choice>
  </mc:AlternateContent>
  <xr:revisionPtr revIDLastSave="0" documentId="8_{D3A39FF3-6E46-C740-8C6D-E698EE63B1AE}" xr6:coauthVersionLast="47" xr6:coauthVersionMax="47" xr10:uidLastSave="{00000000-0000-0000-0000-000000000000}"/>
  <bookViews>
    <workbookView xWindow="0" yWindow="500" windowWidth="28800" windowHeight="16320" tabRatio="718" xr2:uid="{00000000-000D-0000-FFFF-FFFF00000000}"/>
  </bookViews>
  <sheets>
    <sheet name="Cover Page" sheetId="12" r:id="rId1"/>
    <sheet name="Assumptions" sheetId="8" r:id="rId2"/>
    <sheet name="Executive Dash Board" sheetId="11" r:id="rId3"/>
    <sheet name="Profit &amp; Loss Statement" sheetId="1" r:id="rId4"/>
    <sheet name="Cash Flow" sheetId="4" r:id="rId5"/>
    <sheet name="DSCR" sheetId="2" r:id="rId6"/>
    <sheet name="Debt Repayment" sheetId="10" r:id="rId7"/>
    <sheet name="NPV_IRR" sheetId="14" r:id="rId8"/>
  </sheets>
  <definedNames>
    <definedName name="_xlnm.Print_Area" localSheetId="4">'Cash Flow'!$A$1:$W$26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37" i="8" l="1"/>
  <c r="H39" i="8"/>
  <c r="C13" i="8"/>
  <c r="H18" i="8"/>
  <c r="H19" i="8" s="1"/>
  <c r="H13" i="8"/>
  <c r="H12" i="8"/>
  <c r="C26" i="8"/>
  <c r="C24" i="8"/>
  <c r="M17" i="8"/>
  <c r="M16" i="8"/>
  <c r="J17" i="8"/>
  <c r="M18" i="8" l="1"/>
  <c r="M19" i="8" s="1"/>
  <c r="C20" i="4"/>
  <c r="K22" i="4"/>
  <c r="L22" i="4"/>
  <c r="J16" i="8"/>
  <c r="C25" i="8"/>
  <c r="K26" i="8"/>
  <c r="K27" i="8"/>
  <c r="K28" i="8"/>
  <c r="K29" i="8"/>
  <c r="K30" i="8"/>
  <c r="K31" i="8"/>
  <c r="K32" i="8"/>
  <c r="K33" i="8"/>
  <c r="K34" i="8"/>
  <c r="K35" i="8"/>
  <c r="K36" i="8"/>
  <c r="K25" i="8"/>
  <c r="K37" i="8" l="1"/>
  <c r="K38" i="8" s="1"/>
  <c r="J18" i="8"/>
  <c r="H40" i="8"/>
  <c r="H14" i="8"/>
  <c r="L18" i="8"/>
  <c r="D12" i="1"/>
  <c r="C12" i="1"/>
  <c r="C13" i="1"/>
  <c r="C42" i="8"/>
  <c r="D13" i="1" l="1"/>
  <c r="E41" i="8"/>
  <c r="D21" i="1" l="1"/>
  <c r="C21" i="1"/>
  <c r="C17" i="1"/>
  <c r="E21" i="1" l="1"/>
  <c r="C13" i="2"/>
  <c r="R6" i="14"/>
  <c r="S6" i="14"/>
  <c r="T6" i="14"/>
  <c r="U6" i="14"/>
  <c r="M6" i="14"/>
  <c r="N6" i="14"/>
  <c r="O6" i="14"/>
  <c r="P6" i="14"/>
  <c r="Q6" i="14"/>
  <c r="J6" i="14"/>
  <c r="K6" i="14"/>
  <c r="L6" i="14"/>
  <c r="R22" i="4"/>
  <c r="S22" i="4"/>
  <c r="T22" i="4"/>
  <c r="U22" i="4"/>
  <c r="V22" i="4"/>
  <c r="M22" i="4"/>
  <c r="N22" i="4"/>
  <c r="O22" i="4"/>
  <c r="P22" i="4"/>
  <c r="Q22" i="4"/>
  <c r="E12" i="1"/>
  <c r="E40" i="8"/>
  <c r="E39" i="8"/>
  <c r="E38" i="8"/>
  <c r="E37" i="8"/>
  <c r="C28" i="8"/>
  <c r="F21" i="1" l="1"/>
  <c r="E42" i="8"/>
  <c r="E44" i="8" s="1"/>
  <c r="D23" i="1"/>
  <c r="E23" i="1" s="1"/>
  <c r="F23" i="1" s="1"/>
  <c r="G23" i="1" s="1"/>
  <c r="H23" i="1" s="1"/>
  <c r="I23" i="1" s="1"/>
  <c r="J23" i="1" s="1"/>
  <c r="K23" i="1" s="1"/>
  <c r="L23" i="1" s="1"/>
  <c r="M23" i="1" s="1"/>
  <c r="N23" i="1" s="1"/>
  <c r="O23" i="1" s="1"/>
  <c r="P23" i="1" s="1"/>
  <c r="Q23" i="1" s="1"/>
  <c r="R23" i="1" s="1"/>
  <c r="S23" i="1" s="1"/>
  <c r="T23" i="1" s="1"/>
  <c r="U23" i="1" s="1"/>
  <c r="V23" i="1" s="1"/>
  <c r="C23" i="1"/>
  <c r="D22" i="1"/>
  <c r="C22" i="1"/>
  <c r="F12" i="1"/>
  <c r="C24" i="1" l="1"/>
  <c r="E22" i="1"/>
  <c r="G21" i="1"/>
  <c r="D24" i="1"/>
  <c r="E24" i="1" s="1"/>
  <c r="F24" i="1" s="1"/>
  <c r="G24" i="1" s="1"/>
  <c r="H24" i="1" s="1"/>
  <c r="I24" i="1" s="1"/>
  <c r="J24" i="1" s="1"/>
  <c r="K24" i="1" s="1"/>
  <c r="L24" i="1" s="1"/>
  <c r="M24" i="1" s="1"/>
  <c r="N24" i="1" s="1"/>
  <c r="O24" i="1" s="1"/>
  <c r="P24" i="1" s="1"/>
  <c r="Q24" i="1" s="1"/>
  <c r="R24" i="1" s="1"/>
  <c r="S24" i="1" s="1"/>
  <c r="T24" i="1" s="1"/>
  <c r="U24" i="1" s="1"/>
  <c r="V24" i="1" s="1"/>
  <c r="C27" i="1"/>
  <c r="E13" i="1"/>
  <c r="E17" i="1" s="1"/>
  <c r="D17" i="1"/>
  <c r="G12" i="1"/>
  <c r="H21" i="1" l="1"/>
  <c r="F22" i="1"/>
  <c r="F27" i="1" s="1"/>
  <c r="E27" i="1"/>
  <c r="D27" i="1"/>
  <c r="F13" i="1"/>
  <c r="F17" i="1" s="1"/>
  <c r="H12" i="1"/>
  <c r="G22" i="1" l="1"/>
  <c r="I21" i="1"/>
  <c r="G13" i="1"/>
  <c r="G17" i="1" s="1"/>
  <c r="I12" i="1"/>
  <c r="G27" i="1"/>
  <c r="J21" i="1" l="1"/>
  <c r="H22" i="1"/>
  <c r="H13" i="1"/>
  <c r="H27" i="1"/>
  <c r="J12" i="1"/>
  <c r="I22" i="1" l="1"/>
  <c r="I27" i="1" s="1"/>
  <c r="K21" i="1"/>
  <c r="I13" i="1"/>
  <c r="H17" i="1"/>
  <c r="K12" i="1"/>
  <c r="L21" i="1" l="1"/>
  <c r="J22" i="1"/>
  <c r="J13" i="1"/>
  <c r="I17" i="1"/>
  <c r="L12" i="1"/>
  <c r="J27" i="1"/>
  <c r="K22" i="1" l="1"/>
  <c r="M21" i="1"/>
  <c r="K13" i="1"/>
  <c r="J17" i="1"/>
  <c r="K27" i="1"/>
  <c r="M12" i="1"/>
  <c r="N21" i="1" l="1"/>
  <c r="L22" i="1"/>
  <c r="L13" i="1"/>
  <c r="K17" i="1"/>
  <c r="N12" i="1"/>
  <c r="L27" i="1"/>
  <c r="M22" i="1" l="1"/>
  <c r="M27" i="1" s="1"/>
  <c r="O21" i="1"/>
  <c r="M13" i="1"/>
  <c r="L17" i="1"/>
  <c r="O12" i="1"/>
  <c r="P21" i="1" l="1"/>
  <c r="N22" i="1"/>
  <c r="N27" i="1" s="1"/>
  <c r="M29" i="1"/>
  <c r="N13" i="1"/>
  <c r="M17" i="1"/>
  <c r="L5" i="14"/>
  <c r="M10" i="4"/>
  <c r="P12" i="1"/>
  <c r="O22" i="1" l="1"/>
  <c r="N29" i="1"/>
  <c r="Q21" i="1"/>
  <c r="M33" i="1"/>
  <c r="M31" i="1"/>
  <c r="O13" i="1"/>
  <c r="N17" i="1"/>
  <c r="O27" i="1"/>
  <c r="M5" i="14"/>
  <c r="N10" i="4"/>
  <c r="Q12" i="1"/>
  <c r="R21" i="1" l="1"/>
  <c r="P22" i="1"/>
  <c r="O29" i="1"/>
  <c r="M34" i="1"/>
  <c r="M9" i="4" s="1"/>
  <c r="M13" i="4" s="1"/>
  <c r="M25" i="4" s="1"/>
  <c r="N33" i="1"/>
  <c r="N31" i="1"/>
  <c r="P13" i="1"/>
  <c r="O17" i="1"/>
  <c r="R12" i="1"/>
  <c r="O10" i="4"/>
  <c r="N5" i="14"/>
  <c r="P27" i="1"/>
  <c r="L4" i="14" l="1"/>
  <c r="L7" i="14" s="1"/>
  <c r="L10" i="14" s="1"/>
  <c r="Q22" i="1"/>
  <c r="Q27" i="1" s="1"/>
  <c r="P29" i="1"/>
  <c r="S21" i="1"/>
  <c r="N34" i="1"/>
  <c r="M4" i="14" s="1"/>
  <c r="M7" i="14" s="1"/>
  <c r="M10" i="14" s="1"/>
  <c r="O33" i="1"/>
  <c r="O31" i="1"/>
  <c r="Q13" i="1"/>
  <c r="P17" i="1"/>
  <c r="S12" i="1"/>
  <c r="P10" i="4"/>
  <c r="O5" i="14"/>
  <c r="N9" i="4" l="1"/>
  <c r="N13" i="4" s="1"/>
  <c r="N25" i="4" s="1"/>
  <c r="T21" i="1"/>
  <c r="R22" i="1"/>
  <c r="R27" i="1" s="1"/>
  <c r="Q29" i="1"/>
  <c r="O34" i="1"/>
  <c r="O9" i="4" s="1"/>
  <c r="O13" i="4" s="1"/>
  <c r="O25" i="4" s="1"/>
  <c r="P33" i="1"/>
  <c r="P31" i="1"/>
  <c r="R13" i="1"/>
  <c r="Q17" i="1"/>
  <c r="P5" i="14"/>
  <c r="Q10" i="4"/>
  <c r="T12" i="1"/>
  <c r="S22" i="1" l="1"/>
  <c r="S27" i="1" s="1"/>
  <c r="R29" i="1"/>
  <c r="U21" i="1"/>
  <c r="P34" i="1"/>
  <c r="P9" i="4" s="1"/>
  <c r="P13" i="4" s="1"/>
  <c r="P25" i="4" s="1"/>
  <c r="N4" i="14"/>
  <c r="N7" i="14" s="1"/>
  <c r="N10" i="14" s="1"/>
  <c r="O4" i="14"/>
  <c r="O7" i="14" s="1"/>
  <c r="O10" i="14" s="1"/>
  <c r="Q33" i="1"/>
  <c r="Q31" i="1"/>
  <c r="S13" i="1"/>
  <c r="R17" i="1"/>
  <c r="U12" i="1"/>
  <c r="R10" i="4"/>
  <c r="Q5" i="14"/>
  <c r="R31" i="1" l="1"/>
  <c r="V21" i="1"/>
  <c r="T22" i="1"/>
  <c r="T27" i="1" s="1"/>
  <c r="S29" i="1"/>
  <c r="Q34" i="1"/>
  <c r="P4" i="14" s="1"/>
  <c r="P7" i="14" s="1"/>
  <c r="P10" i="14" s="1"/>
  <c r="R33" i="1"/>
  <c r="T13" i="1"/>
  <c r="S17" i="1"/>
  <c r="S10" i="4"/>
  <c r="R5" i="14"/>
  <c r="V12" i="1"/>
  <c r="Q9" i="4" l="1"/>
  <c r="Q13" i="4" s="1"/>
  <c r="Q25" i="4" s="1"/>
  <c r="U22" i="1"/>
  <c r="T29" i="1"/>
  <c r="R34" i="1"/>
  <c r="R9" i="4" s="1"/>
  <c r="R13" i="4" s="1"/>
  <c r="R25" i="4" s="1"/>
  <c r="S33" i="1"/>
  <c r="S31" i="1"/>
  <c r="U13" i="1"/>
  <c r="T17" i="1"/>
  <c r="S5" i="14"/>
  <c r="T10" i="4"/>
  <c r="U27" i="1"/>
  <c r="Q4" i="14" l="1"/>
  <c r="Q7" i="14" s="1"/>
  <c r="Q10" i="14" s="1"/>
  <c r="V22" i="1"/>
  <c r="U29" i="1"/>
  <c r="S34" i="1"/>
  <c r="R4" i="14" s="1"/>
  <c r="R7" i="14" s="1"/>
  <c r="R10" i="14" s="1"/>
  <c r="T33" i="1"/>
  <c r="T31" i="1"/>
  <c r="V13" i="1"/>
  <c r="V17" i="1" s="1"/>
  <c r="U17" i="1"/>
  <c r="U10" i="4"/>
  <c r="T5" i="14"/>
  <c r="S9" i="4" l="1"/>
  <c r="S13" i="4" s="1"/>
  <c r="S25" i="4" s="1"/>
  <c r="V27" i="1"/>
  <c r="V29" i="1" s="1"/>
  <c r="T34" i="1"/>
  <c r="S4" i="14" s="1"/>
  <c r="S7" i="14" s="1"/>
  <c r="S10" i="14" s="1"/>
  <c r="U33" i="1"/>
  <c r="U31" i="1"/>
  <c r="U5" i="14"/>
  <c r="V10" i="4"/>
  <c r="T9" i="4" l="1"/>
  <c r="T13" i="4" s="1"/>
  <c r="T25" i="4" s="1"/>
  <c r="V33" i="1"/>
  <c r="V34" i="1" s="1"/>
  <c r="V31" i="1"/>
  <c r="U34" i="1"/>
  <c r="T4" i="14" s="1"/>
  <c r="T7" i="14" s="1"/>
  <c r="T10" i="14" s="1"/>
  <c r="C15" i="8" l="1"/>
  <c r="U9" i="4"/>
  <c r="U13" i="4" s="1"/>
  <c r="U25" i="4" s="1"/>
  <c r="V9" i="4"/>
  <c r="V13" i="4" s="1"/>
  <c r="V25" i="4" s="1"/>
  <c r="U4" i="14"/>
  <c r="U7" i="14" s="1"/>
  <c r="U10" i="14" s="1"/>
  <c r="E4" i="10" l="1"/>
  <c r="C31" i="8"/>
  <c r="C11" i="4" s="1"/>
  <c r="C12" i="4"/>
  <c r="E26" i="1"/>
  <c r="K26" i="1"/>
  <c r="K29" i="1" s="1"/>
  <c r="D13" i="12"/>
  <c r="H26" i="1"/>
  <c r="C26" i="1"/>
  <c r="L26" i="1"/>
  <c r="L29" i="1" s="1"/>
  <c r="G26" i="1"/>
  <c r="J26" i="1"/>
  <c r="I26" i="1"/>
  <c r="F26" i="1"/>
  <c r="C17" i="4"/>
  <c r="D26" i="1"/>
  <c r="C14" i="10"/>
  <c r="C9" i="10"/>
  <c r="C11" i="10"/>
  <c r="D7" i="10"/>
  <c r="C12" i="10"/>
  <c r="F7" i="10"/>
  <c r="C10" i="10"/>
  <c r="C13" i="10"/>
  <c r="C8" i="10"/>
  <c r="C34" i="8" l="1"/>
  <c r="C3" i="11" s="1"/>
  <c r="L33" i="1"/>
  <c r="L34" i="1" s="1"/>
  <c r="L31" i="1"/>
  <c r="K31" i="1"/>
  <c r="K33" i="1"/>
  <c r="K34" i="1" s="1"/>
  <c r="I20" i="4"/>
  <c r="E20" i="4"/>
  <c r="D20" i="4"/>
  <c r="C16" i="10"/>
  <c r="F8" i="10"/>
  <c r="D8" i="10"/>
  <c r="E8" i="10" s="1"/>
  <c r="J5" i="14"/>
  <c r="K10" i="4"/>
  <c r="D5" i="14"/>
  <c r="E10" i="4"/>
  <c r="E9" i="2"/>
  <c r="J10" i="4"/>
  <c r="J9" i="2"/>
  <c r="I5" i="14"/>
  <c r="K5" i="14"/>
  <c r="L10" i="4"/>
  <c r="J20" i="4"/>
  <c r="C10" i="4"/>
  <c r="C9" i="2"/>
  <c r="B5" i="14"/>
  <c r="C5" i="14"/>
  <c r="D10" i="4"/>
  <c r="D9" i="2"/>
  <c r="G5" i="14"/>
  <c r="H10" i="4"/>
  <c r="H9" i="2"/>
  <c r="F20" i="4"/>
  <c r="C22" i="4"/>
  <c r="B8" i="14"/>
  <c r="F10" i="4"/>
  <c r="E5" i="14"/>
  <c r="F9" i="2"/>
  <c r="H20" i="4"/>
  <c r="H5" i="14"/>
  <c r="I9" i="2"/>
  <c r="I10" i="4"/>
  <c r="C14" i="2"/>
  <c r="C16" i="2" s="1"/>
  <c r="E7" i="10"/>
  <c r="C25" i="1"/>
  <c r="C29" i="1" s="1"/>
  <c r="G20" i="4"/>
  <c r="F5" i="14"/>
  <c r="G10" i="4"/>
  <c r="G9" i="2"/>
  <c r="J4" i="14" l="1"/>
  <c r="J7" i="14" s="1"/>
  <c r="J10" i="14" s="1"/>
  <c r="K9" i="4"/>
  <c r="K13" i="4" s="1"/>
  <c r="K25" i="4" s="1"/>
  <c r="L9" i="4"/>
  <c r="L13" i="4" s="1"/>
  <c r="L25" i="4" s="1"/>
  <c r="K4" i="14"/>
  <c r="K7" i="14" s="1"/>
  <c r="K10" i="14" s="1"/>
  <c r="G13" i="2"/>
  <c r="G22" i="4"/>
  <c r="E22" i="4"/>
  <c r="E13" i="2"/>
  <c r="F9" i="10"/>
  <c r="D9" i="10"/>
  <c r="B6" i="14"/>
  <c r="J22" i="4"/>
  <c r="J13" i="2"/>
  <c r="I13" i="2"/>
  <c r="I22" i="4"/>
  <c r="F22" i="4"/>
  <c r="F13" i="2"/>
  <c r="H13" i="2"/>
  <c r="H22" i="4"/>
  <c r="D22" i="4"/>
  <c r="D13" i="2"/>
  <c r="D14" i="2"/>
  <c r="D25" i="1"/>
  <c r="D29" i="1" s="1"/>
  <c r="C31" i="1" l="1"/>
  <c r="C33" i="1"/>
  <c r="C34" i="1" s="1"/>
  <c r="D10" i="10"/>
  <c r="F10" i="10"/>
  <c r="C6" i="14"/>
  <c r="E14" i="2"/>
  <c r="E16" i="2" s="1"/>
  <c r="E25" i="1"/>
  <c r="E29" i="1" s="1"/>
  <c r="E9" i="10"/>
  <c r="D16" i="2"/>
  <c r="D6" i="14" l="1"/>
  <c r="D33" i="1"/>
  <c r="D34" i="1" s="1"/>
  <c r="D31" i="1"/>
  <c r="F11" i="10"/>
  <c r="D11" i="10"/>
  <c r="F14" i="2"/>
  <c r="F16" i="2" s="1"/>
  <c r="F25" i="1"/>
  <c r="F29" i="1" s="1"/>
  <c r="E10" i="10"/>
  <c r="C7" i="2"/>
  <c r="C11" i="2" s="1"/>
  <c r="C18" i="2" s="1"/>
  <c r="G25" i="1" l="1"/>
  <c r="G29" i="1" s="1"/>
  <c r="G14" i="2"/>
  <c r="G16" i="2" s="1"/>
  <c r="E11" i="10"/>
  <c r="B4" i="14"/>
  <c r="B7" i="14" s="1"/>
  <c r="B10" i="14" s="1"/>
  <c r="C9" i="4"/>
  <c r="C13" i="4" s="1"/>
  <c r="C25" i="4" s="1"/>
  <c r="C26" i="4" s="1"/>
  <c r="D7" i="2"/>
  <c r="D11" i="2" s="1"/>
  <c r="D18" i="2" s="1"/>
  <c r="E31" i="1"/>
  <c r="E33" i="1"/>
  <c r="E34" i="1" s="1"/>
  <c r="D12" i="10"/>
  <c r="F12" i="10"/>
  <c r="E6" i="14"/>
  <c r="D9" i="4" l="1"/>
  <c r="D13" i="4" s="1"/>
  <c r="D25" i="4" s="1"/>
  <c r="D26" i="4" s="1"/>
  <c r="C4" i="14"/>
  <c r="C7" i="14" s="1"/>
  <c r="C10" i="14" s="1"/>
  <c r="F33" i="1"/>
  <c r="F34" i="1" s="1"/>
  <c r="F31" i="1"/>
  <c r="D13" i="10"/>
  <c r="F13" i="10"/>
  <c r="H25" i="1"/>
  <c r="H29" i="1" s="1"/>
  <c r="H14" i="2"/>
  <c r="H16" i="2" s="1"/>
  <c r="E12" i="10"/>
  <c r="E7" i="2"/>
  <c r="E11" i="2" s="1"/>
  <c r="E18" i="2" s="1"/>
  <c r="F6" i="14"/>
  <c r="D24" i="4"/>
  <c r="D14" i="10" l="1"/>
  <c r="D16" i="10" s="1"/>
  <c r="F14" i="10"/>
  <c r="I25" i="1"/>
  <c r="I29" i="1" s="1"/>
  <c r="I14" i="2"/>
  <c r="I16" i="2" s="1"/>
  <c r="E13" i="10"/>
  <c r="G31" i="1"/>
  <c r="G33" i="1"/>
  <c r="G34" i="1" s="1"/>
  <c r="E9" i="4"/>
  <c r="E13" i="4" s="1"/>
  <c r="E25" i="4" s="1"/>
  <c r="E26" i="4" s="1"/>
  <c r="D4" i="14"/>
  <c r="D7" i="14" s="1"/>
  <c r="D10" i="14" s="1"/>
  <c r="F7" i="2"/>
  <c r="F11" i="2" s="1"/>
  <c r="F18" i="2" s="1"/>
  <c r="E24" i="4"/>
  <c r="G6" i="14"/>
  <c r="H33" i="1" l="1"/>
  <c r="H34" i="1" s="1"/>
  <c r="H31" i="1"/>
  <c r="F24" i="4"/>
  <c r="F9" i="4"/>
  <c r="F13" i="4" s="1"/>
  <c r="F25" i="4" s="1"/>
  <c r="F26" i="4" s="1"/>
  <c r="E4" i="14"/>
  <c r="E7" i="14" s="1"/>
  <c r="E10" i="14" s="1"/>
  <c r="H6" i="14"/>
  <c r="G7" i="2"/>
  <c r="G11" i="2" s="1"/>
  <c r="G18" i="2" s="1"/>
  <c r="J25" i="1"/>
  <c r="J29" i="1" s="1"/>
  <c r="J14" i="2"/>
  <c r="J16" i="2" s="1"/>
  <c r="E14" i="10"/>
  <c r="E16" i="10" s="1"/>
  <c r="G24" i="4" l="1"/>
  <c r="I6" i="14"/>
  <c r="F4" i="14"/>
  <c r="F7" i="14" s="1"/>
  <c r="F10" i="14" s="1"/>
  <c r="G9" i="4"/>
  <c r="G13" i="4" s="1"/>
  <c r="G25" i="4" s="1"/>
  <c r="G26" i="4" s="1"/>
  <c r="H7" i="2"/>
  <c r="H11" i="2" s="1"/>
  <c r="H18" i="2" s="1"/>
  <c r="I31" i="1"/>
  <c r="I33" i="1"/>
  <c r="I34" i="1" s="1"/>
  <c r="H24" i="4" l="1"/>
  <c r="I7" i="2"/>
  <c r="I11" i="2" s="1"/>
  <c r="I18" i="2" s="1"/>
  <c r="J31" i="1"/>
  <c r="J33" i="1"/>
  <c r="J34" i="1" s="1"/>
  <c r="G4" i="14"/>
  <c r="G7" i="14" s="1"/>
  <c r="G10" i="14" s="1"/>
  <c r="H9" i="4"/>
  <c r="H13" i="4" s="1"/>
  <c r="H25" i="4" s="1"/>
  <c r="H26" i="4" s="1"/>
  <c r="H4" i="14" l="1"/>
  <c r="H7" i="14" s="1"/>
  <c r="H10" i="14" s="1"/>
  <c r="I9" i="4"/>
  <c r="I13" i="4" s="1"/>
  <c r="I25" i="4" s="1"/>
  <c r="I26" i="4" s="1"/>
  <c r="J7" i="2"/>
  <c r="J11" i="2" s="1"/>
  <c r="J18" i="2" s="1"/>
  <c r="C20" i="2" s="1"/>
  <c r="C4" i="11" s="1"/>
  <c r="I24" i="4"/>
  <c r="J24" i="4" l="1"/>
  <c r="I4" i="14"/>
  <c r="I7" i="14" s="1"/>
  <c r="I10" i="14" s="1"/>
  <c r="J9" i="4"/>
  <c r="J13" i="4" s="1"/>
  <c r="J25" i="4" s="1"/>
  <c r="J26" i="4" s="1"/>
  <c r="K26" i="4" l="1"/>
  <c r="K24" i="4"/>
  <c r="B15" i="14"/>
  <c r="C6" i="11" s="1"/>
  <c r="B13" i="14"/>
  <c r="C5" i="11" s="1"/>
  <c r="C7" i="11" s="1"/>
  <c r="L24" i="4" l="1"/>
  <c r="L26" i="4"/>
  <c r="M26" i="4" l="1"/>
  <c r="M24" i="4"/>
  <c r="N26" i="4" l="1"/>
  <c r="N24" i="4"/>
  <c r="O26" i="4" l="1"/>
  <c r="O24" i="4"/>
  <c r="P24" i="4" l="1"/>
  <c r="P26" i="4"/>
  <c r="Q26" i="4" l="1"/>
  <c r="Q24" i="4"/>
  <c r="R24" i="4" l="1"/>
  <c r="R26" i="4"/>
  <c r="S26" i="4" l="1"/>
  <c r="S24" i="4"/>
  <c r="T24" i="4" l="1"/>
  <c r="T26" i="4"/>
  <c r="U26" i="4" l="1"/>
  <c r="U24" i="4"/>
  <c r="V24" i="4" l="1"/>
  <c r="V26" i="4"/>
</calcChain>
</file>

<file path=xl/sharedStrings.xml><?xml version="1.0" encoding="utf-8"?>
<sst xmlns="http://schemas.openxmlformats.org/spreadsheetml/2006/main" count="331" uniqueCount="184">
  <si>
    <t>Year</t>
  </si>
  <si>
    <t>FY</t>
  </si>
  <si>
    <t>Capacity</t>
  </si>
  <si>
    <t>Bio-CNG</t>
  </si>
  <si>
    <t>Expenditure</t>
  </si>
  <si>
    <t>Power</t>
  </si>
  <si>
    <t>Maintenance</t>
  </si>
  <si>
    <t>Labour &amp; salaries</t>
  </si>
  <si>
    <t>Depreciation</t>
  </si>
  <si>
    <t>Miscellaneous</t>
  </si>
  <si>
    <t>Total Expenditure</t>
  </si>
  <si>
    <t>I</t>
  </si>
  <si>
    <t>II</t>
  </si>
  <si>
    <t>III</t>
  </si>
  <si>
    <t>IV</t>
  </si>
  <si>
    <t>V</t>
  </si>
  <si>
    <t>VI</t>
  </si>
  <si>
    <t>VII</t>
  </si>
  <si>
    <t>Net profit</t>
  </si>
  <si>
    <t>Total(A)</t>
  </si>
  <si>
    <t>Term loan installment</t>
  </si>
  <si>
    <t>Interst on term loan</t>
  </si>
  <si>
    <t>Total(B)</t>
  </si>
  <si>
    <t>DSCR(A/B)</t>
  </si>
  <si>
    <t>Total</t>
  </si>
  <si>
    <t>Inflows</t>
  </si>
  <si>
    <t>Outflows</t>
  </si>
  <si>
    <t>Construction of building,</t>
  </si>
  <si>
    <t>Plant and machinery</t>
  </si>
  <si>
    <t>Repayment of term loan</t>
  </si>
  <si>
    <t>Total outflows</t>
  </si>
  <si>
    <t>Interest</t>
  </si>
  <si>
    <t>Particulars</t>
  </si>
  <si>
    <t>H2S Scrubber</t>
  </si>
  <si>
    <t>Working capital</t>
  </si>
  <si>
    <t>No of days</t>
  </si>
  <si>
    <t>Investment</t>
  </si>
  <si>
    <t>Gross Income</t>
  </si>
  <si>
    <t>CFA/Subsidy</t>
  </si>
  <si>
    <t>Total Income</t>
  </si>
  <si>
    <t>VIII</t>
  </si>
  <si>
    <t>2025-26</t>
  </si>
  <si>
    <t>Income</t>
  </si>
  <si>
    <t>Avg DSCR</t>
  </si>
  <si>
    <t>NPV</t>
  </si>
  <si>
    <t>IRR</t>
  </si>
  <si>
    <t>Rs/kg</t>
  </si>
  <si>
    <t>Grand Total</t>
  </si>
  <si>
    <t>Promter's equity</t>
  </si>
  <si>
    <t>Term loan from bank</t>
  </si>
  <si>
    <t>Cost of power</t>
  </si>
  <si>
    <t>Rs/unit</t>
  </si>
  <si>
    <t>Rs/year</t>
  </si>
  <si>
    <t>tons/day</t>
  </si>
  <si>
    <t>Rs/ton</t>
  </si>
  <si>
    <t>Principal</t>
  </si>
  <si>
    <t>Sr No</t>
  </si>
  <si>
    <t>Balance Principal amount</t>
  </si>
  <si>
    <t>Term Loan repayment schedule</t>
  </si>
  <si>
    <t>PSA</t>
  </si>
  <si>
    <t>S/L separator</t>
  </si>
  <si>
    <t>Borewell</t>
  </si>
  <si>
    <t>Mixing(Mixers)</t>
  </si>
  <si>
    <t>Cooling tower</t>
  </si>
  <si>
    <t>Supervisors</t>
  </si>
  <si>
    <t>Nos</t>
  </si>
  <si>
    <t>Salary</t>
  </si>
  <si>
    <t>Operators</t>
  </si>
  <si>
    <t>Labours</t>
  </si>
  <si>
    <t>Security</t>
  </si>
  <si>
    <t>Expenditure for a year</t>
  </si>
  <si>
    <t>Fertiliser production</t>
  </si>
  <si>
    <t>Expenditure/year</t>
  </si>
  <si>
    <t>Expenditure/day</t>
  </si>
  <si>
    <t>Payback period</t>
  </si>
  <si>
    <t>Years</t>
  </si>
  <si>
    <t>Basic Assumptions</t>
  </si>
  <si>
    <t>Projected DSCR</t>
  </si>
  <si>
    <t>Rs Crs</t>
  </si>
  <si>
    <t>Auxiliary Power Consumption</t>
  </si>
  <si>
    <t>Digester (Agitators)</t>
  </si>
  <si>
    <t>Blower for Pressure</t>
  </si>
  <si>
    <t>INR</t>
  </si>
  <si>
    <t>Repair &amp; Maintenance</t>
  </si>
  <si>
    <t>2026-27</t>
  </si>
  <si>
    <t>2027-28</t>
  </si>
  <si>
    <t>2028-29</t>
  </si>
  <si>
    <t>2029-30</t>
  </si>
  <si>
    <t>2030-31</t>
  </si>
  <si>
    <t>2031-32</t>
  </si>
  <si>
    <t>2032-33</t>
  </si>
  <si>
    <t>2033-34</t>
  </si>
  <si>
    <t>2034-35</t>
  </si>
  <si>
    <t>2035-36</t>
  </si>
  <si>
    <t>2036-37</t>
  </si>
  <si>
    <t>2037-38</t>
  </si>
  <si>
    <t>IX</t>
  </si>
  <si>
    <t>X</t>
  </si>
  <si>
    <t>XI</t>
  </si>
  <si>
    <t>XII</t>
  </si>
  <si>
    <t>XIII</t>
  </si>
  <si>
    <t>XIV</t>
  </si>
  <si>
    <t>XV</t>
  </si>
  <si>
    <t>XVI</t>
  </si>
  <si>
    <t>XVII</t>
  </si>
  <si>
    <t>XVIII</t>
  </si>
  <si>
    <t>XIX</t>
  </si>
  <si>
    <t>XX</t>
  </si>
  <si>
    <t>Renenue from Sale of</t>
  </si>
  <si>
    <t>Purchase of Raw material</t>
  </si>
  <si>
    <t>Inflation Rate</t>
  </si>
  <si>
    <t>3% per year</t>
  </si>
  <si>
    <t>Interest on Bank Loan</t>
  </si>
  <si>
    <t>Inflow from Equity</t>
  </si>
  <si>
    <t>Inflow from Debt</t>
  </si>
  <si>
    <t>Total Inflows</t>
  </si>
  <si>
    <t>Opening Balance</t>
  </si>
  <si>
    <t>Surplus/Deficit</t>
  </si>
  <si>
    <t>Closing Balance</t>
  </si>
  <si>
    <t>Net Profit (Pre-tax)</t>
  </si>
  <si>
    <t>Profit After Tax</t>
  </si>
  <si>
    <t>Net profit (Pre-Tax)</t>
  </si>
  <si>
    <t>PAT</t>
  </si>
  <si>
    <t>Operating Cash Flows</t>
  </si>
  <si>
    <t>Free Cash Flows</t>
  </si>
  <si>
    <t>NPV &amp; IRR</t>
  </si>
  <si>
    <t>(+) Depreciation</t>
  </si>
  <si>
    <t>(+) Interest</t>
  </si>
  <si>
    <t>(-) Capital Expenditure</t>
  </si>
  <si>
    <t>Executive Dash Board</t>
  </si>
  <si>
    <t>Avg. DSCR</t>
  </si>
  <si>
    <t>Rate of Interest</t>
  </si>
  <si>
    <t>SCM/Day</t>
  </si>
  <si>
    <t>MT/Day</t>
  </si>
  <si>
    <t>INR Cr</t>
  </si>
  <si>
    <t>Compressor/Gas Engine</t>
  </si>
  <si>
    <t>Cr</t>
  </si>
  <si>
    <t>EBIDTA (in Crs)</t>
  </si>
  <si>
    <t>Electro-Mechanical Equipments*</t>
  </si>
  <si>
    <t>Compressor &amp; Cascades**</t>
  </si>
  <si>
    <t>Digester &amp; Others***</t>
  </si>
  <si>
    <t>Note:</t>
  </si>
  <si>
    <t>* Assumed 5% R&amp;M cost</t>
  </si>
  <si>
    <t>** Assumed 10% R&amp;M cost</t>
  </si>
  <si>
    <t>*** Assumed 2% R&amp;M cost</t>
  </si>
  <si>
    <t>Raw material required (Cow Dung)</t>
  </si>
  <si>
    <t>Average Cost of raw material</t>
  </si>
  <si>
    <t>Bio-Gas Production</t>
  </si>
  <si>
    <t>2038-39</t>
  </si>
  <si>
    <t>2039-40</t>
  </si>
  <si>
    <t>2040-41</t>
  </si>
  <si>
    <t>2041-42</t>
  </si>
  <si>
    <t>Plant Manager</t>
  </si>
  <si>
    <t>Rs/Kg</t>
  </si>
  <si>
    <t xml:space="preserve">Installed capacity </t>
  </si>
  <si>
    <t>KW</t>
  </si>
  <si>
    <t>KWH</t>
  </si>
  <si>
    <t>Projected Cash Flow Statement (in Rs Cr.)</t>
  </si>
  <si>
    <t>operating hours</t>
  </si>
  <si>
    <t>KWh</t>
  </si>
  <si>
    <t>Total considering running load at 24 hours</t>
  </si>
  <si>
    <t>Connected load</t>
  </si>
  <si>
    <t>Total Units per day</t>
  </si>
  <si>
    <t>Avergae Load / Hour</t>
  </si>
  <si>
    <t>Compressor &amp; pipeline for GRID Injection</t>
  </si>
  <si>
    <t>Price of Bio-CNG pipeline injection</t>
  </si>
  <si>
    <t>Pre operative &amp; Preliminery expense including DPR extra</t>
  </si>
  <si>
    <t>Scrubber, Polishing Unit, Balloon &amp; other ancilliaries</t>
  </si>
  <si>
    <t>IDC</t>
  </si>
  <si>
    <t>2042-43</t>
  </si>
  <si>
    <t>SCADA &amp; Electricals</t>
  </si>
  <si>
    <t>Profit &amp; Loss Statement (in Cr.)</t>
  </si>
  <si>
    <t>Digester for generating 12500 M3/Day</t>
  </si>
  <si>
    <t>Existing Loan Take Over</t>
  </si>
  <si>
    <t>Organic Manure</t>
  </si>
  <si>
    <t>Raw material required  (Napier Grass)</t>
  </si>
  <si>
    <t>Land Cost</t>
  </si>
  <si>
    <t>2043-44</t>
  </si>
  <si>
    <t>2044-45</t>
  </si>
  <si>
    <t>Income from Organic Manure</t>
  </si>
  <si>
    <t xml:space="preserve">Income from Bio-CNG @ 3000KG/Day </t>
  </si>
  <si>
    <t>Sale price of organic manure (including MDA of 1.5 Rs/Kg)</t>
  </si>
  <si>
    <t>Financial Model of Ghaziabad Bio-Gas Project_2.5MTPD Under SATAT Scheme</t>
  </si>
  <si>
    <t>Biogas upgrading Unit (PSA) 2 Towers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</si>
</sst>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0_);\(0.00\)"/>
    <numFmt numFmtId="166" formatCode="0.0%"/>
    <numFmt numFmtId="167" formatCode="0.0"/>
  </numFmts>
  <fonts count="2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sz val="11"/>
      <color theme="1"/>
      <name val="Calibri"/>
      <family val="2"/>
      <scheme val="minor"/>
    </font>
    <font>
      <b/>
      <sz val="16"/>
      <color theme="1"/>
      <name val="Calibri"/>
      <family val="2"/>
      <scheme val="minor"/>
    </font>
    <font>
      <b/>
      <sz val="20"/>
      <color theme="1"/>
      <name val="Calibri"/>
      <family val="2"/>
      <scheme val="minor"/>
    </font>
    <font>
      <u/>
      <sz val="11"/>
      <color theme="10"/>
      <name val="Calibri"/>
      <family val="2"/>
      <scheme val="minor"/>
    </font>
    <font>
      <u/>
      <sz val="11"/>
      <color theme="11"/>
      <name val="Calibri"/>
      <family val="2"/>
      <scheme val="minor"/>
    </font>
    <font>
      <sz val="10"/>
      <name val="Arial"/>
      <family val="2"/>
    </font>
    <font>
      <b/>
      <sz val="10"/>
      <color indexed="9"/>
      <name val="Arial"/>
      <family val="2"/>
    </font>
    <font>
      <sz val="10"/>
      <name val="Helv"/>
      <charset val="204"/>
    </font>
    <font>
      <sz val="24"/>
      <name val="Arial"/>
      <family val="2"/>
    </font>
    <font>
      <b/>
      <sz val="16"/>
      <name val="Arial"/>
      <family val="2"/>
    </font>
    <font>
      <sz val="18"/>
      <name val="Arial"/>
      <family val="2"/>
    </font>
    <font>
      <sz val="16"/>
      <name val="Arial"/>
      <family val="2"/>
    </font>
    <font>
      <sz val="10"/>
      <color indexed="63"/>
      <name val="Arial"/>
      <family val="2"/>
    </font>
    <font>
      <sz val="8"/>
      <name val="Arial"/>
      <family val="2"/>
    </font>
    <font>
      <sz val="16"/>
      <color theme="1"/>
      <name val="Calibri"/>
      <family val="2"/>
      <scheme val="minor"/>
    </font>
    <font>
      <b/>
      <i/>
      <sz val="11"/>
      <color rgb="FF000000"/>
      <name val="Calibri"/>
      <family val="2"/>
      <scheme val="minor"/>
    </font>
    <font>
      <sz val="8"/>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51"/>
        <bgColor indexed="64"/>
      </patternFill>
    </fill>
    <fill>
      <patternFill patternType="solid">
        <fgColor rgb="FFFFC000"/>
        <bgColor indexed="64"/>
      </patternFill>
    </fill>
    <fill>
      <patternFill patternType="solid">
        <fgColor theme="3" tint="0.59999389629810485"/>
        <bgColor indexed="64"/>
      </patternFill>
    </fill>
    <fill>
      <patternFill patternType="solid">
        <fgColor rgb="FF92D050"/>
        <bgColor indexed="64"/>
      </patternFill>
    </fill>
    <fill>
      <patternFill patternType="solid">
        <fgColor theme="3" tint="0.39997558519241921"/>
        <bgColor indexed="64"/>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style="thin">
        <color auto="1"/>
      </bottom>
      <diagonal/>
    </border>
  </borders>
  <cellStyleXfs count="8">
    <xf numFmtId="0" fontId="0" fillId="0" borderId="0"/>
    <xf numFmtId="43" fontId="4"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1" fillId="0" borderId="0"/>
  </cellStyleXfs>
  <cellXfs count="87">
    <xf numFmtId="0" fontId="0" fillId="0" borderId="0" xfId="0"/>
    <xf numFmtId="0" fontId="1" fillId="0" borderId="0" xfId="0" applyFont="1"/>
    <xf numFmtId="0" fontId="0" fillId="0" borderId="1" xfId="0" applyBorder="1"/>
    <xf numFmtId="0" fontId="1" fillId="0" borderId="1" xfId="0" applyFont="1" applyBorder="1"/>
    <xf numFmtId="0" fontId="0" fillId="0" borderId="1" xfId="0" applyBorder="1" applyAlignment="1">
      <alignment horizontal="center"/>
    </xf>
    <xf numFmtId="9" fontId="0" fillId="0" borderId="1" xfId="0" applyNumberFormat="1" applyBorder="1" applyAlignment="1">
      <alignment horizontal="center"/>
    </xf>
    <xf numFmtId="0" fontId="1" fillId="0" borderId="1" xfId="0" applyFont="1" applyBorder="1" applyAlignment="1">
      <alignment horizontal="center"/>
    </xf>
    <xf numFmtId="0" fontId="3" fillId="0" borderId="1" xfId="0" applyFont="1" applyBorder="1"/>
    <xf numFmtId="0" fontId="2" fillId="0" borderId="1" xfId="0" applyFont="1" applyBorder="1"/>
    <xf numFmtId="0" fontId="2" fillId="0" borderId="1" xfId="0" applyFont="1" applyBorder="1" applyAlignment="1">
      <alignment horizontal="center"/>
    </xf>
    <xf numFmtId="0" fontId="3" fillId="0" borderId="1" xfId="0" applyFont="1" applyBorder="1" applyAlignment="1">
      <alignment horizontal="center"/>
    </xf>
    <xf numFmtId="1" fontId="0" fillId="0" borderId="1" xfId="0" applyNumberFormat="1" applyBorder="1" applyAlignment="1">
      <alignment horizontal="center"/>
    </xf>
    <xf numFmtId="1" fontId="1" fillId="0" borderId="1" xfId="0" applyNumberFormat="1" applyFont="1" applyBorder="1" applyAlignment="1">
      <alignment horizontal="center"/>
    </xf>
    <xf numFmtId="2" fontId="1" fillId="0" borderId="1" xfId="0" applyNumberFormat="1" applyFont="1" applyBorder="1" applyAlignment="1">
      <alignment horizontal="center"/>
    </xf>
    <xf numFmtId="0" fontId="0" fillId="0" borderId="0" xfId="0" applyAlignment="1">
      <alignment horizontal="center"/>
    </xf>
    <xf numFmtId="0" fontId="1" fillId="0" borderId="0" xfId="0" applyFont="1" applyAlignment="1">
      <alignment horizontal="center"/>
    </xf>
    <xf numFmtId="2" fontId="0" fillId="0" borderId="1" xfId="0" applyNumberFormat="1" applyBorder="1" applyAlignment="1">
      <alignment horizontal="center"/>
    </xf>
    <xf numFmtId="164" fontId="1" fillId="0" borderId="1" xfId="1" applyNumberFormat="1" applyFont="1" applyBorder="1" applyAlignment="1">
      <alignment horizontal="center"/>
    </xf>
    <xf numFmtId="164" fontId="0" fillId="0" borderId="0" xfId="1" applyNumberFormat="1" applyFont="1" applyAlignment="1">
      <alignment horizontal="center"/>
    </xf>
    <xf numFmtId="0" fontId="10" fillId="2" borderId="0" xfId="6" applyFont="1" applyFill="1" applyBorder="1" applyAlignment="1">
      <alignment horizontal="center"/>
    </xf>
    <xf numFmtId="0" fontId="11" fillId="2" borderId="0" xfId="7" applyFill="1"/>
    <xf numFmtId="0" fontId="9" fillId="2" borderId="0" xfId="6" applyFill="1" applyBorder="1"/>
    <xf numFmtId="0" fontId="11" fillId="2" borderId="5" xfId="7" applyFill="1" applyBorder="1"/>
    <xf numFmtId="0" fontId="11" fillId="2" borderId="6" xfId="7" applyFill="1" applyBorder="1"/>
    <xf numFmtId="0" fontId="11" fillId="2" borderId="7" xfId="7" applyFill="1" applyBorder="1"/>
    <xf numFmtId="0" fontId="11" fillId="2" borderId="8" xfId="7" applyFill="1" applyBorder="1"/>
    <xf numFmtId="0" fontId="11" fillId="2" borderId="9" xfId="7" applyFill="1" applyBorder="1"/>
    <xf numFmtId="0" fontId="12" fillId="2" borderId="0" xfId="7" applyFont="1" applyFill="1"/>
    <xf numFmtId="0" fontId="13" fillId="2" borderId="0" xfId="7" applyFont="1" applyFill="1"/>
    <xf numFmtId="0" fontId="14" fillId="2" borderId="0" xfId="7" applyFont="1" applyFill="1"/>
    <xf numFmtId="0" fontId="11" fillId="2" borderId="10" xfId="7" applyFill="1" applyBorder="1"/>
    <xf numFmtId="0" fontId="11" fillId="2" borderId="11" xfId="7" applyFill="1" applyBorder="1"/>
    <xf numFmtId="0" fontId="11" fillId="2" borderId="12" xfId="7" applyFill="1" applyBorder="1"/>
    <xf numFmtId="1" fontId="0" fillId="0" borderId="1" xfId="0" applyNumberFormat="1" applyBorder="1"/>
    <xf numFmtId="1" fontId="0" fillId="0" borderId="13" xfId="0" applyNumberFormat="1" applyBorder="1" applyAlignment="1">
      <alignment horizontal="center"/>
    </xf>
    <xf numFmtId="0" fontId="16" fillId="3" borderId="1" xfId="0" applyFont="1" applyFill="1" applyBorder="1"/>
    <xf numFmtId="165" fontId="17" fillId="0" borderId="1" xfId="0" applyNumberFormat="1" applyFont="1" applyBorder="1" applyAlignment="1">
      <alignment vertical="center"/>
    </xf>
    <xf numFmtId="2" fontId="0" fillId="0" borderId="1" xfId="0" applyNumberFormat="1" applyBorder="1"/>
    <xf numFmtId="165" fontId="17" fillId="0" borderId="1" xfId="0" applyNumberFormat="1" applyFont="1" applyBorder="1" applyAlignment="1">
      <alignment horizontal="center" vertical="center"/>
    </xf>
    <xf numFmtId="165" fontId="13" fillId="3" borderId="1" xfId="0" applyNumberFormat="1" applyFont="1" applyFill="1" applyBorder="1" applyAlignment="1">
      <alignment horizontal="center" vertical="center"/>
    </xf>
    <xf numFmtId="10" fontId="18" fillId="3" borderId="1" xfId="0" applyNumberFormat="1" applyFont="1" applyFill="1" applyBorder="1" applyAlignment="1">
      <alignment horizontal="center"/>
    </xf>
    <xf numFmtId="0" fontId="18" fillId="0" borderId="0" xfId="0" applyFont="1" applyAlignment="1">
      <alignment horizontal="center"/>
    </xf>
    <xf numFmtId="1" fontId="18" fillId="3" borderId="1" xfId="0" applyNumberFormat="1" applyFont="1" applyFill="1" applyBorder="1" applyAlignment="1">
      <alignment horizontal="center"/>
    </xf>
    <xf numFmtId="0" fontId="18" fillId="0" borderId="1" xfId="0" applyFont="1" applyBorder="1" applyAlignment="1">
      <alignment horizontal="center"/>
    </xf>
    <xf numFmtId="2" fontId="18" fillId="0" borderId="1" xfId="0" applyNumberFormat="1" applyFont="1" applyBorder="1" applyAlignment="1">
      <alignment horizontal="center"/>
    </xf>
    <xf numFmtId="1" fontId="18" fillId="0" borderId="1" xfId="0" applyNumberFormat="1" applyFont="1" applyBorder="1" applyAlignment="1">
      <alignment horizontal="center"/>
    </xf>
    <xf numFmtId="0" fontId="1" fillId="4" borderId="1" xfId="0" applyFont="1" applyFill="1" applyBorder="1" applyAlignment="1">
      <alignment horizontal="center"/>
    </xf>
    <xf numFmtId="166" fontId="18" fillId="0" borderId="1" xfId="0" applyNumberFormat="1" applyFont="1" applyBorder="1" applyAlignment="1">
      <alignment horizontal="center"/>
    </xf>
    <xf numFmtId="2" fontId="0" fillId="0" borderId="0" xfId="0" applyNumberFormat="1"/>
    <xf numFmtId="0" fontId="0" fillId="0" borderId="1" xfId="0" applyBorder="1" applyAlignment="1">
      <alignment wrapText="1"/>
    </xf>
    <xf numFmtId="0" fontId="0" fillId="0" borderId="1" xfId="0" applyBorder="1" applyAlignment="1">
      <alignment horizontal="center" vertical="center"/>
    </xf>
    <xf numFmtId="9" fontId="0" fillId="0" borderId="0" xfId="0" applyNumberFormat="1"/>
    <xf numFmtId="43" fontId="0" fillId="0" borderId="1" xfId="1" applyFont="1" applyBorder="1" applyAlignment="1">
      <alignment horizontal="center"/>
    </xf>
    <xf numFmtId="164" fontId="0" fillId="0" borderId="0" xfId="0" applyNumberFormat="1"/>
    <xf numFmtId="43" fontId="1" fillId="0" borderId="1" xfId="1" applyFont="1" applyBorder="1" applyAlignment="1">
      <alignment horizontal="center"/>
    </xf>
    <xf numFmtId="167" fontId="1" fillId="0" borderId="1" xfId="0" applyNumberFormat="1" applyFont="1" applyBorder="1" applyAlignment="1">
      <alignment horizontal="center"/>
    </xf>
    <xf numFmtId="167" fontId="0" fillId="0" borderId="1" xfId="0" applyNumberFormat="1" applyBorder="1" applyAlignment="1">
      <alignment horizontal="center"/>
    </xf>
    <xf numFmtId="167" fontId="0" fillId="0" borderId="1" xfId="0" applyNumberFormat="1" applyBorder="1" applyAlignment="1">
      <alignment horizontal="center" vertical="center"/>
    </xf>
    <xf numFmtId="2" fontId="3" fillId="0" borderId="1" xfId="0" applyNumberFormat="1" applyFont="1" applyBorder="1" applyAlignment="1">
      <alignment horizontal="center"/>
    </xf>
    <xf numFmtId="167" fontId="18" fillId="0" borderId="1" xfId="0" applyNumberFormat="1" applyFont="1" applyBorder="1" applyAlignment="1">
      <alignment horizontal="center"/>
    </xf>
    <xf numFmtId="43" fontId="0" fillId="0" borderId="0" xfId="0" applyNumberFormat="1"/>
    <xf numFmtId="167" fontId="3" fillId="0" borderId="1" xfId="0" applyNumberFormat="1" applyFont="1" applyBorder="1" applyAlignment="1">
      <alignment horizontal="center"/>
    </xf>
    <xf numFmtId="0" fontId="19" fillId="0" borderId="0" xfId="0" applyFont="1" applyAlignment="1">
      <alignment wrapText="1"/>
    </xf>
    <xf numFmtId="0" fontId="1" fillId="5" borderId="1" xfId="0" applyFont="1" applyFill="1" applyBorder="1"/>
    <xf numFmtId="167" fontId="1" fillId="5" borderId="1" xfId="0" applyNumberFormat="1" applyFont="1" applyFill="1" applyBorder="1" applyAlignment="1">
      <alignment horizontal="center"/>
    </xf>
    <xf numFmtId="1" fontId="1" fillId="5" borderId="1" xfId="0" applyNumberFormat="1" applyFont="1" applyFill="1" applyBorder="1" applyAlignment="1">
      <alignment horizontal="center"/>
    </xf>
    <xf numFmtId="2" fontId="1" fillId="5" borderId="1" xfId="0" applyNumberFormat="1" applyFont="1" applyFill="1" applyBorder="1" applyAlignment="1">
      <alignment horizontal="center"/>
    </xf>
    <xf numFmtId="0" fontId="0" fillId="6" borderId="1" xfId="0" applyFill="1" applyBorder="1"/>
    <xf numFmtId="2" fontId="1" fillId="6" borderId="1" xfId="0" applyNumberFormat="1" applyFont="1" applyFill="1" applyBorder="1" applyAlignment="1">
      <alignment horizontal="center"/>
    </xf>
    <xf numFmtId="167" fontId="1" fillId="6" borderId="1" xfId="0" applyNumberFormat="1" applyFont="1" applyFill="1" applyBorder="1" applyAlignment="1">
      <alignment horizontal="center"/>
    </xf>
    <xf numFmtId="167" fontId="0" fillId="6" borderId="1" xfId="0" applyNumberFormat="1" applyFill="1" applyBorder="1" applyAlignment="1">
      <alignment horizontal="center" vertical="center"/>
    </xf>
    <xf numFmtId="0" fontId="1" fillId="7" borderId="1" xfId="0" applyFont="1" applyFill="1" applyBorder="1"/>
    <xf numFmtId="167" fontId="1" fillId="7" borderId="1" xfId="0" applyNumberFormat="1" applyFont="1" applyFill="1" applyBorder="1" applyAlignment="1">
      <alignment horizontal="center"/>
    </xf>
    <xf numFmtId="0" fontId="1" fillId="7" borderId="1" xfId="0" applyFont="1" applyFill="1" applyBorder="1" applyAlignment="1">
      <alignment horizontal="center"/>
    </xf>
    <xf numFmtId="17" fontId="15" fillId="2" borderId="0" xfId="7" applyNumberFormat="1" applyFont="1" applyFill="1"/>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1" fillId="0" borderId="0" xfId="0" applyFont="1" applyAlignment="1">
      <alignment horizontal="center"/>
    </xf>
    <xf numFmtId="0" fontId="5" fillId="4" borderId="1" xfId="0" applyFont="1" applyFill="1" applyBorder="1" applyAlignment="1">
      <alignment horizontal="center"/>
    </xf>
    <xf numFmtId="0" fontId="5" fillId="4" borderId="8" xfId="0" applyFont="1" applyFill="1" applyBorder="1" applyAlignment="1">
      <alignment horizontal="center"/>
    </xf>
    <xf numFmtId="0" fontId="5" fillId="4" borderId="0" xfId="0" applyFont="1" applyFill="1" applyAlignment="1">
      <alignment horizontal="center"/>
    </xf>
    <xf numFmtId="0" fontId="5" fillId="4" borderId="2" xfId="0" applyFont="1" applyFill="1" applyBorder="1" applyAlignment="1">
      <alignment horizontal="center"/>
    </xf>
    <xf numFmtId="0" fontId="5" fillId="4" borderId="3" xfId="0" applyFont="1" applyFill="1" applyBorder="1" applyAlignment="1">
      <alignment horizontal="center"/>
    </xf>
    <xf numFmtId="0" fontId="5" fillId="4" borderId="4" xfId="0" applyFont="1" applyFill="1" applyBorder="1" applyAlignment="1">
      <alignment horizontal="center"/>
    </xf>
    <xf numFmtId="0" fontId="2" fillId="0" borderId="1" xfId="0" applyFont="1" applyBorder="1" applyAlignment="1">
      <alignment horizontal="center"/>
    </xf>
    <xf numFmtId="9" fontId="2" fillId="0" borderId="1" xfId="0" applyNumberFormat="1" applyFont="1" applyBorder="1" applyAlignment="1">
      <alignment horizontal="center"/>
    </xf>
  </cellXfs>
  <cellStyles count="8">
    <cellStyle name="Comma" xfId="1" builtinId="3"/>
    <cellStyle name="Followed Hyperlink" xfId="3" builtinId="9" hidden="1"/>
    <cellStyle name="Followed Hyperlink" xfId="5" builtinId="9" hidden="1"/>
    <cellStyle name="Hyperlink" xfId="2" builtinId="8" hidden="1"/>
    <cellStyle name="Hyperlink" xfId="4" builtinId="8" hidden="1"/>
    <cellStyle name="Normal" xfId="0" builtinId="0"/>
    <cellStyle name="Normal_Financial Model-v6" xfId="7" xr:uid="{00000000-0005-0000-0000-000006000000}"/>
    <cellStyle name="Normal_Udaan Hosp nov 24 (version 12) with 25% free realistic US"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307974</xdr:colOff>
      <xdr:row>33</xdr:row>
      <xdr:rowOff>3175</xdr:rowOff>
    </xdr:from>
    <xdr:to>
      <xdr:col>17</xdr:col>
      <xdr:colOff>25399</xdr:colOff>
      <xdr:row>42</xdr:row>
      <xdr:rowOff>92092</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7974" y="6200775"/>
          <a:ext cx="14144625" cy="1574817"/>
        </a:xfrm>
        <a:prstGeom prst="rect">
          <a:avLst/>
        </a:prstGeom>
        <a:noFill/>
        <a:ln w="9525">
          <a:solidFill>
            <a:srgbClr val="FFFFFF"/>
          </a:solidFill>
          <a:miter lim="800000"/>
          <a:headEnd/>
          <a:tailEnd/>
        </a:ln>
      </xdr:spPr>
      <xdr:txBody>
        <a:bodyPr vertOverflow="clip" wrap="square" lIns="36576" tIns="22860" rIns="0" bIns="0" anchor="t" upright="1"/>
        <a:lstStyle/>
        <a:p>
          <a:pPr algn="l" rtl="0">
            <a:defRPr sz="1000"/>
          </a:pPr>
          <a:endParaRPr lang="en-US" sz="1200" b="0" i="0" strike="noStrike">
            <a:solidFill>
              <a:srgbClr val="000000"/>
            </a:solidFill>
            <a:latin typeface="Arial"/>
            <a:cs typeface="Arial"/>
          </a:endParaRPr>
        </a:p>
        <a:p>
          <a:pPr algn="l" rtl="0">
            <a:defRPr sz="1000"/>
          </a:pPr>
          <a:r>
            <a:rPr lang="en-US" sz="1200" b="1" i="0" strike="noStrike">
              <a:solidFill>
                <a:srgbClr val="000000"/>
              </a:solidFill>
              <a:latin typeface="Arial"/>
              <a:cs typeface="Arial"/>
            </a:rPr>
            <a:t>Important disclosures, disclaimers</a:t>
          </a:r>
          <a:endParaRPr lang="en-US" sz="1200" b="0" i="0" strike="noStrike">
            <a:solidFill>
              <a:srgbClr val="000000"/>
            </a:solidFill>
            <a:latin typeface="Arial"/>
            <a:cs typeface="Arial"/>
          </a:endParaRPr>
        </a:p>
        <a:p>
          <a:pPr algn="l" rtl="0">
            <a:defRPr sz="1000"/>
          </a:pPr>
          <a:endParaRPr lang="en-US" sz="1200" b="0" i="0" strike="noStrike">
            <a:solidFill>
              <a:srgbClr val="000000"/>
            </a:solidFill>
            <a:latin typeface="Arial"/>
            <a:cs typeface="Arial"/>
          </a:endParaRPr>
        </a:p>
        <a:p>
          <a:pPr algn="l" rtl="0">
            <a:defRPr sz="1000"/>
          </a:pPr>
          <a:r>
            <a:rPr lang="en-US" sz="1200" b="0" i="0" strike="noStrike">
              <a:solidFill>
                <a:srgbClr val="000000"/>
              </a:solidFill>
              <a:latin typeface="Arial"/>
              <a:cs typeface="Arial"/>
            </a:rPr>
            <a:t>This financial model has been prepared by ZAK Venture Private Limited (‘ZVPL’) on the basis of publicly available information and information obtained by ZVPL from primary sources like Industries,</a:t>
          </a:r>
          <a:r>
            <a:rPr lang="en-US" sz="1200" b="0" i="0" strike="noStrike" baseline="0">
              <a:solidFill>
                <a:srgbClr val="000000"/>
              </a:solidFill>
              <a:latin typeface="Arial"/>
              <a:cs typeface="Arial"/>
            </a:rPr>
            <a:t> Commercial centers in Haryana, Punjab etc</a:t>
          </a:r>
          <a:r>
            <a:rPr lang="en-US" sz="1200" b="0" i="0" strike="noStrike">
              <a:solidFill>
                <a:srgbClr val="000000"/>
              </a:solidFill>
              <a:latin typeface="Arial"/>
              <a:cs typeface="Arial"/>
            </a:rPr>
            <a:t>. Neither ZVPL, nor any person associated with it, makes any expressed or implied representation or warranty with respect to the sufficiency, accuracy, completeness or reasonableness of the information set forth in this financial model, nor do they owe any duty of care to any recipient of this note in relation to this financial model, and unless specifically pre-agreed in writing, in relation to any other information which a recipient of this financial model is provided with at any time.  This financial model is being furnished on a strictly confidential basis; neither this model nor the information and analysis contained herein may be reproduced or passed to any third person.  This financial model has been prepared without prejudice and does not constitute an offer to sell or issue any shares in, or sell any underlying assets of the Client or an invitation to offer. </a:t>
          </a:r>
        </a:p>
        <a:p>
          <a:pPr algn="l" rtl="0">
            <a:defRPr sz="1000"/>
          </a:pPr>
          <a:endParaRPr lang="en-US" sz="1200" b="0" i="0" strike="noStrike">
            <a:solidFill>
              <a:srgbClr val="000000"/>
            </a:solidFill>
            <a:latin typeface="Arial"/>
            <a:cs typeface="Arial"/>
          </a:endParaRPr>
        </a:p>
        <a:p>
          <a:pPr algn="l" rtl="0">
            <a:defRPr sz="1000"/>
          </a:pPr>
          <a:endParaRPr lang="en-US" sz="12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1"/>
  <sheetViews>
    <sheetView tabSelected="1" zoomScaleNormal="100" workbookViewId="0">
      <selection activeCell="E16" sqref="E16"/>
    </sheetView>
  </sheetViews>
  <sheetFormatPr baseColWidth="10" defaultColWidth="9.1640625" defaultRowHeight="13"/>
  <cols>
    <col min="1" max="1" width="4.1640625" style="20" customWidth="1"/>
    <col min="2" max="2" width="9.6640625" style="20" customWidth="1"/>
    <col min="3" max="3" width="18.6640625" style="20" customWidth="1"/>
    <col min="4" max="15" width="9.1640625" style="20"/>
    <col min="16" max="16" width="18.33203125" style="20" customWidth="1"/>
    <col min="17" max="17" width="28.5" style="20" customWidth="1"/>
    <col min="18" max="16384" width="9.1640625" style="20"/>
  </cols>
  <sheetData>
    <row r="1" spans="1:17" ht="14" thickBot="1">
      <c r="A1" s="19"/>
    </row>
    <row r="2" spans="1:17">
      <c r="A2" s="21"/>
      <c r="B2" s="22"/>
      <c r="C2" s="23"/>
      <c r="D2" s="23"/>
      <c r="E2" s="23"/>
      <c r="F2" s="23"/>
      <c r="G2" s="23"/>
      <c r="H2" s="23"/>
      <c r="I2" s="23"/>
      <c r="J2" s="23"/>
      <c r="K2" s="23"/>
      <c r="L2" s="23"/>
      <c r="M2" s="23"/>
      <c r="N2" s="23"/>
      <c r="O2" s="23"/>
      <c r="P2" s="23"/>
      <c r="Q2" s="24"/>
    </row>
    <row r="3" spans="1:17">
      <c r="A3" s="21"/>
      <c r="B3" s="25"/>
      <c r="Q3" s="26"/>
    </row>
    <row r="4" spans="1:17">
      <c r="A4" s="21"/>
      <c r="B4" s="25"/>
      <c r="Q4" s="26"/>
    </row>
    <row r="5" spans="1:17">
      <c r="A5" s="21"/>
      <c r="B5" s="25"/>
      <c r="Q5" s="26"/>
    </row>
    <row r="6" spans="1:17">
      <c r="A6" s="21"/>
      <c r="B6" s="25"/>
      <c r="Q6" s="26"/>
    </row>
    <row r="7" spans="1:17">
      <c r="A7" s="21"/>
      <c r="B7" s="25"/>
      <c r="Q7" s="26"/>
    </row>
    <row r="8" spans="1:17">
      <c r="A8" s="21"/>
      <c r="B8" s="25"/>
      <c r="Q8" s="26"/>
    </row>
    <row r="9" spans="1:17">
      <c r="A9" s="21"/>
      <c r="B9" s="25"/>
      <c r="Q9" s="26"/>
    </row>
    <row r="10" spans="1:17">
      <c r="A10" s="21"/>
      <c r="B10" s="25"/>
      <c r="Q10" s="26"/>
    </row>
    <row r="11" spans="1:17" ht="30" customHeight="1">
      <c r="A11" s="21"/>
      <c r="B11" s="25"/>
      <c r="C11" s="27" t="s">
        <v>182</v>
      </c>
      <c r="Q11" s="26"/>
    </row>
    <row r="12" spans="1:17" ht="30" customHeight="1">
      <c r="A12" s="21"/>
      <c r="B12" s="25"/>
      <c r="C12" s="27"/>
      <c r="Q12" s="26"/>
    </row>
    <row r="13" spans="1:17" ht="20">
      <c r="A13" s="21"/>
      <c r="B13" s="25"/>
      <c r="C13" s="28" t="s">
        <v>36</v>
      </c>
      <c r="D13" s="28">
        <f>Assumptions!C15</f>
        <v>14.901</v>
      </c>
      <c r="E13" s="28" t="s">
        <v>136</v>
      </c>
      <c r="Q13" s="26"/>
    </row>
    <row r="14" spans="1:17">
      <c r="A14" s="21"/>
      <c r="B14" s="25"/>
      <c r="Q14" s="26"/>
    </row>
    <row r="15" spans="1:17">
      <c r="A15" s="21"/>
      <c r="B15" s="25"/>
      <c r="Q15" s="26"/>
    </row>
    <row r="16" spans="1:17" ht="23">
      <c r="A16" s="21"/>
      <c r="B16" s="25"/>
      <c r="C16" s="29"/>
      <c r="Q16" s="26"/>
    </row>
    <row r="17" spans="1:17">
      <c r="A17" s="21"/>
      <c r="B17" s="25"/>
      <c r="Q17" s="26"/>
    </row>
    <row r="18" spans="1:17" ht="20">
      <c r="A18" s="21"/>
      <c r="B18" s="25"/>
      <c r="C18" s="74">
        <v>45536</v>
      </c>
      <c r="Q18" s="26"/>
    </row>
    <row r="19" spans="1:17">
      <c r="A19" s="21"/>
      <c r="B19" s="25"/>
      <c r="Q19" s="26"/>
    </row>
    <row r="20" spans="1:17">
      <c r="A20" s="21"/>
      <c r="B20" s="25"/>
      <c r="Q20" s="26"/>
    </row>
    <row r="21" spans="1:17">
      <c r="A21" s="21"/>
      <c r="B21" s="25"/>
      <c r="Q21" s="26"/>
    </row>
    <row r="22" spans="1:17">
      <c r="A22" s="21"/>
      <c r="B22" s="25"/>
      <c r="Q22" s="26"/>
    </row>
    <row r="23" spans="1:17">
      <c r="A23" s="21"/>
      <c r="B23" s="25"/>
      <c r="Q23" s="26"/>
    </row>
    <row r="24" spans="1:17">
      <c r="A24" s="21"/>
      <c r="B24" s="25"/>
      <c r="Q24" s="26"/>
    </row>
    <row r="25" spans="1:17">
      <c r="A25" s="21"/>
      <c r="B25" s="25"/>
      <c r="Q25" s="26"/>
    </row>
    <row r="26" spans="1:17">
      <c r="A26" s="21"/>
      <c r="B26" s="25"/>
      <c r="Q26" s="26"/>
    </row>
    <row r="27" spans="1:17">
      <c r="A27" s="21"/>
      <c r="B27" s="25"/>
      <c r="Q27" s="26"/>
    </row>
    <row r="28" spans="1:17">
      <c r="A28" s="21"/>
      <c r="B28" s="25"/>
      <c r="Q28" s="26"/>
    </row>
    <row r="29" spans="1:17">
      <c r="A29" s="21"/>
      <c r="B29" s="25"/>
      <c r="Q29" s="26"/>
    </row>
    <row r="30" spans="1:17">
      <c r="A30" s="21"/>
      <c r="B30" s="25"/>
      <c r="Q30" s="26"/>
    </row>
    <row r="31" spans="1:17">
      <c r="A31" s="21"/>
      <c r="B31" s="25"/>
      <c r="Q31" s="26"/>
    </row>
    <row r="32" spans="1:17">
      <c r="B32" s="25"/>
      <c r="Q32" s="26"/>
    </row>
    <row r="33" spans="2:17">
      <c r="B33" s="25"/>
      <c r="Q33" s="26"/>
    </row>
    <row r="34" spans="2:17">
      <c r="B34" s="25"/>
      <c r="Q34" s="26"/>
    </row>
    <row r="35" spans="2:17">
      <c r="B35" s="25"/>
      <c r="Q35" s="26"/>
    </row>
    <row r="36" spans="2:17">
      <c r="B36" s="25"/>
      <c r="Q36" s="26"/>
    </row>
    <row r="37" spans="2:17">
      <c r="B37" s="25"/>
      <c r="Q37" s="26"/>
    </row>
    <row r="38" spans="2:17">
      <c r="B38" s="25"/>
      <c r="Q38" s="26"/>
    </row>
    <row r="39" spans="2:17">
      <c r="B39" s="25"/>
      <c r="Q39" s="26"/>
    </row>
    <row r="40" spans="2:17">
      <c r="B40" s="25"/>
      <c r="Q40" s="26"/>
    </row>
    <row r="41" spans="2:17">
      <c r="B41" s="25"/>
      <c r="Q41" s="26"/>
    </row>
    <row r="42" spans="2:17">
      <c r="B42" s="25"/>
      <c r="Q42" s="26"/>
    </row>
    <row r="43" spans="2:17">
      <c r="B43" s="25"/>
      <c r="Q43" s="26"/>
    </row>
    <row r="44" spans="2:17">
      <c r="B44" s="25"/>
      <c r="Q44" s="26"/>
    </row>
    <row r="45" spans="2:17">
      <c r="B45" s="25"/>
      <c r="Q45" s="26"/>
    </row>
    <row r="46" spans="2:17">
      <c r="B46" s="25"/>
      <c r="Q46" s="26"/>
    </row>
    <row r="47" spans="2:17">
      <c r="B47" s="25"/>
      <c r="Q47" s="26"/>
    </row>
    <row r="48" spans="2:17">
      <c r="B48" s="25"/>
      <c r="Q48" s="26"/>
    </row>
    <row r="49" spans="2:17">
      <c r="B49" s="25"/>
      <c r="Q49" s="26"/>
    </row>
    <row r="50" spans="2:17">
      <c r="B50" s="25"/>
      <c r="Q50" s="26"/>
    </row>
    <row r="51" spans="2:17">
      <c r="B51" s="25"/>
      <c r="Q51" s="26"/>
    </row>
    <row r="52" spans="2:17">
      <c r="B52" s="25"/>
      <c r="Q52" s="26"/>
    </row>
    <row r="53" spans="2:17">
      <c r="B53" s="25"/>
      <c r="Q53" s="26"/>
    </row>
    <row r="54" spans="2:17">
      <c r="B54" s="25"/>
      <c r="Q54" s="26"/>
    </row>
    <row r="55" spans="2:17">
      <c r="B55" s="25"/>
      <c r="Q55" s="26"/>
    </row>
    <row r="56" spans="2:17">
      <c r="B56" s="25"/>
      <c r="Q56" s="26"/>
    </row>
    <row r="57" spans="2:17">
      <c r="B57" s="25"/>
      <c r="Q57" s="26"/>
    </row>
    <row r="58" spans="2:17">
      <c r="B58" s="25"/>
      <c r="Q58" s="26"/>
    </row>
    <row r="59" spans="2:17">
      <c r="B59" s="25"/>
      <c r="Q59" s="26"/>
    </row>
    <row r="60" spans="2:17">
      <c r="B60" s="25"/>
      <c r="Q60" s="26"/>
    </row>
    <row r="61" spans="2:17" ht="14" thickBot="1">
      <c r="B61" s="30"/>
      <c r="C61" s="31"/>
      <c r="D61" s="31"/>
      <c r="E61" s="31"/>
      <c r="F61" s="31"/>
      <c r="G61" s="31"/>
      <c r="H61" s="31"/>
      <c r="I61" s="31"/>
      <c r="J61" s="31"/>
      <c r="K61" s="31"/>
      <c r="L61" s="31"/>
      <c r="M61" s="31"/>
      <c r="N61" s="31"/>
      <c r="O61" s="31"/>
      <c r="P61" s="31"/>
      <c r="Q61" s="32"/>
    </row>
  </sheetData>
  <pageMargins left="0.7" right="0.7" top="0.75" bottom="0.75" header="0.3" footer="0.3"/>
  <pageSetup paperSize="9" scale="41"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52"/>
  <sheetViews>
    <sheetView zoomScale="110" zoomScaleNormal="130" workbookViewId="0">
      <selection activeCell="C24" sqref="C24:C26"/>
    </sheetView>
  </sheetViews>
  <sheetFormatPr baseColWidth="10" defaultColWidth="8.83203125" defaultRowHeight="15"/>
  <cols>
    <col min="2" max="2" width="37.5" customWidth="1"/>
    <col min="3" max="3" width="11" bestFit="1" customWidth="1"/>
    <col min="5" max="5" width="11.5" customWidth="1"/>
    <col min="6" max="6" width="1.33203125" customWidth="1"/>
    <col min="7" max="7" width="48.5" customWidth="1"/>
    <col min="8" max="8" width="16.1640625" bestFit="1" customWidth="1"/>
    <col min="9" max="9" width="11.6640625" bestFit="1" customWidth="1"/>
    <col min="10" max="10" width="13.1640625" customWidth="1"/>
    <col min="11" max="11" width="13.6640625" bestFit="1" customWidth="1"/>
    <col min="13" max="13" width="10.1640625" bestFit="1" customWidth="1"/>
    <col min="14" max="14" width="11" bestFit="1" customWidth="1"/>
  </cols>
  <sheetData>
    <row r="1" spans="2:15" ht="27" thickBot="1">
      <c r="B1" s="75" t="s">
        <v>76</v>
      </c>
      <c r="C1" s="76"/>
      <c r="D1" s="76"/>
      <c r="E1" s="76"/>
      <c r="F1" s="76"/>
      <c r="G1" s="76"/>
      <c r="H1" s="76"/>
      <c r="I1" s="77"/>
    </row>
    <row r="3" spans="2:15">
      <c r="B3" s="8" t="s">
        <v>32</v>
      </c>
      <c r="C3" s="9" t="s">
        <v>78</v>
      </c>
      <c r="H3" s="14"/>
    </row>
    <row r="4" spans="2:15">
      <c r="B4" s="7" t="s">
        <v>172</v>
      </c>
      <c r="C4" s="10">
        <v>1.5</v>
      </c>
      <c r="H4" s="14"/>
    </row>
    <row r="5" spans="2:15">
      <c r="B5" s="7" t="s">
        <v>183</v>
      </c>
      <c r="C5" s="61">
        <v>0.79</v>
      </c>
      <c r="G5" s="2" t="s">
        <v>147</v>
      </c>
      <c r="H5" s="4">
        <v>6250</v>
      </c>
      <c r="I5" s="4" t="s">
        <v>132</v>
      </c>
      <c r="L5" s="14"/>
      <c r="M5" s="14"/>
      <c r="N5" s="14"/>
      <c r="O5" s="14"/>
    </row>
    <row r="6" spans="2:15">
      <c r="B6" s="7" t="s">
        <v>167</v>
      </c>
      <c r="C6" s="61">
        <v>2.44</v>
      </c>
      <c r="G6" s="2" t="s">
        <v>71</v>
      </c>
      <c r="H6" s="4">
        <v>15</v>
      </c>
      <c r="I6" s="4" t="s">
        <v>133</v>
      </c>
    </row>
    <row r="7" spans="2:15">
      <c r="B7" s="7" t="s">
        <v>164</v>
      </c>
      <c r="C7" s="58">
        <v>3.9809999999999999</v>
      </c>
      <c r="G7" s="2" t="s">
        <v>35</v>
      </c>
      <c r="H7" s="4">
        <v>350</v>
      </c>
      <c r="I7" s="4"/>
      <c r="L7" s="14"/>
      <c r="M7" s="14"/>
      <c r="N7" s="18"/>
      <c r="O7" s="14"/>
    </row>
    <row r="8" spans="2:15">
      <c r="B8" s="7" t="s">
        <v>166</v>
      </c>
      <c r="C8" s="10">
        <v>0</v>
      </c>
      <c r="G8" s="2"/>
      <c r="H8" s="52"/>
      <c r="I8" s="4" t="s">
        <v>52</v>
      </c>
    </row>
    <row r="9" spans="2:15">
      <c r="B9" s="7" t="s">
        <v>168</v>
      </c>
      <c r="C9" s="61">
        <v>0</v>
      </c>
      <c r="G9" s="2" t="s">
        <v>165</v>
      </c>
      <c r="H9" s="4">
        <v>70</v>
      </c>
      <c r="I9" s="4" t="s">
        <v>153</v>
      </c>
      <c r="L9" s="14"/>
      <c r="M9" s="14"/>
      <c r="N9" s="18"/>
      <c r="O9" s="14"/>
    </row>
    <row r="10" spans="2:15">
      <c r="B10" s="7" t="s">
        <v>170</v>
      </c>
      <c r="C10" s="10">
        <v>1.19</v>
      </c>
      <c r="G10" s="2" t="s">
        <v>181</v>
      </c>
      <c r="H10" s="4">
        <v>2</v>
      </c>
      <c r="I10" s="4" t="s">
        <v>46</v>
      </c>
    </row>
    <row r="11" spans="2:15" ht="16">
      <c r="B11" s="62" t="s">
        <v>176</v>
      </c>
      <c r="C11" s="10">
        <v>5</v>
      </c>
      <c r="G11" s="2" t="s">
        <v>50</v>
      </c>
      <c r="H11" s="4">
        <v>8.5</v>
      </c>
      <c r="I11" s="4" t="s">
        <v>51</v>
      </c>
    </row>
    <row r="12" spans="2:15">
      <c r="B12" s="2" t="s">
        <v>173</v>
      </c>
      <c r="C12" s="10">
        <v>0</v>
      </c>
      <c r="G12" s="2" t="s">
        <v>180</v>
      </c>
      <c r="H12" s="52">
        <f>(H5)*0.4*H9*H7</f>
        <v>61250000</v>
      </c>
      <c r="I12" s="4" t="s">
        <v>52</v>
      </c>
      <c r="K12" s="60"/>
    </row>
    <row r="13" spans="2:15">
      <c r="B13" s="3" t="s">
        <v>24</v>
      </c>
      <c r="C13" s="55">
        <f>SUM(C4:C12)</f>
        <v>14.901</v>
      </c>
      <c r="G13" s="2" t="s">
        <v>179</v>
      </c>
      <c r="H13" s="52">
        <f>H6*H7*H10*1000</f>
        <v>10500000</v>
      </c>
      <c r="I13" s="4" t="s">
        <v>52</v>
      </c>
      <c r="K13" s="60"/>
    </row>
    <row r="14" spans="2:15">
      <c r="B14" s="7" t="s">
        <v>34</v>
      </c>
      <c r="C14" s="61">
        <v>0</v>
      </c>
      <c r="G14" s="2" t="s">
        <v>37</v>
      </c>
      <c r="H14" s="54">
        <f>H12+H13+H8</f>
        <v>71750000</v>
      </c>
      <c r="I14" s="4" t="s">
        <v>52</v>
      </c>
      <c r="K14" s="60"/>
    </row>
    <row r="15" spans="2:15">
      <c r="B15" s="7" t="s">
        <v>47</v>
      </c>
      <c r="C15" s="13">
        <f>SUM(C13:C14)</f>
        <v>14.901</v>
      </c>
      <c r="I15" s="14"/>
    </row>
    <row r="16" spans="2:15">
      <c r="G16" s="2" t="s">
        <v>145</v>
      </c>
      <c r="H16" s="4">
        <v>50</v>
      </c>
      <c r="I16" s="4" t="s">
        <v>53</v>
      </c>
      <c r="J16">
        <f>H16*50</f>
        <v>2500</v>
      </c>
      <c r="M16">
        <f>H16*2*40</f>
        <v>4000</v>
      </c>
    </row>
    <row r="17" spans="2:13" ht="16">
      <c r="G17" s="49" t="s">
        <v>175</v>
      </c>
      <c r="H17" s="50">
        <v>35</v>
      </c>
      <c r="I17" s="4" t="s">
        <v>53</v>
      </c>
      <c r="J17">
        <f>H17*120</f>
        <v>4200</v>
      </c>
      <c r="M17">
        <f>H17*2.5*40</f>
        <v>3500</v>
      </c>
    </row>
    <row r="18" spans="2:13">
      <c r="G18" s="2" t="s">
        <v>146</v>
      </c>
      <c r="H18" s="11">
        <f>(H16*800+H17*900)/(H16+H17)</f>
        <v>841.17647058823525</v>
      </c>
      <c r="I18" s="4" t="s">
        <v>54</v>
      </c>
      <c r="J18">
        <f>J17+J16</f>
        <v>6700</v>
      </c>
      <c r="L18">
        <f>K18*0.4</f>
        <v>0</v>
      </c>
      <c r="M18">
        <f>M17+M16</f>
        <v>7500</v>
      </c>
    </row>
    <row r="19" spans="2:13">
      <c r="G19" s="3" t="s">
        <v>4</v>
      </c>
      <c r="H19" s="54">
        <f>(H16+H17)*H18*H7</f>
        <v>25025000</v>
      </c>
      <c r="I19" s="6" t="s">
        <v>52</v>
      </c>
      <c r="M19">
        <f>M18/2</f>
        <v>3750</v>
      </c>
    </row>
    <row r="21" spans="2:13">
      <c r="B21" s="1" t="s">
        <v>83</v>
      </c>
    </row>
    <row r="22" spans="2:13">
      <c r="B22" s="3" t="s">
        <v>32</v>
      </c>
      <c r="C22" s="6" t="s">
        <v>78</v>
      </c>
    </row>
    <row r="23" spans="2:13">
      <c r="B23" s="2"/>
      <c r="C23" s="4"/>
      <c r="G23" s="78" t="s">
        <v>79</v>
      </c>
      <c r="H23" s="78"/>
      <c r="I23" s="78"/>
    </row>
    <row r="24" spans="2:13">
      <c r="B24" s="7" t="s">
        <v>138</v>
      </c>
      <c r="C24" s="4">
        <f>0.05*C4</f>
        <v>7.5000000000000011E-2</v>
      </c>
      <c r="G24" t="s">
        <v>154</v>
      </c>
      <c r="J24" t="s">
        <v>158</v>
      </c>
    </row>
    <row r="25" spans="2:13">
      <c r="B25" s="2" t="s">
        <v>139</v>
      </c>
      <c r="C25" s="4">
        <f>0.05*C7</f>
        <v>0.19905</v>
      </c>
      <c r="G25" s="2" t="s">
        <v>80</v>
      </c>
      <c r="H25" s="4">
        <v>120</v>
      </c>
      <c r="I25" s="4" t="s">
        <v>155</v>
      </c>
      <c r="J25" s="2">
        <v>6</v>
      </c>
      <c r="K25" s="2">
        <f>J25*H25</f>
        <v>720</v>
      </c>
      <c r="L25" s="2" t="s">
        <v>159</v>
      </c>
    </row>
    <row r="26" spans="2:13">
      <c r="B26" s="2" t="s">
        <v>140</v>
      </c>
      <c r="C26" s="4">
        <f>0.05*(C4+C6)</f>
        <v>0.19700000000000001</v>
      </c>
      <c r="G26" s="2" t="s">
        <v>81</v>
      </c>
      <c r="H26" s="4">
        <v>10</v>
      </c>
      <c r="I26" s="4" t="s">
        <v>155</v>
      </c>
      <c r="J26" s="2">
        <v>16</v>
      </c>
      <c r="K26" s="2">
        <f t="shared" ref="K26:K36" si="0">J26*H26</f>
        <v>160</v>
      </c>
      <c r="L26" s="2" t="s">
        <v>159</v>
      </c>
    </row>
    <row r="27" spans="2:13">
      <c r="B27" s="2"/>
      <c r="C27" s="4"/>
      <c r="G27" s="2" t="s">
        <v>33</v>
      </c>
      <c r="H27" s="4">
        <v>15</v>
      </c>
      <c r="I27" s="4" t="s">
        <v>155</v>
      </c>
      <c r="J27" s="2">
        <v>20</v>
      </c>
      <c r="K27" s="2">
        <f t="shared" si="0"/>
        <v>300</v>
      </c>
      <c r="L27" s="2" t="s">
        <v>159</v>
      </c>
    </row>
    <row r="28" spans="2:13">
      <c r="B28" s="2" t="s">
        <v>24</v>
      </c>
      <c r="C28" s="6">
        <f>SUM(C22:C27)</f>
        <v>0.47105000000000002</v>
      </c>
      <c r="G28" s="2" t="s">
        <v>59</v>
      </c>
      <c r="H28" s="4">
        <v>55</v>
      </c>
      <c r="I28" s="4" t="s">
        <v>155</v>
      </c>
      <c r="J28" s="2">
        <v>20</v>
      </c>
      <c r="K28" s="2">
        <f t="shared" si="0"/>
        <v>1100</v>
      </c>
      <c r="L28" s="2" t="s">
        <v>159</v>
      </c>
    </row>
    <row r="29" spans="2:13">
      <c r="G29" s="2" t="s">
        <v>135</v>
      </c>
      <c r="H29" s="4">
        <v>75</v>
      </c>
      <c r="I29" s="4" t="s">
        <v>155</v>
      </c>
      <c r="J29" s="2">
        <v>16.5</v>
      </c>
      <c r="K29" s="2">
        <f t="shared" si="0"/>
        <v>1237.5</v>
      </c>
      <c r="L29" s="2" t="s">
        <v>159</v>
      </c>
    </row>
    <row r="30" spans="2:13">
      <c r="B30" s="3" t="s">
        <v>32</v>
      </c>
      <c r="C30" s="6" t="s">
        <v>78</v>
      </c>
      <c r="G30" s="2" t="s">
        <v>60</v>
      </c>
      <c r="H30" s="4">
        <v>10</v>
      </c>
      <c r="I30" s="4" t="s">
        <v>155</v>
      </c>
      <c r="J30" s="2">
        <v>6</v>
      </c>
      <c r="K30" s="2">
        <f t="shared" si="0"/>
        <v>60</v>
      </c>
      <c r="L30" s="2" t="s">
        <v>159</v>
      </c>
    </row>
    <row r="31" spans="2:13">
      <c r="B31" s="2" t="s">
        <v>48</v>
      </c>
      <c r="C31" s="16">
        <f>C15-C32</f>
        <v>6.5009999999999994</v>
      </c>
      <c r="G31" s="2" t="s">
        <v>61</v>
      </c>
      <c r="H31" s="4">
        <v>5</v>
      </c>
      <c r="I31" s="4" t="s">
        <v>155</v>
      </c>
      <c r="J31" s="2">
        <v>6</v>
      </c>
      <c r="K31" s="2">
        <f t="shared" si="0"/>
        <v>30</v>
      </c>
      <c r="L31" s="2" t="s">
        <v>159</v>
      </c>
    </row>
    <row r="32" spans="2:13">
      <c r="B32" s="2" t="s">
        <v>49</v>
      </c>
      <c r="C32" s="16">
        <v>8.4</v>
      </c>
      <c r="G32" s="2" t="s">
        <v>62</v>
      </c>
      <c r="H32" s="4">
        <v>30</v>
      </c>
      <c r="I32" s="4" t="s">
        <v>155</v>
      </c>
      <c r="J32" s="2">
        <v>4</v>
      </c>
      <c r="K32" s="2">
        <f t="shared" si="0"/>
        <v>120</v>
      </c>
      <c r="L32" s="2" t="s">
        <v>159</v>
      </c>
    </row>
    <row r="33" spans="2:13">
      <c r="B33" s="2"/>
      <c r="C33" s="4"/>
      <c r="G33" s="2" t="s">
        <v>63</v>
      </c>
      <c r="H33" s="4">
        <v>15</v>
      </c>
      <c r="I33" s="4" t="s">
        <v>155</v>
      </c>
      <c r="J33" s="2">
        <v>4</v>
      </c>
      <c r="K33" s="2">
        <f t="shared" si="0"/>
        <v>60</v>
      </c>
      <c r="L33" s="2" t="s">
        <v>159</v>
      </c>
    </row>
    <row r="34" spans="2:13">
      <c r="B34" s="3" t="s">
        <v>36</v>
      </c>
      <c r="C34" s="13">
        <f>SUM(C31:C33)</f>
        <v>14.901</v>
      </c>
      <c r="G34" s="2"/>
      <c r="H34" s="4"/>
      <c r="I34" s="4"/>
      <c r="J34" s="2"/>
      <c r="K34" s="2">
        <f t="shared" si="0"/>
        <v>0</v>
      </c>
      <c r="L34" s="2" t="s">
        <v>159</v>
      </c>
    </row>
    <row r="35" spans="2:13">
      <c r="G35" s="2"/>
      <c r="H35" s="4"/>
      <c r="I35" s="4"/>
      <c r="J35" s="2"/>
      <c r="K35" s="2">
        <f t="shared" si="0"/>
        <v>0</v>
      </c>
      <c r="L35" s="2" t="s">
        <v>159</v>
      </c>
    </row>
    <row r="36" spans="2:13">
      <c r="B36" s="6" t="s">
        <v>32</v>
      </c>
      <c r="C36" s="6" t="s">
        <v>65</v>
      </c>
      <c r="D36" s="6" t="s">
        <v>66</v>
      </c>
      <c r="E36" s="6" t="s">
        <v>24</v>
      </c>
      <c r="G36" s="2"/>
      <c r="H36" s="4"/>
      <c r="I36" s="4"/>
      <c r="J36" s="2"/>
      <c r="K36" s="2">
        <f t="shared" si="0"/>
        <v>0</v>
      </c>
      <c r="L36" s="2" t="s">
        <v>159</v>
      </c>
    </row>
    <row r="37" spans="2:13">
      <c r="B37" s="2" t="s">
        <v>152</v>
      </c>
      <c r="C37" s="4">
        <v>1</v>
      </c>
      <c r="D37" s="4">
        <v>150000</v>
      </c>
      <c r="E37" s="4">
        <f>C37*D37</f>
        <v>150000</v>
      </c>
      <c r="G37" s="2" t="s">
        <v>161</v>
      </c>
      <c r="H37" s="4">
        <f>SUM(H25:H36)</f>
        <v>335</v>
      </c>
      <c r="I37" s="4"/>
      <c r="J37" s="2"/>
      <c r="K37" s="2">
        <f>SUM(K25:K36)</f>
        <v>3787.5</v>
      </c>
      <c r="L37" s="2" t="s">
        <v>159</v>
      </c>
      <c r="M37" t="s">
        <v>162</v>
      </c>
    </row>
    <row r="38" spans="2:13">
      <c r="B38" s="2" t="s">
        <v>64</v>
      </c>
      <c r="C38" s="4">
        <v>2</v>
      </c>
      <c r="D38" s="4">
        <v>75000</v>
      </c>
      <c r="E38" s="4">
        <f t="shared" ref="E38:E41" si="1">C38*D38</f>
        <v>150000</v>
      </c>
      <c r="G38" s="3" t="s">
        <v>160</v>
      </c>
      <c r="H38" s="13">
        <v>120</v>
      </c>
      <c r="I38" s="4" t="s">
        <v>156</v>
      </c>
      <c r="J38" s="2"/>
      <c r="K38" s="33">
        <f>K37/24</f>
        <v>157.8125</v>
      </c>
      <c r="L38" s="2" t="s">
        <v>155</v>
      </c>
      <c r="M38" t="s">
        <v>163</v>
      </c>
    </row>
    <row r="39" spans="2:13">
      <c r="B39" s="2" t="s">
        <v>67</v>
      </c>
      <c r="C39" s="4">
        <v>4</v>
      </c>
      <c r="D39" s="4">
        <v>30000</v>
      </c>
      <c r="E39" s="4">
        <f t="shared" si="1"/>
        <v>120000</v>
      </c>
      <c r="G39" s="2" t="s">
        <v>73</v>
      </c>
      <c r="H39" s="4">
        <f>H38*H11*24</f>
        <v>24480</v>
      </c>
      <c r="I39" s="4" t="s">
        <v>82</v>
      </c>
    </row>
    <row r="40" spans="2:13">
      <c r="B40" s="2" t="s">
        <v>68</v>
      </c>
      <c r="C40" s="4">
        <v>4</v>
      </c>
      <c r="D40" s="4">
        <v>15000</v>
      </c>
      <c r="E40" s="4">
        <f t="shared" si="1"/>
        <v>60000</v>
      </c>
      <c r="G40" s="3" t="s">
        <v>72</v>
      </c>
      <c r="H40" s="17">
        <f>H39*365</f>
        <v>8935200</v>
      </c>
      <c r="I40" s="4" t="s">
        <v>82</v>
      </c>
    </row>
    <row r="41" spans="2:13">
      <c r="B41" s="2" t="s">
        <v>69</v>
      </c>
      <c r="C41" s="4">
        <v>3</v>
      </c>
      <c r="D41" s="4">
        <v>15000</v>
      </c>
      <c r="E41" s="4">
        <f t="shared" si="1"/>
        <v>45000</v>
      </c>
    </row>
    <row r="42" spans="2:13">
      <c r="B42" s="2" t="s">
        <v>24</v>
      </c>
      <c r="C42" s="4">
        <f>SUM(C37:C41)</f>
        <v>14</v>
      </c>
      <c r="D42" s="2"/>
      <c r="E42" s="6">
        <f>SUM(E37:E41)</f>
        <v>525000</v>
      </c>
      <c r="H42" s="53"/>
    </row>
    <row r="43" spans="2:13">
      <c r="B43" s="2"/>
      <c r="C43" s="2"/>
      <c r="D43" s="2"/>
      <c r="E43" s="3"/>
    </row>
    <row r="44" spans="2:13">
      <c r="B44" s="2" t="s">
        <v>70</v>
      </c>
      <c r="C44" s="2"/>
      <c r="D44" s="2"/>
      <c r="E44" s="17">
        <f>E42*12</f>
        <v>6300000</v>
      </c>
    </row>
    <row r="47" spans="2:13">
      <c r="B47" s="15" t="s">
        <v>110</v>
      </c>
      <c r="C47" s="15" t="s">
        <v>111</v>
      </c>
    </row>
    <row r="49" spans="2:2">
      <c r="B49" s="1" t="s">
        <v>141</v>
      </c>
    </row>
    <row r="50" spans="2:2">
      <c r="B50" t="s">
        <v>142</v>
      </c>
    </row>
    <row r="51" spans="2:2">
      <c r="B51" t="s">
        <v>143</v>
      </c>
    </row>
    <row r="52" spans="2:2">
      <c r="B52" t="s">
        <v>144</v>
      </c>
    </row>
  </sheetData>
  <mergeCells count="2">
    <mergeCell ref="B1:I1"/>
    <mergeCell ref="G23:I23"/>
  </mergeCells>
  <pageMargins left="0.7" right="0.7" top="0.75" bottom="0.75" header="0.3" footer="0.3"/>
  <pageSetup scale="57" orientation="portrait" horizontalDpi="120" verticalDpi="14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7"/>
  <sheetViews>
    <sheetView zoomScaleNormal="100" workbookViewId="0">
      <selection activeCell="C3" sqref="C3:C7"/>
    </sheetView>
  </sheetViews>
  <sheetFormatPr baseColWidth="10" defaultColWidth="8.83203125" defaultRowHeight="15"/>
  <cols>
    <col min="2" max="2" width="21.6640625" customWidth="1"/>
    <col min="3" max="3" width="19.6640625" customWidth="1"/>
    <col min="4" max="4" width="21.33203125" customWidth="1"/>
  </cols>
  <sheetData>
    <row r="1" spans="2:4">
      <c r="B1" s="1"/>
    </row>
    <row r="2" spans="2:4" ht="21">
      <c r="B2" s="79" t="s">
        <v>129</v>
      </c>
      <c r="C2" s="79"/>
      <c r="D2" s="79"/>
    </row>
    <row r="3" spans="2:4" ht="21">
      <c r="B3" s="43" t="s">
        <v>36</v>
      </c>
      <c r="C3" s="59">
        <f>Assumptions!C34</f>
        <v>14.901</v>
      </c>
      <c r="D3" s="43" t="s">
        <v>134</v>
      </c>
    </row>
    <row r="4" spans="2:4" ht="21">
      <c r="B4" s="43" t="s">
        <v>130</v>
      </c>
      <c r="C4" s="44">
        <f>DSCR!C20</f>
        <v>1.8089073264288915</v>
      </c>
      <c r="D4" s="43"/>
    </row>
    <row r="5" spans="2:4" ht="21">
      <c r="B5" s="43" t="s">
        <v>45</v>
      </c>
      <c r="C5" s="47">
        <f>NPV_IRR!B13</f>
        <v>0.23964102142999311</v>
      </c>
      <c r="D5" s="43"/>
    </row>
    <row r="6" spans="2:4" ht="21">
      <c r="B6" s="43" t="s">
        <v>44</v>
      </c>
      <c r="C6" s="45">
        <f>NPV_IRR!B15</f>
        <v>12.821589274220271</v>
      </c>
      <c r="D6" s="43" t="s">
        <v>134</v>
      </c>
    </row>
    <row r="7" spans="2:4" ht="21">
      <c r="B7" s="43" t="s">
        <v>74</v>
      </c>
      <c r="C7" s="44">
        <f>100/(C5*100)</f>
        <v>4.1729082693470847</v>
      </c>
      <c r="D7" s="43" t="s">
        <v>75</v>
      </c>
    </row>
  </sheetData>
  <mergeCells count="1">
    <mergeCell ref="B2:D2"/>
  </mergeCells>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V36"/>
  <sheetViews>
    <sheetView zoomScaleNormal="100" workbookViewId="0">
      <selection activeCell="B2" sqref="B2:L34"/>
    </sheetView>
  </sheetViews>
  <sheetFormatPr baseColWidth="10" defaultColWidth="8.83203125" defaultRowHeight="15"/>
  <cols>
    <col min="2" max="2" width="23.33203125" bestFit="1" customWidth="1"/>
    <col min="3" max="4" width="9.1640625" bestFit="1" customWidth="1"/>
  </cols>
  <sheetData>
    <row r="2" spans="2:22" ht="21">
      <c r="B2" s="80" t="s">
        <v>171</v>
      </c>
      <c r="C2" s="81"/>
      <c r="D2" s="81"/>
      <c r="E2" s="81"/>
      <c r="F2" s="81"/>
      <c r="G2" s="81"/>
      <c r="H2" s="81"/>
      <c r="I2" s="81"/>
      <c r="J2" s="81"/>
      <c r="K2" s="81"/>
      <c r="L2" s="81"/>
    </row>
    <row r="4" spans="2:22">
      <c r="B4" s="6" t="s">
        <v>0</v>
      </c>
      <c r="C4" s="6" t="s">
        <v>11</v>
      </c>
      <c r="D4" s="6" t="s">
        <v>12</v>
      </c>
      <c r="E4" s="6" t="s">
        <v>13</v>
      </c>
      <c r="F4" s="6" t="s">
        <v>14</v>
      </c>
      <c r="G4" s="6" t="s">
        <v>15</v>
      </c>
      <c r="H4" s="6" t="s">
        <v>16</v>
      </c>
      <c r="I4" s="6" t="s">
        <v>17</v>
      </c>
      <c r="J4" s="6" t="s">
        <v>40</v>
      </c>
      <c r="K4" s="6" t="s">
        <v>96</v>
      </c>
      <c r="L4" s="6" t="s">
        <v>97</v>
      </c>
      <c r="M4" s="6" t="s">
        <v>98</v>
      </c>
      <c r="N4" s="6" t="s">
        <v>99</v>
      </c>
      <c r="O4" s="6" t="s">
        <v>100</v>
      </c>
      <c r="P4" s="6" t="s">
        <v>101</v>
      </c>
      <c r="Q4" s="6" t="s">
        <v>102</v>
      </c>
      <c r="R4" s="6" t="s">
        <v>103</v>
      </c>
      <c r="S4" s="6" t="s">
        <v>104</v>
      </c>
      <c r="T4" s="6" t="s">
        <v>105</v>
      </c>
      <c r="U4" s="6" t="s">
        <v>106</v>
      </c>
      <c r="V4" s="6" t="s">
        <v>107</v>
      </c>
    </row>
    <row r="5" spans="2:22">
      <c r="B5" s="6" t="s">
        <v>1</v>
      </c>
      <c r="C5" s="46" t="s">
        <v>41</v>
      </c>
      <c r="D5" s="46" t="s">
        <v>84</v>
      </c>
      <c r="E5" s="46" t="s">
        <v>85</v>
      </c>
      <c r="F5" s="46" t="s">
        <v>86</v>
      </c>
      <c r="G5" s="46" t="s">
        <v>87</v>
      </c>
      <c r="H5" s="46" t="s">
        <v>88</v>
      </c>
      <c r="I5" s="46" t="s">
        <v>89</v>
      </c>
      <c r="J5" s="46" t="s">
        <v>90</v>
      </c>
      <c r="K5" s="46" t="s">
        <v>91</v>
      </c>
      <c r="L5" s="46" t="s">
        <v>92</v>
      </c>
      <c r="M5" s="46" t="s">
        <v>93</v>
      </c>
      <c r="N5" s="46" t="s">
        <v>94</v>
      </c>
      <c r="O5" s="46" t="s">
        <v>95</v>
      </c>
      <c r="P5" s="46" t="s">
        <v>148</v>
      </c>
      <c r="Q5" s="46" t="s">
        <v>149</v>
      </c>
      <c r="R5" s="46" t="s">
        <v>150</v>
      </c>
      <c r="S5" s="46" t="s">
        <v>151</v>
      </c>
      <c r="T5" s="46" t="s">
        <v>169</v>
      </c>
      <c r="U5" s="46" t="s">
        <v>177</v>
      </c>
      <c r="V5" s="46" t="s">
        <v>178</v>
      </c>
    </row>
    <row r="6" spans="2:22">
      <c r="B6" s="2"/>
      <c r="C6" s="4"/>
      <c r="D6" s="4"/>
      <c r="E6" s="4"/>
      <c r="F6" s="4"/>
      <c r="G6" s="4"/>
      <c r="H6" s="4"/>
      <c r="I6" s="4"/>
      <c r="J6" s="2"/>
      <c r="K6" s="2"/>
      <c r="L6" s="2"/>
      <c r="M6" s="2"/>
      <c r="N6" s="2"/>
      <c r="O6" s="2"/>
      <c r="P6" s="2"/>
      <c r="Q6" s="2"/>
      <c r="R6" s="2"/>
      <c r="S6" s="2"/>
      <c r="T6" s="2"/>
      <c r="U6" s="2"/>
      <c r="V6" s="2"/>
    </row>
    <row r="7" spans="2:22">
      <c r="B7" s="2" t="s">
        <v>2</v>
      </c>
      <c r="C7" s="5">
        <v>0.9</v>
      </c>
      <c r="D7" s="5">
        <v>0.95</v>
      </c>
      <c r="E7" s="5">
        <v>0.95</v>
      </c>
      <c r="F7" s="5">
        <v>0.95</v>
      </c>
      <c r="G7" s="5">
        <v>0.95</v>
      </c>
      <c r="H7" s="5">
        <v>0.95</v>
      </c>
      <c r="I7" s="5">
        <v>0.95</v>
      </c>
      <c r="J7" s="5">
        <v>0.95</v>
      </c>
      <c r="K7" s="5">
        <v>0.95</v>
      </c>
      <c r="L7" s="5">
        <v>0.95</v>
      </c>
      <c r="M7" s="5">
        <v>0.9</v>
      </c>
      <c r="N7" s="5">
        <v>0.9</v>
      </c>
      <c r="O7" s="5">
        <v>0.9</v>
      </c>
      <c r="P7" s="5">
        <v>0.9</v>
      </c>
      <c r="Q7" s="5">
        <v>0.9</v>
      </c>
      <c r="R7" s="5">
        <v>0.9</v>
      </c>
      <c r="S7" s="5">
        <v>0.9</v>
      </c>
      <c r="T7" s="5">
        <v>0.9</v>
      </c>
      <c r="U7" s="5">
        <v>0.9</v>
      </c>
      <c r="V7" s="5">
        <v>0.9</v>
      </c>
    </row>
    <row r="8" spans="2:22">
      <c r="B8" s="2"/>
      <c r="C8" s="4"/>
      <c r="D8" s="4"/>
      <c r="E8" s="4"/>
      <c r="F8" s="4"/>
      <c r="G8" s="4"/>
      <c r="H8" s="4"/>
      <c r="I8" s="4"/>
      <c r="J8" s="2"/>
      <c r="K8" s="2"/>
      <c r="L8" s="2"/>
      <c r="M8" s="2"/>
      <c r="N8" s="2"/>
      <c r="O8" s="2"/>
      <c r="P8" s="2"/>
      <c r="Q8" s="2"/>
      <c r="R8" s="2"/>
      <c r="S8" s="2"/>
      <c r="T8" s="2"/>
      <c r="U8" s="2"/>
      <c r="V8" s="2"/>
    </row>
    <row r="9" spans="2:22">
      <c r="B9" s="3" t="s">
        <v>42</v>
      </c>
      <c r="C9" s="4"/>
      <c r="D9" s="4"/>
      <c r="E9" s="4"/>
      <c r="F9" s="4"/>
      <c r="G9" s="4"/>
      <c r="H9" s="4"/>
      <c r="I9" s="4"/>
      <c r="J9" s="2"/>
      <c r="K9" s="2"/>
      <c r="L9" s="2"/>
      <c r="M9" s="2"/>
      <c r="N9" s="2"/>
      <c r="O9" s="2"/>
      <c r="P9" s="2"/>
      <c r="Q9" s="2"/>
      <c r="R9" s="2"/>
      <c r="S9" s="2"/>
      <c r="T9" s="2"/>
      <c r="U9" s="2"/>
      <c r="V9" s="2"/>
    </row>
    <row r="10" spans="2:22">
      <c r="B10" s="2"/>
      <c r="C10" s="4"/>
      <c r="D10" s="4"/>
      <c r="E10" s="4"/>
      <c r="F10" s="4"/>
      <c r="G10" s="4"/>
      <c r="H10" s="4"/>
      <c r="I10" s="4"/>
      <c r="J10" s="2"/>
      <c r="K10" s="2"/>
      <c r="L10" s="2"/>
      <c r="M10" s="2"/>
      <c r="N10" s="2"/>
      <c r="O10" s="2"/>
      <c r="P10" s="2"/>
      <c r="Q10" s="2"/>
      <c r="R10" s="2"/>
      <c r="S10" s="2"/>
      <c r="T10" s="2"/>
      <c r="U10" s="2"/>
      <c r="V10" s="2"/>
    </row>
    <row r="11" spans="2:22">
      <c r="B11" s="3" t="s">
        <v>108</v>
      </c>
      <c r="C11" s="11"/>
      <c r="D11" s="4"/>
      <c r="E11" s="4"/>
      <c r="F11" s="4"/>
      <c r="G11" s="4"/>
      <c r="H11" s="4"/>
      <c r="I11" s="4"/>
      <c r="J11" s="2"/>
      <c r="K11" s="2"/>
      <c r="L11" s="2"/>
      <c r="M11" s="2"/>
      <c r="N11" s="2"/>
      <c r="O11" s="2"/>
      <c r="P11" s="2"/>
      <c r="Q11" s="2"/>
      <c r="R11" s="2"/>
      <c r="S11" s="2"/>
      <c r="T11" s="2"/>
      <c r="U11" s="2"/>
      <c r="V11" s="2"/>
    </row>
    <row r="12" spans="2:22">
      <c r="B12" s="2" t="s">
        <v>3</v>
      </c>
      <c r="C12" s="56">
        <f>Assumptions!$H$12*'Profit &amp; Loss Statement'!C7/10000000</f>
        <v>5.5125000000000002</v>
      </c>
      <c r="D12" s="56">
        <f>Assumptions!$H$12*'Profit &amp; Loss Statement'!D7/10000000</f>
        <v>5.8187499999999996</v>
      </c>
      <c r="E12" s="56">
        <f>D12*1.03</f>
        <v>5.9933125</v>
      </c>
      <c r="F12" s="56">
        <f t="shared" ref="F12:V12" si="0">E12*1.03</f>
        <v>6.173111875</v>
      </c>
      <c r="G12" s="56">
        <f t="shared" si="0"/>
        <v>6.3583052312500001</v>
      </c>
      <c r="H12" s="56">
        <f t="shared" si="0"/>
        <v>6.5490543881875007</v>
      </c>
      <c r="I12" s="56">
        <f t="shared" si="0"/>
        <v>6.7455260198331262</v>
      </c>
      <c r="J12" s="56">
        <f t="shared" si="0"/>
        <v>6.9478918004281205</v>
      </c>
      <c r="K12" s="56">
        <f t="shared" si="0"/>
        <v>7.1563285544409645</v>
      </c>
      <c r="L12" s="56">
        <f t="shared" si="0"/>
        <v>7.3710184110741936</v>
      </c>
      <c r="M12" s="56">
        <f t="shared" si="0"/>
        <v>7.5921489634064194</v>
      </c>
      <c r="N12" s="56">
        <f t="shared" si="0"/>
        <v>7.8199134323086126</v>
      </c>
      <c r="O12" s="56">
        <f t="shared" si="0"/>
        <v>8.0545108352778705</v>
      </c>
      <c r="P12" s="56">
        <f t="shared" si="0"/>
        <v>8.2961461603362068</v>
      </c>
      <c r="Q12" s="56">
        <f t="shared" si="0"/>
        <v>8.5450305451462931</v>
      </c>
      <c r="R12" s="56">
        <f t="shared" si="0"/>
        <v>8.8013814615006822</v>
      </c>
      <c r="S12" s="56">
        <f>R12*1.03</f>
        <v>9.0654229053457023</v>
      </c>
      <c r="T12" s="56">
        <f t="shared" si="0"/>
        <v>9.3373855925060738</v>
      </c>
      <c r="U12" s="56">
        <f t="shared" si="0"/>
        <v>9.6175071602812565</v>
      </c>
      <c r="V12" s="56">
        <f t="shared" si="0"/>
        <v>9.9060323750896941</v>
      </c>
    </row>
    <row r="13" spans="2:22">
      <c r="B13" s="2" t="s">
        <v>174</v>
      </c>
      <c r="C13" s="56">
        <f>Assumptions!$H$13*'Profit &amp; Loss Statement'!C7/10000000</f>
        <v>0.94499999999999995</v>
      </c>
      <c r="D13" s="56">
        <f>Assumptions!$H$13*'Profit &amp; Loss Statement'!D7/10000000</f>
        <v>0.99750000000000005</v>
      </c>
      <c r="E13" s="56">
        <f>D13*1.03</f>
        <v>1.027425</v>
      </c>
      <c r="F13" s="56">
        <f t="shared" ref="F13:U13" si="1">E13*1.03</f>
        <v>1.05824775</v>
      </c>
      <c r="G13" s="56">
        <f t="shared" si="1"/>
        <v>1.0899951825</v>
      </c>
      <c r="H13" s="56">
        <f t="shared" si="1"/>
        <v>1.122695037975</v>
      </c>
      <c r="I13" s="56">
        <f t="shared" si="1"/>
        <v>1.1563758891142502</v>
      </c>
      <c r="J13" s="56">
        <f t="shared" si="1"/>
        <v>1.1910671657876777</v>
      </c>
      <c r="K13" s="56">
        <f t="shared" si="1"/>
        <v>1.2267991807613081</v>
      </c>
      <c r="L13" s="56">
        <f t="shared" si="1"/>
        <v>1.2636031561841474</v>
      </c>
      <c r="M13" s="56">
        <f t="shared" si="1"/>
        <v>1.3015112508696718</v>
      </c>
      <c r="N13" s="56">
        <f t="shared" si="1"/>
        <v>1.340556588395762</v>
      </c>
      <c r="O13" s="56">
        <f t="shared" si="1"/>
        <v>1.3807732860476349</v>
      </c>
      <c r="P13" s="56">
        <f t="shared" si="1"/>
        <v>1.422196484629064</v>
      </c>
      <c r="Q13" s="56">
        <f t="shared" si="1"/>
        <v>1.464862379167936</v>
      </c>
      <c r="R13" s="56">
        <f t="shared" si="1"/>
        <v>1.5088082505429741</v>
      </c>
      <c r="S13" s="56">
        <f t="shared" si="1"/>
        <v>1.5540724980592633</v>
      </c>
      <c r="T13" s="56">
        <f t="shared" si="1"/>
        <v>1.6006946730010412</v>
      </c>
      <c r="U13" s="56">
        <f t="shared" si="1"/>
        <v>1.6487155131910725</v>
      </c>
      <c r="V13" s="56">
        <f>U13*1.03</f>
        <v>1.6981769785868046</v>
      </c>
    </row>
    <row r="14" spans="2:22">
      <c r="B14" s="2"/>
      <c r="C14" s="56"/>
      <c r="D14" s="56"/>
      <c r="E14" s="56"/>
      <c r="F14" s="56"/>
      <c r="G14" s="56"/>
      <c r="H14" s="56"/>
      <c r="I14" s="56"/>
      <c r="J14" s="56"/>
      <c r="K14" s="56"/>
      <c r="L14" s="56"/>
      <c r="M14" s="56"/>
      <c r="N14" s="56"/>
      <c r="O14" s="56"/>
      <c r="P14" s="56"/>
      <c r="Q14" s="56"/>
      <c r="R14" s="56"/>
      <c r="S14" s="56"/>
      <c r="T14" s="56"/>
      <c r="U14" s="56"/>
      <c r="V14" s="56"/>
    </row>
    <row r="15" spans="2:22">
      <c r="B15" s="2" t="s">
        <v>38</v>
      </c>
      <c r="C15" s="11"/>
      <c r="D15" s="11">
        <v>3.8</v>
      </c>
      <c r="E15" s="11"/>
      <c r="F15" s="11"/>
      <c r="G15" s="11"/>
      <c r="H15" s="11"/>
      <c r="I15" s="11"/>
      <c r="J15" s="11"/>
      <c r="K15" s="2"/>
      <c r="L15" s="33"/>
      <c r="M15" s="2"/>
      <c r="N15" s="2"/>
      <c r="O15" s="2"/>
      <c r="P15" s="2"/>
      <c r="Q15" s="2"/>
      <c r="R15" s="2"/>
      <c r="S15" s="2"/>
      <c r="T15" s="2"/>
      <c r="U15" s="2"/>
      <c r="V15" s="2"/>
    </row>
    <row r="16" spans="2:22">
      <c r="B16" s="2"/>
      <c r="C16" s="4"/>
      <c r="D16" s="4"/>
      <c r="E16" s="4"/>
      <c r="F16" s="4"/>
      <c r="G16" s="4"/>
      <c r="H16" s="4"/>
      <c r="I16" s="4"/>
      <c r="J16" s="4"/>
      <c r="K16" s="2"/>
      <c r="L16" s="2"/>
      <c r="M16" s="2"/>
      <c r="N16" s="2"/>
      <c r="O16" s="2"/>
      <c r="P16" s="2"/>
      <c r="Q16" s="2"/>
      <c r="R16" s="2"/>
      <c r="S16" s="2"/>
      <c r="T16" s="2"/>
      <c r="U16" s="2"/>
      <c r="V16" s="2"/>
    </row>
    <row r="17" spans="2:22">
      <c r="B17" s="63" t="s">
        <v>39</v>
      </c>
      <c r="C17" s="64">
        <f>SUM(C12:C16)</f>
        <v>6.4575000000000005</v>
      </c>
      <c r="D17" s="65">
        <f t="shared" ref="D17:V17" si="2">SUM(D12:D16)</f>
        <v>10.616250000000001</v>
      </c>
      <c r="E17" s="65">
        <f>SUM(E12:E16)</f>
        <v>7.0207375000000001</v>
      </c>
      <c r="F17" s="65">
        <f>SUM(F12:F16)</f>
        <v>7.2313596249999996</v>
      </c>
      <c r="G17" s="65">
        <f>SUM(G12:G16)</f>
        <v>7.4483004137500002</v>
      </c>
      <c r="H17" s="65">
        <f t="shared" si="2"/>
        <v>7.671749426162501</v>
      </c>
      <c r="I17" s="65">
        <f t="shared" si="2"/>
        <v>7.9019019089473765</v>
      </c>
      <c r="J17" s="65">
        <f t="shared" si="2"/>
        <v>8.1389589662157977</v>
      </c>
      <c r="K17" s="65">
        <f t="shared" si="2"/>
        <v>8.3831277352022724</v>
      </c>
      <c r="L17" s="65">
        <f t="shared" si="2"/>
        <v>8.6346215672583408</v>
      </c>
      <c r="M17" s="12">
        <f t="shared" si="2"/>
        <v>8.8936602142760908</v>
      </c>
      <c r="N17" s="12">
        <f t="shared" si="2"/>
        <v>9.1604700207043752</v>
      </c>
      <c r="O17" s="12">
        <f t="shared" si="2"/>
        <v>9.4352841213255054</v>
      </c>
      <c r="P17" s="12">
        <f t="shared" si="2"/>
        <v>9.7183426449652703</v>
      </c>
      <c r="Q17" s="12">
        <f t="shared" si="2"/>
        <v>10.009892924314229</v>
      </c>
      <c r="R17" s="12">
        <f t="shared" si="2"/>
        <v>10.310189712043655</v>
      </c>
      <c r="S17" s="12">
        <f t="shared" si="2"/>
        <v>10.619495403404965</v>
      </c>
      <c r="T17" s="12">
        <f t="shared" si="2"/>
        <v>10.938080265507114</v>
      </c>
      <c r="U17" s="12">
        <f t="shared" si="2"/>
        <v>11.266222673472329</v>
      </c>
      <c r="V17" s="12">
        <f t="shared" si="2"/>
        <v>11.604209353676499</v>
      </c>
    </row>
    <row r="18" spans="2:22">
      <c r="B18" s="2"/>
      <c r="C18" s="16"/>
      <c r="D18" s="16"/>
      <c r="E18" s="16"/>
      <c r="F18" s="16"/>
      <c r="G18" s="16"/>
      <c r="H18" s="4"/>
      <c r="I18" s="4"/>
      <c r="J18" s="2"/>
      <c r="K18" s="2"/>
      <c r="L18" s="2"/>
      <c r="M18" s="2"/>
      <c r="N18" s="2"/>
      <c r="O18" s="2"/>
      <c r="P18" s="2"/>
      <c r="Q18" s="2"/>
      <c r="R18" s="2"/>
      <c r="S18" s="2"/>
      <c r="T18" s="2"/>
      <c r="U18" s="2"/>
      <c r="V18" s="2"/>
    </row>
    <row r="19" spans="2:22">
      <c r="B19" s="3" t="s">
        <v>4</v>
      </c>
      <c r="C19" s="4"/>
      <c r="D19" s="4"/>
      <c r="E19" s="4"/>
      <c r="F19" s="4"/>
      <c r="G19" s="4"/>
      <c r="H19" s="4"/>
      <c r="I19" s="4"/>
      <c r="J19" s="2"/>
      <c r="K19" s="2"/>
      <c r="L19" s="2"/>
      <c r="M19" s="2"/>
      <c r="N19" s="2"/>
      <c r="O19" s="2"/>
      <c r="P19" s="2"/>
      <c r="Q19" s="2"/>
      <c r="R19" s="2"/>
      <c r="S19" s="2"/>
      <c r="T19" s="2"/>
      <c r="U19" s="2"/>
      <c r="V19" s="2"/>
    </row>
    <row r="20" spans="2:22">
      <c r="B20" s="2"/>
      <c r="C20" s="4"/>
      <c r="D20" s="4"/>
      <c r="E20" s="4"/>
      <c r="F20" s="4"/>
      <c r="G20" s="4"/>
      <c r="H20" s="4"/>
      <c r="I20" s="4"/>
      <c r="J20" s="2"/>
      <c r="K20" s="2"/>
      <c r="L20" s="2"/>
      <c r="M20" s="2"/>
      <c r="N20" s="2"/>
      <c r="O20" s="2"/>
      <c r="P20" s="2"/>
      <c r="Q20" s="2"/>
      <c r="R20" s="2"/>
      <c r="S20" s="2"/>
      <c r="T20" s="2"/>
      <c r="U20" s="2"/>
      <c r="V20" s="2"/>
    </row>
    <row r="21" spans="2:22">
      <c r="B21" s="2" t="s">
        <v>109</v>
      </c>
      <c r="C21" s="56">
        <f>(Assumptions!$H$19/10000000)*C7</f>
        <v>2.2522500000000001</v>
      </c>
      <c r="D21" s="56">
        <f>(Assumptions!$H$19/10000000)*D7</f>
        <v>2.3773749999999998</v>
      </c>
      <c r="E21" s="56">
        <f>D21*1.03</f>
        <v>2.4486962499999998</v>
      </c>
      <c r="F21" s="56">
        <f t="shared" ref="F21:V21" si="3">E21*1.03</f>
        <v>2.5221571374999998</v>
      </c>
      <c r="G21" s="56">
        <f t="shared" si="3"/>
        <v>2.597821851625</v>
      </c>
      <c r="H21" s="56">
        <f t="shared" si="3"/>
        <v>2.6757565071737499</v>
      </c>
      <c r="I21" s="56">
        <f t="shared" si="3"/>
        <v>2.7560292023889623</v>
      </c>
      <c r="J21" s="56">
        <f t="shared" si="3"/>
        <v>2.8387100784606312</v>
      </c>
      <c r="K21" s="56">
        <f t="shared" si="3"/>
        <v>2.9238713808144503</v>
      </c>
      <c r="L21" s="56">
        <f t="shared" si="3"/>
        <v>3.0115875222388837</v>
      </c>
      <c r="M21" s="56">
        <f t="shared" si="3"/>
        <v>3.1019351479060502</v>
      </c>
      <c r="N21" s="56">
        <f t="shared" si="3"/>
        <v>3.1949932023432317</v>
      </c>
      <c r="O21" s="56">
        <f t="shared" si="3"/>
        <v>3.2908429984135288</v>
      </c>
      <c r="P21" s="56">
        <f t="shared" si="3"/>
        <v>3.3895682883659348</v>
      </c>
      <c r="Q21" s="56">
        <f t="shared" si="3"/>
        <v>3.4912553370169128</v>
      </c>
      <c r="R21" s="56">
        <f t="shared" si="3"/>
        <v>3.5959929971274205</v>
      </c>
      <c r="S21" s="56">
        <f t="shared" si="3"/>
        <v>3.7038727870412433</v>
      </c>
      <c r="T21" s="56">
        <f t="shared" si="3"/>
        <v>3.8149889706524807</v>
      </c>
      <c r="U21" s="56">
        <f t="shared" si="3"/>
        <v>3.9294386397720551</v>
      </c>
      <c r="V21" s="56">
        <f t="shared" si="3"/>
        <v>4.0473217989652168</v>
      </c>
    </row>
    <row r="22" spans="2:22">
      <c r="B22" s="2" t="s">
        <v>5</v>
      </c>
      <c r="C22" s="56">
        <f>((Assumptions!$H$40/10000000)*'Profit &amp; Loss Statement'!C7)</f>
        <v>0.80416799999999999</v>
      </c>
      <c r="D22" s="56">
        <f>(Assumptions!$H$40/10000000)*'Profit &amp; Loss Statement'!D7</f>
        <v>0.84884399999999993</v>
      </c>
      <c r="E22" s="56">
        <f>1.03*D22</f>
        <v>0.87430931999999995</v>
      </c>
      <c r="F22" s="56">
        <f t="shared" ref="F22:V22" si="4">1.03*E22</f>
        <v>0.90053859959999993</v>
      </c>
      <c r="G22" s="56">
        <f t="shared" si="4"/>
        <v>0.92755475758799999</v>
      </c>
      <c r="H22" s="56">
        <f t="shared" si="4"/>
        <v>0.95538140031564001</v>
      </c>
      <c r="I22" s="56">
        <f t="shared" si="4"/>
        <v>0.98404284232510919</v>
      </c>
      <c r="J22" s="56">
        <f t="shared" si="4"/>
        <v>1.0135641275948626</v>
      </c>
      <c r="K22" s="56">
        <f t="shared" si="4"/>
        <v>1.0439710514227085</v>
      </c>
      <c r="L22" s="56">
        <f t="shared" si="4"/>
        <v>1.0752901829653898</v>
      </c>
      <c r="M22" s="56">
        <f t="shared" si="4"/>
        <v>1.1075488884543516</v>
      </c>
      <c r="N22" s="56">
        <f t="shared" si="4"/>
        <v>1.1407753551079822</v>
      </c>
      <c r="O22" s="56">
        <f t="shared" si="4"/>
        <v>1.1749986157612218</v>
      </c>
      <c r="P22" s="56">
        <f t="shared" si="4"/>
        <v>1.2102485742340585</v>
      </c>
      <c r="Q22" s="56">
        <f t="shared" si="4"/>
        <v>1.2465560314610804</v>
      </c>
      <c r="R22" s="56">
        <f t="shared" si="4"/>
        <v>1.2839527124049128</v>
      </c>
      <c r="S22" s="56">
        <f t="shared" si="4"/>
        <v>1.3224712937770602</v>
      </c>
      <c r="T22" s="56">
        <f t="shared" si="4"/>
        <v>1.3621454325903721</v>
      </c>
      <c r="U22" s="56">
        <f t="shared" si="4"/>
        <v>1.4030097955680834</v>
      </c>
      <c r="V22" s="56">
        <f t="shared" si="4"/>
        <v>1.4451000894351258</v>
      </c>
    </row>
    <row r="23" spans="2:22">
      <c r="B23" s="2" t="s">
        <v>6</v>
      </c>
      <c r="C23" s="56">
        <f>Assumptions!C28</f>
        <v>0.47105000000000002</v>
      </c>
      <c r="D23" s="56">
        <f>Assumptions!$C$28</f>
        <v>0.47105000000000002</v>
      </c>
      <c r="E23" s="56">
        <f>D23*1.03</f>
        <v>0.48518150000000004</v>
      </c>
      <c r="F23" s="56">
        <f t="shared" ref="F23:V23" si="5">E23*1.03</f>
        <v>0.49973694500000004</v>
      </c>
      <c r="G23" s="56">
        <f t="shared" si="5"/>
        <v>0.51472905335000008</v>
      </c>
      <c r="H23" s="56">
        <f t="shared" si="5"/>
        <v>0.53017092495050011</v>
      </c>
      <c r="I23" s="56">
        <f t="shared" si="5"/>
        <v>0.54607605269901516</v>
      </c>
      <c r="J23" s="56">
        <f t="shared" si="5"/>
        <v>0.56245833427998559</v>
      </c>
      <c r="K23" s="56">
        <f t="shared" si="5"/>
        <v>0.57933208430838523</v>
      </c>
      <c r="L23" s="56">
        <f t="shared" si="5"/>
        <v>0.59671204683763679</v>
      </c>
      <c r="M23" s="56">
        <f t="shared" si="5"/>
        <v>0.61461340824276589</v>
      </c>
      <c r="N23" s="56">
        <f t="shared" si="5"/>
        <v>0.63305181049004888</v>
      </c>
      <c r="O23" s="56">
        <f t="shared" si="5"/>
        <v>0.65204336480475034</v>
      </c>
      <c r="P23" s="56">
        <f t="shared" si="5"/>
        <v>0.67160466574889288</v>
      </c>
      <c r="Q23" s="56">
        <f t="shared" si="5"/>
        <v>0.69175280572135966</v>
      </c>
      <c r="R23" s="56">
        <f t="shared" si="5"/>
        <v>0.7125053898930005</v>
      </c>
      <c r="S23" s="56">
        <f t="shared" si="5"/>
        <v>0.73388055158979049</v>
      </c>
      <c r="T23" s="56">
        <f t="shared" si="5"/>
        <v>0.75589696813748419</v>
      </c>
      <c r="U23" s="56">
        <f t="shared" si="5"/>
        <v>0.77857387718160875</v>
      </c>
      <c r="V23" s="56">
        <f t="shared" si="5"/>
        <v>0.80193109349705705</v>
      </c>
    </row>
    <row r="24" spans="2:22">
      <c r="B24" s="2" t="s">
        <v>7</v>
      </c>
      <c r="C24" s="56">
        <f>(Assumptions!E44/10000000)</f>
        <v>0.63</v>
      </c>
      <c r="D24" s="56">
        <f>(Assumptions!$E$44/10000000)</f>
        <v>0.63</v>
      </c>
      <c r="E24" s="56">
        <f>D24*1.03</f>
        <v>0.64890000000000003</v>
      </c>
      <c r="F24" s="56">
        <f t="shared" ref="F24:V24" si="6">E24*1.03</f>
        <v>0.66836700000000004</v>
      </c>
      <c r="G24" s="56">
        <f t="shared" si="6"/>
        <v>0.68841801000000002</v>
      </c>
      <c r="H24" s="56">
        <f t="shared" si="6"/>
        <v>0.70907055029999999</v>
      </c>
      <c r="I24" s="56">
        <f t="shared" si="6"/>
        <v>0.73034266680900006</v>
      </c>
      <c r="J24" s="56">
        <f t="shared" si="6"/>
        <v>0.75225294681327004</v>
      </c>
      <c r="K24" s="56">
        <f t="shared" si="6"/>
        <v>0.77482053521766814</v>
      </c>
      <c r="L24" s="56">
        <f t="shared" si="6"/>
        <v>0.79806515127419819</v>
      </c>
      <c r="M24" s="56">
        <f t="shared" si="6"/>
        <v>0.8220071058124242</v>
      </c>
      <c r="N24" s="56">
        <f t="shared" si="6"/>
        <v>0.84666731898679692</v>
      </c>
      <c r="O24" s="56">
        <f t="shared" si="6"/>
        <v>0.87206733855640084</v>
      </c>
      <c r="P24" s="56">
        <f t="shared" si="6"/>
        <v>0.89822935871309284</v>
      </c>
      <c r="Q24" s="56">
        <f t="shared" si="6"/>
        <v>0.92517623947448568</v>
      </c>
      <c r="R24" s="56">
        <f t="shared" si="6"/>
        <v>0.95293152665872027</v>
      </c>
      <c r="S24" s="56">
        <f t="shared" si="6"/>
        <v>0.98151947245848192</v>
      </c>
      <c r="T24" s="56">
        <f t="shared" si="6"/>
        <v>1.0109650566322363</v>
      </c>
      <c r="U24" s="56">
        <f t="shared" si="6"/>
        <v>1.0412940083312034</v>
      </c>
      <c r="V24" s="56">
        <f t="shared" si="6"/>
        <v>1.0725328285811395</v>
      </c>
    </row>
    <row r="25" spans="2:22">
      <c r="B25" s="2" t="s">
        <v>112</v>
      </c>
      <c r="C25" s="56">
        <f>'Debt Repayment'!D7</f>
        <v>0.92400000000000004</v>
      </c>
      <c r="D25" s="56">
        <f>'Debt Repayment'!D8</f>
        <v>0.92400000000000004</v>
      </c>
      <c r="E25" s="56">
        <f>'Debt Repayment'!D9</f>
        <v>0.79200000000000004</v>
      </c>
      <c r="F25" s="56">
        <f>'Debt Repayment'!D10</f>
        <v>0.66</v>
      </c>
      <c r="G25" s="56">
        <f>'Debt Repayment'!D11</f>
        <v>0.52800000000000002</v>
      </c>
      <c r="H25" s="56">
        <f>'Debt Repayment'!D12</f>
        <v>0.39599999999999996</v>
      </c>
      <c r="I25" s="56">
        <f>'Debt Repayment'!D13</f>
        <v>0.26399999999999996</v>
      </c>
      <c r="J25" s="56">
        <f>'Debt Repayment'!D14</f>
        <v>0.13199999999999995</v>
      </c>
      <c r="K25" s="56"/>
      <c r="L25" s="56"/>
      <c r="M25" s="2"/>
      <c r="N25" s="2"/>
      <c r="O25" s="2"/>
      <c r="P25" s="2"/>
      <c r="Q25" s="2"/>
      <c r="R25" s="2"/>
      <c r="S25" s="2"/>
      <c r="T25" s="2"/>
      <c r="U25" s="2"/>
      <c r="V25" s="2"/>
    </row>
    <row r="26" spans="2:22">
      <c r="B26" s="2" t="s">
        <v>8</v>
      </c>
      <c r="C26" s="56">
        <f>Assumptions!$C$15*10%</f>
        <v>1.4901</v>
      </c>
      <c r="D26" s="56">
        <f>Assumptions!$C$15*10%</f>
        <v>1.4901</v>
      </c>
      <c r="E26" s="56">
        <f>Assumptions!$C$15*10%</f>
        <v>1.4901</v>
      </c>
      <c r="F26" s="56">
        <f>Assumptions!$C$15*10%</f>
        <v>1.4901</v>
      </c>
      <c r="G26" s="56">
        <f>Assumptions!$C$15*10%</f>
        <v>1.4901</v>
      </c>
      <c r="H26" s="56">
        <f>Assumptions!$C$15*10%</f>
        <v>1.4901</v>
      </c>
      <c r="I26" s="56">
        <f>Assumptions!$C$15*10%</f>
        <v>1.4901</v>
      </c>
      <c r="J26" s="56">
        <f>Assumptions!$C$15*10%</f>
        <v>1.4901</v>
      </c>
      <c r="K26" s="56">
        <f>Assumptions!$C$15*10%</f>
        <v>1.4901</v>
      </c>
      <c r="L26" s="56">
        <f>Assumptions!$C$15*10%</f>
        <v>1.4901</v>
      </c>
      <c r="M26" s="16"/>
      <c r="N26" s="16"/>
      <c r="O26" s="16"/>
      <c r="P26" s="16"/>
      <c r="Q26" s="16"/>
      <c r="R26" s="16"/>
      <c r="S26" s="16"/>
      <c r="T26" s="16"/>
      <c r="U26" s="16"/>
      <c r="V26" s="16"/>
    </row>
    <row r="27" spans="2:22">
      <c r="B27" s="2" t="s">
        <v>9</v>
      </c>
      <c r="C27" s="56">
        <f>(SUM(C21:C24)*5%)</f>
        <v>0.20787339999999999</v>
      </c>
      <c r="D27" s="56">
        <f t="shared" ref="D27:V27" si="7">(SUM(D21:D24)*5%)</f>
        <v>0.21636344999999998</v>
      </c>
      <c r="E27" s="56">
        <f t="shared" si="7"/>
        <v>0.22285435350000002</v>
      </c>
      <c r="F27" s="56">
        <f t="shared" si="7"/>
        <v>0.22953998410500001</v>
      </c>
      <c r="G27" s="56">
        <f t="shared" si="7"/>
        <v>0.23642618362815004</v>
      </c>
      <c r="H27" s="56">
        <f t="shared" si="7"/>
        <v>0.24351896913699453</v>
      </c>
      <c r="I27" s="56">
        <f t="shared" si="7"/>
        <v>0.25082453821110434</v>
      </c>
      <c r="J27" s="56">
        <f t="shared" si="7"/>
        <v>0.25834927435743749</v>
      </c>
      <c r="K27" s="56">
        <f t="shared" si="7"/>
        <v>0.26609975258816065</v>
      </c>
      <c r="L27" s="56">
        <f t="shared" si="7"/>
        <v>0.27408274516580539</v>
      </c>
      <c r="M27" s="56">
        <f t="shared" si="7"/>
        <v>0.28230522752077958</v>
      </c>
      <c r="N27" s="56">
        <f t="shared" si="7"/>
        <v>0.29077438434640296</v>
      </c>
      <c r="O27" s="56">
        <f t="shared" si="7"/>
        <v>0.29949761587679508</v>
      </c>
      <c r="P27" s="56">
        <f t="shared" si="7"/>
        <v>0.30848254435309896</v>
      </c>
      <c r="Q27" s="56">
        <f t="shared" si="7"/>
        <v>0.31773702068369203</v>
      </c>
      <c r="R27" s="56">
        <f t="shared" si="7"/>
        <v>0.32726913130420276</v>
      </c>
      <c r="S27" s="56">
        <f t="shared" si="7"/>
        <v>0.3370872052433288</v>
      </c>
      <c r="T27" s="56">
        <f>(SUM(T21:T24)*5%)</f>
        <v>0.34719982140062866</v>
      </c>
      <c r="U27" s="56">
        <f t="shared" si="7"/>
        <v>0.35761581604264753</v>
      </c>
      <c r="V27" s="56">
        <f t="shared" si="7"/>
        <v>0.36834429052392698</v>
      </c>
    </row>
    <row r="28" spans="2:22">
      <c r="B28" s="2"/>
      <c r="C28" s="4"/>
      <c r="D28" s="4"/>
      <c r="E28" s="4"/>
      <c r="F28" s="4"/>
      <c r="G28" s="4"/>
      <c r="H28" s="4"/>
      <c r="I28" s="4"/>
      <c r="J28" s="4"/>
      <c r="K28" s="2"/>
      <c r="L28" s="2"/>
      <c r="M28" s="2"/>
      <c r="N28" s="2"/>
      <c r="O28" s="2"/>
      <c r="P28" s="2"/>
      <c r="Q28" s="2"/>
      <c r="R28" s="2"/>
      <c r="S28" s="2"/>
      <c r="T28" s="2"/>
      <c r="U28" s="2"/>
      <c r="V28" s="2"/>
    </row>
    <row r="29" spans="2:22">
      <c r="B29" s="3" t="s">
        <v>10</v>
      </c>
      <c r="C29" s="55">
        <f>SUM(C21:C25)+C27+C26</f>
        <v>6.7794413999999996</v>
      </c>
      <c r="D29" s="55">
        <f t="shared" ref="D29:V29" si="8">SUM(D21:D25)+D27+D26</f>
        <v>6.95773245</v>
      </c>
      <c r="E29" s="55">
        <f t="shared" si="8"/>
        <v>6.9620414234999997</v>
      </c>
      <c r="F29" s="55">
        <f t="shared" si="8"/>
        <v>6.9704396662050003</v>
      </c>
      <c r="G29" s="55">
        <f t="shared" si="8"/>
        <v>6.9830498561911503</v>
      </c>
      <c r="H29" s="55">
        <f t="shared" si="8"/>
        <v>6.9999983518768847</v>
      </c>
      <c r="I29" s="55">
        <f t="shared" si="8"/>
        <v>7.0214153024331916</v>
      </c>
      <c r="J29" s="55">
        <f t="shared" si="8"/>
        <v>7.0474347615061861</v>
      </c>
      <c r="K29" s="55">
        <f t="shared" si="8"/>
        <v>7.0781948043513729</v>
      </c>
      <c r="L29" s="55">
        <f t="shared" si="8"/>
        <v>7.2458376484819134</v>
      </c>
      <c r="M29" s="55">
        <f t="shared" si="8"/>
        <v>5.9284097779363716</v>
      </c>
      <c r="N29" s="55">
        <f t="shared" si="8"/>
        <v>6.106262071274462</v>
      </c>
      <c r="O29" s="55">
        <f t="shared" si="8"/>
        <v>6.2894499334126968</v>
      </c>
      <c r="P29" s="55">
        <f t="shared" si="8"/>
        <v>6.4781334314150785</v>
      </c>
      <c r="Q29" s="55">
        <f t="shared" si="8"/>
        <v>6.6724774343575319</v>
      </c>
      <c r="R29" s="55">
        <f t="shared" si="8"/>
        <v>6.8726517573882573</v>
      </c>
      <c r="S29" s="55">
        <f t="shared" si="8"/>
        <v>7.0788313101099041</v>
      </c>
      <c r="T29" s="55">
        <f t="shared" si="8"/>
        <v>7.2911962494132023</v>
      </c>
      <c r="U29" s="55">
        <f t="shared" si="8"/>
        <v>7.509932136895598</v>
      </c>
      <c r="V29" s="55">
        <f t="shared" si="8"/>
        <v>7.7352301010024664</v>
      </c>
    </row>
    <row r="30" spans="2:22">
      <c r="B30" s="3"/>
      <c r="C30" s="12"/>
      <c r="D30" s="12"/>
      <c r="E30" s="12"/>
      <c r="F30" s="12"/>
      <c r="G30" s="12"/>
      <c r="H30" s="12"/>
      <c r="I30" s="12"/>
      <c r="J30" s="12"/>
      <c r="K30" s="12"/>
      <c r="L30" s="12"/>
      <c r="M30" s="12"/>
      <c r="N30" s="12"/>
      <c r="O30" s="12"/>
      <c r="P30" s="12"/>
      <c r="Q30" s="12"/>
      <c r="R30" s="12"/>
      <c r="S30" s="12"/>
      <c r="T30" s="12"/>
      <c r="U30" s="12"/>
      <c r="V30" s="12"/>
    </row>
    <row r="31" spans="2:22">
      <c r="B31" s="3" t="s">
        <v>137</v>
      </c>
      <c r="C31" s="13">
        <f>(C17-C29)</f>
        <v>-0.32194139999999916</v>
      </c>
      <c r="D31" s="55">
        <f t="shared" ref="D31:V31" si="9">(D17-D29)</f>
        <v>3.6585175500000009</v>
      </c>
      <c r="E31" s="55">
        <f t="shared" si="9"/>
        <v>5.8696076500000416E-2</v>
      </c>
      <c r="F31" s="55">
        <f t="shared" si="9"/>
        <v>0.2609199587949993</v>
      </c>
      <c r="G31" s="55">
        <f t="shared" si="9"/>
        <v>0.46525055755884992</v>
      </c>
      <c r="H31" s="55">
        <f t="shared" si="9"/>
        <v>0.67175107428561631</v>
      </c>
      <c r="I31" s="55">
        <f t="shared" si="9"/>
        <v>0.88048660651418498</v>
      </c>
      <c r="J31" s="55">
        <f t="shared" si="9"/>
        <v>1.0915242047096116</v>
      </c>
      <c r="K31" s="55">
        <f t="shared" si="9"/>
        <v>1.3049329308508995</v>
      </c>
      <c r="L31" s="55">
        <f t="shared" si="9"/>
        <v>1.3887839187764275</v>
      </c>
      <c r="M31" s="55">
        <f t="shared" si="9"/>
        <v>2.9652504363397192</v>
      </c>
      <c r="N31" s="55">
        <f t="shared" si="9"/>
        <v>3.0542079494299132</v>
      </c>
      <c r="O31" s="55">
        <f t="shared" si="9"/>
        <v>3.1458341879128087</v>
      </c>
      <c r="P31" s="55">
        <f t="shared" si="9"/>
        <v>3.2402092135501919</v>
      </c>
      <c r="Q31" s="55">
        <f t="shared" si="9"/>
        <v>3.3374154899566975</v>
      </c>
      <c r="R31" s="55">
        <f t="shared" si="9"/>
        <v>3.4375379546553981</v>
      </c>
      <c r="S31" s="55">
        <f t="shared" si="9"/>
        <v>3.540664093295061</v>
      </c>
      <c r="T31" s="55">
        <f t="shared" si="9"/>
        <v>3.646884016093912</v>
      </c>
      <c r="U31" s="55">
        <f t="shared" si="9"/>
        <v>3.7562905365767314</v>
      </c>
      <c r="V31" s="55">
        <f t="shared" si="9"/>
        <v>3.8689792526740323</v>
      </c>
    </row>
    <row r="32" spans="2:22">
      <c r="B32" s="2"/>
      <c r="C32" s="16"/>
      <c r="D32" s="55"/>
      <c r="E32" s="55"/>
      <c r="F32" s="55"/>
      <c r="G32" s="55"/>
      <c r="H32" s="55"/>
      <c r="I32" s="55"/>
      <c r="J32" s="55"/>
      <c r="K32" s="55"/>
      <c r="L32" s="55"/>
      <c r="M32" s="55"/>
      <c r="N32" s="55"/>
      <c r="O32" s="55"/>
      <c r="P32" s="55"/>
      <c r="Q32" s="55"/>
      <c r="R32" s="55"/>
      <c r="S32" s="55"/>
      <c r="T32" s="55"/>
      <c r="U32" s="55"/>
      <c r="V32" s="55"/>
    </row>
    <row r="33" spans="2:22">
      <c r="B33" s="63" t="s">
        <v>119</v>
      </c>
      <c r="C33" s="66">
        <f>C17-C29</f>
        <v>-0.32194139999999916</v>
      </c>
      <c r="D33" s="64">
        <f t="shared" ref="D33:J33" si="10">D17-D29</f>
        <v>3.6585175500000009</v>
      </c>
      <c r="E33" s="64">
        <f t="shared" si="10"/>
        <v>5.8696076500000416E-2</v>
      </c>
      <c r="F33" s="64">
        <f t="shared" si="10"/>
        <v>0.2609199587949993</v>
      </c>
      <c r="G33" s="64">
        <f t="shared" si="10"/>
        <v>0.46525055755884992</v>
      </c>
      <c r="H33" s="64">
        <f t="shared" si="10"/>
        <v>0.67175107428561631</v>
      </c>
      <c r="I33" s="64">
        <f t="shared" si="10"/>
        <v>0.88048660651418498</v>
      </c>
      <c r="J33" s="64">
        <f t="shared" si="10"/>
        <v>1.0915242047096116</v>
      </c>
      <c r="K33" s="64">
        <f t="shared" ref="K33:V33" si="11">K17-K29</f>
        <v>1.3049329308508995</v>
      </c>
      <c r="L33" s="64">
        <f t="shared" si="11"/>
        <v>1.3887839187764275</v>
      </c>
      <c r="M33" s="55">
        <f t="shared" si="11"/>
        <v>2.9652504363397192</v>
      </c>
      <c r="N33" s="55">
        <f t="shared" si="11"/>
        <v>3.0542079494299132</v>
      </c>
      <c r="O33" s="55">
        <f t="shared" si="11"/>
        <v>3.1458341879128087</v>
      </c>
      <c r="P33" s="55">
        <f t="shared" si="11"/>
        <v>3.2402092135501919</v>
      </c>
      <c r="Q33" s="55">
        <f t="shared" si="11"/>
        <v>3.3374154899566975</v>
      </c>
      <c r="R33" s="55">
        <f t="shared" si="11"/>
        <v>3.4375379546553981</v>
      </c>
      <c r="S33" s="55">
        <f t="shared" si="11"/>
        <v>3.540664093295061</v>
      </c>
      <c r="T33" s="55">
        <f t="shared" si="11"/>
        <v>3.646884016093912</v>
      </c>
      <c r="U33" s="55">
        <f>U17-U29</f>
        <v>3.7562905365767314</v>
      </c>
      <c r="V33" s="55">
        <f t="shared" si="11"/>
        <v>3.8689792526740323</v>
      </c>
    </row>
    <row r="34" spans="2:22">
      <c r="B34" s="67" t="s">
        <v>120</v>
      </c>
      <c r="C34" s="68">
        <f>C33</f>
        <v>-0.32194139999999916</v>
      </c>
      <c r="D34" s="69">
        <f>D33</f>
        <v>3.6585175500000009</v>
      </c>
      <c r="E34" s="69">
        <f>E33</f>
        <v>5.8696076500000416E-2</v>
      </c>
      <c r="F34" s="69">
        <f>F33</f>
        <v>0.2609199587949993</v>
      </c>
      <c r="G34" s="69">
        <f>G33</f>
        <v>0.46525055755884992</v>
      </c>
      <c r="H34" s="69">
        <f>H33*0.73</f>
        <v>0.49037828422849988</v>
      </c>
      <c r="I34" s="69">
        <f t="shared" ref="I34:V34" si="12">I33*0.73</f>
        <v>0.64275522275535502</v>
      </c>
      <c r="J34" s="69">
        <f t="shared" si="12"/>
        <v>0.79681266943801643</v>
      </c>
      <c r="K34" s="69">
        <f t="shared" si="12"/>
        <v>0.9526010395211566</v>
      </c>
      <c r="L34" s="69">
        <f t="shared" si="12"/>
        <v>1.0138122607067921</v>
      </c>
      <c r="M34" s="69">
        <f t="shared" si="12"/>
        <v>2.1646328185279948</v>
      </c>
      <c r="N34" s="69">
        <f t="shared" si="12"/>
        <v>2.2295718030838367</v>
      </c>
      <c r="O34" s="69">
        <f t="shared" si="12"/>
        <v>2.2964589571763501</v>
      </c>
      <c r="P34" s="69">
        <f t="shared" si="12"/>
        <v>2.3653527258916398</v>
      </c>
      <c r="Q34" s="69">
        <f t="shared" si="12"/>
        <v>2.4363133076683892</v>
      </c>
      <c r="R34" s="69">
        <f t="shared" si="12"/>
        <v>2.5094027068984404</v>
      </c>
      <c r="S34" s="69">
        <f t="shared" si="12"/>
        <v>2.5846847881053945</v>
      </c>
      <c r="T34" s="69">
        <f t="shared" si="12"/>
        <v>2.6622253317485556</v>
      </c>
      <c r="U34" s="69">
        <f t="shared" si="12"/>
        <v>2.7420920917010139</v>
      </c>
      <c r="V34" s="69">
        <f t="shared" si="12"/>
        <v>2.8243548544520434</v>
      </c>
    </row>
    <row r="35" spans="2:22">
      <c r="C35" s="48"/>
      <c r="D35" s="48"/>
      <c r="E35" s="48"/>
      <c r="F35" s="48"/>
      <c r="G35" s="48"/>
    </row>
    <row r="36" spans="2:22">
      <c r="C36" s="48"/>
      <c r="D36" s="48"/>
      <c r="E36" s="48"/>
      <c r="F36" s="48"/>
      <c r="G36" s="48"/>
    </row>
  </sheetData>
  <mergeCells count="1">
    <mergeCell ref="B2:L2"/>
  </mergeCells>
  <phoneticPr fontId="20" type="noConversion"/>
  <pageMargins left="0.7" right="0.7" top="0.75" bottom="0.75" header="0.3" footer="0.3"/>
  <pageSetup scale="40" orientation="portrait" horizontalDpi="120" verticalDpi="14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Z26"/>
  <sheetViews>
    <sheetView zoomScaleNormal="100" workbookViewId="0">
      <selection activeCell="B2" sqref="B2:L26"/>
    </sheetView>
  </sheetViews>
  <sheetFormatPr baseColWidth="10" defaultColWidth="8.83203125" defaultRowHeight="15"/>
  <cols>
    <col min="2" max="2" width="20" customWidth="1"/>
  </cols>
  <sheetData>
    <row r="1" spans="2:26" ht="16" thickBot="1"/>
    <row r="2" spans="2:26" ht="22" thickBot="1">
      <c r="B2" s="82" t="s">
        <v>157</v>
      </c>
      <c r="C2" s="83"/>
      <c r="D2" s="83"/>
      <c r="E2" s="83"/>
      <c r="F2" s="83"/>
      <c r="G2" s="83"/>
      <c r="H2" s="83"/>
      <c r="I2" s="83"/>
      <c r="J2" s="83"/>
      <c r="K2" s="83"/>
      <c r="L2" s="84"/>
    </row>
    <row r="4" spans="2:26">
      <c r="B4" s="46" t="s">
        <v>0</v>
      </c>
      <c r="C4" s="46" t="s">
        <v>11</v>
      </c>
      <c r="D4" s="46" t="s">
        <v>12</v>
      </c>
      <c r="E4" s="46" t="s">
        <v>13</v>
      </c>
      <c r="F4" s="46" t="s">
        <v>14</v>
      </c>
      <c r="G4" s="46" t="s">
        <v>15</v>
      </c>
      <c r="H4" s="46" t="s">
        <v>16</v>
      </c>
      <c r="I4" s="46" t="s">
        <v>17</v>
      </c>
      <c r="J4" s="46" t="s">
        <v>40</v>
      </c>
      <c r="K4" s="46" t="s">
        <v>96</v>
      </c>
      <c r="L4" s="46" t="s">
        <v>97</v>
      </c>
      <c r="M4" s="46" t="s">
        <v>98</v>
      </c>
      <c r="N4" s="46" t="s">
        <v>99</v>
      </c>
      <c r="O4" s="46" t="s">
        <v>100</v>
      </c>
      <c r="P4" s="46" t="s">
        <v>101</v>
      </c>
      <c r="Q4" s="46" t="s">
        <v>102</v>
      </c>
      <c r="R4" s="46" t="s">
        <v>103</v>
      </c>
      <c r="S4" s="46" t="s">
        <v>104</v>
      </c>
      <c r="T4" s="46" t="s">
        <v>105</v>
      </c>
      <c r="U4" s="46" t="s">
        <v>106</v>
      </c>
      <c r="V4" s="46" t="s">
        <v>107</v>
      </c>
    </row>
    <row r="5" spans="2:26">
      <c r="B5" s="46" t="s">
        <v>1</v>
      </c>
      <c r="C5" s="46" t="s">
        <v>41</v>
      </c>
      <c r="D5" s="46" t="s">
        <v>84</v>
      </c>
      <c r="E5" s="46" t="s">
        <v>85</v>
      </c>
      <c r="F5" s="46" t="s">
        <v>86</v>
      </c>
      <c r="G5" s="46" t="s">
        <v>87</v>
      </c>
      <c r="H5" s="46" t="s">
        <v>88</v>
      </c>
      <c r="I5" s="46" t="s">
        <v>89</v>
      </c>
      <c r="J5" s="46" t="s">
        <v>90</v>
      </c>
      <c r="K5" s="46" t="s">
        <v>91</v>
      </c>
      <c r="L5" s="46" t="s">
        <v>92</v>
      </c>
      <c r="M5" s="46" t="s">
        <v>93</v>
      </c>
      <c r="N5" s="46" t="s">
        <v>94</v>
      </c>
      <c r="O5" s="46" t="s">
        <v>95</v>
      </c>
      <c r="P5" s="46" t="s">
        <v>148</v>
      </c>
      <c r="Q5" s="46" t="s">
        <v>149</v>
      </c>
      <c r="R5" s="46" t="s">
        <v>150</v>
      </c>
      <c r="S5" s="46" t="s">
        <v>151</v>
      </c>
      <c r="T5" s="46" t="s">
        <v>169</v>
      </c>
      <c r="U5" s="46" t="s">
        <v>177</v>
      </c>
      <c r="V5" s="46" t="s">
        <v>178</v>
      </c>
    </row>
    <row r="6" spans="2:26">
      <c r="B6" s="2"/>
      <c r="C6" s="2"/>
      <c r="D6" s="2"/>
      <c r="E6" s="2"/>
      <c r="F6" s="2"/>
      <c r="G6" s="2"/>
      <c r="H6" s="2"/>
      <c r="I6" s="2"/>
      <c r="J6" s="4"/>
      <c r="K6" s="2"/>
      <c r="L6" s="2"/>
      <c r="M6" s="2"/>
      <c r="N6" s="2"/>
      <c r="O6" s="2"/>
      <c r="P6" s="2"/>
      <c r="Q6" s="2"/>
      <c r="R6" s="2"/>
      <c r="S6" s="2"/>
      <c r="T6" s="2"/>
      <c r="U6" s="2"/>
      <c r="V6" s="2"/>
    </row>
    <row r="7" spans="2:26">
      <c r="B7" s="3" t="s">
        <v>25</v>
      </c>
      <c r="C7" s="4"/>
      <c r="D7" s="4"/>
      <c r="E7" s="4"/>
      <c r="F7" s="4"/>
      <c r="G7" s="4"/>
      <c r="H7" s="4"/>
      <c r="I7" s="4"/>
      <c r="J7" s="4"/>
      <c r="K7" s="2"/>
      <c r="L7" s="2"/>
      <c r="M7" s="2"/>
      <c r="N7" s="2"/>
      <c r="O7" s="2"/>
      <c r="P7" s="2"/>
      <c r="Q7" s="2"/>
      <c r="R7" s="2"/>
      <c r="S7" s="2"/>
      <c r="T7" s="2"/>
      <c r="U7" s="2"/>
      <c r="V7" s="2"/>
    </row>
    <row r="8" spans="2:26">
      <c r="B8" s="2"/>
      <c r="C8" s="4"/>
      <c r="D8" s="4"/>
      <c r="E8" s="4"/>
      <c r="F8" s="4"/>
      <c r="G8" s="4"/>
      <c r="H8" s="4"/>
      <c r="I8" s="4"/>
      <c r="J8" s="4"/>
      <c r="K8" s="2"/>
      <c r="L8" s="2"/>
      <c r="M8" s="2"/>
      <c r="N8" s="2"/>
      <c r="O8" s="2"/>
      <c r="P8" s="2"/>
      <c r="Q8" s="2"/>
      <c r="R8" s="2"/>
      <c r="S8" s="2"/>
      <c r="T8" s="2"/>
      <c r="U8" s="2"/>
      <c r="V8" s="2"/>
    </row>
    <row r="9" spans="2:26">
      <c r="B9" s="2" t="s">
        <v>18</v>
      </c>
      <c r="C9" s="56">
        <f>'Profit &amp; Loss Statement'!C34</f>
        <v>-0.32194139999999916</v>
      </c>
      <c r="D9" s="56">
        <f>'Profit &amp; Loss Statement'!D34</f>
        <v>3.6585175500000009</v>
      </c>
      <c r="E9" s="56">
        <f>'Profit &amp; Loss Statement'!E34</f>
        <v>5.8696076500000416E-2</v>
      </c>
      <c r="F9" s="56">
        <f>'Profit &amp; Loss Statement'!F34</f>
        <v>0.2609199587949993</v>
      </c>
      <c r="G9" s="56">
        <f>'Profit &amp; Loss Statement'!G34</f>
        <v>0.46525055755884992</v>
      </c>
      <c r="H9" s="56">
        <f>'Profit &amp; Loss Statement'!H34</f>
        <v>0.49037828422849988</v>
      </c>
      <c r="I9" s="56">
        <f>'Profit &amp; Loss Statement'!I34</f>
        <v>0.64275522275535502</v>
      </c>
      <c r="J9" s="56">
        <f>'Profit &amp; Loss Statement'!J34</f>
        <v>0.79681266943801643</v>
      </c>
      <c r="K9" s="56">
        <f>'Profit &amp; Loss Statement'!K34</f>
        <v>0.9526010395211566</v>
      </c>
      <c r="L9" s="56">
        <f>'Profit &amp; Loss Statement'!L34</f>
        <v>1.0138122607067921</v>
      </c>
      <c r="M9" s="56">
        <f>'Profit &amp; Loss Statement'!M34</f>
        <v>2.1646328185279948</v>
      </c>
      <c r="N9" s="56">
        <f>'Profit &amp; Loss Statement'!N34</f>
        <v>2.2295718030838367</v>
      </c>
      <c r="O9" s="56">
        <f>'Profit &amp; Loss Statement'!O34</f>
        <v>2.2964589571763501</v>
      </c>
      <c r="P9" s="56">
        <f>'Profit &amp; Loss Statement'!P34</f>
        <v>2.3653527258916398</v>
      </c>
      <c r="Q9" s="56">
        <f>'Profit &amp; Loss Statement'!Q34</f>
        <v>2.4363133076683892</v>
      </c>
      <c r="R9" s="56">
        <f>'Profit &amp; Loss Statement'!R34</f>
        <v>2.5094027068984404</v>
      </c>
      <c r="S9" s="56">
        <f>'Profit &amp; Loss Statement'!S34</f>
        <v>2.5846847881053945</v>
      </c>
      <c r="T9" s="56">
        <f>'Profit &amp; Loss Statement'!T34</f>
        <v>2.6622253317485556</v>
      </c>
      <c r="U9" s="56">
        <f>'Profit &amp; Loss Statement'!U34</f>
        <v>2.7420920917010139</v>
      </c>
      <c r="V9" s="56">
        <f>'Profit &amp; Loss Statement'!V34</f>
        <v>2.8243548544520434</v>
      </c>
      <c r="W9" s="34"/>
      <c r="X9" s="11"/>
      <c r="Y9" s="11"/>
      <c r="Z9" s="11"/>
    </row>
    <row r="10" spans="2:26">
      <c r="B10" s="2" t="s">
        <v>8</v>
      </c>
      <c r="C10" s="56">
        <f>'Profit &amp; Loss Statement'!C26</f>
        <v>1.4901</v>
      </c>
      <c r="D10" s="56">
        <f>'Profit &amp; Loss Statement'!D26</f>
        <v>1.4901</v>
      </c>
      <c r="E10" s="56">
        <f>'Profit &amp; Loss Statement'!E26</f>
        <v>1.4901</v>
      </c>
      <c r="F10" s="56">
        <f>'Profit &amp; Loss Statement'!F26</f>
        <v>1.4901</v>
      </c>
      <c r="G10" s="56">
        <f>'Profit &amp; Loss Statement'!G26</f>
        <v>1.4901</v>
      </c>
      <c r="H10" s="56">
        <f>'Profit &amp; Loss Statement'!H26</f>
        <v>1.4901</v>
      </c>
      <c r="I10" s="56">
        <f>'Profit &amp; Loss Statement'!I26</f>
        <v>1.4901</v>
      </c>
      <c r="J10" s="56">
        <f>'Profit &amp; Loss Statement'!J26</f>
        <v>1.4901</v>
      </c>
      <c r="K10" s="56">
        <f>'Profit &amp; Loss Statement'!K26</f>
        <v>1.4901</v>
      </c>
      <c r="L10" s="56">
        <f>'Profit &amp; Loss Statement'!L26</f>
        <v>1.4901</v>
      </c>
      <c r="M10" s="56">
        <f>'Profit &amp; Loss Statement'!M26</f>
        <v>0</v>
      </c>
      <c r="N10" s="56">
        <f>'Profit &amp; Loss Statement'!N26</f>
        <v>0</v>
      </c>
      <c r="O10" s="56">
        <f>'Profit &amp; Loss Statement'!O26</f>
        <v>0</v>
      </c>
      <c r="P10" s="56">
        <f>'Profit &amp; Loss Statement'!P26</f>
        <v>0</v>
      </c>
      <c r="Q10" s="56">
        <f>'Profit &amp; Loss Statement'!Q26</f>
        <v>0</v>
      </c>
      <c r="R10" s="56">
        <f>'Profit &amp; Loss Statement'!R26</f>
        <v>0</v>
      </c>
      <c r="S10" s="56">
        <f>'Profit &amp; Loss Statement'!S26</f>
        <v>0</v>
      </c>
      <c r="T10" s="56">
        <f>'Profit &amp; Loss Statement'!T26</f>
        <v>0</v>
      </c>
      <c r="U10" s="56">
        <f>'Profit &amp; Loss Statement'!U26</f>
        <v>0</v>
      </c>
      <c r="V10" s="56">
        <f>'Profit &amp; Loss Statement'!V26</f>
        <v>0</v>
      </c>
    </row>
    <row r="11" spans="2:26">
      <c r="B11" s="2" t="s">
        <v>113</v>
      </c>
      <c r="C11" s="56">
        <f>Assumptions!C31</f>
        <v>6.5009999999999994</v>
      </c>
      <c r="D11" s="4"/>
      <c r="E11" s="4"/>
      <c r="F11" s="4"/>
      <c r="G11" s="4"/>
      <c r="H11" s="4"/>
      <c r="I11" s="4"/>
      <c r="J11" s="4"/>
      <c r="K11" s="2"/>
      <c r="L11" s="2"/>
      <c r="M11" s="2"/>
      <c r="N11" s="2"/>
      <c r="O11" s="2"/>
      <c r="P11" s="2"/>
      <c r="Q11" s="2"/>
      <c r="R11" s="2"/>
      <c r="S11" s="2"/>
      <c r="T11" s="2"/>
      <c r="U11" s="2"/>
      <c r="V11" s="2"/>
    </row>
    <row r="12" spans="2:26">
      <c r="B12" s="2" t="s">
        <v>114</v>
      </c>
      <c r="C12" s="56">
        <f>Assumptions!C32</f>
        <v>8.4</v>
      </c>
      <c r="D12" s="4"/>
      <c r="E12" s="4"/>
      <c r="F12" s="4"/>
      <c r="G12" s="4"/>
      <c r="H12" s="4"/>
      <c r="I12" s="4"/>
      <c r="J12" s="4"/>
      <c r="K12" s="2"/>
      <c r="L12" s="2"/>
      <c r="M12" s="2"/>
      <c r="N12" s="2"/>
      <c r="O12" s="2"/>
      <c r="P12" s="2"/>
      <c r="Q12" s="2"/>
      <c r="R12" s="2"/>
      <c r="S12" s="2"/>
      <c r="T12" s="2"/>
      <c r="U12" s="2"/>
      <c r="V12" s="2"/>
    </row>
    <row r="13" spans="2:26">
      <c r="B13" s="71" t="s">
        <v>115</v>
      </c>
      <c r="C13" s="72">
        <f>SUM(C9:C12)</f>
        <v>16.069158600000002</v>
      </c>
      <c r="D13" s="72">
        <f t="shared" ref="D13:J13" si="0">SUM(D9:D11)</f>
        <v>5.1486175500000009</v>
      </c>
      <c r="E13" s="72">
        <f t="shared" si="0"/>
        <v>1.5487960765000004</v>
      </c>
      <c r="F13" s="72">
        <f t="shared" si="0"/>
        <v>1.7510199587949993</v>
      </c>
      <c r="G13" s="72">
        <f t="shared" si="0"/>
        <v>1.9553505575588499</v>
      </c>
      <c r="H13" s="72">
        <f t="shared" si="0"/>
        <v>1.9804782842284998</v>
      </c>
      <c r="I13" s="72">
        <f t="shared" si="0"/>
        <v>2.1328552227553548</v>
      </c>
      <c r="J13" s="72">
        <f t="shared" si="0"/>
        <v>2.2869126694380162</v>
      </c>
      <c r="K13" s="72">
        <f t="shared" ref="K13:U13" si="1">SUM(K9:K11)</f>
        <v>2.4427010395211566</v>
      </c>
      <c r="L13" s="72">
        <f t="shared" si="1"/>
        <v>2.5039122607067918</v>
      </c>
      <c r="M13" s="55">
        <f t="shared" si="1"/>
        <v>2.1646328185279948</v>
      </c>
      <c r="N13" s="55">
        <f t="shared" si="1"/>
        <v>2.2295718030838367</v>
      </c>
      <c r="O13" s="55">
        <f t="shared" si="1"/>
        <v>2.2964589571763501</v>
      </c>
      <c r="P13" s="55">
        <f t="shared" si="1"/>
        <v>2.3653527258916398</v>
      </c>
      <c r="Q13" s="55">
        <f>SUM(Q9:Q11)</f>
        <v>2.4363133076683892</v>
      </c>
      <c r="R13" s="55">
        <f t="shared" si="1"/>
        <v>2.5094027068984404</v>
      </c>
      <c r="S13" s="55">
        <f t="shared" si="1"/>
        <v>2.5846847881053945</v>
      </c>
      <c r="T13" s="55">
        <f t="shared" si="1"/>
        <v>2.6622253317485556</v>
      </c>
      <c r="U13" s="55">
        <f t="shared" si="1"/>
        <v>2.7420920917010139</v>
      </c>
      <c r="V13" s="55">
        <f>SUM(V9:V11)</f>
        <v>2.8243548544520434</v>
      </c>
    </row>
    <row r="14" spans="2:26">
      <c r="B14" s="2"/>
      <c r="C14" s="4"/>
      <c r="D14" s="55"/>
      <c r="E14" s="55"/>
      <c r="F14" s="55"/>
      <c r="G14" s="55"/>
      <c r="H14" s="55"/>
      <c r="I14" s="55"/>
      <c r="J14" s="55"/>
      <c r="K14" s="55"/>
      <c r="L14" s="55"/>
      <c r="M14" s="55"/>
      <c r="N14" s="55"/>
      <c r="O14" s="55"/>
      <c r="P14" s="55"/>
      <c r="Q14" s="55"/>
      <c r="R14" s="55"/>
      <c r="S14" s="55"/>
      <c r="T14" s="55"/>
      <c r="U14" s="55"/>
      <c r="V14" s="55"/>
    </row>
    <row r="15" spans="2:26">
      <c r="B15" s="3" t="s">
        <v>26</v>
      </c>
      <c r="C15" s="6"/>
      <c r="D15" s="6"/>
      <c r="E15" s="6"/>
      <c r="F15" s="6"/>
      <c r="G15" s="6"/>
      <c r="H15" s="6"/>
      <c r="I15" s="6"/>
      <c r="J15" s="6"/>
      <c r="K15" s="2"/>
      <c r="L15" s="2"/>
      <c r="M15" s="2"/>
      <c r="N15" s="2"/>
      <c r="O15" s="2"/>
      <c r="P15" s="2"/>
      <c r="Q15" s="2"/>
      <c r="R15" s="2"/>
      <c r="S15" s="2"/>
      <c r="T15" s="2"/>
      <c r="U15" s="2"/>
      <c r="V15" s="2"/>
    </row>
    <row r="16" spans="2:26">
      <c r="B16" s="2"/>
      <c r="C16" s="4"/>
      <c r="D16" s="4"/>
      <c r="E16" s="4"/>
      <c r="F16" s="4"/>
      <c r="G16" s="4"/>
      <c r="H16" s="4"/>
      <c r="I16" s="4"/>
      <c r="J16" s="4"/>
      <c r="K16" s="2"/>
      <c r="L16" s="2"/>
      <c r="M16" s="2"/>
      <c r="N16" s="2"/>
      <c r="O16" s="2"/>
      <c r="P16" s="2"/>
      <c r="Q16" s="2"/>
      <c r="R16" s="2"/>
      <c r="S16" s="2"/>
      <c r="T16" s="2"/>
      <c r="U16" s="2"/>
      <c r="V16" s="2"/>
    </row>
    <row r="17" spans="2:22">
      <c r="B17" s="2" t="s">
        <v>27</v>
      </c>
      <c r="C17" s="56">
        <f>Assumptions!C15</f>
        <v>14.901</v>
      </c>
      <c r="D17" s="4"/>
      <c r="E17" s="4"/>
      <c r="F17" s="4"/>
      <c r="G17" s="4"/>
      <c r="H17" s="4"/>
      <c r="I17" s="4"/>
      <c r="J17" s="4"/>
      <c r="K17" s="2"/>
      <c r="L17" s="2"/>
      <c r="M17" s="2"/>
      <c r="N17" s="2"/>
      <c r="O17" s="2"/>
      <c r="P17" s="2"/>
      <c r="Q17" s="2"/>
      <c r="R17" s="2"/>
      <c r="S17" s="2"/>
      <c r="T17" s="2"/>
      <c r="U17" s="2"/>
      <c r="V17" s="2"/>
    </row>
    <row r="18" spans="2:22">
      <c r="B18" s="2" t="s">
        <v>28</v>
      </c>
      <c r="C18" s="4"/>
      <c r="D18" s="4"/>
      <c r="E18" s="4"/>
      <c r="F18" s="4"/>
      <c r="G18" s="4"/>
      <c r="H18" s="4"/>
      <c r="I18" s="4"/>
      <c r="J18" s="4"/>
      <c r="K18" s="2"/>
      <c r="L18" s="2"/>
      <c r="M18" s="2"/>
      <c r="N18" s="2"/>
      <c r="O18" s="2"/>
      <c r="P18" s="2"/>
      <c r="Q18" s="2"/>
      <c r="R18" s="2"/>
      <c r="S18" s="2"/>
      <c r="T18" s="2"/>
      <c r="U18" s="2"/>
      <c r="V18" s="2"/>
    </row>
    <row r="19" spans="2:22">
      <c r="B19" s="2"/>
      <c r="C19" s="4"/>
      <c r="D19" s="4"/>
      <c r="E19" s="4"/>
      <c r="F19" s="4"/>
      <c r="G19" s="4"/>
      <c r="H19" s="4"/>
      <c r="I19" s="4"/>
      <c r="J19" s="4"/>
      <c r="K19" s="2"/>
      <c r="L19" s="2"/>
      <c r="M19" s="2"/>
      <c r="N19" s="2"/>
      <c r="O19" s="2"/>
      <c r="P19" s="2"/>
      <c r="Q19" s="2"/>
      <c r="R19" s="2"/>
      <c r="S19" s="2"/>
      <c r="T19" s="2"/>
      <c r="U19" s="2"/>
      <c r="V19" s="2"/>
    </row>
    <row r="20" spans="2:22">
      <c r="B20" s="2" t="s">
        <v>29</v>
      </c>
      <c r="C20" s="4">
        <f>'Debt Repayment'!C7</f>
        <v>0</v>
      </c>
      <c r="D20" s="56">
        <f>'Debt Repayment'!C8</f>
        <v>1.2</v>
      </c>
      <c r="E20" s="56">
        <f>'Debt Repayment'!C9</f>
        <v>1.2</v>
      </c>
      <c r="F20" s="56">
        <f>'Debt Repayment'!C10</f>
        <v>1.2</v>
      </c>
      <c r="G20" s="56">
        <f>'Debt Repayment'!C11</f>
        <v>1.2</v>
      </c>
      <c r="H20" s="56">
        <f>'Debt Repayment'!C12</f>
        <v>1.2</v>
      </c>
      <c r="I20" s="56">
        <f>'Debt Repayment'!C13</f>
        <v>1.2</v>
      </c>
      <c r="J20" s="56">
        <f>'Debt Repayment'!C14</f>
        <v>1.2</v>
      </c>
      <c r="K20" s="4">
        <v>0</v>
      </c>
      <c r="L20" s="4">
        <v>0</v>
      </c>
      <c r="M20" s="4">
        <v>0</v>
      </c>
      <c r="N20" s="4">
        <v>0</v>
      </c>
      <c r="O20" s="4">
        <v>0</v>
      </c>
      <c r="P20" s="4">
        <v>0</v>
      </c>
      <c r="Q20" s="4">
        <v>0</v>
      </c>
      <c r="R20" s="4">
        <v>0</v>
      </c>
      <c r="S20" s="4">
        <v>0</v>
      </c>
      <c r="T20" s="4">
        <v>0</v>
      </c>
      <c r="U20" s="4">
        <v>0</v>
      </c>
      <c r="V20" s="4">
        <v>0</v>
      </c>
    </row>
    <row r="21" spans="2:22">
      <c r="B21" s="2"/>
      <c r="C21" s="4"/>
      <c r="D21" s="4"/>
      <c r="E21" s="4"/>
      <c r="F21" s="4"/>
      <c r="G21" s="4"/>
      <c r="H21" s="4"/>
      <c r="I21" s="4"/>
      <c r="J21" s="4"/>
      <c r="K21" s="2"/>
      <c r="L21" s="2"/>
      <c r="M21" s="2"/>
      <c r="N21" s="2"/>
      <c r="O21" s="2"/>
      <c r="P21" s="2"/>
      <c r="Q21" s="2"/>
      <c r="R21" s="2"/>
      <c r="S21" s="2"/>
      <c r="T21" s="2"/>
      <c r="U21" s="2"/>
      <c r="V21" s="2"/>
    </row>
    <row r="22" spans="2:22">
      <c r="B22" s="71" t="s">
        <v>30</v>
      </c>
      <c r="C22" s="72">
        <f>SUM(C17:C21)</f>
        <v>14.901</v>
      </c>
      <c r="D22" s="72">
        <f>SUM(D17:D21)</f>
        <v>1.2</v>
      </c>
      <c r="E22" s="72">
        <f t="shared" ref="E22:V22" si="2">SUM(E17:E21)</f>
        <v>1.2</v>
      </c>
      <c r="F22" s="72">
        <f t="shared" si="2"/>
        <v>1.2</v>
      </c>
      <c r="G22" s="72">
        <f t="shared" si="2"/>
        <v>1.2</v>
      </c>
      <c r="H22" s="72">
        <f t="shared" si="2"/>
        <v>1.2</v>
      </c>
      <c r="I22" s="72">
        <f t="shared" si="2"/>
        <v>1.2</v>
      </c>
      <c r="J22" s="72">
        <f t="shared" si="2"/>
        <v>1.2</v>
      </c>
      <c r="K22" s="73">
        <f t="shared" si="2"/>
        <v>0</v>
      </c>
      <c r="L22" s="73">
        <f t="shared" si="2"/>
        <v>0</v>
      </c>
      <c r="M22" s="6">
        <f t="shared" si="2"/>
        <v>0</v>
      </c>
      <c r="N22" s="6">
        <f t="shared" si="2"/>
        <v>0</v>
      </c>
      <c r="O22" s="6">
        <f t="shared" si="2"/>
        <v>0</v>
      </c>
      <c r="P22" s="6">
        <f t="shared" si="2"/>
        <v>0</v>
      </c>
      <c r="Q22" s="6">
        <f t="shared" si="2"/>
        <v>0</v>
      </c>
      <c r="R22" s="6">
        <f t="shared" si="2"/>
        <v>0</v>
      </c>
      <c r="S22" s="6">
        <f t="shared" si="2"/>
        <v>0</v>
      </c>
      <c r="T22" s="6">
        <f t="shared" si="2"/>
        <v>0</v>
      </c>
      <c r="U22" s="6">
        <f t="shared" si="2"/>
        <v>0</v>
      </c>
      <c r="V22" s="6">
        <f t="shared" si="2"/>
        <v>0</v>
      </c>
    </row>
    <row r="23" spans="2:22">
      <c r="B23" s="2"/>
      <c r="C23" s="2"/>
      <c r="D23" s="55"/>
      <c r="E23" s="55"/>
      <c r="F23" s="55"/>
      <c r="G23" s="55"/>
      <c r="H23" s="55"/>
      <c r="I23" s="55"/>
      <c r="J23" s="55"/>
      <c r="K23" s="2"/>
      <c r="L23" s="2"/>
      <c r="M23" s="2"/>
      <c r="N23" s="2"/>
      <c r="O23" s="2"/>
      <c r="P23" s="2"/>
      <c r="Q23" s="2"/>
      <c r="R23" s="2"/>
      <c r="S23" s="2"/>
      <c r="T23" s="2"/>
      <c r="U23" s="2"/>
      <c r="V23" s="2"/>
    </row>
    <row r="24" spans="2:22">
      <c r="B24" s="2" t="s">
        <v>116</v>
      </c>
      <c r="C24" s="57">
        <v>0</v>
      </c>
      <c r="D24" s="57">
        <f>C26</f>
        <v>1.1681586000000017</v>
      </c>
      <c r="E24" s="57">
        <f t="shared" ref="E24:J24" si="3">D26</f>
        <v>5.1167761500000024</v>
      </c>
      <c r="F24" s="57">
        <f t="shared" si="3"/>
        <v>5.4655722265000026</v>
      </c>
      <c r="G24" s="57">
        <f t="shared" si="3"/>
        <v>6.0165921852950017</v>
      </c>
      <c r="H24" s="57">
        <f t="shared" si="3"/>
        <v>6.7719427428538514</v>
      </c>
      <c r="I24" s="57">
        <f t="shared" si="3"/>
        <v>7.5524210270823513</v>
      </c>
      <c r="J24" s="57">
        <f t="shared" si="3"/>
        <v>8.4852762498377068</v>
      </c>
      <c r="K24" s="57">
        <f t="shared" ref="K24:Q24" si="4">J26</f>
        <v>9.5721889192757228</v>
      </c>
      <c r="L24" s="57">
        <f t="shared" si="4"/>
        <v>12.014889958796878</v>
      </c>
      <c r="M24" s="57">
        <f t="shared" si="4"/>
        <v>14.518802219503669</v>
      </c>
      <c r="N24" s="57">
        <f t="shared" si="4"/>
        <v>16.683435038031664</v>
      </c>
      <c r="O24" s="57">
        <f t="shared" si="4"/>
        <v>18.9130068411155</v>
      </c>
      <c r="P24" s="57">
        <f t="shared" si="4"/>
        <v>21.209465798291852</v>
      </c>
      <c r="Q24" s="57">
        <f t="shared" si="4"/>
        <v>23.574818524183492</v>
      </c>
      <c r="R24" s="57">
        <f t="shared" ref="R24:V24" si="5">Q26</f>
        <v>26.01113183185188</v>
      </c>
      <c r="S24" s="57">
        <f t="shared" si="5"/>
        <v>28.520534538750322</v>
      </c>
      <c r="T24" s="57">
        <f t="shared" si="5"/>
        <v>31.105219326855718</v>
      </c>
      <c r="U24" s="57">
        <f t="shared" si="5"/>
        <v>33.767444658604276</v>
      </c>
      <c r="V24" s="57">
        <f t="shared" si="5"/>
        <v>36.509536750305287</v>
      </c>
    </row>
    <row r="25" spans="2:22">
      <c r="B25" s="2" t="s">
        <v>117</v>
      </c>
      <c r="C25" s="57">
        <f>C13-C22</f>
        <v>1.1681586000000017</v>
      </c>
      <c r="D25" s="57">
        <f>D13-D22</f>
        <v>3.9486175500000007</v>
      </c>
      <c r="E25" s="57">
        <f t="shared" ref="E25:J25" si="6">E13-E22</f>
        <v>0.34879607650000044</v>
      </c>
      <c r="F25" s="57">
        <f t="shared" si="6"/>
        <v>0.55101995879499932</v>
      </c>
      <c r="G25" s="57">
        <f t="shared" si="6"/>
        <v>0.75535055755884994</v>
      </c>
      <c r="H25" s="57">
        <f t="shared" si="6"/>
        <v>0.78047828422849985</v>
      </c>
      <c r="I25" s="57">
        <f t="shared" si="6"/>
        <v>0.93285522275535482</v>
      </c>
      <c r="J25" s="57">
        <f t="shared" si="6"/>
        <v>1.0869126694380162</v>
      </c>
      <c r="K25" s="57">
        <f t="shared" ref="K25:Q25" si="7">K13-K22</f>
        <v>2.4427010395211566</v>
      </c>
      <c r="L25" s="57">
        <f t="shared" si="7"/>
        <v>2.5039122607067918</v>
      </c>
      <c r="M25" s="57">
        <f t="shared" si="7"/>
        <v>2.1646328185279948</v>
      </c>
      <c r="N25" s="57">
        <f t="shared" si="7"/>
        <v>2.2295718030838367</v>
      </c>
      <c r="O25" s="57">
        <f t="shared" si="7"/>
        <v>2.2964589571763501</v>
      </c>
      <c r="P25" s="57">
        <f t="shared" si="7"/>
        <v>2.3653527258916398</v>
      </c>
      <c r="Q25" s="57">
        <f t="shared" si="7"/>
        <v>2.4363133076683892</v>
      </c>
      <c r="R25" s="57">
        <f t="shared" ref="R25:V25" si="8">R13-R22</f>
        <v>2.5094027068984404</v>
      </c>
      <c r="S25" s="57">
        <f t="shared" si="8"/>
        <v>2.5846847881053945</v>
      </c>
      <c r="T25" s="57">
        <f t="shared" si="8"/>
        <v>2.6622253317485556</v>
      </c>
      <c r="U25" s="57">
        <f t="shared" si="8"/>
        <v>2.7420920917010139</v>
      </c>
      <c r="V25" s="57">
        <f t="shared" si="8"/>
        <v>2.8243548544520434</v>
      </c>
    </row>
    <row r="26" spans="2:22">
      <c r="B26" s="67" t="s">
        <v>118</v>
      </c>
      <c r="C26" s="70">
        <f>C25</f>
        <v>1.1681586000000017</v>
      </c>
      <c r="D26" s="70">
        <f>C26+D25</f>
        <v>5.1167761500000024</v>
      </c>
      <c r="E26" s="70">
        <f>D26+E25</f>
        <v>5.4655722265000026</v>
      </c>
      <c r="F26" s="70">
        <f t="shared" ref="F26:J26" si="9">E26+F25</f>
        <v>6.0165921852950017</v>
      </c>
      <c r="G26" s="70">
        <f t="shared" si="9"/>
        <v>6.7719427428538514</v>
      </c>
      <c r="H26" s="70">
        <f t="shared" si="9"/>
        <v>7.5524210270823513</v>
      </c>
      <c r="I26" s="70">
        <f t="shared" si="9"/>
        <v>8.4852762498377068</v>
      </c>
      <c r="J26" s="70">
        <f t="shared" si="9"/>
        <v>9.5721889192757228</v>
      </c>
      <c r="K26" s="70">
        <f t="shared" ref="K26" si="10">J26+K25</f>
        <v>12.014889958796878</v>
      </c>
      <c r="L26" s="70">
        <f t="shared" ref="L26" si="11">K26+L25</f>
        <v>14.518802219503669</v>
      </c>
      <c r="M26" s="57">
        <f t="shared" ref="M26" si="12">L26+M25</f>
        <v>16.683435038031664</v>
      </c>
      <c r="N26" s="57">
        <f t="shared" ref="N26" si="13">M26+N25</f>
        <v>18.9130068411155</v>
      </c>
      <c r="O26" s="57">
        <f t="shared" ref="O26" si="14">N26+O25</f>
        <v>21.209465798291852</v>
      </c>
      <c r="P26" s="57">
        <f t="shared" ref="P26" si="15">O26+P25</f>
        <v>23.574818524183492</v>
      </c>
      <c r="Q26" s="57">
        <f t="shared" ref="Q26" si="16">P26+Q25</f>
        <v>26.01113183185188</v>
      </c>
      <c r="R26" s="57">
        <f t="shared" ref="R26" si="17">Q26+R25</f>
        <v>28.520534538750322</v>
      </c>
      <c r="S26" s="57">
        <f t="shared" ref="S26" si="18">R26+S25</f>
        <v>31.105219326855718</v>
      </c>
      <c r="T26" s="57">
        <f t="shared" ref="T26" si="19">S26+T25</f>
        <v>33.767444658604276</v>
      </c>
      <c r="U26" s="57">
        <f t="shared" ref="U26:V26" si="20">T26+U25</f>
        <v>36.509536750305287</v>
      </c>
      <c r="V26" s="57">
        <f t="shared" si="20"/>
        <v>39.333891604757333</v>
      </c>
    </row>
  </sheetData>
  <mergeCells count="1">
    <mergeCell ref="B2:L2"/>
  </mergeCells>
  <phoneticPr fontId="20" type="noConversion"/>
  <pageMargins left="0.7" right="0.7" top="0.75" bottom="0.75" header="0.3" footer="0.3"/>
  <pageSetup paperSize="9" scale="38" orientation="portrait" horizontalDpi="0" verticalDpi="0"/>
  <colBreaks count="1" manualBreakCount="1">
    <brk id="23"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20"/>
  <sheetViews>
    <sheetView zoomScaleNormal="100" workbookViewId="0">
      <selection activeCell="C5" sqref="C5:J5"/>
    </sheetView>
  </sheetViews>
  <sheetFormatPr baseColWidth="10" defaultColWidth="8.83203125" defaultRowHeight="15"/>
  <cols>
    <col min="2" max="2" width="20.33203125" bestFit="1" customWidth="1"/>
  </cols>
  <sheetData>
    <row r="1" spans="2:12" ht="16" thickBot="1"/>
    <row r="2" spans="2:12" ht="22" thickBot="1">
      <c r="B2" s="82" t="s">
        <v>77</v>
      </c>
      <c r="C2" s="83"/>
      <c r="D2" s="83"/>
      <c r="E2" s="83"/>
      <c r="F2" s="83"/>
      <c r="G2" s="83"/>
      <c r="H2" s="83"/>
      <c r="I2" s="83"/>
      <c r="J2" s="84"/>
    </row>
    <row r="4" spans="2:12">
      <c r="B4" s="46" t="s">
        <v>0</v>
      </c>
      <c r="C4" s="46" t="s">
        <v>11</v>
      </c>
      <c r="D4" s="46" t="s">
        <v>12</v>
      </c>
      <c r="E4" s="46" t="s">
        <v>13</v>
      </c>
      <c r="F4" s="46" t="s">
        <v>14</v>
      </c>
      <c r="G4" s="46" t="s">
        <v>15</v>
      </c>
      <c r="H4" s="46" t="s">
        <v>16</v>
      </c>
      <c r="I4" s="46" t="s">
        <v>17</v>
      </c>
      <c r="J4" s="46" t="s">
        <v>40</v>
      </c>
    </row>
    <row r="5" spans="2:12">
      <c r="B5" s="46" t="s">
        <v>1</v>
      </c>
      <c r="C5" s="46" t="s">
        <v>41</v>
      </c>
      <c r="D5" s="46" t="s">
        <v>84</v>
      </c>
      <c r="E5" s="46" t="s">
        <v>85</v>
      </c>
      <c r="F5" s="46" t="s">
        <v>86</v>
      </c>
      <c r="G5" s="46" t="s">
        <v>87</v>
      </c>
      <c r="H5" s="46" t="s">
        <v>88</v>
      </c>
      <c r="I5" s="46" t="s">
        <v>89</v>
      </c>
      <c r="J5" s="46" t="s">
        <v>90</v>
      </c>
      <c r="L5" s="14"/>
    </row>
    <row r="6" spans="2:12">
      <c r="B6" s="2"/>
      <c r="C6" s="2"/>
      <c r="D6" s="2"/>
      <c r="E6" s="2"/>
      <c r="F6" s="2"/>
      <c r="G6" s="2"/>
      <c r="H6" s="2"/>
      <c r="I6" s="2"/>
      <c r="J6" s="2"/>
    </row>
    <row r="7" spans="2:12">
      <c r="B7" s="2" t="s">
        <v>121</v>
      </c>
      <c r="C7" s="55">
        <f>'Profit &amp; Loss Statement'!C33</f>
        <v>-0.32194139999999916</v>
      </c>
      <c r="D7" s="55">
        <f>'Profit &amp; Loss Statement'!D33</f>
        <v>3.6585175500000009</v>
      </c>
      <c r="E7" s="55">
        <f>'Profit &amp; Loss Statement'!E33</f>
        <v>5.8696076500000416E-2</v>
      </c>
      <c r="F7" s="55">
        <f>'Profit &amp; Loss Statement'!F33</f>
        <v>0.2609199587949993</v>
      </c>
      <c r="G7" s="55">
        <f>'Profit &amp; Loss Statement'!G33</f>
        <v>0.46525055755884992</v>
      </c>
      <c r="H7" s="55">
        <f>'Profit &amp; Loss Statement'!H33</f>
        <v>0.67175107428561631</v>
      </c>
      <c r="I7" s="55">
        <f>'Profit &amp; Loss Statement'!I33</f>
        <v>0.88048660651418498</v>
      </c>
      <c r="J7" s="55">
        <f>'Profit &amp; Loss Statement'!J33</f>
        <v>1.0915242047096116</v>
      </c>
    </row>
    <row r="8" spans="2:12">
      <c r="B8" s="2"/>
      <c r="C8" s="55"/>
      <c r="D8" s="55"/>
      <c r="E8" s="55"/>
      <c r="F8" s="55"/>
      <c r="G8" s="55"/>
      <c r="H8" s="55"/>
      <c r="I8" s="55"/>
      <c r="J8" s="55"/>
    </row>
    <row r="9" spans="2:12">
      <c r="B9" s="2" t="s">
        <v>8</v>
      </c>
      <c r="C9" s="55">
        <f>'Profit &amp; Loss Statement'!C26</f>
        <v>1.4901</v>
      </c>
      <c r="D9" s="55">
        <f>'Profit &amp; Loss Statement'!D26</f>
        <v>1.4901</v>
      </c>
      <c r="E9" s="55">
        <f>'Profit &amp; Loss Statement'!E26</f>
        <v>1.4901</v>
      </c>
      <c r="F9" s="55">
        <f>'Profit &amp; Loss Statement'!F26</f>
        <v>1.4901</v>
      </c>
      <c r="G9" s="55">
        <f>'Profit &amp; Loss Statement'!G26</f>
        <v>1.4901</v>
      </c>
      <c r="H9" s="55">
        <f>'Profit &amp; Loss Statement'!H26</f>
        <v>1.4901</v>
      </c>
      <c r="I9" s="55">
        <f>'Profit &amp; Loss Statement'!I26</f>
        <v>1.4901</v>
      </c>
      <c r="J9" s="55">
        <f>'Profit &amp; Loss Statement'!J26</f>
        <v>1.4901</v>
      </c>
    </row>
    <row r="10" spans="2:12">
      <c r="B10" s="2"/>
      <c r="C10" s="55"/>
      <c r="D10" s="55"/>
      <c r="E10" s="55"/>
      <c r="F10" s="55"/>
      <c r="G10" s="55"/>
      <c r="H10" s="55"/>
      <c r="I10" s="55"/>
      <c r="J10" s="55"/>
    </row>
    <row r="11" spans="2:12">
      <c r="B11" s="3" t="s">
        <v>19</v>
      </c>
      <c r="C11" s="55">
        <f t="shared" ref="C11:J11" si="0">SUM(C7:C10)</f>
        <v>1.1681586000000008</v>
      </c>
      <c r="D11" s="55">
        <f t="shared" si="0"/>
        <v>5.1486175500000009</v>
      </c>
      <c r="E11" s="55">
        <f t="shared" si="0"/>
        <v>1.5487960765000004</v>
      </c>
      <c r="F11" s="55">
        <f t="shared" si="0"/>
        <v>1.7510199587949993</v>
      </c>
      <c r="G11" s="55">
        <f t="shared" si="0"/>
        <v>1.9553505575588499</v>
      </c>
      <c r="H11" s="55">
        <f t="shared" si="0"/>
        <v>2.1618510742856163</v>
      </c>
      <c r="I11" s="55">
        <f t="shared" si="0"/>
        <v>2.370586606514185</v>
      </c>
      <c r="J11" s="55">
        <f t="shared" si="0"/>
        <v>2.5816242047096116</v>
      </c>
    </row>
    <row r="12" spans="2:12">
      <c r="B12" s="2"/>
      <c r="C12" s="4"/>
      <c r="D12" s="4"/>
      <c r="E12" s="4"/>
      <c r="F12" s="4"/>
      <c r="G12" s="4"/>
      <c r="H12" s="4"/>
      <c r="I12" s="4"/>
      <c r="J12" s="4"/>
    </row>
    <row r="13" spans="2:12">
      <c r="B13" s="2" t="s">
        <v>20</v>
      </c>
      <c r="C13" s="56">
        <f>'Cash Flow'!C20</f>
        <v>0</v>
      </c>
      <c r="D13" s="56">
        <f>'Cash Flow'!D20</f>
        <v>1.2</v>
      </c>
      <c r="E13" s="56">
        <f>'Cash Flow'!E20</f>
        <v>1.2</v>
      </c>
      <c r="F13" s="56">
        <f>'Cash Flow'!F20</f>
        <v>1.2</v>
      </c>
      <c r="G13" s="56">
        <f>'Cash Flow'!G20</f>
        <v>1.2</v>
      </c>
      <c r="H13" s="56">
        <f>'Cash Flow'!H20</f>
        <v>1.2</v>
      </c>
      <c r="I13" s="56">
        <f>'Cash Flow'!I20</f>
        <v>1.2</v>
      </c>
      <c r="J13" s="56">
        <f>'Cash Flow'!J20</f>
        <v>1.2</v>
      </c>
    </row>
    <row r="14" spans="2:12">
      <c r="B14" s="2" t="s">
        <v>21</v>
      </c>
      <c r="C14" s="56">
        <f>'Debt Repayment'!D7</f>
        <v>0.92400000000000004</v>
      </c>
      <c r="D14" s="56">
        <f>'Debt Repayment'!D8</f>
        <v>0.92400000000000004</v>
      </c>
      <c r="E14" s="56">
        <f>'Debt Repayment'!D9</f>
        <v>0.79200000000000004</v>
      </c>
      <c r="F14" s="56">
        <f>'Debt Repayment'!D10</f>
        <v>0.66</v>
      </c>
      <c r="G14" s="56">
        <f>'Debt Repayment'!D11</f>
        <v>0.52800000000000002</v>
      </c>
      <c r="H14" s="56">
        <f>'Debt Repayment'!D12</f>
        <v>0.39599999999999996</v>
      </c>
      <c r="I14" s="56">
        <f>'Debt Repayment'!D13</f>
        <v>0.26399999999999996</v>
      </c>
      <c r="J14" s="56">
        <f>'Debt Repayment'!D14</f>
        <v>0.13199999999999995</v>
      </c>
    </row>
    <row r="15" spans="2:12">
      <c r="B15" s="2"/>
      <c r="C15" s="4"/>
      <c r="D15" s="4"/>
      <c r="E15" s="4"/>
      <c r="F15" s="4"/>
      <c r="G15" s="4"/>
      <c r="H15" s="4"/>
      <c r="I15" s="4"/>
      <c r="J15" s="4"/>
    </row>
    <row r="16" spans="2:12">
      <c r="B16" s="3" t="s">
        <v>22</v>
      </c>
      <c r="C16" s="55">
        <f>SUM(C13:C15)</f>
        <v>0.92400000000000004</v>
      </c>
      <c r="D16" s="55">
        <f t="shared" ref="D16:J16" si="1">SUM(D13:D15)</f>
        <v>2.1240000000000001</v>
      </c>
      <c r="E16" s="55">
        <f t="shared" si="1"/>
        <v>1.992</v>
      </c>
      <c r="F16" s="55">
        <f t="shared" si="1"/>
        <v>1.8599999999999999</v>
      </c>
      <c r="G16" s="55">
        <f t="shared" si="1"/>
        <v>1.728</v>
      </c>
      <c r="H16" s="55">
        <f t="shared" si="1"/>
        <v>1.5959999999999999</v>
      </c>
      <c r="I16" s="55">
        <f t="shared" si="1"/>
        <v>1.464</v>
      </c>
      <c r="J16" s="55">
        <f t="shared" si="1"/>
        <v>1.3319999999999999</v>
      </c>
    </row>
    <row r="17" spans="2:10">
      <c r="B17" s="2"/>
      <c r="C17" s="4"/>
      <c r="D17" s="4"/>
      <c r="E17" s="4"/>
      <c r="F17" s="4"/>
      <c r="G17" s="4"/>
      <c r="H17" s="4"/>
      <c r="I17" s="4"/>
      <c r="J17" s="4"/>
    </row>
    <row r="18" spans="2:10">
      <c r="B18" s="3" t="s">
        <v>23</v>
      </c>
      <c r="C18" s="13">
        <f>(C11+C14)/C16</f>
        <v>2.2642409090909097</v>
      </c>
      <c r="D18" s="13">
        <f t="shared" ref="D18:J18" si="2">(D11+D14)/D16</f>
        <v>2.8590478107344639</v>
      </c>
      <c r="E18" s="13">
        <f t="shared" si="2"/>
        <v>1.1750984319779119</v>
      </c>
      <c r="F18" s="13">
        <f t="shared" si="2"/>
        <v>1.296247289674731</v>
      </c>
      <c r="G18" s="13">
        <f t="shared" si="2"/>
        <v>1.4371241652539641</v>
      </c>
      <c r="H18" s="13">
        <f t="shared" si="2"/>
        <v>1.6026635803794589</v>
      </c>
      <c r="I18" s="13">
        <f t="shared" si="2"/>
        <v>1.7995810153785414</v>
      </c>
      <c r="J18" s="13">
        <f t="shared" si="2"/>
        <v>2.0372554089411503</v>
      </c>
    </row>
    <row r="19" spans="2:10">
      <c r="B19" s="2"/>
      <c r="C19" s="2"/>
      <c r="D19" s="2"/>
      <c r="E19" s="2"/>
      <c r="F19" s="2"/>
      <c r="G19" s="2"/>
      <c r="H19" s="2"/>
      <c r="I19" s="2"/>
      <c r="J19" s="2"/>
    </row>
    <row r="20" spans="2:10">
      <c r="B20" s="3" t="s">
        <v>43</v>
      </c>
      <c r="C20" s="13">
        <f>(C18+D18+E18+F18+G18+H18+I18+J18)/8</f>
        <v>1.8089073264288915</v>
      </c>
      <c r="D20" s="2"/>
      <c r="E20" s="2"/>
      <c r="F20" s="2"/>
      <c r="G20" s="2"/>
      <c r="H20" s="2"/>
      <c r="I20" s="2"/>
      <c r="J20" s="2"/>
    </row>
  </sheetData>
  <mergeCells count="1">
    <mergeCell ref="B2:J2"/>
  </mergeCells>
  <pageMargins left="0.7" right="0.7" top="0.75" bottom="0.75" header="0.3" footer="0.3"/>
  <pageSetup paperSize="9" scale="82"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16"/>
  <sheetViews>
    <sheetView zoomScaleNormal="100" workbookViewId="0">
      <selection activeCell="B2" sqref="B2:F16"/>
    </sheetView>
  </sheetViews>
  <sheetFormatPr baseColWidth="10" defaultColWidth="8.83203125" defaultRowHeight="15"/>
  <cols>
    <col min="3" max="3" width="9" bestFit="1" customWidth="1"/>
    <col min="6" max="6" width="23.6640625" bestFit="1" customWidth="1"/>
  </cols>
  <sheetData>
    <row r="1" spans="2:6" ht="16" thickBot="1"/>
    <row r="2" spans="2:6" ht="22" thickBot="1">
      <c r="B2" s="82" t="s">
        <v>58</v>
      </c>
      <c r="C2" s="83"/>
      <c r="D2" s="83"/>
      <c r="E2" s="83"/>
      <c r="F2" s="84"/>
    </row>
    <row r="4" spans="2:6">
      <c r="B4" s="85" t="s">
        <v>55</v>
      </c>
      <c r="C4" s="85"/>
      <c r="D4" s="85"/>
      <c r="E4" s="85">
        <f>Assumptions!C32</f>
        <v>8.4</v>
      </c>
      <c r="F4" s="85"/>
    </row>
    <row r="5" spans="2:6">
      <c r="B5" s="85" t="s">
        <v>131</v>
      </c>
      <c r="C5" s="85"/>
      <c r="D5" s="85"/>
      <c r="E5" s="86">
        <v>0.11</v>
      </c>
      <c r="F5" s="85"/>
    </row>
    <row r="6" spans="2:6">
      <c r="B6" s="9" t="s">
        <v>56</v>
      </c>
      <c r="C6" s="9" t="s">
        <v>55</v>
      </c>
      <c r="D6" s="9" t="s">
        <v>31</v>
      </c>
      <c r="E6" s="9" t="s">
        <v>24</v>
      </c>
      <c r="F6" s="9" t="s">
        <v>57</v>
      </c>
    </row>
    <row r="7" spans="2:6">
      <c r="B7" s="10">
        <v>1</v>
      </c>
      <c r="C7" s="10">
        <v>0</v>
      </c>
      <c r="D7" s="58">
        <f>E5*E4</f>
        <v>0.92400000000000004</v>
      </c>
      <c r="E7" s="58">
        <f>C7+D7</f>
        <v>0.92400000000000004</v>
      </c>
      <c r="F7" s="58">
        <f>E4</f>
        <v>8.4</v>
      </c>
    </row>
    <row r="8" spans="2:6">
      <c r="B8" s="10">
        <v>2</v>
      </c>
      <c r="C8" s="58">
        <f>$E$4/7</f>
        <v>1.2</v>
      </c>
      <c r="D8" s="58">
        <f>F7*E5</f>
        <v>0.92400000000000004</v>
      </c>
      <c r="E8" s="58">
        <f t="shared" ref="E8:E14" si="0">C8+D8</f>
        <v>2.1240000000000001</v>
      </c>
      <c r="F8" s="58">
        <f t="shared" ref="F8:F14" si="1">F7-C8</f>
        <v>7.2</v>
      </c>
    </row>
    <row r="9" spans="2:6">
      <c r="B9" s="10">
        <v>3</v>
      </c>
      <c r="C9" s="58">
        <f t="shared" ref="C9:C14" si="2">$E$4/7</f>
        <v>1.2</v>
      </c>
      <c r="D9" s="58">
        <f>F8*E5</f>
        <v>0.79200000000000004</v>
      </c>
      <c r="E9" s="58">
        <f t="shared" si="0"/>
        <v>1.992</v>
      </c>
      <c r="F9" s="58">
        <f t="shared" si="1"/>
        <v>6</v>
      </c>
    </row>
    <row r="10" spans="2:6">
      <c r="B10" s="10">
        <v>4</v>
      </c>
      <c r="C10" s="58">
        <f t="shared" si="2"/>
        <v>1.2</v>
      </c>
      <c r="D10" s="58">
        <f>F9*E5</f>
        <v>0.66</v>
      </c>
      <c r="E10" s="58">
        <f t="shared" si="0"/>
        <v>1.8599999999999999</v>
      </c>
      <c r="F10" s="58">
        <f t="shared" si="1"/>
        <v>4.8</v>
      </c>
    </row>
    <row r="11" spans="2:6">
      <c r="B11" s="10">
        <v>5</v>
      </c>
      <c r="C11" s="58">
        <f t="shared" si="2"/>
        <v>1.2</v>
      </c>
      <c r="D11" s="58">
        <f>F10*E5</f>
        <v>0.52800000000000002</v>
      </c>
      <c r="E11" s="58">
        <f t="shared" si="0"/>
        <v>1.728</v>
      </c>
      <c r="F11" s="58">
        <f t="shared" si="1"/>
        <v>3.5999999999999996</v>
      </c>
    </row>
    <row r="12" spans="2:6">
      <c r="B12" s="10">
        <v>6</v>
      </c>
      <c r="C12" s="58">
        <f t="shared" si="2"/>
        <v>1.2</v>
      </c>
      <c r="D12" s="58">
        <f>F11*E5</f>
        <v>0.39599999999999996</v>
      </c>
      <c r="E12" s="58">
        <f t="shared" si="0"/>
        <v>1.5959999999999999</v>
      </c>
      <c r="F12" s="58">
        <f t="shared" si="1"/>
        <v>2.3999999999999995</v>
      </c>
    </row>
    <row r="13" spans="2:6">
      <c r="B13" s="10">
        <v>7</v>
      </c>
      <c r="C13" s="58">
        <f t="shared" si="2"/>
        <v>1.2</v>
      </c>
      <c r="D13" s="58">
        <f>F12*E5</f>
        <v>0.26399999999999996</v>
      </c>
      <c r="E13" s="58">
        <f t="shared" si="0"/>
        <v>1.464</v>
      </c>
      <c r="F13" s="58">
        <f t="shared" si="1"/>
        <v>1.1999999999999995</v>
      </c>
    </row>
    <row r="14" spans="2:6">
      <c r="B14" s="10">
        <v>8</v>
      </c>
      <c r="C14" s="58">
        <f t="shared" si="2"/>
        <v>1.2</v>
      </c>
      <c r="D14" s="58">
        <f>F13*E5</f>
        <v>0.13199999999999995</v>
      </c>
      <c r="E14" s="58">
        <f t="shared" si="0"/>
        <v>1.3319999999999999</v>
      </c>
      <c r="F14" s="58">
        <f t="shared" si="1"/>
        <v>0</v>
      </c>
    </row>
    <row r="15" spans="2:6">
      <c r="B15" s="4"/>
      <c r="C15" s="4"/>
      <c r="D15" s="4"/>
      <c r="E15" s="4"/>
      <c r="F15" s="4"/>
    </row>
    <row r="16" spans="2:6">
      <c r="B16" s="4"/>
      <c r="C16" s="58">
        <f>SUM(C7:C15)</f>
        <v>8.4</v>
      </c>
      <c r="D16" s="58">
        <f>SUM(D7:D15)</f>
        <v>4.62</v>
      </c>
      <c r="E16" s="58">
        <f>SUM(E7:E15)</f>
        <v>13.02</v>
      </c>
      <c r="F16" s="4"/>
    </row>
  </sheetData>
  <mergeCells count="5">
    <mergeCell ref="B4:D4"/>
    <mergeCell ref="E4:F4"/>
    <mergeCell ref="B5:D5"/>
    <mergeCell ref="E5:F5"/>
    <mergeCell ref="B2:F2"/>
  </mergeCells>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15"/>
  <sheetViews>
    <sheetView zoomScaleNormal="100" workbookViewId="0">
      <selection activeCell="B3" sqref="B3:U3"/>
    </sheetView>
  </sheetViews>
  <sheetFormatPr baseColWidth="10" defaultColWidth="11.5" defaultRowHeight="15"/>
  <cols>
    <col min="1" max="1" width="14.1640625" bestFit="1" customWidth="1"/>
  </cols>
  <sheetData>
    <row r="1" spans="1:21">
      <c r="A1" s="35" t="s">
        <v>125</v>
      </c>
    </row>
    <row r="2" spans="1:21" s="1" customFormat="1">
      <c r="A2" s="3" t="s">
        <v>0</v>
      </c>
      <c r="B2" s="6" t="s">
        <v>11</v>
      </c>
      <c r="C2" s="6" t="s">
        <v>12</v>
      </c>
      <c r="D2" s="6" t="s">
        <v>13</v>
      </c>
      <c r="E2" s="6" t="s">
        <v>14</v>
      </c>
      <c r="F2" s="6" t="s">
        <v>15</v>
      </c>
      <c r="G2" s="6" t="s">
        <v>16</v>
      </c>
      <c r="H2" s="6" t="s">
        <v>17</v>
      </c>
      <c r="I2" s="6" t="s">
        <v>40</v>
      </c>
      <c r="J2" s="6" t="s">
        <v>96</v>
      </c>
      <c r="K2" s="6" t="s">
        <v>97</v>
      </c>
      <c r="L2" s="6" t="s">
        <v>98</v>
      </c>
      <c r="M2" s="6" t="s">
        <v>99</v>
      </c>
      <c r="N2" s="6" t="s">
        <v>100</v>
      </c>
      <c r="O2" s="6" t="s">
        <v>101</v>
      </c>
      <c r="P2" s="6" t="s">
        <v>102</v>
      </c>
      <c r="Q2" s="6" t="s">
        <v>103</v>
      </c>
      <c r="R2" s="6" t="s">
        <v>104</v>
      </c>
      <c r="S2" s="6" t="s">
        <v>105</v>
      </c>
      <c r="T2" s="6" t="s">
        <v>106</v>
      </c>
      <c r="U2" s="6" t="s">
        <v>107</v>
      </c>
    </row>
    <row r="3" spans="1:21" s="1" customFormat="1">
      <c r="A3" s="3" t="s">
        <v>1</v>
      </c>
      <c r="B3" s="46" t="s">
        <v>41</v>
      </c>
      <c r="C3" s="46" t="s">
        <v>84</v>
      </c>
      <c r="D3" s="46" t="s">
        <v>85</v>
      </c>
      <c r="E3" s="46" t="s">
        <v>86</v>
      </c>
      <c r="F3" s="46" t="s">
        <v>87</v>
      </c>
      <c r="G3" s="46" t="s">
        <v>88</v>
      </c>
      <c r="H3" s="46" t="s">
        <v>89</v>
      </c>
      <c r="I3" s="46" t="s">
        <v>90</v>
      </c>
      <c r="J3" s="46" t="s">
        <v>91</v>
      </c>
      <c r="K3" s="46" t="s">
        <v>92</v>
      </c>
      <c r="L3" s="46" t="s">
        <v>93</v>
      </c>
      <c r="M3" s="46" t="s">
        <v>94</v>
      </c>
      <c r="N3" s="46" t="s">
        <v>95</v>
      </c>
      <c r="O3" s="46" t="s">
        <v>148</v>
      </c>
      <c r="P3" s="46" t="s">
        <v>149</v>
      </c>
      <c r="Q3" s="46" t="s">
        <v>150</v>
      </c>
      <c r="R3" s="46" t="s">
        <v>151</v>
      </c>
      <c r="S3" s="46" t="s">
        <v>169</v>
      </c>
      <c r="T3" s="46" t="s">
        <v>177</v>
      </c>
      <c r="U3" s="46" t="s">
        <v>178</v>
      </c>
    </row>
    <row r="4" spans="1:21">
      <c r="A4" s="36" t="s">
        <v>122</v>
      </c>
      <c r="B4" s="11">
        <f>'Profit &amp; Loss Statement'!C34</f>
        <v>-0.32194139999999916</v>
      </c>
      <c r="C4" s="11">
        <f>'Profit &amp; Loss Statement'!D34</f>
        <v>3.6585175500000009</v>
      </c>
      <c r="D4" s="11">
        <f>'Profit &amp; Loss Statement'!E34</f>
        <v>5.8696076500000416E-2</v>
      </c>
      <c r="E4" s="11">
        <f>'Profit &amp; Loss Statement'!F34</f>
        <v>0.2609199587949993</v>
      </c>
      <c r="F4" s="11">
        <f>'Profit &amp; Loss Statement'!G34</f>
        <v>0.46525055755884992</v>
      </c>
      <c r="G4" s="11">
        <f>'Profit &amp; Loss Statement'!H34</f>
        <v>0.49037828422849988</v>
      </c>
      <c r="H4" s="11">
        <f>'Profit &amp; Loss Statement'!I34</f>
        <v>0.64275522275535502</v>
      </c>
      <c r="I4" s="11">
        <f>'Profit &amp; Loss Statement'!J34</f>
        <v>0.79681266943801643</v>
      </c>
      <c r="J4" s="11">
        <f>'Profit &amp; Loss Statement'!K34</f>
        <v>0.9526010395211566</v>
      </c>
      <c r="K4" s="11">
        <f>'Profit &amp; Loss Statement'!L34</f>
        <v>1.0138122607067921</v>
      </c>
      <c r="L4" s="11">
        <f>'Profit &amp; Loss Statement'!M34</f>
        <v>2.1646328185279948</v>
      </c>
      <c r="M4" s="11">
        <f>'Profit &amp; Loss Statement'!N34</f>
        <v>2.2295718030838367</v>
      </c>
      <c r="N4" s="11">
        <f>'Profit &amp; Loss Statement'!O34</f>
        <v>2.2964589571763501</v>
      </c>
      <c r="O4" s="11">
        <f>'Profit &amp; Loss Statement'!P34</f>
        <v>2.3653527258916398</v>
      </c>
      <c r="P4" s="11">
        <f>'Profit &amp; Loss Statement'!Q34</f>
        <v>2.4363133076683892</v>
      </c>
      <c r="Q4" s="11">
        <f>'Profit &amp; Loss Statement'!R34</f>
        <v>2.5094027068984404</v>
      </c>
      <c r="R4" s="11">
        <f>'Profit &amp; Loss Statement'!S34</f>
        <v>2.5846847881053945</v>
      </c>
      <c r="S4" s="11">
        <f>'Profit &amp; Loss Statement'!T34</f>
        <v>2.6622253317485556</v>
      </c>
      <c r="T4" s="11">
        <f>'Profit &amp; Loss Statement'!U34</f>
        <v>2.7420920917010139</v>
      </c>
      <c r="U4" s="11">
        <f>'Profit &amp; Loss Statement'!V34</f>
        <v>2.8243548544520434</v>
      </c>
    </row>
    <row r="5" spans="1:21">
      <c r="A5" s="36" t="s">
        <v>126</v>
      </c>
      <c r="B5" s="11">
        <f>'Profit &amp; Loss Statement'!C26</f>
        <v>1.4901</v>
      </c>
      <c r="C5" s="11">
        <f>'Profit &amp; Loss Statement'!D26</f>
        <v>1.4901</v>
      </c>
      <c r="D5" s="11">
        <f>'Profit &amp; Loss Statement'!E26</f>
        <v>1.4901</v>
      </c>
      <c r="E5" s="11">
        <f>'Profit &amp; Loss Statement'!F26</f>
        <v>1.4901</v>
      </c>
      <c r="F5" s="11">
        <f>'Profit &amp; Loss Statement'!G26</f>
        <v>1.4901</v>
      </c>
      <c r="G5" s="11">
        <f>'Profit &amp; Loss Statement'!H26</f>
        <v>1.4901</v>
      </c>
      <c r="H5" s="11">
        <f>'Profit &amp; Loss Statement'!I26</f>
        <v>1.4901</v>
      </c>
      <c r="I5" s="11">
        <f>'Profit &amp; Loss Statement'!J26</f>
        <v>1.4901</v>
      </c>
      <c r="J5" s="11">
        <f>'Profit &amp; Loss Statement'!K26</f>
        <v>1.4901</v>
      </c>
      <c r="K5" s="11">
        <f>'Profit &amp; Loss Statement'!L26</f>
        <v>1.4901</v>
      </c>
      <c r="L5" s="11">
        <f>'Profit &amp; Loss Statement'!M26</f>
        <v>0</v>
      </c>
      <c r="M5" s="11">
        <f>'Profit &amp; Loss Statement'!N26</f>
        <v>0</v>
      </c>
      <c r="N5" s="11">
        <f>'Profit &amp; Loss Statement'!O26</f>
        <v>0</v>
      </c>
      <c r="O5" s="11">
        <f>'Profit &amp; Loss Statement'!P26</f>
        <v>0</v>
      </c>
      <c r="P5" s="11">
        <f>'Profit &amp; Loss Statement'!Q26</f>
        <v>0</v>
      </c>
      <c r="Q5" s="11">
        <f>'Profit &amp; Loss Statement'!R26</f>
        <v>0</v>
      </c>
      <c r="R5" s="11">
        <f>'Profit &amp; Loss Statement'!S26</f>
        <v>0</v>
      </c>
      <c r="S5" s="11">
        <f>'Profit &amp; Loss Statement'!T26</f>
        <v>0</v>
      </c>
      <c r="T5" s="11">
        <f>'Profit &amp; Loss Statement'!U26</f>
        <v>0</v>
      </c>
      <c r="U5" s="11">
        <f>'Profit &amp; Loss Statement'!V26</f>
        <v>0</v>
      </c>
    </row>
    <row r="6" spans="1:21">
      <c r="A6" s="36" t="s">
        <v>127</v>
      </c>
      <c r="B6" s="11">
        <f>'Profit &amp; Loss Statement'!C25</f>
        <v>0.92400000000000004</v>
      </c>
      <c r="C6" s="11">
        <f>'Profit &amp; Loss Statement'!D25</f>
        <v>0.92400000000000004</v>
      </c>
      <c r="D6" s="11">
        <f>'Profit &amp; Loss Statement'!E25</f>
        <v>0.79200000000000004</v>
      </c>
      <c r="E6" s="11">
        <f>'Profit &amp; Loss Statement'!F25</f>
        <v>0.66</v>
      </c>
      <c r="F6" s="11">
        <f>'Profit &amp; Loss Statement'!G25</f>
        <v>0.52800000000000002</v>
      </c>
      <c r="G6" s="11">
        <f>'Profit &amp; Loss Statement'!H25</f>
        <v>0.39599999999999996</v>
      </c>
      <c r="H6" s="11">
        <f>'Profit &amp; Loss Statement'!I25</f>
        <v>0.26399999999999996</v>
      </c>
      <c r="I6" s="11">
        <f>'Profit &amp; Loss Statement'!J25</f>
        <v>0.13199999999999995</v>
      </c>
      <c r="J6" s="11">
        <f>'Profit &amp; Loss Statement'!K25</f>
        <v>0</v>
      </c>
      <c r="K6" s="11">
        <f>'Profit &amp; Loss Statement'!L25</f>
        <v>0</v>
      </c>
      <c r="L6" s="11">
        <f>'Profit &amp; Loss Statement'!M25</f>
        <v>0</v>
      </c>
      <c r="M6" s="11">
        <f>'Profit &amp; Loss Statement'!N25</f>
        <v>0</v>
      </c>
      <c r="N6" s="11">
        <f>'Profit &amp; Loss Statement'!O25</f>
        <v>0</v>
      </c>
      <c r="O6" s="11">
        <f>'Profit &amp; Loss Statement'!P25</f>
        <v>0</v>
      </c>
      <c r="P6" s="11">
        <f>'Profit &amp; Loss Statement'!Q25</f>
        <v>0</v>
      </c>
      <c r="Q6" s="11">
        <f>'Profit &amp; Loss Statement'!R25</f>
        <v>0</v>
      </c>
      <c r="R6" s="11">
        <f>'Profit &amp; Loss Statement'!S25</f>
        <v>0</v>
      </c>
      <c r="S6" s="11">
        <f>'Profit &amp; Loss Statement'!T25</f>
        <v>0</v>
      </c>
      <c r="T6" s="11">
        <f>'Profit &amp; Loss Statement'!U25</f>
        <v>0</v>
      </c>
      <c r="U6" s="11">
        <f>'Profit &amp; Loss Statement'!V25</f>
        <v>0</v>
      </c>
    </row>
    <row r="7" spans="1:21">
      <c r="A7" s="36" t="s">
        <v>123</v>
      </c>
      <c r="B7" s="11">
        <f>SUM(B4:B6)</f>
        <v>2.0921586000000008</v>
      </c>
      <c r="C7" s="11">
        <f t="shared" ref="C7:H7" si="0">SUM(C4:C6)</f>
        <v>6.0726175500000013</v>
      </c>
      <c r="D7" s="11">
        <f t="shared" si="0"/>
        <v>2.3407960765000002</v>
      </c>
      <c r="E7" s="11">
        <f t="shared" si="0"/>
        <v>2.4110199587949994</v>
      </c>
      <c r="F7" s="11">
        <f t="shared" si="0"/>
        <v>2.4833505575588499</v>
      </c>
      <c r="G7" s="11">
        <f t="shared" si="0"/>
        <v>2.3764782842284999</v>
      </c>
      <c r="H7" s="11">
        <f t="shared" si="0"/>
        <v>2.3968552227553546</v>
      </c>
      <c r="I7" s="11">
        <f>SUM(I4:I6)</f>
        <v>2.4189126694380163</v>
      </c>
      <c r="J7" s="11">
        <f t="shared" ref="J7" si="1">SUM(J4:J6)</f>
        <v>2.4427010395211566</v>
      </c>
      <c r="K7" s="11">
        <f t="shared" ref="K7" si="2">SUM(K4:K6)</f>
        <v>2.5039122607067918</v>
      </c>
      <c r="L7" s="11">
        <f t="shared" ref="L7" si="3">SUM(L4:L6)</f>
        <v>2.1646328185279948</v>
      </c>
      <c r="M7" s="11">
        <f t="shared" ref="M7" si="4">SUM(M4:M6)</f>
        <v>2.2295718030838367</v>
      </c>
      <c r="N7" s="11">
        <f t="shared" ref="N7" si="5">SUM(N4:N6)</f>
        <v>2.2964589571763501</v>
      </c>
      <c r="O7" s="11">
        <f>SUM(O4:O6)</f>
        <v>2.3653527258916398</v>
      </c>
      <c r="P7" s="11">
        <f t="shared" ref="P7" si="6">SUM(P4:P6)</f>
        <v>2.4363133076683892</v>
      </c>
      <c r="Q7" s="11">
        <f t="shared" ref="Q7" si="7">SUM(Q4:Q6)</f>
        <v>2.5094027068984404</v>
      </c>
      <c r="R7" s="11">
        <f t="shared" ref="R7" si="8">SUM(R4:R6)</f>
        <v>2.5846847881053945</v>
      </c>
      <c r="S7" s="11">
        <f>SUM(S4:S6)</f>
        <v>2.6622253317485556</v>
      </c>
      <c r="T7" s="11">
        <f t="shared" ref="T7" si="9">SUM(T4:T6)</f>
        <v>2.7420920917010139</v>
      </c>
      <c r="U7" s="11">
        <f t="shared" ref="U7" si="10">SUM(U4:U6)</f>
        <v>2.8243548544520434</v>
      </c>
    </row>
    <row r="8" spans="1:21">
      <c r="A8" s="36" t="s">
        <v>128</v>
      </c>
      <c r="B8" s="11">
        <f>'Cash Flow'!C17</f>
        <v>14.901</v>
      </c>
      <c r="C8" s="37"/>
      <c r="D8" s="37"/>
      <c r="E8" s="37"/>
      <c r="F8" s="37"/>
      <c r="G8" s="37"/>
      <c r="H8" s="37"/>
      <c r="I8" s="37"/>
      <c r="J8" s="37"/>
      <c r="K8" s="37"/>
      <c r="L8" s="37"/>
      <c r="M8" s="37"/>
      <c r="N8" s="37"/>
      <c r="O8" s="37"/>
      <c r="P8" s="37"/>
      <c r="Q8" s="37"/>
      <c r="R8" s="37"/>
      <c r="S8" s="37"/>
      <c r="T8" s="37"/>
      <c r="U8" s="37"/>
    </row>
    <row r="9" spans="1:21">
      <c r="A9" s="36"/>
      <c r="B9" s="2"/>
      <c r="C9" s="2"/>
      <c r="D9" s="2"/>
      <c r="E9" s="2"/>
      <c r="F9" s="2"/>
      <c r="G9" s="2"/>
      <c r="H9" s="2"/>
      <c r="I9" s="2"/>
      <c r="J9" s="2"/>
      <c r="K9" s="2"/>
      <c r="L9" s="2"/>
      <c r="M9" s="2"/>
      <c r="N9" s="2"/>
      <c r="O9" s="2"/>
      <c r="P9" s="2"/>
      <c r="Q9" s="2"/>
      <c r="R9" s="2"/>
      <c r="S9" s="2"/>
      <c r="T9" s="2"/>
    </row>
    <row r="10" spans="1:21" s="14" customFormat="1">
      <c r="A10" s="38" t="s">
        <v>124</v>
      </c>
      <c r="B10" s="11">
        <f>B7-B8</f>
        <v>-12.808841399999999</v>
      </c>
      <c r="C10" s="11">
        <f t="shared" ref="C10:U10" si="11">C7-C8</f>
        <v>6.0726175500000013</v>
      </c>
      <c r="D10" s="11">
        <f t="shared" si="11"/>
        <v>2.3407960765000002</v>
      </c>
      <c r="E10" s="11">
        <f t="shared" si="11"/>
        <v>2.4110199587949994</v>
      </c>
      <c r="F10" s="11">
        <f t="shared" si="11"/>
        <v>2.4833505575588499</v>
      </c>
      <c r="G10" s="11">
        <f t="shared" si="11"/>
        <v>2.3764782842284999</v>
      </c>
      <c r="H10" s="11">
        <f t="shared" si="11"/>
        <v>2.3968552227553546</v>
      </c>
      <c r="I10" s="11">
        <f t="shared" si="11"/>
        <v>2.4189126694380163</v>
      </c>
      <c r="J10" s="11">
        <f t="shared" si="11"/>
        <v>2.4427010395211566</v>
      </c>
      <c r="K10" s="11">
        <f t="shared" si="11"/>
        <v>2.5039122607067918</v>
      </c>
      <c r="L10" s="11">
        <f t="shared" si="11"/>
        <v>2.1646328185279948</v>
      </c>
      <c r="M10" s="11">
        <f t="shared" si="11"/>
        <v>2.2295718030838367</v>
      </c>
      <c r="N10" s="11">
        <f t="shared" si="11"/>
        <v>2.2964589571763501</v>
      </c>
      <c r="O10" s="11">
        <f t="shared" si="11"/>
        <v>2.3653527258916398</v>
      </c>
      <c r="P10" s="11">
        <f t="shared" si="11"/>
        <v>2.4363133076683892</v>
      </c>
      <c r="Q10" s="11">
        <f t="shared" si="11"/>
        <v>2.5094027068984404</v>
      </c>
      <c r="R10" s="11">
        <f t="shared" si="11"/>
        <v>2.5846847881053945</v>
      </c>
      <c r="S10" s="11">
        <f t="shared" si="11"/>
        <v>2.6622253317485556</v>
      </c>
      <c r="T10" s="11">
        <f t="shared" si="11"/>
        <v>2.7420920917010139</v>
      </c>
      <c r="U10" s="11">
        <f t="shared" si="11"/>
        <v>2.8243548544520434</v>
      </c>
    </row>
    <row r="13" spans="1:21" ht="21">
      <c r="A13" s="39" t="s">
        <v>45</v>
      </c>
      <c r="B13" s="40">
        <f>IRR(B10:U10)</f>
        <v>0.23964102142999311</v>
      </c>
      <c r="C13" s="51"/>
    </row>
    <row r="14" spans="1:21" ht="21">
      <c r="A14" s="41"/>
      <c r="B14" s="41"/>
    </row>
    <row r="15" spans="1:21" ht="21">
      <c r="A15" s="39" t="s">
        <v>44</v>
      </c>
      <c r="B15" s="42">
        <f>NPV(8%,B10:U10)</f>
        <v>12.821589274220271</v>
      </c>
    </row>
  </sheetData>
  <pageMargins left="0.7" right="0.7" top="0.75" bottom="0.75" header="0.3" footer="0.3"/>
  <pageSetup paperSize="9" scale="33"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Page</vt:lpstr>
      <vt:lpstr>Assumptions</vt:lpstr>
      <vt:lpstr>Executive Dash Board</vt:lpstr>
      <vt:lpstr>Profit &amp; Loss Statement</vt:lpstr>
      <vt:lpstr>Cash Flow</vt:lpstr>
      <vt:lpstr>DSCR</vt:lpstr>
      <vt:lpstr>Debt Repayment</vt:lpstr>
      <vt:lpstr>NPV_IRR</vt:lpstr>
      <vt:lpstr>'Cash 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Babar Shah</cp:lastModifiedBy>
  <cp:lastPrinted>2022-02-01T12:46:52Z</cp:lastPrinted>
  <dcterms:created xsi:type="dcterms:W3CDTF">2017-11-25T06:14:47Z</dcterms:created>
  <dcterms:modified xsi:type="dcterms:W3CDTF">2024-09-24T13:11:44Z</dcterms:modified>
</cp:coreProperties>
</file>