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Users\Aneesh Mallick\OneDrive - JC Bhalla &amp; Co\Desktop\Other assignments\TEV_Texfil Private Limited\Financial Model\"/>
    </mc:Choice>
  </mc:AlternateContent>
  <xr:revisionPtr revIDLastSave="0" documentId="13_ncr:1_{973FEEEE-8A41-4CAE-9659-6FC9BD949C40}" xr6:coauthVersionLast="47" xr6:coauthVersionMax="47" xr10:uidLastSave="{00000000-0000-0000-0000-000000000000}"/>
  <bookViews>
    <workbookView xWindow="-110" yWindow="-110" windowWidth="19420" windowHeight="10300" tabRatio="951" firstSheet="1" activeTab="9" xr2:uid="{00000000-000D-0000-FFFF-FFFF00000000}"/>
  </bookViews>
  <sheets>
    <sheet name="Det CoP_MOF" sheetId="1" state="hidden" r:id="rId1"/>
    <sheet name="Queries" sheetId="31" r:id="rId2"/>
    <sheet name="Site Visit Checklist" sheetId="53" r:id="rId3"/>
    <sheet name="Cutouts" sheetId="52" r:id="rId4"/>
    <sheet name="CoP-MoF" sheetId="2" r:id="rId5"/>
    <sheet name="Det Assump" sheetId="3" state="hidden" r:id="rId6"/>
    <sheet name="Assump" sheetId="4" state="hidden" r:id="rId7"/>
    <sheet name="Sheet2" sheetId="27" state="hidden" r:id="rId8"/>
    <sheet name="P &amp; L" sheetId="5" r:id="rId9"/>
    <sheet name="BS" sheetId="6" r:id="rId10"/>
    <sheet name="Cash Flow" sheetId="7" r:id="rId11"/>
    <sheet name="BEP" sheetId="25" r:id="rId12"/>
    <sheet name="IRR" sheetId="24" r:id="rId13"/>
    <sheet name="DSCR" sheetId="8" r:id="rId14"/>
    <sheet name="Loan Assumptions" sheetId="23" r:id="rId15"/>
    <sheet name="TL Schd" sheetId="22" r:id="rId16"/>
    <sheet name="Ratio" sheetId="10" r:id="rId17"/>
    <sheet name="WC" sheetId="11" r:id="rId18"/>
    <sheet name="PBP-IRR" sheetId="12" state="hidden" r:id="rId19"/>
    <sheet name="NPV" sheetId="13" state="hidden" r:id="rId20"/>
    <sheet name="P E" sheetId="15" state="hidden" r:id="rId21"/>
    <sheet name="PE" sheetId="16" state="hidden" r:id="rId22"/>
    <sheet name="Tax" sheetId="26" r:id="rId23"/>
    <sheet name="Depr" sheetId="19" r:id="rId24"/>
    <sheet name="Client Data&gt;&gt;&gt;" sheetId="32" r:id="rId25"/>
    <sheet name="Texfil" sheetId="33" r:id="rId26"/>
    <sheet name="SNAPSHOTS" sheetId="34" r:id="rId27"/>
    <sheet name="Project Cost " sheetId="35" r:id="rId28"/>
    <sheet name="Project Cost  (2)" sheetId="36" state="hidden" r:id="rId29"/>
    <sheet name="Profitability" sheetId="37" r:id="rId30"/>
    <sheet name="Balance Sheet" sheetId="38" r:id="rId31"/>
    <sheet name="Cash Flow (2)" sheetId="39" r:id="rId32"/>
    <sheet name="Depriciation" sheetId="40" r:id="rId33"/>
    <sheet name="term loans repayments" sheetId="41" r:id="rId34"/>
    <sheet name="DSCR (2)" sheetId="42" r:id="rId35"/>
    <sheet name="payback" sheetId="43" r:id="rId36"/>
    <sheet name="IRR (2)" sheetId="44" r:id="rId37"/>
    <sheet name="WC Requirement" sheetId="45" r:id="rId38"/>
    <sheet name="Cost &amp; Sales assumptions" sheetId="46" r:id="rId39"/>
    <sheet name="Costing" sheetId="47" r:id="rId40"/>
    <sheet name="CP" sheetId="48" r:id="rId41"/>
    <sheet name="Depoly plant" sheetId="49" r:id="rId42"/>
    <sheet name="summery" sheetId="50" r:id="rId43"/>
    <sheet name="Quotations received" sheetId="51" r:id="rId44"/>
    <sheet name="Sheet1" sheetId="18" state="hidden" r:id="rId45"/>
  </sheets>
  <externalReferences>
    <externalReference r:id="rId46"/>
    <externalReference r:id="rId47"/>
  </externalReferences>
  <definedNames>
    <definedName name="\S" localSheetId="38">#REF!</definedName>
    <definedName name="\S" localSheetId="32">#REF!</definedName>
    <definedName name="\S" localSheetId="33">#REF!</definedName>
    <definedName name="\S" localSheetId="25">#REF!</definedName>
    <definedName name="\S">#REF!</definedName>
    <definedName name="_xlnm._FilterDatabase" localSheetId="43" hidden="1">'Quotations received'!$A$3:$O$39</definedName>
    <definedName name="_Q" localSheetId="38">#REF!</definedName>
    <definedName name="_Q" localSheetId="32">#REF!</definedName>
    <definedName name="_Q" localSheetId="33">#REF!</definedName>
    <definedName name="_Q" localSheetId="25">#REF!</definedName>
    <definedName name="_Q">#REF!</definedName>
    <definedName name="_S" localSheetId="38">#REF!</definedName>
    <definedName name="_S" localSheetId="32">#REF!</definedName>
    <definedName name="_S" localSheetId="33">#REF!</definedName>
    <definedName name="_S" localSheetId="25">#REF!</definedName>
    <definedName name="_S">#REF!</definedName>
    <definedName name="A">'P &amp; L'!$B$1</definedName>
    <definedName name="B">#REF!</definedName>
    <definedName name="C_">#REF!</definedName>
    <definedName name="D">#REF!</definedName>
    <definedName name="E">#REF!</definedName>
    <definedName name="F">#REF!</definedName>
    <definedName name="G">#REF!</definedName>
    <definedName name="H">#REF!</definedName>
    <definedName name="I">#REF!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#REF!</definedName>
    <definedName name="K">#REF!</definedName>
    <definedName name="L">#REF!</definedName>
    <definedName name="_xlnm.Print_Area" localSheetId="30">'Balance Sheet'!$A$1:$K$44</definedName>
    <definedName name="_xlnm.Print_Area" localSheetId="31">'Cash Flow (2)'!$A$1:$L$29</definedName>
    <definedName name="_xlnm.Print_Area" localSheetId="38">'Cost &amp; Sales assumptions'!$A$4:$E$34</definedName>
    <definedName name="_xlnm.Print_Area" localSheetId="32">Depriciation!$A$1:$M$25</definedName>
    <definedName name="_xlnm.Print_Area" localSheetId="34">'DSCR (2)'!$A$1:$L$23</definedName>
    <definedName name="_xlnm.Print_Area" localSheetId="36">'IRR (2)'!$A$1:$L$16</definedName>
    <definedName name="_xlnm.Print_Area" localSheetId="35">payback!$A$1:$L$19</definedName>
    <definedName name="_xlnm.Print_Area" localSheetId="29">Profitability!$A$1:$K$31</definedName>
    <definedName name="_xlnm.Print_Area" localSheetId="27">'Project Cost '!$A$1:$D$39</definedName>
    <definedName name="_xlnm.Print_Area" localSheetId="28">'Project Cost  (2)'!$A$1:$D$39</definedName>
    <definedName name="_xlnm.Print_Area" localSheetId="26">SNAPSHOTS!$A$2:$F$21</definedName>
    <definedName name="_xlnm.Print_Area" localSheetId="33">'term loans repayments'!$A$1:$N$50</definedName>
    <definedName name="_xlnm.Print_Area" localSheetId="25">Texfil!$A$1:$K$25</definedName>
    <definedName name="_xlnm.Print_Area" localSheetId="37">'WC Requirement'!$A$2:$H$17</definedName>
    <definedName name="_xlnm.Print_Area">#REF!</definedName>
    <definedName name="PRINT_AREA_MI">#REF!</definedName>
    <definedName name="_xlnm.Print_Titles" localSheetId="30">'Balance Sheet'!$A:$A</definedName>
    <definedName name="_xlnm.Print_Titles" localSheetId="31">'Cash Flow (2)'!$B:$B</definedName>
    <definedName name="_xlnm.Print_Titles" localSheetId="29">Profitability!$A:$A</definedName>
    <definedName name="Z_22475485_DA09_46DB_978D_BB94CE1E5597_.wvu.Cols" localSheetId="13" hidden="1">DSCR!#REF!,DSCR!$IT:$IT,DSCR!$SP:$SP,DSCR!$ACL:$ACL,DSCR!$AMH:$AMH,DSCR!$AWD:$AWD,DSCR!$BFZ:$BFZ,DSCR!$BPV:$BPV,DSCR!$BZR:$BZR,DSCR!$CJN:$CJN,DSCR!$CTJ:$CTJ,DSCR!$DDF:$DDF,DSCR!$DNB:$DNB,DSCR!$DWX:$DWX,DSCR!$EGT:$EGT,DSCR!$EQP:$EQP,DSCR!$FAL:$FAL,DSCR!$FKH:$FKH,DSCR!$FUD:$FUD,DSCR!$GDZ:$GDZ,DSCR!$GNV:$GNV,DSCR!$GXR:$GXR,DSCR!$HHN:$HHN,DSCR!$HRJ:$HRJ,DSCR!$IBF:$IBF,DSCR!$ILB:$ILB,DSCR!$IUX:$IUX,DSCR!$JET:$JET,DSCR!$JOP:$JOP,DSCR!$JYL:$JYL,DSCR!$KIH:$KIH,DSCR!$KSD:$KSD,DSCR!$LBZ:$LBZ,DSCR!$LLV:$LLV,DSCR!$LVR:$LVR,DSCR!$MFN:$MFN,DSCR!$MPJ:$MPJ,DSCR!$MZF:$MZF,DSCR!$NJB:$NJB,DSCR!$NSX:$NSX,DSCR!$OCT:$OCT,DSCR!$OMP:$OMP,DSCR!$OWL:$OWL,DSCR!$PGH:$PGH,DSCR!$PQD:$PQD,DSCR!$PZZ:$PZZ,DSCR!$QJV:$QJV,DSCR!$QTR:$QTR,DSCR!$RDN:$RDN,DSCR!$RNJ:$RNJ,DSCR!$RXF:$RXF,DSCR!$SHB:$SHB,DSCR!$SQX:$SQX,DSCR!$TAT:$TAT,DSCR!$TKP:$TKP,DSCR!$TUL:$TUL,DSCR!$UEH:$UEH,DSCR!$UOD:$UOD,DSCR!$UXZ:$UXZ,DSCR!$VHV:$VHV,DSCR!$VRR:$VRR,DSCR!$WBN:$WBN,DSCR!$WLJ:$WLJ,DSCR!$WVF:$WVF</definedName>
    <definedName name="Z_22475485_DA09_46DB_978D_BB94CE1E5597_.wvu.Rows" localSheetId="0" hidden="1">'Det CoP_MOF'!$6:$8,'Det CoP_MOF'!$182:$188</definedName>
    <definedName name="Z_22475485_DA09_46DB_978D_BB94CE1E5597_.wvu.Rows" localSheetId="8" hidden="1">'P &amp; L'!$1:$1</definedName>
    <definedName name="Z_22475485_DA09_46DB_978D_BB94CE1E5597_.wvu.Rows" localSheetId="18" hidden="1">'PBP-IRR'!$15:$21</definedName>
    <definedName name="Z_22475485_DA09_46DB_978D_BB94CE1E5597_.wvu.Rows" localSheetId="16" hidden="1">Ratio!$44:$49</definedName>
  </definedNames>
  <calcPr calcId="191029"/>
  <customWorkbookViews>
    <customWorkbookView name="DELL - Personal View" guid="{22475485-DA09-46DB-978D-BB94CE1E5597}" mergeInterval="0" personalView="1" maximized="1" xWindow="1" yWindow="1" windowWidth="1122" windowHeight="538"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8" i="48" l="1"/>
  <c r="G148" i="48" s="1"/>
  <c r="G145" i="48"/>
  <c r="G146" i="48" s="1"/>
  <c r="G147" i="48" s="1"/>
  <c r="G151" i="48" s="1"/>
  <c r="G141" i="48"/>
  <c r="G124" i="48"/>
  <c r="G106" i="48"/>
  <c r="G79" i="48"/>
  <c r="I10" i="47"/>
  <c r="G84" i="47"/>
  <c r="G85" i="47" s="1"/>
  <c r="G77" i="47"/>
  <c r="E54" i="47"/>
  <c r="G54" i="47" s="1"/>
  <c r="G52" i="47"/>
  <c r="E52" i="47"/>
  <c r="G50" i="47"/>
  <c r="G48" i="47"/>
  <c r="E48" i="47"/>
  <c r="E46" i="47"/>
  <c r="G46" i="47" s="1"/>
  <c r="E44" i="47"/>
  <c r="G44" i="47" s="1"/>
  <c r="G42" i="47"/>
  <c r="G40" i="47"/>
  <c r="G38" i="47"/>
  <c r="E38" i="47"/>
  <c r="E20" i="47"/>
  <c r="G20" i="47" s="1"/>
  <c r="G18" i="47"/>
  <c r="E18" i="47"/>
  <c r="E16" i="47"/>
  <c r="G14" i="47"/>
  <c r="G12" i="47"/>
  <c r="E10" i="47"/>
  <c r="G8" i="47"/>
  <c r="L33" i="46"/>
  <c r="E33" i="46"/>
  <c r="D33" i="46"/>
  <c r="L32" i="46"/>
  <c r="K32" i="46"/>
  <c r="K33" i="46" s="1"/>
  <c r="J32" i="46"/>
  <c r="J33" i="46" s="1"/>
  <c r="I32" i="46"/>
  <c r="I33" i="46" s="1"/>
  <c r="H32" i="46"/>
  <c r="H33" i="46" s="1"/>
  <c r="G32" i="46"/>
  <c r="G33" i="46" s="1"/>
  <c r="F32" i="46"/>
  <c r="F33" i="46" s="1"/>
  <c r="E32" i="46"/>
  <c r="D32" i="46"/>
  <c r="C32" i="46"/>
  <c r="C33" i="46" s="1"/>
  <c r="D30" i="46"/>
  <c r="D19" i="46" s="1"/>
  <c r="C20" i="46"/>
  <c r="C21" i="46" s="1"/>
  <c r="C19" i="46"/>
  <c r="D18" i="46"/>
  <c r="E18" i="46" s="1"/>
  <c r="F18" i="46" s="1"/>
  <c r="G18" i="46" s="1"/>
  <c r="H18" i="46" s="1"/>
  <c r="I18" i="46" s="1"/>
  <c r="J18" i="46" s="1"/>
  <c r="K18" i="46" s="1"/>
  <c r="L18" i="46" s="1"/>
  <c r="D17" i="46"/>
  <c r="E17" i="46" s="1"/>
  <c r="F17" i="46" s="1"/>
  <c r="G17" i="46" s="1"/>
  <c r="H17" i="46" s="1"/>
  <c r="I17" i="46" s="1"/>
  <c r="J17" i="46" s="1"/>
  <c r="K17" i="46" s="1"/>
  <c r="L17" i="46" s="1"/>
  <c r="C17" i="46"/>
  <c r="C16" i="46"/>
  <c r="D16" i="46" s="1"/>
  <c r="E16" i="46" s="1"/>
  <c r="F16" i="46" s="1"/>
  <c r="G16" i="46" s="1"/>
  <c r="H16" i="46" s="1"/>
  <c r="I16" i="46" s="1"/>
  <c r="J16" i="46" s="1"/>
  <c r="K16" i="46" s="1"/>
  <c r="L16" i="46" s="1"/>
  <c r="D15" i="46"/>
  <c r="E15" i="46" s="1"/>
  <c r="C15" i="46"/>
  <c r="D11" i="46"/>
  <c r="E11" i="46" s="1"/>
  <c r="F11" i="46" s="1"/>
  <c r="G11" i="46" s="1"/>
  <c r="H11" i="46" s="1"/>
  <c r="I11" i="46" s="1"/>
  <c r="J11" i="46" s="1"/>
  <c r="K11" i="46" s="1"/>
  <c r="L11" i="46" s="1"/>
  <c r="C11" i="46"/>
  <c r="C10" i="46"/>
  <c r="D10" i="46" s="1"/>
  <c r="E10" i="46" s="1"/>
  <c r="F10" i="46" s="1"/>
  <c r="G10" i="46" s="1"/>
  <c r="H10" i="46" s="1"/>
  <c r="I10" i="46" s="1"/>
  <c r="J10" i="46" s="1"/>
  <c r="K10" i="46" s="1"/>
  <c r="L10" i="46" s="1"/>
  <c r="D9" i="46"/>
  <c r="E9" i="46" s="1"/>
  <c r="C9" i="46"/>
  <c r="C12" i="46" s="1"/>
  <c r="C22" i="45"/>
  <c r="C21" i="45"/>
  <c r="F9" i="45" s="1"/>
  <c r="C20" i="45"/>
  <c r="G15" i="45"/>
  <c r="G16" i="45" s="1"/>
  <c r="F14" i="45"/>
  <c r="F12" i="45"/>
  <c r="H9" i="45"/>
  <c r="F8" i="45"/>
  <c r="D8" i="45"/>
  <c r="D7" i="45"/>
  <c r="F7" i="45" s="1"/>
  <c r="D6" i="45"/>
  <c r="F6" i="45" s="1"/>
  <c r="F5" i="45"/>
  <c r="F10" i="45" s="1"/>
  <c r="F15" i="45" s="1"/>
  <c r="F16" i="45" s="1"/>
  <c r="D5" i="45"/>
  <c r="F4" i="45"/>
  <c r="D4" i="45"/>
  <c r="C20" i="44"/>
  <c r="D18" i="44"/>
  <c r="E18" i="44" s="1"/>
  <c r="F18" i="44" s="1"/>
  <c r="G18" i="44" s="1"/>
  <c r="H18" i="44" s="1"/>
  <c r="I18" i="44" s="1"/>
  <c r="J18" i="44" s="1"/>
  <c r="K18" i="44" s="1"/>
  <c r="G14" i="44"/>
  <c r="G20" i="44" s="1"/>
  <c r="F14" i="44"/>
  <c r="E14" i="44"/>
  <c r="M12" i="44"/>
  <c r="L12" i="44"/>
  <c r="K12" i="44"/>
  <c r="J12" i="44"/>
  <c r="I12" i="44"/>
  <c r="H12" i="44"/>
  <c r="G12" i="44"/>
  <c r="F12" i="44"/>
  <c r="E12" i="44"/>
  <c r="D12" i="44"/>
  <c r="M11" i="44"/>
  <c r="L11" i="44"/>
  <c r="L14" i="44" s="1"/>
  <c r="K11" i="44"/>
  <c r="K14" i="44" s="1"/>
  <c r="K20" i="44" s="1"/>
  <c r="J11" i="44"/>
  <c r="J14" i="44" s="1"/>
  <c r="J20" i="44" s="1"/>
  <c r="I11" i="44"/>
  <c r="I14" i="44" s="1"/>
  <c r="H11" i="44"/>
  <c r="H14" i="44" s="1"/>
  <c r="G11" i="44"/>
  <c r="F11" i="44"/>
  <c r="E11" i="44"/>
  <c r="D11" i="44"/>
  <c r="D9" i="44"/>
  <c r="D14" i="44" s="1"/>
  <c r="M6" i="44"/>
  <c r="L6" i="44"/>
  <c r="K6" i="44"/>
  <c r="J6" i="44"/>
  <c r="I6" i="44"/>
  <c r="H6" i="44"/>
  <c r="G6" i="44"/>
  <c r="F6" i="44"/>
  <c r="E6" i="44"/>
  <c r="D6" i="44"/>
  <c r="E18" i="43"/>
  <c r="M15" i="43"/>
  <c r="K15" i="43"/>
  <c r="E15" i="43"/>
  <c r="C15" i="43"/>
  <c r="C17" i="43" s="1"/>
  <c r="M14" i="43"/>
  <c r="L14" i="43"/>
  <c r="K14" i="43"/>
  <c r="J14" i="43"/>
  <c r="I14" i="43"/>
  <c r="H14" i="43"/>
  <c r="G14" i="43"/>
  <c r="F14" i="43"/>
  <c r="E14" i="43"/>
  <c r="D14" i="43"/>
  <c r="C14" i="43"/>
  <c r="M13" i="43"/>
  <c r="L13" i="43"/>
  <c r="L15" i="43" s="1"/>
  <c r="K13" i="43"/>
  <c r="J13" i="43"/>
  <c r="J15" i="43" s="1"/>
  <c r="I13" i="43"/>
  <c r="I15" i="43" s="1"/>
  <c r="H13" i="43"/>
  <c r="H15" i="43" s="1"/>
  <c r="G13" i="43"/>
  <c r="G15" i="43" s="1"/>
  <c r="F13" i="43"/>
  <c r="F15" i="43" s="1"/>
  <c r="E13" i="43"/>
  <c r="D13" i="43"/>
  <c r="D15" i="43" s="1"/>
  <c r="D18" i="43" s="1"/>
  <c r="C13" i="43"/>
  <c r="D10" i="43"/>
  <c r="M8" i="43"/>
  <c r="L8" i="43"/>
  <c r="K8" i="43"/>
  <c r="J8" i="43"/>
  <c r="I8" i="43"/>
  <c r="H8" i="43"/>
  <c r="G8" i="43"/>
  <c r="F8" i="43"/>
  <c r="E8" i="43"/>
  <c r="D8" i="43"/>
  <c r="C8" i="43"/>
  <c r="F6" i="43"/>
  <c r="G6" i="43" s="1"/>
  <c r="H6" i="43" s="1"/>
  <c r="I6" i="43" s="1"/>
  <c r="J6" i="43" s="1"/>
  <c r="K6" i="43" s="1"/>
  <c r="L6" i="43" s="1"/>
  <c r="M6" i="43" s="1"/>
  <c r="L15" i="42"/>
  <c r="K15" i="42"/>
  <c r="J15" i="42"/>
  <c r="I15" i="42"/>
  <c r="H15" i="42"/>
  <c r="G15" i="42"/>
  <c r="F15" i="42"/>
  <c r="E15" i="42"/>
  <c r="D15" i="42"/>
  <c r="C15" i="42"/>
  <c r="B15" i="42"/>
  <c r="M15" i="42" s="1"/>
  <c r="L11" i="42"/>
  <c r="L14" i="42" s="1"/>
  <c r="L16" i="42" s="1"/>
  <c r="K11" i="42"/>
  <c r="K14" i="42" s="1"/>
  <c r="K16" i="42" s="1"/>
  <c r="J11" i="42"/>
  <c r="J14" i="42" s="1"/>
  <c r="J16" i="42" s="1"/>
  <c r="I11" i="42"/>
  <c r="I14" i="42" s="1"/>
  <c r="I16" i="42" s="1"/>
  <c r="H11" i="42"/>
  <c r="H14" i="42" s="1"/>
  <c r="H16" i="42" s="1"/>
  <c r="G11" i="42"/>
  <c r="G14" i="42" s="1"/>
  <c r="G16" i="42" s="1"/>
  <c r="F11" i="42"/>
  <c r="F14" i="42" s="1"/>
  <c r="F16" i="42" s="1"/>
  <c r="E11" i="42"/>
  <c r="E14" i="42" s="1"/>
  <c r="E16" i="42" s="1"/>
  <c r="D11" i="42"/>
  <c r="D14" i="42" s="1"/>
  <c r="D16" i="42" s="1"/>
  <c r="C11" i="42"/>
  <c r="M11" i="42" s="1"/>
  <c r="B11" i="42"/>
  <c r="B14" i="42" s="1"/>
  <c r="L10" i="42"/>
  <c r="K10" i="42"/>
  <c r="J10" i="42"/>
  <c r="J12" i="42" s="1"/>
  <c r="I10" i="42"/>
  <c r="I12" i="42" s="1"/>
  <c r="H10" i="42"/>
  <c r="H12" i="42" s="1"/>
  <c r="G10" i="42"/>
  <c r="G12" i="42" s="1"/>
  <c r="G18" i="42" s="1"/>
  <c r="F10" i="42"/>
  <c r="E10" i="42"/>
  <c r="D10" i="42"/>
  <c r="C10" i="42"/>
  <c r="B10" i="42"/>
  <c r="M10" i="42" s="1"/>
  <c r="L9" i="42"/>
  <c r="L12" i="42" s="1"/>
  <c r="L18" i="42" s="1"/>
  <c r="K9" i="42"/>
  <c r="K12" i="42" s="1"/>
  <c r="J9" i="42"/>
  <c r="I9" i="42"/>
  <c r="H9" i="42"/>
  <c r="G9" i="42"/>
  <c r="F9" i="42"/>
  <c r="F12" i="42" s="1"/>
  <c r="F18" i="42" s="1"/>
  <c r="E9" i="42"/>
  <c r="E12" i="42" s="1"/>
  <c r="E18" i="42" s="1"/>
  <c r="D9" i="42"/>
  <c r="D12" i="42" s="1"/>
  <c r="D18" i="42" s="1"/>
  <c r="C9" i="42"/>
  <c r="C12" i="42" s="1"/>
  <c r="B9" i="42"/>
  <c r="C73" i="41"/>
  <c r="E66" i="41"/>
  <c r="E63" i="41"/>
  <c r="E62" i="41"/>
  <c r="E61" i="41"/>
  <c r="E60" i="41"/>
  <c r="E59" i="41"/>
  <c r="E58" i="41"/>
  <c r="E64" i="41" s="1"/>
  <c r="L48" i="41"/>
  <c r="N46" i="41"/>
  <c r="N48" i="41" s="1"/>
  <c r="M46" i="41"/>
  <c r="M48" i="41" s="1"/>
  <c r="L46" i="41"/>
  <c r="F45" i="41"/>
  <c r="F46" i="41" s="1"/>
  <c r="F48" i="41" s="1"/>
  <c r="O44" i="41"/>
  <c r="O46" i="41" s="1"/>
  <c r="O48" i="41" s="1"/>
  <c r="N44" i="41"/>
  <c r="M44" i="41"/>
  <c r="L44" i="41"/>
  <c r="K44" i="41"/>
  <c r="K46" i="41" s="1"/>
  <c r="K48" i="41" s="1"/>
  <c r="J44" i="41"/>
  <c r="J46" i="41" s="1"/>
  <c r="J48" i="41" s="1"/>
  <c r="I44" i="41"/>
  <c r="I46" i="41" s="1"/>
  <c r="I48" i="41" s="1"/>
  <c r="H44" i="41"/>
  <c r="H46" i="41" s="1"/>
  <c r="H48" i="41" s="1"/>
  <c r="G44" i="41"/>
  <c r="G46" i="41" s="1"/>
  <c r="G48" i="41" s="1"/>
  <c r="F39" i="41"/>
  <c r="E39" i="41"/>
  <c r="F35" i="41"/>
  <c r="F36" i="41" s="1"/>
  <c r="G30" i="41" s="1"/>
  <c r="E35" i="41"/>
  <c r="E36" i="41" s="1"/>
  <c r="G34" i="41"/>
  <c r="G35" i="41" s="1"/>
  <c r="G27" i="41"/>
  <c r="E27" i="41"/>
  <c r="F25" i="41"/>
  <c r="F40" i="41" s="1"/>
  <c r="E25" i="41"/>
  <c r="E40" i="41" s="1"/>
  <c r="G24" i="41"/>
  <c r="G25" i="41" s="1"/>
  <c r="H23" i="41"/>
  <c r="H24" i="41" s="1"/>
  <c r="H22" i="41"/>
  <c r="H25" i="41" s="1"/>
  <c r="O21" i="41"/>
  <c r="O25" i="41" s="1"/>
  <c r="N21" i="41"/>
  <c r="M21" i="41"/>
  <c r="M22" i="41" s="1"/>
  <c r="L21" i="41"/>
  <c r="L22" i="41" s="1"/>
  <c r="L23" i="41" s="1"/>
  <c r="L24" i="41" s="1"/>
  <c r="K21" i="41"/>
  <c r="K22" i="41" s="1"/>
  <c r="J21" i="41"/>
  <c r="I21" i="41"/>
  <c r="P5" i="41"/>
  <c r="E23" i="40"/>
  <c r="N15" i="40"/>
  <c r="M15" i="40"/>
  <c r="F15" i="40"/>
  <c r="E15" i="40"/>
  <c r="B15" i="40"/>
  <c r="L15" i="40" s="1"/>
  <c r="J13" i="40"/>
  <c r="I13" i="40"/>
  <c r="G13" i="40"/>
  <c r="B13" i="40"/>
  <c r="H13" i="40" s="1"/>
  <c r="B11" i="40"/>
  <c r="B18" i="40" s="1"/>
  <c r="C47" i="39"/>
  <c r="D45" i="39"/>
  <c r="E47" i="39" s="1"/>
  <c r="C45" i="39"/>
  <c r="D47" i="39" s="1"/>
  <c r="M37" i="39"/>
  <c r="L37" i="39"/>
  <c r="K37" i="39"/>
  <c r="J37" i="39"/>
  <c r="I37" i="39"/>
  <c r="H37" i="39"/>
  <c r="G37" i="39"/>
  <c r="F37" i="39"/>
  <c r="E37" i="39"/>
  <c r="D37" i="39"/>
  <c r="M26" i="39"/>
  <c r="H26" i="39"/>
  <c r="E26" i="39"/>
  <c r="M25" i="39"/>
  <c r="L25" i="39"/>
  <c r="K25" i="39"/>
  <c r="J25" i="39"/>
  <c r="I25" i="39"/>
  <c r="H25" i="39"/>
  <c r="G25" i="39"/>
  <c r="F25" i="39"/>
  <c r="E25" i="39"/>
  <c r="D25" i="39"/>
  <c r="C25" i="39"/>
  <c r="M24" i="39"/>
  <c r="L24" i="39"/>
  <c r="K24" i="39"/>
  <c r="J24" i="39"/>
  <c r="I24" i="39"/>
  <c r="H24" i="39"/>
  <c r="G24" i="39"/>
  <c r="F24" i="39"/>
  <c r="E24" i="39"/>
  <c r="D24" i="39"/>
  <c r="C24" i="39"/>
  <c r="M23" i="39"/>
  <c r="L23" i="39"/>
  <c r="K23" i="39"/>
  <c r="J23" i="39"/>
  <c r="J16" i="39" s="1"/>
  <c r="I23" i="39"/>
  <c r="I16" i="39" s="1"/>
  <c r="H23" i="39"/>
  <c r="G23" i="39"/>
  <c r="F23" i="39"/>
  <c r="E23" i="39"/>
  <c r="D23" i="39"/>
  <c r="M22" i="39"/>
  <c r="L22" i="39"/>
  <c r="L14" i="39" s="1"/>
  <c r="K22" i="39"/>
  <c r="K14" i="39" s="1"/>
  <c r="J22" i="39"/>
  <c r="I22" i="39"/>
  <c r="H22" i="39"/>
  <c r="H14" i="39" s="1"/>
  <c r="G22" i="39"/>
  <c r="F22" i="39"/>
  <c r="E22" i="39"/>
  <c r="D22" i="39"/>
  <c r="D14" i="39" s="1"/>
  <c r="C22" i="39"/>
  <c r="M21" i="39"/>
  <c r="L21" i="39"/>
  <c r="K21" i="39"/>
  <c r="J21" i="39"/>
  <c r="I21" i="39"/>
  <c r="H21" i="39"/>
  <c r="G21" i="39"/>
  <c r="F21" i="39"/>
  <c r="E21" i="39"/>
  <c r="D21" i="39"/>
  <c r="C21" i="39"/>
  <c r="C26" i="39" s="1"/>
  <c r="M20" i="39"/>
  <c r="L20" i="39"/>
  <c r="L26" i="39" s="1"/>
  <c r="K20" i="39"/>
  <c r="K26" i="39" s="1"/>
  <c r="J20" i="39"/>
  <c r="J26" i="39" s="1"/>
  <c r="I20" i="39"/>
  <c r="I26" i="39" s="1"/>
  <c r="H20" i="39"/>
  <c r="G20" i="39"/>
  <c r="G26" i="39" s="1"/>
  <c r="F20" i="39"/>
  <c r="F26" i="39" s="1"/>
  <c r="E20" i="39"/>
  <c r="D20" i="39"/>
  <c r="D26" i="39" s="1"/>
  <c r="M16" i="39"/>
  <c r="L16" i="39"/>
  <c r="K16" i="39"/>
  <c r="H16" i="39"/>
  <c r="G16" i="39"/>
  <c r="F16" i="39"/>
  <c r="E16" i="39"/>
  <c r="D16" i="39"/>
  <c r="C16" i="39"/>
  <c r="M14" i="39"/>
  <c r="J14" i="39"/>
  <c r="I14" i="39"/>
  <c r="G14" i="39"/>
  <c r="F14" i="39"/>
  <c r="E14" i="39"/>
  <c r="M13" i="39"/>
  <c r="L13" i="39"/>
  <c r="K13" i="39"/>
  <c r="J13" i="39"/>
  <c r="I13" i="39"/>
  <c r="H13" i="39"/>
  <c r="G13" i="39"/>
  <c r="F13" i="39"/>
  <c r="E13" i="39"/>
  <c r="D13" i="39"/>
  <c r="M12" i="39"/>
  <c r="L12" i="39"/>
  <c r="K12" i="39"/>
  <c r="J12" i="39"/>
  <c r="I12" i="39"/>
  <c r="H12" i="39"/>
  <c r="G12" i="39"/>
  <c r="F12" i="39"/>
  <c r="E12" i="39"/>
  <c r="D12" i="39"/>
  <c r="C12" i="39"/>
  <c r="M11" i="39"/>
  <c r="L11" i="39"/>
  <c r="K11" i="39"/>
  <c r="J11" i="39"/>
  <c r="I11" i="39"/>
  <c r="H11" i="39"/>
  <c r="G11" i="39"/>
  <c r="F11" i="39"/>
  <c r="E11" i="39"/>
  <c r="D11" i="39"/>
  <c r="C11" i="39"/>
  <c r="M10" i="39"/>
  <c r="M17" i="39" s="1"/>
  <c r="L10" i="39"/>
  <c r="L17" i="39" s="1"/>
  <c r="K10" i="39"/>
  <c r="J10" i="39"/>
  <c r="J17" i="39" s="1"/>
  <c r="J30" i="39" s="1"/>
  <c r="I10" i="39"/>
  <c r="H10" i="39"/>
  <c r="H17" i="39" s="1"/>
  <c r="H30" i="39" s="1"/>
  <c r="G10" i="39"/>
  <c r="G17" i="39" s="1"/>
  <c r="F10" i="39"/>
  <c r="F17" i="39" s="1"/>
  <c r="F30" i="39" s="1"/>
  <c r="E10" i="39"/>
  <c r="E17" i="39" s="1"/>
  <c r="E30" i="39" s="1"/>
  <c r="D10" i="39"/>
  <c r="D17" i="39" s="1"/>
  <c r="D30" i="39" s="1"/>
  <c r="C10" i="39"/>
  <c r="C17" i="39" s="1"/>
  <c r="L49" i="38"/>
  <c r="K49" i="38"/>
  <c r="J49" i="38"/>
  <c r="I49" i="38"/>
  <c r="H49" i="38"/>
  <c r="G49" i="38"/>
  <c r="F49" i="38"/>
  <c r="E49" i="38"/>
  <c r="D49" i="38"/>
  <c r="C49" i="38"/>
  <c r="B49" i="38"/>
  <c r="C42" i="38"/>
  <c r="D24" i="38"/>
  <c r="E24" i="38" s="1"/>
  <c r="F24" i="38" s="1"/>
  <c r="G24" i="38" s="1"/>
  <c r="H24" i="38" s="1"/>
  <c r="I24" i="38" s="1"/>
  <c r="J24" i="38" s="1"/>
  <c r="K24" i="38" s="1"/>
  <c r="L24" i="38" s="1"/>
  <c r="L23" i="38"/>
  <c r="K23" i="38"/>
  <c r="J23" i="38"/>
  <c r="I23" i="38"/>
  <c r="H23" i="38"/>
  <c r="G23" i="38"/>
  <c r="F23" i="38"/>
  <c r="E23" i="38"/>
  <c r="D23" i="38"/>
  <c r="D42" i="38" s="1"/>
  <c r="C23" i="38"/>
  <c r="C41" i="38" s="1"/>
  <c r="B23" i="38"/>
  <c r="H22" i="38"/>
  <c r="I22" i="38" s="1"/>
  <c r="G22" i="38"/>
  <c r="D21" i="38"/>
  <c r="E21" i="38" s="1"/>
  <c r="F21" i="38" s="1"/>
  <c r="G21" i="38" s="1"/>
  <c r="H21" i="38" s="1"/>
  <c r="I21" i="38" s="1"/>
  <c r="J21" i="38" s="1"/>
  <c r="K21" i="38" s="1"/>
  <c r="L21" i="38" s="1"/>
  <c r="I20" i="38"/>
  <c r="I25" i="38" s="1"/>
  <c r="G20" i="38"/>
  <c r="G43" i="38" s="1"/>
  <c r="B20" i="38"/>
  <c r="B25" i="38" s="1"/>
  <c r="L19" i="38"/>
  <c r="K19" i="38"/>
  <c r="J19" i="38"/>
  <c r="J20" i="38" s="1"/>
  <c r="I19" i="38"/>
  <c r="H19" i="38"/>
  <c r="G19" i="38"/>
  <c r="F19" i="38"/>
  <c r="E19" i="38"/>
  <c r="D19" i="38"/>
  <c r="C19" i="38"/>
  <c r="L18" i="38"/>
  <c r="L20" i="38" s="1"/>
  <c r="K18" i="38"/>
  <c r="K20" i="38" s="1"/>
  <c r="J18" i="38"/>
  <c r="I18" i="38"/>
  <c r="H18" i="38"/>
  <c r="H20" i="38" s="1"/>
  <c r="G18" i="38"/>
  <c r="F18" i="38"/>
  <c r="F20" i="38" s="1"/>
  <c r="E18" i="38"/>
  <c r="E20" i="38" s="1"/>
  <c r="D18" i="38"/>
  <c r="D20" i="38" s="1"/>
  <c r="C18" i="38"/>
  <c r="C20" i="38" s="1"/>
  <c r="D14" i="38"/>
  <c r="E14" i="38" s="1"/>
  <c r="F14" i="38" s="1"/>
  <c r="G14" i="38" s="1"/>
  <c r="H14" i="38" s="1"/>
  <c r="L13" i="38"/>
  <c r="K13" i="38"/>
  <c r="J13" i="38"/>
  <c r="I13" i="38"/>
  <c r="H13" i="38"/>
  <c r="G13" i="38"/>
  <c r="F13" i="38"/>
  <c r="E13" i="38"/>
  <c r="D13" i="38"/>
  <c r="D44" i="38" s="1"/>
  <c r="C13" i="38"/>
  <c r="C44" i="38" s="1"/>
  <c r="L12" i="38"/>
  <c r="K12" i="38"/>
  <c r="J12" i="38"/>
  <c r="I12" i="38"/>
  <c r="H12" i="38"/>
  <c r="G12" i="38"/>
  <c r="F12" i="38"/>
  <c r="E12" i="38"/>
  <c r="D12" i="38"/>
  <c r="C12" i="38"/>
  <c r="B12" i="38"/>
  <c r="L11" i="38"/>
  <c r="K11" i="38"/>
  <c r="J11" i="38"/>
  <c r="I11" i="38"/>
  <c r="H11" i="38"/>
  <c r="G11" i="38"/>
  <c r="F11" i="38"/>
  <c r="E11" i="38"/>
  <c r="D11" i="38"/>
  <c r="C11" i="38"/>
  <c r="C40" i="38" s="1"/>
  <c r="B11" i="38"/>
  <c r="B15" i="38" s="1"/>
  <c r="B26" i="38" s="1"/>
  <c r="D10" i="38"/>
  <c r="D40" i="38" s="1"/>
  <c r="C10" i="38"/>
  <c r="C15" i="38" s="1"/>
  <c r="F9" i="38"/>
  <c r="G9" i="38" s="1"/>
  <c r="E9" i="38"/>
  <c r="B37" i="37"/>
  <c r="B36" i="37"/>
  <c r="B35" i="37"/>
  <c r="L27" i="37"/>
  <c r="K27" i="37"/>
  <c r="J27" i="37"/>
  <c r="I27" i="37"/>
  <c r="H27" i="37"/>
  <c r="G27" i="37"/>
  <c r="F27" i="37"/>
  <c r="E27" i="37"/>
  <c r="D27" i="37"/>
  <c r="C27" i="37"/>
  <c r="L25" i="37"/>
  <c r="K25" i="37"/>
  <c r="J25" i="37"/>
  <c r="I25" i="37"/>
  <c r="H25" i="37"/>
  <c r="G25" i="37"/>
  <c r="F25" i="37"/>
  <c r="E25" i="37"/>
  <c r="D25" i="37"/>
  <c r="C25" i="37"/>
  <c r="J24" i="37"/>
  <c r="E24" i="37"/>
  <c r="L23" i="37"/>
  <c r="K23" i="37"/>
  <c r="J23" i="37"/>
  <c r="I23" i="37"/>
  <c r="H23" i="37"/>
  <c r="G23" i="37"/>
  <c r="F23" i="37"/>
  <c r="E23" i="37"/>
  <c r="D23" i="37"/>
  <c r="C23" i="37"/>
  <c r="L22" i="37"/>
  <c r="L24" i="37" s="1"/>
  <c r="K22" i="37"/>
  <c r="K24" i="37" s="1"/>
  <c r="J22" i="37"/>
  <c r="I22" i="37"/>
  <c r="I24" i="37" s="1"/>
  <c r="H22" i="37"/>
  <c r="H24" i="37" s="1"/>
  <c r="G22" i="37"/>
  <c r="G24" i="37" s="1"/>
  <c r="F22" i="37"/>
  <c r="F24" i="37" s="1"/>
  <c r="E22" i="37"/>
  <c r="D22" i="37"/>
  <c r="D24" i="37" s="1"/>
  <c r="C22" i="37"/>
  <c r="C24" i="37" s="1"/>
  <c r="L18" i="37"/>
  <c r="K18" i="37"/>
  <c r="J18" i="37"/>
  <c r="I18" i="37"/>
  <c r="H18" i="37"/>
  <c r="G18" i="37"/>
  <c r="F18" i="37"/>
  <c r="E18" i="37"/>
  <c r="D18" i="37"/>
  <c r="C18" i="37"/>
  <c r="L17" i="37"/>
  <c r="K17" i="37"/>
  <c r="J17" i="37"/>
  <c r="I17" i="37"/>
  <c r="H17" i="37"/>
  <c r="G17" i="37"/>
  <c r="F17" i="37"/>
  <c r="E17" i="37"/>
  <c r="D17" i="37"/>
  <c r="C17" i="37"/>
  <c r="L16" i="37"/>
  <c r="K16" i="37"/>
  <c r="J16" i="37"/>
  <c r="I16" i="37"/>
  <c r="H16" i="37"/>
  <c r="G16" i="37"/>
  <c r="F16" i="37"/>
  <c r="E16" i="37"/>
  <c r="D16" i="37"/>
  <c r="C16" i="37"/>
  <c r="L15" i="37"/>
  <c r="K15" i="37"/>
  <c r="J15" i="37"/>
  <c r="J19" i="37" s="1"/>
  <c r="I15" i="37"/>
  <c r="H15" i="37"/>
  <c r="G15" i="37"/>
  <c r="F15" i="37"/>
  <c r="E15" i="37"/>
  <c r="E19" i="37" s="1"/>
  <c r="D15" i="37"/>
  <c r="C15" i="37"/>
  <c r="L14" i="37"/>
  <c r="K14" i="37"/>
  <c r="J14" i="37"/>
  <c r="I14" i="37"/>
  <c r="H14" i="37"/>
  <c r="G14" i="37"/>
  <c r="F14" i="37"/>
  <c r="E14" i="37"/>
  <c r="D14" i="37"/>
  <c r="C14" i="37"/>
  <c r="L13" i="37"/>
  <c r="L36" i="37" s="1"/>
  <c r="K13" i="37"/>
  <c r="J13" i="37"/>
  <c r="I13" i="37"/>
  <c r="I19" i="37" s="1"/>
  <c r="H13" i="37"/>
  <c r="H19" i="37" s="1"/>
  <c r="G13" i="37"/>
  <c r="G19" i="37" s="1"/>
  <c r="F13" i="37"/>
  <c r="E13" i="37"/>
  <c r="E36" i="37" s="1"/>
  <c r="D13" i="37"/>
  <c r="D36" i="37" s="1"/>
  <c r="C13" i="37"/>
  <c r="C19" i="37" s="1"/>
  <c r="L8" i="37"/>
  <c r="G8" i="37"/>
  <c r="D8" i="37"/>
  <c r="L7" i="37"/>
  <c r="L9" i="37" s="1"/>
  <c r="L11" i="37" s="1"/>
  <c r="K7" i="37"/>
  <c r="K8" i="37" s="1"/>
  <c r="J7" i="37"/>
  <c r="J8" i="37" s="1"/>
  <c r="J9" i="37" s="1"/>
  <c r="I7" i="37"/>
  <c r="H7" i="37"/>
  <c r="G7" i="37"/>
  <c r="G9" i="37" s="1"/>
  <c r="F7" i="37"/>
  <c r="E7" i="37"/>
  <c r="E8" i="37" s="1"/>
  <c r="E9" i="37" s="1"/>
  <c r="E11" i="37" s="1"/>
  <c r="E20" i="37" s="1"/>
  <c r="D7" i="37"/>
  <c r="D9" i="37" s="1"/>
  <c r="D11" i="37" s="1"/>
  <c r="C7" i="37"/>
  <c r="C8" i="37" s="1"/>
  <c r="E52" i="35"/>
  <c r="E51" i="35"/>
  <c r="C51" i="35"/>
  <c r="E50" i="35"/>
  <c r="E49" i="35"/>
  <c r="C49" i="35"/>
  <c r="C48" i="35"/>
  <c r="E48" i="35" s="1"/>
  <c r="E47" i="35"/>
  <c r="C47" i="35"/>
  <c r="E46" i="35"/>
  <c r="C46" i="35"/>
  <c r="E45" i="35"/>
  <c r="C45" i="35"/>
  <c r="C29" i="35"/>
  <c r="H14" i="35"/>
  <c r="D14" i="35"/>
  <c r="H12" i="35"/>
  <c r="H29" i="35" s="1"/>
  <c r="D12" i="35"/>
  <c r="D29" i="35" s="1"/>
  <c r="C39" i="35" s="1"/>
  <c r="C37" i="52"/>
  <c r="C36" i="52"/>
  <c r="C35" i="52"/>
  <c r="C34" i="52"/>
  <c r="C33" i="52"/>
  <c r="P8" i="47"/>
  <c r="D13" i="2"/>
  <c r="F77" i="24"/>
  <c r="H19" i="47"/>
  <c r="D26" i="26"/>
  <c r="F24" i="26"/>
  <c r="G18" i="26"/>
  <c r="H18" i="26" s="1"/>
  <c r="I18" i="26" s="1"/>
  <c r="J18" i="26" s="1"/>
  <c r="K18" i="26" s="1"/>
  <c r="L18" i="26" s="1"/>
  <c r="M18" i="26" s="1"/>
  <c r="N18" i="26" s="1"/>
  <c r="O18" i="26" s="1"/>
  <c r="P18" i="26" s="1"/>
  <c r="A7" i="24"/>
  <c r="G58" i="47" l="1"/>
  <c r="G10" i="47"/>
  <c r="G22" i="47" s="1"/>
  <c r="F15" i="46"/>
  <c r="E12" i="46"/>
  <c r="F9" i="46"/>
  <c r="D20" i="46"/>
  <c r="D21" i="46" s="1"/>
  <c r="E30" i="46"/>
  <c r="D12" i="46"/>
  <c r="D20" i="44"/>
  <c r="J21" i="44" s="1"/>
  <c r="D15" i="44"/>
  <c r="I21" i="44"/>
  <c r="H20" i="44"/>
  <c r="E20" i="44"/>
  <c r="I20" i="44"/>
  <c r="F20" i="44"/>
  <c r="M13" i="44"/>
  <c r="M14" i="44" s="1"/>
  <c r="K21" i="44"/>
  <c r="H21" i="44"/>
  <c r="F18" i="43"/>
  <c r="G18" i="43"/>
  <c r="H28" i="43"/>
  <c r="H29" i="43" s="1"/>
  <c r="H18" i="43"/>
  <c r="I18" i="43"/>
  <c r="D17" i="43"/>
  <c r="J18" i="43"/>
  <c r="E17" i="43"/>
  <c r="F17" i="43" s="1"/>
  <c r="G17" i="43" s="1"/>
  <c r="L18" i="43"/>
  <c r="C18" i="43"/>
  <c r="K18" i="43"/>
  <c r="M18" i="43"/>
  <c r="K18" i="42"/>
  <c r="H18" i="42"/>
  <c r="I18" i="42"/>
  <c r="C20" i="42" s="1"/>
  <c r="B16" i="42"/>
  <c r="M14" i="42"/>
  <c r="M16" i="42" s="1"/>
  <c r="J18" i="42"/>
  <c r="C21" i="42" s="1"/>
  <c r="M9" i="42"/>
  <c r="M12" i="42" s="1"/>
  <c r="B12" i="42"/>
  <c r="C14" i="42"/>
  <c r="C16" i="42" s="1"/>
  <c r="G40" i="41"/>
  <c r="G26" i="41"/>
  <c r="H20" i="41" s="1"/>
  <c r="K23" i="41"/>
  <c r="K24" i="41" s="1"/>
  <c r="M23" i="41"/>
  <c r="M24" i="41" s="1"/>
  <c r="M25" i="41"/>
  <c r="N25" i="41"/>
  <c r="E65" i="41"/>
  <c r="I25" i="41"/>
  <c r="G36" i="41"/>
  <c r="H30" i="41" s="1"/>
  <c r="G37" i="41"/>
  <c r="G39" i="41" s="1"/>
  <c r="L25" i="41"/>
  <c r="N22" i="41"/>
  <c r="N23" i="41" s="1"/>
  <c r="N24" i="41" s="1"/>
  <c r="I22" i="41"/>
  <c r="I23" i="41" s="1"/>
  <c r="I24" i="41" s="1"/>
  <c r="E26" i="41"/>
  <c r="J22" i="41"/>
  <c r="J23" i="41" s="1"/>
  <c r="J24" i="41" s="1"/>
  <c r="F26" i="41"/>
  <c r="H18" i="40"/>
  <c r="K13" i="40"/>
  <c r="G15" i="40"/>
  <c r="G18" i="40" s="1"/>
  <c r="G24" i="40" s="1"/>
  <c r="C13" i="40"/>
  <c r="C18" i="40" s="1"/>
  <c r="L13" i="40"/>
  <c r="L18" i="40" s="1"/>
  <c r="H15" i="40"/>
  <c r="E13" i="40"/>
  <c r="E18" i="40" s="1"/>
  <c r="E24" i="40" s="1"/>
  <c r="E25" i="40" s="1"/>
  <c r="M13" i="40"/>
  <c r="M18" i="40" s="1"/>
  <c r="I15" i="40"/>
  <c r="I18" i="40" s="1"/>
  <c r="F13" i="40"/>
  <c r="F18" i="40" s="1"/>
  <c r="F24" i="40" s="1"/>
  <c r="N13" i="40"/>
  <c r="N18" i="40" s="1"/>
  <c r="J15" i="40"/>
  <c r="J18" i="40" s="1"/>
  <c r="K15" i="40"/>
  <c r="C15" i="40"/>
  <c r="G30" i="39"/>
  <c r="I17" i="39"/>
  <c r="I30" i="39" s="1"/>
  <c r="C28" i="39"/>
  <c r="C30" i="39"/>
  <c r="K17" i="39"/>
  <c r="K30" i="39" s="1"/>
  <c r="E45" i="39"/>
  <c r="H9" i="38"/>
  <c r="E43" i="38"/>
  <c r="E25" i="38"/>
  <c r="C26" i="38"/>
  <c r="H25" i="38"/>
  <c r="H43" i="38"/>
  <c r="E42" i="38"/>
  <c r="F42" i="38"/>
  <c r="I14" i="38"/>
  <c r="C43" i="38"/>
  <c r="C25" i="38"/>
  <c r="G42" i="38"/>
  <c r="F43" i="38"/>
  <c r="F25" i="38"/>
  <c r="D43" i="38"/>
  <c r="D25" i="38"/>
  <c r="J43" i="38"/>
  <c r="I42" i="38"/>
  <c r="I41" i="38"/>
  <c r="J22" i="38"/>
  <c r="J25" i="38" s="1"/>
  <c r="D41" i="38"/>
  <c r="E41" i="38"/>
  <c r="I43" i="38"/>
  <c r="F41" i="38"/>
  <c r="E10" i="38"/>
  <c r="F10" i="38" s="1"/>
  <c r="F44" i="38" s="1"/>
  <c r="G41" i="38"/>
  <c r="D15" i="38"/>
  <c r="G25" i="38"/>
  <c r="H41" i="38"/>
  <c r="H42" i="38"/>
  <c r="E26" i="37"/>
  <c r="E28" i="37" s="1"/>
  <c r="E34" i="37"/>
  <c r="E37" i="37"/>
  <c r="I9" i="37"/>
  <c r="I11" i="37" s="1"/>
  <c r="I20" i="37" s="1"/>
  <c r="J36" i="37"/>
  <c r="J11" i="37"/>
  <c r="J20" i="37" s="1"/>
  <c r="F9" i="37"/>
  <c r="F11" i="37" s="1"/>
  <c r="G11" i="37"/>
  <c r="G20" i="37" s="1"/>
  <c r="G36" i="37"/>
  <c r="C9" i="37"/>
  <c r="C11" i="37" s="1"/>
  <c r="C20" i="37" s="1"/>
  <c r="C26" i="37" s="1"/>
  <c r="C28" i="37" s="1"/>
  <c r="K9" i="37"/>
  <c r="K11" i="37" s="1"/>
  <c r="K20" i="37" s="1"/>
  <c r="K19" i="37"/>
  <c r="F8" i="37"/>
  <c r="D19" i="37"/>
  <c r="D20" i="37" s="1"/>
  <c r="L19" i="37"/>
  <c r="L20" i="37" s="1"/>
  <c r="I36" i="37"/>
  <c r="H8" i="37"/>
  <c r="H9" i="37" s="1"/>
  <c r="F19" i="37"/>
  <c r="I8" i="37"/>
  <c r="E53" i="35"/>
  <c r="C37" i="35"/>
  <c r="D37" i="35" s="1"/>
  <c r="D35" i="35"/>
  <c r="C40" i="35"/>
  <c r="C38" i="52"/>
  <c r="H49" i="22"/>
  <c r="H50" i="22"/>
  <c r="H48" i="22"/>
  <c r="H39" i="22"/>
  <c r="H40" i="22"/>
  <c r="H38" i="22"/>
  <c r="D12" i="6"/>
  <c r="H41" i="22"/>
  <c r="H42" i="22"/>
  <c r="H43" i="22"/>
  <c r="H44" i="22"/>
  <c r="H45" i="22"/>
  <c r="H46" i="22"/>
  <c r="H51" i="22"/>
  <c r="F45" i="19"/>
  <c r="D7" i="8"/>
  <c r="C7" i="8"/>
  <c r="E35" i="5"/>
  <c r="D35" i="5"/>
  <c r="D7" i="7"/>
  <c r="C7" i="7"/>
  <c r="B34" i="52" l="1"/>
  <c r="B36" i="52"/>
  <c r="N8" i="47"/>
  <c r="B33" i="52" s="1"/>
  <c r="B35" i="52"/>
  <c r="B37" i="52"/>
  <c r="G80" i="47"/>
  <c r="F30" i="46"/>
  <c r="E19" i="46"/>
  <c r="E20" i="46" s="1"/>
  <c r="E21" i="46" s="1"/>
  <c r="F12" i="46"/>
  <c r="G9" i="46"/>
  <c r="G15" i="46"/>
  <c r="G28" i="43"/>
  <c r="H30" i="43" s="1"/>
  <c r="H32" i="43" s="1"/>
  <c r="E19" i="43" s="1"/>
  <c r="H17" i="43"/>
  <c r="I17" i="43" s="1"/>
  <c r="J17" i="43" s="1"/>
  <c r="K17" i="43" s="1"/>
  <c r="L17" i="43" s="1"/>
  <c r="M17" i="43" s="1"/>
  <c r="M18" i="42"/>
  <c r="C22" i="42" s="1"/>
  <c r="M31" i="41"/>
  <c r="H31" i="41"/>
  <c r="L31" i="41"/>
  <c r="K31" i="41"/>
  <c r="O31" i="41"/>
  <c r="J31" i="41"/>
  <c r="I31" i="41"/>
  <c r="N31" i="41"/>
  <c r="K25" i="41"/>
  <c r="H26" i="41"/>
  <c r="I20" i="41" s="1"/>
  <c r="H27" i="41"/>
  <c r="J25" i="41"/>
  <c r="K18" i="40"/>
  <c r="C20" i="40"/>
  <c r="F20" i="40" s="1"/>
  <c r="F23" i="40" s="1"/>
  <c r="C23" i="40"/>
  <c r="C25" i="40" s="1"/>
  <c r="H24" i="40"/>
  <c r="I24" i="40" s="1"/>
  <c r="J24" i="40" s="1"/>
  <c r="F45" i="39"/>
  <c r="F47" i="39"/>
  <c r="D7" i="39"/>
  <c r="D28" i="39" s="1"/>
  <c r="C40" i="39"/>
  <c r="C41" i="39" s="1"/>
  <c r="F40" i="38"/>
  <c r="E15" i="38"/>
  <c r="E26" i="38" s="1"/>
  <c r="F15" i="38"/>
  <c r="F26" i="38" s="1"/>
  <c r="G10" i="38"/>
  <c r="J14" i="38"/>
  <c r="J41" i="38" s="1"/>
  <c r="D26" i="38"/>
  <c r="E44" i="38"/>
  <c r="I9" i="38"/>
  <c r="K22" i="38"/>
  <c r="J42" i="38"/>
  <c r="E40" i="38"/>
  <c r="L37" i="37"/>
  <c r="L26" i="37"/>
  <c r="L28" i="37" s="1"/>
  <c r="L34" i="37"/>
  <c r="D37" i="37"/>
  <c r="D26" i="37"/>
  <c r="D28" i="37" s="1"/>
  <c r="D34" i="37"/>
  <c r="H11" i="37"/>
  <c r="H20" i="37" s="1"/>
  <c r="H36" i="37"/>
  <c r="F20" i="37"/>
  <c r="K37" i="37"/>
  <c r="K26" i="37"/>
  <c r="K28" i="37" s="1"/>
  <c r="K34" i="37"/>
  <c r="I26" i="37"/>
  <c r="I28" i="37" s="1"/>
  <c r="I34" i="37"/>
  <c r="I37" i="37"/>
  <c r="C29" i="37"/>
  <c r="C30" i="37" s="1"/>
  <c r="C31" i="37" s="1"/>
  <c r="G34" i="37"/>
  <c r="G37" i="37"/>
  <c r="G26" i="37"/>
  <c r="G28" i="37" s="1"/>
  <c r="E29" i="37"/>
  <c r="E30" i="37" s="1"/>
  <c r="J34" i="37"/>
  <c r="J37" i="37"/>
  <c r="J26" i="37"/>
  <c r="J28" i="37" s="1"/>
  <c r="K36" i="37"/>
  <c r="F36" i="37"/>
  <c r="A49" i="19"/>
  <c r="F9" i="2"/>
  <c r="H38" i="47"/>
  <c r="I20" i="47"/>
  <c r="I18" i="47"/>
  <c r="I16" i="47"/>
  <c r="I14" i="47"/>
  <c r="I12" i="47"/>
  <c r="I8" i="47"/>
  <c r="B38" i="52" l="1"/>
  <c r="I22" i="47"/>
  <c r="J14" i="47" s="1"/>
  <c r="H15" i="46"/>
  <c r="G12" i="46"/>
  <c r="H9" i="46"/>
  <c r="G30" i="46"/>
  <c r="F19" i="46"/>
  <c r="F20" i="46" s="1"/>
  <c r="F21" i="46" s="1"/>
  <c r="K32" i="41"/>
  <c r="K33" i="41" s="1"/>
  <c r="K34" i="41" s="1"/>
  <c r="H32" i="41"/>
  <c r="H33" i="41" s="1"/>
  <c r="H34" i="41" s="1"/>
  <c r="N32" i="41"/>
  <c r="N33" i="41" s="1"/>
  <c r="N34" i="41" s="1"/>
  <c r="H37" i="41"/>
  <c r="H39" i="41" s="1"/>
  <c r="L35" i="41"/>
  <c r="L40" i="41" s="1"/>
  <c r="L32" i="41"/>
  <c r="L33" i="41" s="1"/>
  <c r="L34" i="41" s="1"/>
  <c r="M32" i="41"/>
  <c r="M33" i="41" s="1"/>
  <c r="M34" i="41" s="1"/>
  <c r="M35" i="41"/>
  <c r="M40" i="41" s="1"/>
  <c r="I32" i="41"/>
  <c r="I33" i="41" s="1"/>
  <c r="I34" i="41" s="1"/>
  <c r="I27" i="41"/>
  <c r="I26" i="41"/>
  <c r="J20" i="41" s="1"/>
  <c r="J40" i="41"/>
  <c r="J32" i="41"/>
  <c r="J33" i="41" s="1"/>
  <c r="J34" i="41" s="1"/>
  <c r="J35" i="41"/>
  <c r="O32" i="41"/>
  <c r="O33" i="41" s="1"/>
  <c r="O34" i="41" s="1"/>
  <c r="K24" i="40"/>
  <c r="L24" i="40" s="1"/>
  <c r="M24" i="40" s="1"/>
  <c r="N24" i="40" s="1"/>
  <c r="F25" i="40"/>
  <c r="G20" i="40"/>
  <c r="G23" i="40" s="1"/>
  <c r="E7" i="39"/>
  <c r="E28" i="39" s="1"/>
  <c r="D40" i="39"/>
  <c r="D41" i="39" s="1"/>
  <c r="G45" i="39"/>
  <c r="G47" i="39"/>
  <c r="H10" i="38"/>
  <c r="G15" i="38"/>
  <c r="G26" i="38" s="1"/>
  <c r="G40" i="38"/>
  <c r="G44" i="38"/>
  <c r="K14" i="38"/>
  <c r="K41" i="38"/>
  <c r="K42" i="38"/>
  <c r="L22" i="38"/>
  <c r="K25" i="38"/>
  <c r="J9" i="38"/>
  <c r="E35" i="37"/>
  <c r="E31" i="37"/>
  <c r="H34" i="37"/>
  <c r="H37" i="37"/>
  <c r="H26" i="37"/>
  <c r="H28" i="37" s="1"/>
  <c r="I29" i="37"/>
  <c r="I30" i="37" s="1"/>
  <c r="K29" i="37"/>
  <c r="K30" i="37" s="1"/>
  <c r="D30" i="37"/>
  <c r="D29" i="37"/>
  <c r="L29" i="37"/>
  <c r="L30" i="37" s="1"/>
  <c r="G29" i="37"/>
  <c r="G30" i="37" s="1"/>
  <c r="J30" i="37"/>
  <c r="J29" i="37"/>
  <c r="F34" i="37"/>
  <c r="F37" i="37"/>
  <c r="F26" i="37"/>
  <c r="F28" i="37" s="1"/>
  <c r="J10" i="47"/>
  <c r="J12" i="47"/>
  <c r="J16" i="47"/>
  <c r="J8" i="47"/>
  <c r="J18" i="47"/>
  <c r="J20" i="47" l="1"/>
  <c r="H30" i="46"/>
  <c r="G19" i="46"/>
  <c r="G20" i="46" s="1"/>
  <c r="G21" i="46" s="1"/>
  <c r="H12" i="46"/>
  <c r="I9" i="46"/>
  <c r="I15" i="46"/>
  <c r="J26" i="41"/>
  <c r="K20" i="41" s="1"/>
  <c r="J27" i="41"/>
  <c r="N35" i="41"/>
  <c r="N40" i="41" s="1"/>
  <c r="O35" i="41"/>
  <c r="O40" i="41" s="1"/>
  <c r="H35" i="41"/>
  <c r="I35" i="41"/>
  <c r="I40" i="41" s="1"/>
  <c r="K35" i="41"/>
  <c r="K40" i="41" s="1"/>
  <c r="G25" i="40"/>
  <c r="H20" i="40"/>
  <c r="H23" i="40" s="1"/>
  <c r="H45" i="39"/>
  <c r="H47" i="39"/>
  <c r="E40" i="39"/>
  <c r="E41" i="39" s="1"/>
  <c r="F7" i="39"/>
  <c r="F28" i="39" s="1"/>
  <c r="K9" i="38"/>
  <c r="L14" i="38"/>
  <c r="L42" i="38"/>
  <c r="L41" i="38"/>
  <c r="L25" i="38"/>
  <c r="I10" i="38"/>
  <c r="H44" i="38"/>
  <c r="H15" i="38"/>
  <c r="H26" i="38" s="1"/>
  <c r="H40" i="38"/>
  <c r="K31" i="37"/>
  <c r="K35" i="37"/>
  <c r="I31" i="37"/>
  <c r="I35" i="37"/>
  <c r="G35" i="37"/>
  <c r="G31" i="37"/>
  <c r="L35" i="37"/>
  <c r="L31" i="37"/>
  <c r="J31" i="37"/>
  <c r="J35" i="37"/>
  <c r="F29" i="37"/>
  <c r="F30" i="37"/>
  <c r="D35" i="37"/>
  <c r="D31" i="37"/>
  <c r="H29" i="37"/>
  <c r="H30" i="37" s="1"/>
  <c r="J22" i="47"/>
  <c r="K10" i="47"/>
  <c r="B3" i="52" s="1"/>
  <c r="B24" i="52" s="1"/>
  <c r="M20" i="52"/>
  <c r="L20" i="52"/>
  <c r="M19" i="52"/>
  <c r="L19" i="52"/>
  <c r="M18" i="52"/>
  <c r="H25" i="31"/>
  <c r="G25" i="31"/>
  <c r="F13" i="52"/>
  <c r="F15" i="52" s="1"/>
  <c r="F16" i="52" s="1"/>
  <c r="E13" i="52"/>
  <c r="D7" i="52"/>
  <c r="C7" i="52"/>
  <c r="B7" i="52"/>
  <c r="B28" i="52" s="1"/>
  <c r="D6" i="52"/>
  <c r="C6" i="52"/>
  <c r="B6" i="52"/>
  <c r="B27" i="52" s="1"/>
  <c r="D5" i="52"/>
  <c r="C5" i="52"/>
  <c r="B5" i="52"/>
  <c r="B26" i="52" s="1"/>
  <c r="D4" i="52"/>
  <c r="C4" i="52"/>
  <c r="B4" i="52"/>
  <c r="B25" i="52" s="1"/>
  <c r="D3" i="52"/>
  <c r="C3" i="52"/>
  <c r="D13" i="26"/>
  <c r="C28" i="52" l="1"/>
  <c r="E28" i="52" s="1"/>
  <c r="H7" i="52"/>
  <c r="D37" i="52"/>
  <c r="E37" i="52" s="1"/>
  <c r="I7" i="52"/>
  <c r="C26" i="52"/>
  <c r="E26" i="52" s="1"/>
  <c r="H5" i="52"/>
  <c r="J5" i="52" s="1"/>
  <c r="D34" i="52"/>
  <c r="E34" i="52" s="1"/>
  <c r="I4" i="52"/>
  <c r="H3" i="52"/>
  <c r="C24" i="52"/>
  <c r="I3" i="52"/>
  <c r="D33" i="52"/>
  <c r="E33" i="52" s="1"/>
  <c r="C27" i="52"/>
  <c r="E27" i="52" s="1"/>
  <c r="H6" i="52"/>
  <c r="J6" i="52" s="1"/>
  <c r="B29" i="52"/>
  <c r="D36" i="52"/>
  <c r="E36" i="52" s="1"/>
  <c r="I6" i="52"/>
  <c r="I5" i="52"/>
  <c r="D35" i="52"/>
  <c r="E35" i="52" s="1"/>
  <c r="H4" i="52"/>
  <c r="C25" i="52"/>
  <c r="E25" i="52" s="1"/>
  <c r="J15" i="46"/>
  <c r="J9" i="46"/>
  <c r="I12" i="46"/>
  <c r="I30" i="46"/>
  <c r="H19" i="46"/>
  <c r="H20" i="46" s="1"/>
  <c r="H21" i="46" s="1"/>
  <c r="H40" i="41"/>
  <c r="H36" i="41"/>
  <c r="I30" i="41" s="1"/>
  <c r="K27" i="41"/>
  <c r="K26" i="41"/>
  <c r="L20" i="41" s="1"/>
  <c r="I20" i="40"/>
  <c r="I23" i="40" s="1"/>
  <c r="H25" i="40"/>
  <c r="F40" i="39"/>
  <c r="F41" i="39" s="1"/>
  <c r="G7" i="39"/>
  <c r="G28" i="39" s="1"/>
  <c r="I47" i="39"/>
  <c r="I45" i="39"/>
  <c r="J10" i="38"/>
  <c r="I44" i="38"/>
  <c r="I15" i="38"/>
  <c r="I26" i="38" s="1"/>
  <c r="I40" i="38"/>
  <c r="L9" i="38"/>
  <c r="H35" i="37"/>
  <c r="H31" i="37"/>
  <c r="F35" i="37"/>
  <c r="F31" i="37"/>
  <c r="E5" i="52"/>
  <c r="B8" i="52"/>
  <c r="E4" i="52"/>
  <c r="E6" i="52"/>
  <c r="C8" i="52"/>
  <c r="E3" i="52"/>
  <c r="E7" i="52"/>
  <c r="E38" i="52" l="1"/>
  <c r="C29" i="52"/>
  <c r="E24" i="52"/>
  <c r="E29" i="52" s="1"/>
  <c r="J7" i="52"/>
  <c r="J4" i="52"/>
  <c r="J3" i="52"/>
  <c r="J8" i="52" s="1"/>
  <c r="J30" i="46"/>
  <c r="I19" i="46"/>
  <c r="I20" i="46" s="1"/>
  <c r="I21" i="46" s="1"/>
  <c r="K9" i="46"/>
  <c r="J12" i="46"/>
  <c r="K15" i="46"/>
  <c r="I37" i="41"/>
  <c r="I39" i="41" s="1"/>
  <c r="I36" i="41"/>
  <c r="J30" i="41" s="1"/>
  <c r="L27" i="41"/>
  <c r="L26" i="41"/>
  <c r="M20" i="41" s="1"/>
  <c r="J20" i="40"/>
  <c r="J23" i="40" s="1"/>
  <c r="I25" i="40"/>
  <c r="G40" i="39"/>
  <c r="G41" i="39" s="1"/>
  <c r="H7" i="39"/>
  <c r="H28" i="39" s="1"/>
  <c r="J47" i="39"/>
  <c r="J45" i="39"/>
  <c r="K10" i="38"/>
  <c r="J44" i="38"/>
  <c r="J15" i="38"/>
  <c r="J26" i="38" s="1"/>
  <c r="J40" i="38"/>
  <c r="E8" i="52"/>
  <c r="K12" i="46" l="1"/>
  <c r="L9" i="46"/>
  <c r="L12" i="46" s="1"/>
  <c r="L15" i="46"/>
  <c r="J19" i="46"/>
  <c r="J20" i="46" s="1"/>
  <c r="J21" i="46" s="1"/>
  <c r="K30" i="46"/>
  <c r="J37" i="41"/>
  <c r="J39" i="41" s="1"/>
  <c r="J36" i="41"/>
  <c r="K30" i="41" s="1"/>
  <c r="M27" i="41"/>
  <c r="M26" i="41"/>
  <c r="N20" i="41" s="1"/>
  <c r="K20" i="40"/>
  <c r="K23" i="40" s="1"/>
  <c r="J25" i="40"/>
  <c r="K47" i="39"/>
  <c r="K45" i="39"/>
  <c r="I7" i="39"/>
  <c r="I28" i="39" s="1"/>
  <c r="H40" i="39"/>
  <c r="H41" i="39" s="1"/>
  <c r="L10" i="38"/>
  <c r="K44" i="38"/>
  <c r="K40" i="38"/>
  <c r="K15" i="38"/>
  <c r="K26" i="38" s="1"/>
  <c r="E14" i="52"/>
  <c r="E15" i="52" s="1"/>
  <c r="E16" i="52" s="1"/>
  <c r="E10" i="52"/>
  <c r="D11" i="19"/>
  <c r="E11" i="19" s="1"/>
  <c r="F11" i="19" s="1"/>
  <c r="G11" i="19" s="1"/>
  <c r="H11" i="19" s="1"/>
  <c r="I11" i="19" s="1"/>
  <c r="J11" i="19" s="1"/>
  <c r="K11" i="19" s="1"/>
  <c r="K19" i="46" l="1"/>
  <c r="K20" i="46" s="1"/>
  <c r="K21" i="46" s="1"/>
  <c r="L30" i="46"/>
  <c r="L19" i="46" s="1"/>
  <c r="L20" i="46"/>
  <c r="L21" i="46" s="1"/>
  <c r="N27" i="41"/>
  <c r="N26" i="41"/>
  <c r="O20" i="41" s="1"/>
  <c r="K37" i="41"/>
  <c r="K39" i="41" s="1"/>
  <c r="K36" i="41"/>
  <c r="L30" i="41" s="1"/>
  <c r="L20" i="40"/>
  <c r="L23" i="40" s="1"/>
  <c r="K25" i="40"/>
  <c r="J7" i="39"/>
  <c r="J28" i="39" s="1"/>
  <c r="I40" i="39"/>
  <c r="I41" i="39" s="1"/>
  <c r="L47" i="39"/>
  <c r="L45" i="39"/>
  <c r="L40" i="38"/>
  <c r="L15" i="38"/>
  <c r="L26" i="38" s="1"/>
  <c r="L44" i="38"/>
  <c r="E46" i="7"/>
  <c r="F46" i="7"/>
  <c r="G46" i="7"/>
  <c r="H46" i="7"/>
  <c r="I46" i="7"/>
  <c r="J46" i="7"/>
  <c r="K46" i="7"/>
  <c r="L46" i="7"/>
  <c r="M46" i="7"/>
  <c r="L37" i="41" l="1"/>
  <c r="L39" i="41" s="1"/>
  <c r="L36" i="41"/>
  <c r="M30" i="41" s="1"/>
  <c r="O26" i="41"/>
  <c r="O27" i="41"/>
  <c r="M20" i="40"/>
  <c r="M23" i="40" s="1"/>
  <c r="L25" i="40"/>
  <c r="M47" i="39"/>
  <c r="M45" i="39"/>
  <c r="K7" i="39"/>
  <c r="K28" i="39" s="1"/>
  <c r="J40" i="39"/>
  <c r="J41" i="39" s="1"/>
  <c r="D29" i="6"/>
  <c r="E11" i="2"/>
  <c r="E8" i="2"/>
  <c r="F6" i="5"/>
  <c r="H153" i="22"/>
  <c r="H154" i="22"/>
  <c r="H152" i="22"/>
  <c r="H65" i="22"/>
  <c r="H66" i="22"/>
  <c r="H67" i="22"/>
  <c r="H68" i="22"/>
  <c r="H69" i="22"/>
  <c r="H70" i="22"/>
  <c r="H71" i="22"/>
  <c r="H72" i="22"/>
  <c r="H64" i="22"/>
  <c r="H150" i="22"/>
  <c r="H149" i="22"/>
  <c r="H148" i="22"/>
  <c r="H147" i="22"/>
  <c r="H146" i="22"/>
  <c r="H145" i="22"/>
  <c r="H144" i="22"/>
  <c r="H143" i="22"/>
  <c r="H142" i="22"/>
  <c r="H141" i="22"/>
  <c r="H140" i="22"/>
  <c r="H139" i="22"/>
  <c r="H124" i="22"/>
  <c r="H123" i="22"/>
  <c r="H122" i="22"/>
  <c r="H121" i="22"/>
  <c r="H120" i="22"/>
  <c r="H119" i="22"/>
  <c r="H118" i="22"/>
  <c r="H117" i="22"/>
  <c r="H116" i="22"/>
  <c r="H115" i="22"/>
  <c r="H114" i="22"/>
  <c r="H113" i="22"/>
  <c r="H52" i="22"/>
  <c r="H53" i="22"/>
  <c r="N5" i="11"/>
  <c r="N15" i="11"/>
  <c r="N20" i="11"/>
  <c r="N22" i="11"/>
  <c r="N24" i="11"/>
  <c r="N30" i="11"/>
  <c r="M5" i="10"/>
  <c r="M8" i="8"/>
  <c r="N3" i="24"/>
  <c r="N4" i="24"/>
  <c r="N62" i="24"/>
  <c r="N75" i="24"/>
  <c r="M4" i="25"/>
  <c r="M9" i="7"/>
  <c r="M15" i="7"/>
  <c r="M42" i="7"/>
  <c r="M30" i="6" s="1"/>
  <c r="N24" i="5"/>
  <c r="M29" i="6"/>
  <c r="N6" i="5"/>
  <c r="N7" i="5"/>
  <c r="M9" i="6"/>
  <c r="D9" i="6"/>
  <c r="J38" i="51"/>
  <c r="J37" i="51"/>
  <c r="J36" i="51"/>
  <c r="L36" i="51" s="1"/>
  <c r="O36" i="51" s="1"/>
  <c r="J35" i="51"/>
  <c r="L35" i="51" s="1"/>
  <c r="O35" i="51" s="1"/>
  <c r="J34" i="51"/>
  <c r="J33" i="51"/>
  <c r="J32" i="51"/>
  <c r="L32" i="51" s="1"/>
  <c r="O32" i="51" s="1"/>
  <c r="J31" i="51"/>
  <c r="L31" i="51" s="1"/>
  <c r="O31" i="51" s="1"/>
  <c r="J30" i="51"/>
  <c r="L30" i="51" s="1"/>
  <c r="O30" i="51" s="1"/>
  <c r="J29" i="51"/>
  <c r="J28" i="51"/>
  <c r="L28" i="51" s="1"/>
  <c r="O28" i="51" s="1"/>
  <c r="I27" i="51"/>
  <c r="J27" i="51" s="1"/>
  <c r="L27" i="51" s="1"/>
  <c r="O27" i="51" s="1"/>
  <c r="J26" i="51"/>
  <c r="J25" i="51"/>
  <c r="J24" i="51"/>
  <c r="J23" i="51"/>
  <c r="L23" i="51" s="1"/>
  <c r="O23" i="51" s="1"/>
  <c r="J22" i="51"/>
  <c r="L22" i="51" s="1"/>
  <c r="O22" i="51" s="1"/>
  <c r="J20" i="51"/>
  <c r="L20" i="51" s="1"/>
  <c r="O20" i="51" s="1"/>
  <c r="J19" i="51"/>
  <c r="L19" i="51" s="1"/>
  <c r="O19" i="51" s="1"/>
  <c r="I18" i="51"/>
  <c r="J18" i="51" s="1"/>
  <c r="I17" i="51"/>
  <c r="J17" i="51" s="1"/>
  <c r="J16" i="51"/>
  <c r="L16" i="51" s="1"/>
  <c r="O16" i="51" s="1"/>
  <c r="J15" i="51"/>
  <c r="L15" i="51" s="1"/>
  <c r="O15" i="51" s="1"/>
  <c r="J14" i="51"/>
  <c r="J13" i="51"/>
  <c r="J12" i="51"/>
  <c r="L12" i="51" s="1"/>
  <c r="O12" i="51" s="1"/>
  <c r="J11" i="51"/>
  <c r="L11" i="51" s="1"/>
  <c r="O11" i="51" s="1"/>
  <c r="J10" i="51"/>
  <c r="J9" i="51"/>
  <c r="L9" i="51" s="1"/>
  <c r="O9" i="51" s="1"/>
  <c r="J8" i="51"/>
  <c r="L8" i="51" s="1"/>
  <c r="O8" i="51" s="1"/>
  <c r="J7" i="51"/>
  <c r="L7" i="51" s="1"/>
  <c r="O7" i="51" s="1"/>
  <c r="I6" i="51"/>
  <c r="J6" i="51" s="1"/>
  <c r="J5" i="51"/>
  <c r="J4" i="51"/>
  <c r="G30" i="50"/>
  <c r="G28" i="50"/>
  <c r="G26" i="50"/>
  <c r="H283" i="49"/>
  <c r="I283" i="49" s="1"/>
  <c r="H280" i="49"/>
  <c r="I285" i="49" s="1"/>
  <c r="J285" i="49" s="1"/>
  <c r="J286" i="49" s="1"/>
  <c r="K254" i="49"/>
  <c r="K246" i="49"/>
  <c r="K244" i="49"/>
  <c r="K242" i="49"/>
  <c r="K240" i="49"/>
  <c r="K238" i="49"/>
  <c r="K236" i="49"/>
  <c r="K234" i="49"/>
  <c r="K232" i="49"/>
  <c r="K230" i="49"/>
  <c r="K248" i="49" s="1"/>
  <c r="K224" i="49"/>
  <c r="K222" i="49"/>
  <c r="K220" i="49"/>
  <c r="K218" i="49"/>
  <c r="K216" i="49"/>
  <c r="K214" i="49"/>
  <c r="K226" i="49" s="1"/>
  <c r="K210" i="49"/>
  <c r="K208" i="49"/>
  <c r="K190" i="49"/>
  <c r="K184" i="49"/>
  <c r="K182" i="49"/>
  <c r="K180" i="49"/>
  <c r="J178" i="49"/>
  <c r="K178" i="49" s="1"/>
  <c r="K176" i="49"/>
  <c r="J176" i="49"/>
  <c r="J174" i="49"/>
  <c r="K174" i="49" s="1"/>
  <c r="K186" i="49" s="1"/>
  <c r="K192" i="49" s="1"/>
  <c r="K168" i="49"/>
  <c r="K166" i="49"/>
  <c r="K164" i="49"/>
  <c r="K162" i="49"/>
  <c r="K160" i="49"/>
  <c r="K158" i="49"/>
  <c r="K156" i="49"/>
  <c r="K154" i="49"/>
  <c r="K152" i="49"/>
  <c r="K150" i="49"/>
  <c r="K148" i="49"/>
  <c r="K146" i="49"/>
  <c r="K144" i="49"/>
  <c r="K170" i="49" s="1"/>
  <c r="K138" i="49"/>
  <c r="J136" i="49"/>
  <c r="K136" i="49" s="1"/>
  <c r="K134" i="49"/>
  <c r="K132" i="49"/>
  <c r="K130" i="49"/>
  <c r="K128" i="49"/>
  <c r="E128" i="49"/>
  <c r="K126" i="49"/>
  <c r="K140" i="49" s="1"/>
  <c r="E126" i="49"/>
  <c r="K124" i="49"/>
  <c r="K122" i="49"/>
  <c r="K116" i="49"/>
  <c r="K114" i="49"/>
  <c r="K112" i="49"/>
  <c r="K110" i="49"/>
  <c r="K118" i="49" s="1"/>
  <c r="K104" i="49"/>
  <c r="K102" i="49"/>
  <c r="J100" i="49"/>
  <c r="K100" i="49" s="1"/>
  <c r="J98" i="49"/>
  <c r="K98" i="49" s="1"/>
  <c r="K96" i="49"/>
  <c r="K94" i="49"/>
  <c r="K92" i="49"/>
  <c r="E92" i="49"/>
  <c r="K90" i="49"/>
  <c r="E90" i="49"/>
  <c r="K88" i="49"/>
  <c r="E88" i="49"/>
  <c r="K84" i="49"/>
  <c r="K81" i="49"/>
  <c r="K79" i="49"/>
  <c r="K77" i="49"/>
  <c r="K75" i="49"/>
  <c r="K73" i="49"/>
  <c r="K71" i="49"/>
  <c r="K69" i="49"/>
  <c r="K67" i="49"/>
  <c r="K65" i="49"/>
  <c r="K63" i="49"/>
  <c r="K61" i="49"/>
  <c r="K59" i="49"/>
  <c r="K57" i="49"/>
  <c r="K51" i="49"/>
  <c r="K49" i="49"/>
  <c r="K47" i="49"/>
  <c r="K45" i="49"/>
  <c r="K43" i="49"/>
  <c r="K41" i="49"/>
  <c r="K39" i="49"/>
  <c r="K37" i="49"/>
  <c r="K35" i="49"/>
  <c r="K33" i="49"/>
  <c r="K31" i="49"/>
  <c r="K53" i="49" s="1"/>
  <c r="K25" i="49"/>
  <c r="K23" i="49"/>
  <c r="K21" i="49"/>
  <c r="K19" i="49"/>
  <c r="K17" i="49"/>
  <c r="K15" i="49"/>
  <c r="K13" i="49"/>
  <c r="K11" i="49"/>
  <c r="K27" i="49" s="1"/>
  <c r="J39" i="47"/>
  <c r="J40" i="47" s="1"/>
  <c r="J41" i="47" s="1"/>
  <c r="J43" i="47" s="1"/>
  <c r="F10" i="52"/>
  <c r="F11" i="52" s="1"/>
  <c r="N15" i="5"/>
  <c r="N20" i="5"/>
  <c r="N14" i="5"/>
  <c r="N19" i="5"/>
  <c r="N13" i="5"/>
  <c r="N8" i="11" s="1"/>
  <c r="N21" i="11" s="1"/>
  <c r="F21" i="34"/>
  <c r="F28" i="34" s="1"/>
  <c r="F33" i="34" s="1"/>
  <c r="F38" i="34" s="1"/>
  <c r="C21" i="34"/>
  <c r="C28" i="34" s="1"/>
  <c r="F18" i="34"/>
  <c r="E18" i="34"/>
  <c r="D18" i="34"/>
  <c r="F17" i="34"/>
  <c r="E17" i="34"/>
  <c r="D17" i="34"/>
  <c r="F16" i="34"/>
  <c r="E16" i="34"/>
  <c r="D16" i="34"/>
  <c r="F15" i="34"/>
  <c r="E15" i="34"/>
  <c r="D15" i="34"/>
  <c r="C15" i="34"/>
  <c r="F14" i="34"/>
  <c r="E14" i="34"/>
  <c r="D14" i="34"/>
  <c r="C14" i="34"/>
  <c r="E12" i="34"/>
  <c r="F12" i="34" s="1"/>
  <c r="D12" i="34"/>
  <c r="C12" i="34"/>
  <c r="F11" i="34"/>
  <c r="E11" i="34"/>
  <c r="D11" i="34"/>
  <c r="F9" i="34"/>
  <c r="E9" i="34"/>
  <c r="D9" i="34"/>
  <c r="C9" i="34"/>
  <c r="F24" i="5"/>
  <c r="G24" i="5"/>
  <c r="H24" i="5"/>
  <c r="I24" i="5"/>
  <c r="K24" i="5"/>
  <c r="L24" i="5"/>
  <c r="M24" i="5"/>
  <c r="J24" i="5"/>
  <c r="M37" i="41" l="1"/>
  <c r="M39" i="41" s="1"/>
  <c r="M36" i="41"/>
  <c r="N30" i="41" s="1"/>
  <c r="N20" i="40"/>
  <c r="N23" i="40" s="1"/>
  <c r="N25" i="40" s="1"/>
  <c r="M25" i="40"/>
  <c r="L7" i="39"/>
  <c r="L28" i="39" s="1"/>
  <c r="K40" i="39"/>
  <c r="K41" i="39" s="1"/>
  <c r="L38" i="51"/>
  <c r="O38" i="51"/>
  <c r="L29" i="51"/>
  <c r="O29" i="51" s="1"/>
  <c r="L5" i="51"/>
  <c r="O5" i="51"/>
  <c r="L6" i="51"/>
  <c r="O6" i="51" s="1"/>
  <c r="L25" i="51"/>
  <c r="O25" i="51"/>
  <c r="L33" i="51"/>
  <c r="O33" i="51" s="1"/>
  <c r="L17" i="51"/>
  <c r="O17" i="51" s="1"/>
  <c r="L26" i="51"/>
  <c r="O26" i="51" s="1"/>
  <c r="L34" i="51"/>
  <c r="O34" i="51" s="1"/>
  <c r="L14" i="51"/>
  <c r="O14" i="51"/>
  <c r="L24" i="51"/>
  <c r="O24" i="51"/>
  <c r="L10" i="51"/>
  <c r="O10" i="51" s="1"/>
  <c r="L18" i="51"/>
  <c r="O18" i="51" s="1"/>
  <c r="L4" i="51"/>
  <c r="O4" i="51" s="1"/>
  <c r="L37" i="51"/>
  <c r="O37" i="51" s="1"/>
  <c r="L13" i="51"/>
  <c r="O13" i="51" s="1"/>
  <c r="N21" i="5"/>
  <c r="N9" i="11" s="1"/>
  <c r="N23" i="11" s="1"/>
  <c r="G33" i="50"/>
  <c r="J39" i="51"/>
  <c r="K106" i="49"/>
  <c r="K256" i="49" s="1"/>
  <c r="K261" i="49" s="1"/>
  <c r="D42" i="7"/>
  <c r="C30" i="6"/>
  <c r="N36" i="41" l="1"/>
  <c r="O30" i="41" s="1"/>
  <c r="N37" i="41"/>
  <c r="N39" i="41" s="1"/>
  <c r="M7" i="39"/>
  <c r="M28" i="39" s="1"/>
  <c r="M40" i="39" s="1"/>
  <c r="M41" i="39" s="1"/>
  <c r="L40" i="39"/>
  <c r="L41" i="39" s="1"/>
  <c r="O39" i="51"/>
  <c r="M40" i="10"/>
  <c r="N8" i="5"/>
  <c r="N9" i="5" s="1"/>
  <c r="D30" i="6"/>
  <c r="O37" i="41" l="1"/>
  <c r="O39" i="41" s="1"/>
  <c r="O36" i="41"/>
  <c r="N12" i="5"/>
  <c r="N7" i="11" s="1"/>
  <c r="N6" i="11"/>
  <c r="N29" i="11" s="1"/>
  <c r="M37" i="10"/>
  <c r="N10" i="5"/>
  <c r="M17" i="10"/>
  <c r="M5" i="25"/>
  <c r="N46" i="5"/>
  <c r="C16" i="34"/>
  <c r="E17" i="5"/>
  <c r="D17" i="5"/>
  <c r="G12" i="5"/>
  <c r="H12" i="5"/>
  <c r="I12" i="5"/>
  <c r="J12" i="5"/>
  <c r="K12" i="5"/>
  <c r="L12" i="5"/>
  <c r="M12" i="5"/>
  <c r="N16" i="11" l="1"/>
  <c r="N14" i="11" s="1"/>
  <c r="N31" i="11" s="1"/>
  <c r="M28" i="6" s="1"/>
  <c r="N13" i="11"/>
  <c r="N19" i="11" s="1"/>
  <c r="N26" i="11" s="1"/>
  <c r="M12" i="6" s="1"/>
  <c r="M27" i="6"/>
  <c r="C17" i="34"/>
  <c r="N33" i="11" l="1"/>
  <c r="N35" i="11" s="1"/>
  <c r="N36" i="11" s="1"/>
  <c r="N37" i="11" s="1"/>
  <c r="M14" i="6" s="1"/>
  <c r="C18" i="34"/>
  <c r="C20" i="34" l="1"/>
  <c r="C27" i="34" s="1"/>
  <c r="E21" i="34"/>
  <c r="E28" i="34" s="1"/>
  <c r="E6" i="2"/>
  <c r="F23" i="31"/>
  <c r="E23" i="31"/>
  <c r="F20" i="31"/>
  <c r="E20" i="31"/>
  <c r="E21" i="31" s="1"/>
  <c r="D25" i="31"/>
  <c r="C25" i="31"/>
  <c r="G7" i="5"/>
  <c r="H7" i="5"/>
  <c r="I7" i="5"/>
  <c r="J7" i="5"/>
  <c r="K7" i="5"/>
  <c r="L7" i="5"/>
  <c r="M7" i="5"/>
  <c r="C19" i="34" l="1"/>
  <c r="C26" i="34" s="1"/>
  <c r="F25" i="31"/>
  <c r="E25" i="31"/>
  <c r="F21" i="31"/>
  <c r="E29" i="6"/>
  <c r="F29" i="6"/>
  <c r="G29" i="6"/>
  <c r="H29" i="6"/>
  <c r="I29" i="6"/>
  <c r="J29" i="6"/>
  <c r="K29" i="6"/>
  <c r="L29" i="6"/>
  <c r="M30" i="7" s="1"/>
  <c r="C29" i="6"/>
  <c r="C39" i="11"/>
  <c r="C14" i="23" l="1"/>
  <c r="C6" i="6"/>
  <c r="D6" i="6" s="1"/>
  <c r="E6" i="6" s="1"/>
  <c r="F7" i="19"/>
  <c r="C43" i="19"/>
  <c r="F43" i="19" s="1"/>
  <c r="I43" i="19" s="1"/>
  <c r="H137" i="22"/>
  <c r="H136" i="22"/>
  <c r="H135" i="22"/>
  <c r="H134" i="22"/>
  <c r="H133" i="22"/>
  <c r="H132" i="22"/>
  <c r="H131" i="22"/>
  <c r="H130" i="22"/>
  <c r="H129" i="22"/>
  <c r="H128" i="22"/>
  <c r="H127" i="22"/>
  <c r="H126" i="22"/>
  <c r="H101" i="22"/>
  <c r="H102" i="22"/>
  <c r="H103" i="22"/>
  <c r="H104" i="22"/>
  <c r="H105" i="22"/>
  <c r="H106" i="22"/>
  <c r="H107" i="22"/>
  <c r="H108" i="22"/>
  <c r="H109" i="22"/>
  <c r="H110" i="22"/>
  <c r="H111" i="22"/>
  <c r="H100" i="22"/>
  <c r="H88" i="22"/>
  <c r="H89" i="22"/>
  <c r="H90" i="22"/>
  <c r="H91" i="22"/>
  <c r="H92" i="22"/>
  <c r="H93" i="22"/>
  <c r="H94" i="22"/>
  <c r="H95" i="22"/>
  <c r="H96" i="22"/>
  <c r="H97" i="22"/>
  <c r="H98" i="22"/>
  <c r="H87" i="22"/>
  <c r="H75" i="22"/>
  <c r="H76" i="22"/>
  <c r="H77" i="22"/>
  <c r="H78" i="22"/>
  <c r="H79" i="22"/>
  <c r="H80" i="22"/>
  <c r="H81" i="22"/>
  <c r="H82" i="22"/>
  <c r="H83" i="22"/>
  <c r="H84" i="22"/>
  <c r="H85" i="22"/>
  <c r="H74" i="22"/>
  <c r="K43" i="19" l="1"/>
  <c r="C5" i="23"/>
  <c r="C27" i="7"/>
  <c r="C4" i="19"/>
  <c r="I45" i="19" s="1"/>
  <c r="C3" i="19"/>
  <c r="C44" i="19" l="1"/>
  <c r="F44" i="19" s="1"/>
  <c r="I44" i="19" s="1"/>
  <c r="I47" i="19" l="1"/>
  <c r="G20" i="5"/>
  <c r="H20" i="5"/>
  <c r="I20" i="5"/>
  <c r="J20" i="5"/>
  <c r="K20" i="5"/>
  <c r="L20" i="5"/>
  <c r="M20" i="5"/>
  <c r="G19" i="5"/>
  <c r="H19" i="5"/>
  <c r="I19" i="5"/>
  <c r="J19" i="5"/>
  <c r="K19" i="5"/>
  <c r="L19" i="5"/>
  <c r="M19" i="5"/>
  <c r="G15" i="5"/>
  <c r="H15" i="5"/>
  <c r="I15" i="5"/>
  <c r="J15" i="5"/>
  <c r="K15" i="5"/>
  <c r="L15" i="5"/>
  <c r="M15" i="5"/>
  <c r="G14" i="5"/>
  <c r="H14" i="5"/>
  <c r="I14" i="5"/>
  <c r="J14" i="5"/>
  <c r="K14" i="5"/>
  <c r="L14" i="5"/>
  <c r="M14" i="5"/>
  <c r="G13" i="5"/>
  <c r="H13" i="5"/>
  <c r="I13" i="5"/>
  <c r="J13" i="5"/>
  <c r="K13" i="5"/>
  <c r="L13" i="5"/>
  <c r="M13" i="5"/>
  <c r="G8" i="5"/>
  <c r="H8" i="5"/>
  <c r="I8" i="5"/>
  <c r="J8" i="5"/>
  <c r="K8" i="5"/>
  <c r="L8" i="5"/>
  <c r="M8" i="5"/>
  <c r="G6" i="5"/>
  <c r="H6" i="5"/>
  <c r="I6" i="5"/>
  <c r="J6" i="5"/>
  <c r="K6" i="5"/>
  <c r="L6" i="5"/>
  <c r="M6" i="5"/>
  <c r="C9" i="6"/>
  <c r="F20" i="5"/>
  <c r="E52" i="36"/>
  <c r="E51" i="36"/>
  <c r="C51" i="36"/>
  <c r="E50" i="36"/>
  <c r="C49" i="36"/>
  <c r="E49" i="36" s="1"/>
  <c r="E48" i="36"/>
  <c r="C48" i="36"/>
  <c r="C47" i="36"/>
  <c r="E47" i="36" s="1"/>
  <c r="C46" i="36"/>
  <c r="E46" i="36" s="1"/>
  <c r="C45" i="36"/>
  <c r="E45" i="36" s="1"/>
  <c r="H29" i="36"/>
  <c r="D29" i="36"/>
  <c r="C39" i="36" s="1"/>
  <c r="C29" i="36"/>
  <c r="H14" i="36"/>
  <c r="H12" i="36"/>
  <c r="D29" i="4"/>
  <c r="G29" i="4" s="1"/>
  <c r="G24" i="4"/>
  <c r="G23" i="4"/>
  <c r="F21" i="4"/>
  <c r="G21" i="4" s="1"/>
  <c r="F20" i="4"/>
  <c r="G20" i="4" s="1"/>
  <c r="D18" i="4"/>
  <c r="J14" i="4"/>
  <c r="L13" i="4"/>
  <c r="L12" i="4"/>
  <c r="L11" i="4"/>
  <c r="L10" i="4"/>
  <c r="L9" i="4"/>
  <c r="L14" i="4" s="1"/>
  <c r="F8" i="4"/>
  <c r="F10" i="4" s="1"/>
  <c r="F7" i="5" l="1"/>
  <c r="F14" i="5"/>
  <c r="F19" i="5"/>
  <c r="F15" i="5"/>
  <c r="C40" i="36"/>
  <c r="D35" i="36"/>
  <c r="C37" i="36"/>
  <c r="D37" i="36" s="1"/>
  <c r="E53" i="36"/>
  <c r="E9" i="6"/>
  <c r="E26" i="7" s="1"/>
  <c r="F22" i="4"/>
  <c r="G22" i="4" s="1"/>
  <c r="F16" i="4"/>
  <c r="G16" i="4" s="1"/>
  <c r="F15" i="4"/>
  <c r="G25" i="4"/>
  <c r="G8" i="4"/>
  <c r="G10" i="4" s="1"/>
  <c r="D30" i="4" s="1"/>
  <c r="G30" i="4" s="1"/>
  <c r="G31" i="4" s="1"/>
  <c r="E7" i="2" l="1"/>
  <c r="F12" i="5"/>
  <c r="F18" i="4"/>
  <c r="G15" i="4"/>
  <c r="G18" i="4" s="1"/>
  <c r="F8" i="5" l="1"/>
  <c r="F13" i="5" l="1"/>
  <c r="F9" i="6" l="1"/>
  <c r="G9" i="6" l="1"/>
  <c r="H9" i="6" l="1"/>
  <c r="I9" i="6" l="1"/>
  <c r="J9" i="6" l="1"/>
  <c r="K9" i="6" l="1"/>
  <c r="L9" i="6" l="1"/>
  <c r="J38" i="2" l="1"/>
  <c r="H37" i="2"/>
  <c r="J37" i="2" s="1"/>
  <c r="J36" i="2"/>
  <c r="H35" i="2"/>
  <c r="J35" i="2" s="1"/>
  <c r="H34" i="2"/>
  <c r="J34" i="2" s="1"/>
  <c r="H33" i="2"/>
  <c r="J33" i="2" s="1"/>
  <c r="H32" i="2"/>
  <c r="J32" i="2" s="1"/>
  <c r="H31" i="2"/>
  <c r="J31" i="2" s="1"/>
  <c r="D27" i="2"/>
  <c r="J39" i="2" l="1"/>
  <c r="K8" i="8"/>
  <c r="L8" i="8"/>
  <c r="B9" i="22"/>
  <c r="E55" i="24" l="1"/>
  <c r="E61" i="24"/>
  <c r="D62" i="24" s="1"/>
  <c r="F9" i="7"/>
  <c r="G9" i="7"/>
  <c r="H9" i="7"/>
  <c r="I9" i="7"/>
  <c r="J9" i="7"/>
  <c r="K9" i="7"/>
  <c r="L9" i="7"/>
  <c r="H43" i="19"/>
  <c r="E43" i="19"/>
  <c r="C19" i="6" s="1"/>
  <c r="C47" i="19"/>
  <c r="D19" i="6" l="1"/>
  <c r="E19" i="6" s="1"/>
  <c r="F19" i="6" s="1"/>
  <c r="G19" i="6" s="1"/>
  <c r="H19" i="6" s="1"/>
  <c r="I19" i="6" s="1"/>
  <c r="J19" i="6" s="1"/>
  <c r="K19" i="6" s="1"/>
  <c r="L19" i="6" s="1"/>
  <c r="M19" i="6" s="1"/>
  <c r="F47" i="19"/>
  <c r="E184" i="22" l="1"/>
  <c r="E36" i="22"/>
  <c r="E38" i="22" s="1"/>
  <c r="E40" i="22" s="1"/>
  <c r="E42" i="22" s="1"/>
  <c r="E44" i="22" s="1"/>
  <c r="E46" i="22" s="1"/>
  <c r="E48" i="22" s="1"/>
  <c r="E3" i="24"/>
  <c r="F3" i="24" s="1"/>
  <c r="G3" i="24" s="1"/>
  <c r="H3" i="24" s="1"/>
  <c r="I3" i="24" s="1"/>
  <c r="J3" i="24" s="1"/>
  <c r="K3" i="24" s="1"/>
  <c r="L3" i="24" s="1"/>
  <c r="M3" i="24" s="1"/>
  <c r="K15" i="7"/>
  <c r="L15" i="7"/>
  <c r="E22" i="11"/>
  <c r="F22" i="11" s="1"/>
  <c r="G22" i="11" s="1"/>
  <c r="H22" i="11" s="1"/>
  <c r="I22" i="11" s="1"/>
  <c r="J22" i="11" s="1"/>
  <c r="K22" i="11" s="1"/>
  <c r="L22" i="11" s="1"/>
  <c r="M22" i="11" s="1"/>
  <c r="E20" i="11"/>
  <c r="F20" i="11" s="1"/>
  <c r="G20" i="11" s="1"/>
  <c r="H20" i="11" s="1"/>
  <c r="I20" i="11" s="1"/>
  <c r="J20" i="11" s="1"/>
  <c r="K20" i="11" s="1"/>
  <c r="L20" i="11" s="1"/>
  <c r="M20" i="11" s="1"/>
  <c r="E15" i="11"/>
  <c r="F15" i="11" s="1"/>
  <c r="G15" i="11" s="1"/>
  <c r="H15" i="11" s="1"/>
  <c r="I15" i="11" s="1"/>
  <c r="J15" i="11" s="1"/>
  <c r="K15" i="11" s="1"/>
  <c r="L15" i="11" s="1"/>
  <c r="M15" i="11" s="1"/>
  <c r="E156" i="22" l="1"/>
  <c r="E157" i="22" s="1"/>
  <c r="E158" i="22" s="1"/>
  <c r="E159" i="22" s="1"/>
  <c r="E160" i="22" s="1"/>
  <c r="E161" i="22" s="1"/>
  <c r="E162" i="22" s="1"/>
  <c r="E163" i="22" s="1"/>
  <c r="E165" i="22" s="1"/>
  <c r="E166" i="22" l="1"/>
  <c r="E167" i="22" s="1"/>
  <c r="E168" i="22" s="1"/>
  <c r="E169" i="22" s="1"/>
  <c r="E170" i="22" s="1"/>
  <c r="E171" i="22" s="1"/>
  <c r="E172" i="22" s="1"/>
  <c r="E173" i="22" s="1"/>
  <c r="E174" i="22" s="1"/>
  <c r="E175" i="22" s="1"/>
  <c r="E176" i="22" s="1"/>
  <c r="E178" i="22" s="1"/>
  <c r="O7" i="22" l="1"/>
  <c r="M13" i="6" s="1"/>
  <c r="M24" i="10" s="1"/>
  <c r="E179" i="22"/>
  <c r="E180" i="22" s="1"/>
  <c r="E181" i="22" s="1"/>
  <c r="E182" i="22" s="1"/>
  <c r="E185" i="22" s="1"/>
  <c r="E186" i="22" s="1"/>
  <c r="E187" i="22" s="1"/>
  <c r="E188" i="22" s="1"/>
  <c r="E189" i="22" s="1"/>
  <c r="L9" i="5"/>
  <c r="L10" i="5" s="1"/>
  <c r="P7" i="22" l="1"/>
  <c r="L46" i="5"/>
  <c r="K17" i="10"/>
  <c r="K5" i="25"/>
  <c r="K37" i="10"/>
  <c r="L21" i="5"/>
  <c r="K40" i="10" s="1"/>
  <c r="L6" i="11"/>
  <c r="L29" i="11" s="1"/>
  <c r="L8" i="11"/>
  <c r="L21" i="11" s="1"/>
  <c r="M9" i="5"/>
  <c r="M10" i="5" s="1"/>
  <c r="L7" i="11" l="1"/>
  <c r="L16" i="11" s="1"/>
  <c r="L17" i="10"/>
  <c r="L5" i="25"/>
  <c r="L37" i="10"/>
  <c r="M6" i="11"/>
  <c r="M29" i="11" s="1"/>
  <c r="M8" i="11"/>
  <c r="M21" i="11" s="1"/>
  <c r="M46" i="5"/>
  <c r="E30" i="11"/>
  <c r="F30" i="11" s="1"/>
  <c r="G30" i="11" s="1"/>
  <c r="H30" i="11" s="1"/>
  <c r="I30" i="11" s="1"/>
  <c r="J30" i="11" s="1"/>
  <c r="K30" i="11" s="1"/>
  <c r="L30" i="11" s="1"/>
  <c r="M30" i="11" s="1"/>
  <c r="L14" i="11" l="1"/>
  <c r="L31" i="11" s="1"/>
  <c r="K28" i="6" s="1"/>
  <c r="M57" i="5"/>
  <c r="N57" i="5"/>
  <c r="L27" i="6"/>
  <c r="M28" i="7" s="1"/>
  <c r="K27" i="6"/>
  <c r="L13" i="11"/>
  <c r="L19" i="11" s="1"/>
  <c r="M7" i="11"/>
  <c r="M13" i="11" s="1"/>
  <c r="M19" i="11" s="1"/>
  <c r="M21" i="5"/>
  <c r="L40" i="10" s="1"/>
  <c r="E49" i="22"/>
  <c r="E50" i="22" s="1"/>
  <c r="E51" i="22" s="1"/>
  <c r="E52" i="22" s="1"/>
  <c r="E53" i="22" s="1"/>
  <c r="E54" i="22" s="1"/>
  <c r="E55" i="22" s="1"/>
  <c r="E56" i="22" s="1"/>
  <c r="E57" i="22" s="1"/>
  <c r="E58" i="22" s="1"/>
  <c r="E59" i="22" s="1"/>
  <c r="E22" i="22"/>
  <c r="E23" i="22" s="1"/>
  <c r="E24" i="22" s="1"/>
  <c r="E25" i="22" s="1"/>
  <c r="E26" i="22" s="1"/>
  <c r="M12" i="11" l="1"/>
  <c r="L28" i="7"/>
  <c r="M16" i="11"/>
  <c r="L33" i="11"/>
  <c r="E27" i="22"/>
  <c r="E28" i="22" s="1"/>
  <c r="E29" i="22" s="1"/>
  <c r="E30" i="22" s="1"/>
  <c r="E31" i="22" s="1"/>
  <c r="E32" i="22" s="1"/>
  <c r="E33" i="22" s="1"/>
  <c r="E35" i="22" s="1"/>
  <c r="M14" i="11" l="1"/>
  <c r="N12" i="11" s="1"/>
  <c r="L30" i="7"/>
  <c r="E37" i="22"/>
  <c r="E39" i="22" s="1"/>
  <c r="E41" i="22" s="1"/>
  <c r="E43" i="22" s="1"/>
  <c r="E45" i="22" s="1"/>
  <c r="F7" i="22"/>
  <c r="D7" i="22"/>
  <c r="E5" i="5"/>
  <c r="F5" i="5" s="1"/>
  <c r="G5" i="5" s="1"/>
  <c r="H5" i="5" s="1"/>
  <c r="I5" i="5" s="1"/>
  <c r="J5" i="5" s="1"/>
  <c r="K5" i="5" s="1"/>
  <c r="L5" i="5" s="1"/>
  <c r="M5" i="5" s="1"/>
  <c r="N5" i="5" s="1"/>
  <c r="D22" i="24"/>
  <c r="E23" i="24"/>
  <c r="F23" i="24" s="1"/>
  <c r="D27" i="24"/>
  <c r="M31" i="11" l="1"/>
  <c r="E7" i="22"/>
  <c r="G23" i="24"/>
  <c r="F27" i="24"/>
  <c r="F28" i="24" s="1"/>
  <c r="E27" i="24"/>
  <c r="L28" i="6" l="1"/>
  <c r="M33" i="11"/>
  <c r="G27" i="24"/>
  <c r="G28" i="24" s="1"/>
  <c r="H23" i="24"/>
  <c r="I23" i="24" s="1"/>
  <c r="M29" i="7" l="1"/>
  <c r="L29" i="7"/>
  <c r="I27" i="24"/>
  <c r="J23" i="24"/>
  <c r="J27" i="24" s="1"/>
  <c r="H27" i="24"/>
  <c r="H28" i="24" s="1"/>
  <c r="I28" i="24" l="1"/>
  <c r="J28" i="24" s="1"/>
  <c r="D17" i="22" l="1"/>
  <c r="E152" i="22" l="1"/>
  <c r="I51" i="22"/>
  <c r="I50" i="22"/>
  <c r="I53" i="22"/>
  <c r="E154" i="22"/>
  <c r="I49" i="22"/>
  <c r="I52" i="22"/>
  <c r="I48" i="22"/>
  <c r="E153" i="22"/>
  <c r="I36" i="22"/>
  <c r="I39" i="22"/>
  <c r="I40" i="22"/>
  <c r="I43" i="22"/>
  <c r="I38" i="22"/>
  <c r="I41" i="22"/>
  <c r="I35" i="22"/>
  <c r="I42" i="22"/>
  <c r="I37" i="22"/>
  <c r="I46" i="22"/>
  <c r="I44" i="22"/>
  <c r="I45" i="22"/>
  <c r="E147" i="22"/>
  <c r="E139" i="22"/>
  <c r="E134" i="22"/>
  <c r="E126" i="22"/>
  <c r="E121" i="22"/>
  <c r="E113" i="22"/>
  <c r="E108" i="22"/>
  <c r="E100" i="22"/>
  <c r="E95" i="22"/>
  <c r="E87" i="22"/>
  <c r="E82" i="22"/>
  <c r="E74" i="22"/>
  <c r="E65" i="22"/>
  <c r="E61" i="22"/>
  <c r="E120" i="22"/>
  <c r="E107" i="22"/>
  <c r="E94" i="22"/>
  <c r="E146" i="22"/>
  <c r="E144" i="22"/>
  <c r="E131" i="22"/>
  <c r="E118" i="22"/>
  <c r="E105" i="22"/>
  <c r="E92" i="22"/>
  <c r="E79" i="22"/>
  <c r="E68" i="22"/>
  <c r="E141" i="22"/>
  <c r="E123" i="22"/>
  <c r="E102" i="22"/>
  <c r="E76" i="22"/>
  <c r="E145" i="22"/>
  <c r="E106" i="22"/>
  <c r="E143" i="22"/>
  <c r="E130" i="22"/>
  <c r="E117" i="22"/>
  <c r="E104" i="22"/>
  <c r="E91" i="22"/>
  <c r="E78" i="22"/>
  <c r="E69" i="22"/>
  <c r="E149" i="22"/>
  <c r="E136" i="22"/>
  <c r="E115" i="22"/>
  <c r="E97" i="22"/>
  <c r="E84" i="22"/>
  <c r="E63" i="22"/>
  <c r="E93" i="22"/>
  <c r="E150" i="22"/>
  <c r="E142" i="22"/>
  <c r="E137" i="22"/>
  <c r="E129" i="22"/>
  <c r="E124" i="22"/>
  <c r="E116" i="22"/>
  <c r="E111" i="22"/>
  <c r="E103" i="22"/>
  <c r="E98" i="22"/>
  <c r="E90" i="22"/>
  <c r="E85" i="22"/>
  <c r="E77" i="22"/>
  <c r="E62" i="22"/>
  <c r="E70" i="22"/>
  <c r="E128" i="22"/>
  <c r="E110" i="22"/>
  <c r="E89" i="22"/>
  <c r="E71" i="22"/>
  <c r="E132" i="22"/>
  <c r="E80" i="22"/>
  <c r="E148" i="22"/>
  <c r="E140" i="22"/>
  <c r="E135" i="22"/>
  <c r="E127" i="22"/>
  <c r="E122" i="22"/>
  <c r="E114" i="22"/>
  <c r="E109" i="22"/>
  <c r="E101" i="22"/>
  <c r="E96" i="22"/>
  <c r="E88" i="22"/>
  <c r="E83" i="22"/>
  <c r="E75" i="22"/>
  <c r="E64" i="22"/>
  <c r="E72" i="22"/>
  <c r="E133" i="22"/>
  <c r="E81" i="22"/>
  <c r="E66" i="22"/>
  <c r="E119" i="22"/>
  <c r="E67" i="22"/>
  <c r="D22" i="22"/>
  <c r="B6" i="2"/>
  <c r="B7" i="2" s="1"/>
  <c r="B8" i="2" s="1"/>
  <c r="B9" i="2" s="1"/>
  <c r="B10" i="2" s="1"/>
  <c r="B11" i="2" s="1"/>
  <c r="B12" i="2" s="1"/>
  <c r="B13" i="2" s="1"/>
  <c r="B14" i="2" s="1"/>
  <c r="B15" i="2" s="1"/>
  <c r="F6" i="22" l="1"/>
  <c r="E9" i="7" s="1"/>
  <c r="N7" i="22"/>
  <c r="J7" i="22"/>
  <c r="I24" i="7" s="1"/>
  <c r="G7" i="22"/>
  <c r="K7" i="22"/>
  <c r="J24" i="7" s="1"/>
  <c r="L7" i="22"/>
  <c r="H7" i="22"/>
  <c r="G24" i="7" s="1"/>
  <c r="I7" i="22"/>
  <c r="H24" i="7" s="1"/>
  <c r="M7" i="22"/>
  <c r="F22" i="22"/>
  <c r="D23" i="22" s="1"/>
  <c r="I23" i="22" s="1"/>
  <c r="I22" i="22"/>
  <c r="E49" i="24"/>
  <c r="D43" i="24"/>
  <c r="E58" i="24"/>
  <c r="G22" i="22" l="1"/>
  <c r="L13" i="6"/>
  <c r="M14" i="8"/>
  <c r="M24" i="7"/>
  <c r="N37" i="5" s="1"/>
  <c r="L14" i="8"/>
  <c r="L24" i="7"/>
  <c r="K13" i="6"/>
  <c r="F23" i="22"/>
  <c r="D24" i="22" s="1"/>
  <c r="I24" i="22" s="1"/>
  <c r="K14" i="8"/>
  <c r="K24" i="7"/>
  <c r="L37" i="5" s="1"/>
  <c r="J13" i="6"/>
  <c r="Q7" i="22"/>
  <c r="I14" i="8"/>
  <c r="H13" i="6"/>
  <c r="J37" i="5"/>
  <c r="I37" i="5"/>
  <c r="H14" i="8"/>
  <c r="C24" i="7"/>
  <c r="E45" i="24"/>
  <c r="E57" i="24"/>
  <c r="G23" i="22" l="1"/>
  <c r="M37" i="5"/>
  <c r="F24" i="22"/>
  <c r="D25" i="22" s="1"/>
  <c r="I25" i="22" s="1"/>
  <c r="G24" i="22"/>
  <c r="E51" i="24"/>
  <c r="E53" i="24" s="1"/>
  <c r="E59" i="24" s="1"/>
  <c r="E60" i="24" s="1"/>
  <c r="D19" i="24" s="1"/>
  <c r="N64" i="24" s="1"/>
  <c r="F25" i="22" l="1"/>
  <c r="D26" i="22" s="1"/>
  <c r="I26" i="22" s="1"/>
  <c r="G25" i="22"/>
  <c r="C14" i="8"/>
  <c r="D55" i="3"/>
  <c r="D13" i="3"/>
  <c r="D10" i="3"/>
  <c r="F26" i="22" l="1"/>
  <c r="D27" i="22" s="1"/>
  <c r="I27" i="22" s="1"/>
  <c r="G26" i="22"/>
  <c r="F27" i="22" l="1"/>
  <c r="D28" i="22" s="1"/>
  <c r="I28" i="22" s="1"/>
  <c r="G27" i="22"/>
  <c r="H16" i="3"/>
  <c r="H17" i="3" s="1"/>
  <c r="F28" i="22" l="1"/>
  <c r="D29" i="22" s="1"/>
  <c r="I29" i="22" s="1"/>
  <c r="J21" i="1"/>
  <c r="J22" i="1"/>
  <c r="J19" i="1"/>
  <c r="F29" i="22" l="1"/>
  <c r="D30" i="22" s="1"/>
  <c r="I30" i="22" s="1"/>
  <c r="G28" i="22"/>
  <c r="E32" i="27"/>
  <c r="E33" i="27" s="1"/>
  <c r="F30" i="22" l="1"/>
  <c r="D31" i="22" s="1"/>
  <c r="I31" i="22" s="1"/>
  <c r="G29" i="22"/>
  <c r="G30" i="22"/>
  <c r="F31" i="22"/>
  <c r="D32" i="22" s="1"/>
  <c r="I32" i="22" s="1"/>
  <c r="K37" i="5"/>
  <c r="J14" i="8"/>
  <c r="I13" i="6"/>
  <c r="O18" i="27"/>
  <c r="Q18" i="27" s="1"/>
  <c r="O15" i="27"/>
  <c r="Q15" i="27" s="1"/>
  <c r="Q12" i="27"/>
  <c r="O12" i="27"/>
  <c r="O9" i="27"/>
  <c r="Q9" i="27" s="1"/>
  <c r="I174" i="1"/>
  <c r="G31" i="22" l="1"/>
  <c r="F32" i="22"/>
  <c r="D33" i="22" s="1"/>
  <c r="I33" i="22" s="1"/>
  <c r="D6" i="22" s="1"/>
  <c r="I35" i="3"/>
  <c r="J35" i="3" s="1"/>
  <c r="F35" i="3"/>
  <c r="H36" i="3"/>
  <c r="H37" i="3" s="1"/>
  <c r="D75" i="24"/>
  <c r="E62" i="24"/>
  <c r="H5" i="24"/>
  <c r="C9" i="7" l="1"/>
  <c r="G32" i="22"/>
  <c r="F33" i="22"/>
  <c r="D35" i="22" s="1"/>
  <c r="I5" i="24"/>
  <c r="J5" i="24" s="1"/>
  <c r="K5" i="24" s="1"/>
  <c r="L5" i="24" s="1"/>
  <c r="M5" i="24" s="1"/>
  <c r="N5" i="24" s="1"/>
  <c r="E64" i="24"/>
  <c r="G77" i="24"/>
  <c r="H77" i="24" s="1"/>
  <c r="D64" i="24"/>
  <c r="D49" i="3"/>
  <c r="I54" i="3"/>
  <c r="G54" i="3"/>
  <c r="G33" i="22" l="1"/>
  <c r="F35" i="22"/>
  <c r="I77" i="24"/>
  <c r="J77" i="24" s="1"/>
  <c r="K77" i="24" s="1"/>
  <c r="L77" i="24" s="1"/>
  <c r="M77" i="24" s="1"/>
  <c r="N77" i="24" s="1"/>
  <c r="F62" i="24"/>
  <c r="G62" i="24" s="1"/>
  <c r="F11" i="26"/>
  <c r="G5" i="26"/>
  <c r="H5" i="26" s="1"/>
  <c r="I5" i="26" s="1"/>
  <c r="J5" i="26" s="1"/>
  <c r="K5" i="26" s="1"/>
  <c r="L5" i="26" s="1"/>
  <c r="M5" i="26" s="1"/>
  <c r="N5" i="26" s="1"/>
  <c r="O5" i="26" s="1"/>
  <c r="P5" i="26" s="1"/>
  <c r="D10" i="22" l="1"/>
  <c r="D47" i="19" s="1"/>
  <c r="D9" i="22"/>
  <c r="G35" i="22"/>
  <c r="F64" i="24"/>
  <c r="H62" i="24"/>
  <c r="I62" i="24" s="1"/>
  <c r="G64" i="24"/>
  <c r="G153" i="1"/>
  <c r="G101" i="1"/>
  <c r="G19" i="1"/>
  <c r="C22" i="25"/>
  <c r="D18" i="25"/>
  <c r="D22" i="25" s="1"/>
  <c r="C17" i="25"/>
  <c r="D4" i="25"/>
  <c r="D17" i="25" s="1"/>
  <c r="D45" i="19" l="1"/>
  <c r="E45" i="19" s="1"/>
  <c r="C21" i="6" s="1"/>
  <c r="D46" i="19"/>
  <c r="E46" i="19" s="1"/>
  <c r="D44" i="19"/>
  <c r="E44" i="19" s="1"/>
  <c r="C20" i="6" s="1"/>
  <c r="E47" i="19"/>
  <c r="J62" i="24"/>
  <c r="K62" i="24" s="1"/>
  <c r="I64" i="24"/>
  <c r="E18" i="25"/>
  <c r="E22" i="25" s="1"/>
  <c r="E23" i="25" s="1"/>
  <c r="H64" i="24"/>
  <c r="E4" i="25"/>
  <c r="L62" i="24" l="1"/>
  <c r="K64" i="24"/>
  <c r="J64" i="24"/>
  <c r="F18" i="25"/>
  <c r="G18" i="25" s="1"/>
  <c r="H18" i="25" s="1"/>
  <c r="F4" i="25"/>
  <c r="E17" i="25"/>
  <c r="L64" i="24" l="1"/>
  <c r="M62" i="24"/>
  <c r="H22" i="25"/>
  <c r="I18" i="25"/>
  <c r="I22" i="25" s="1"/>
  <c r="F22" i="25"/>
  <c r="F23" i="25" s="1"/>
  <c r="G4" i="25"/>
  <c r="H4" i="25" s="1"/>
  <c r="F17" i="25"/>
  <c r="G22" i="25"/>
  <c r="M64" i="24" l="1"/>
  <c r="I4" i="25"/>
  <c r="H17" i="25"/>
  <c r="G23" i="25"/>
  <c r="H23" i="25" s="1"/>
  <c r="I23" i="25" s="1"/>
  <c r="G17" i="25"/>
  <c r="I17" i="25" l="1"/>
  <c r="J4" i="25"/>
  <c r="K4" i="25" s="1"/>
  <c r="L4" i="25" s="1"/>
  <c r="J18" i="25"/>
  <c r="J22" i="25" s="1"/>
  <c r="J23" i="25" l="1"/>
  <c r="J17" i="25" l="1"/>
  <c r="E4" i="24" l="1"/>
  <c r="E22" i="24" s="1"/>
  <c r="F4" i="24" l="1"/>
  <c r="E75" i="24"/>
  <c r="F75" i="24" l="1"/>
  <c r="F22" i="24"/>
  <c r="G4" i="24"/>
  <c r="G75" i="24" l="1"/>
  <c r="G22" i="24"/>
  <c r="H4" i="24"/>
  <c r="I4" i="24" s="1"/>
  <c r="I22" i="24" l="1"/>
  <c r="I75" i="24"/>
  <c r="J4" i="24"/>
  <c r="K4" i="24" s="1"/>
  <c r="H75" i="24"/>
  <c r="H22" i="24"/>
  <c r="L4" i="24" l="1"/>
  <c r="K75" i="24"/>
  <c r="J75" i="24"/>
  <c r="J22" i="24"/>
  <c r="M4" i="24" l="1"/>
  <c r="M75" i="24" s="1"/>
  <c r="L75" i="24"/>
  <c r="E29" i="8" l="1"/>
  <c r="E28" i="8"/>
  <c r="D30" i="8"/>
  <c r="D5" i="10"/>
  <c r="E5" i="10" s="1"/>
  <c r="F5" i="10" s="1"/>
  <c r="G5" i="10" s="1"/>
  <c r="H5" i="10" s="1"/>
  <c r="I5" i="10" s="1"/>
  <c r="J5" i="10" s="1"/>
  <c r="K5" i="10" s="1"/>
  <c r="L5" i="10" s="1"/>
  <c r="G30" i="1"/>
  <c r="G27" i="1"/>
  <c r="F7" i="12"/>
  <c r="D5" i="11"/>
  <c r="E5" i="11" s="1"/>
  <c r="F5" i="11" s="1"/>
  <c r="G5" i="11" s="1"/>
  <c r="H5" i="11" s="1"/>
  <c r="I5" i="11" s="1"/>
  <c r="J5" i="11" s="1"/>
  <c r="K5" i="11" s="1"/>
  <c r="L5" i="11" s="1"/>
  <c r="M5" i="11" s="1"/>
  <c r="D27" i="19"/>
  <c r="E27" i="19" s="1"/>
  <c r="F27" i="19" s="1"/>
  <c r="G27" i="19" s="1"/>
  <c r="H27" i="19" s="1"/>
  <c r="I27" i="19" s="1"/>
  <c r="J27" i="19" s="1"/>
  <c r="K27" i="19" s="1"/>
  <c r="D3" i="6"/>
  <c r="E3" i="6" s="1"/>
  <c r="F3" i="6" s="1"/>
  <c r="G3" i="6" s="1"/>
  <c r="H3" i="6" s="1"/>
  <c r="I3" i="6" s="1"/>
  <c r="J3" i="6" s="1"/>
  <c r="K3" i="6" s="1"/>
  <c r="L3" i="6" s="1"/>
  <c r="M3" i="6" s="1"/>
  <c r="D3" i="7"/>
  <c r="E3" i="7" s="1"/>
  <c r="F3" i="7" s="1"/>
  <c r="G3" i="7" s="1"/>
  <c r="H3" i="7" s="1"/>
  <c r="I3" i="7" s="1"/>
  <c r="J3" i="7" s="1"/>
  <c r="K3" i="7" s="1"/>
  <c r="L3" i="7" s="1"/>
  <c r="M3" i="7" s="1"/>
  <c r="D4" i="8"/>
  <c r="E4" i="8" s="1"/>
  <c r="F4" i="8" s="1"/>
  <c r="G4" i="8" s="1"/>
  <c r="H4" i="8" s="1"/>
  <c r="I4" i="8" s="1"/>
  <c r="J4" i="8" s="1"/>
  <c r="K4" i="8" s="1"/>
  <c r="L4" i="8" s="1"/>
  <c r="M4" i="8" s="1"/>
  <c r="E4" i="22"/>
  <c r="G159" i="1"/>
  <c r="G124" i="1"/>
  <c r="G86" i="1"/>
  <c r="G92" i="1" s="1"/>
  <c r="G84" i="1"/>
  <c r="G67" i="1"/>
  <c r="F179" i="1"/>
  <c r="G179" i="1" s="1"/>
  <c r="G21" i="1"/>
  <c r="D50" i="3"/>
  <c r="G59" i="1"/>
  <c r="G57" i="1"/>
  <c r="H14" i="12"/>
  <c r="C21" i="16"/>
  <c r="C27" i="16"/>
  <c r="C26" i="16"/>
  <c r="C31" i="16"/>
  <c r="C24" i="16"/>
  <c r="C23" i="16"/>
  <c r="C22" i="16"/>
  <c r="E24" i="11"/>
  <c r="F24" i="11" s="1"/>
  <c r="G24" i="11" s="1"/>
  <c r="H24" i="11" s="1"/>
  <c r="I24" i="11" s="1"/>
  <c r="J24" i="11" s="1"/>
  <c r="K24" i="11" s="1"/>
  <c r="L24" i="11" s="1"/>
  <c r="M24" i="11" s="1"/>
  <c r="D51" i="3"/>
  <c r="D45" i="3"/>
  <c r="D30" i="3"/>
  <c r="D56" i="3" s="1"/>
  <c r="G58" i="1"/>
  <c r="G156" i="1"/>
  <c r="B7" i="12"/>
  <c r="C7" i="12"/>
  <c r="C4" i="16"/>
  <c r="C15" i="16" s="1"/>
  <c r="C20" i="16"/>
  <c r="D7" i="12"/>
  <c r="C13" i="18"/>
  <c r="B13" i="18"/>
  <c r="E11" i="18"/>
  <c r="E10" i="18"/>
  <c r="E9" i="18"/>
  <c r="E8" i="18"/>
  <c r="E7" i="18"/>
  <c r="E6" i="18"/>
  <c r="D6" i="18"/>
  <c r="E5" i="18"/>
  <c r="E4" i="18"/>
  <c r="D4" i="18"/>
  <c r="E3" i="18"/>
  <c r="E2" i="18"/>
  <c r="E13" i="18" s="1"/>
  <c r="C25" i="13"/>
  <c r="E25" i="13" s="1"/>
  <c r="C26" i="13"/>
  <c r="C27" i="13" s="1"/>
  <c r="E24" i="13"/>
  <c r="E7" i="12"/>
  <c r="C6" i="13"/>
  <c r="E6" i="13" s="1"/>
  <c r="E5" i="13"/>
  <c r="G7" i="12"/>
  <c r="C7" i="16"/>
  <c r="C17" i="16" s="1"/>
  <c r="C6" i="16"/>
  <c r="C16" i="16" s="1"/>
  <c r="C5" i="16"/>
  <c r="C21" i="15"/>
  <c r="C20" i="15"/>
  <c r="C19" i="15"/>
  <c r="C18" i="15"/>
  <c r="C17" i="15"/>
  <c r="C16" i="15"/>
  <c r="H7" i="12"/>
  <c r="D54" i="3"/>
  <c r="C12" i="16" s="1"/>
  <c r="D53" i="3"/>
  <c r="C11" i="16" s="1"/>
  <c r="D48" i="3"/>
  <c r="C13" i="16"/>
  <c r="C14" i="15"/>
  <c r="C8" i="16"/>
  <c r="C18" i="16" s="1"/>
  <c r="G173" i="1"/>
  <c r="G172" i="1"/>
  <c r="G171" i="1"/>
  <c r="G170" i="1"/>
  <c r="G169" i="1"/>
  <c r="G168" i="1"/>
  <c r="G167" i="1"/>
  <c r="G158" i="1"/>
  <c r="G157" i="1"/>
  <c r="G152" i="1"/>
  <c r="G151" i="1"/>
  <c r="G129" i="1"/>
  <c r="G130" i="1" s="1"/>
  <c r="G53" i="1"/>
  <c r="G55" i="1" s="1"/>
  <c r="G46" i="1"/>
  <c r="G45" i="1"/>
  <c r="G41" i="1"/>
  <c r="G40" i="1"/>
  <c r="G39" i="1"/>
  <c r="G38" i="1"/>
  <c r="G37" i="1"/>
  <c r="G36" i="1"/>
  <c r="G35" i="1"/>
  <c r="G34" i="1"/>
  <c r="G31" i="1"/>
  <c r="G26" i="1"/>
  <c r="G29" i="1"/>
  <c r="G28" i="1"/>
  <c r="G25" i="1"/>
  <c r="G24" i="1"/>
  <c r="G23" i="1"/>
  <c r="G22" i="1"/>
  <c r="G20" i="1"/>
  <c r="G18" i="1"/>
  <c r="G17" i="1"/>
  <c r="G16" i="1"/>
  <c r="G15" i="1"/>
  <c r="G14" i="1"/>
  <c r="G13" i="1"/>
  <c r="G12" i="1"/>
  <c r="C42" i="16"/>
  <c r="C46" i="16" s="1"/>
  <c r="D12" i="11"/>
  <c r="I6" i="12"/>
  <c r="I12" i="12" s="1"/>
  <c r="I13" i="12" s="1"/>
  <c r="J6" i="12"/>
  <c r="J12" i="12" s="1"/>
  <c r="J13" i="12" s="1"/>
  <c r="K6" i="12"/>
  <c r="K12" i="12" s="1"/>
  <c r="K13" i="12" s="1"/>
  <c r="C37" i="16"/>
  <c r="G178" i="1"/>
  <c r="C41" i="16"/>
  <c r="C5" i="12"/>
  <c r="D37" i="5"/>
  <c r="B6" i="12"/>
  <c r="D9" i="5" l="1"/>
  <c r="F9" i="5"/>
  <c r="F10" i="5" s="1"/>
  <c r="E9" i="5"/>
  <c r="H9" i="5"/>
  <c r="H10" i="5" s="1"/>
  <c r="I9" i="5"/>
  <c r="I10" i="5" s="1"/>
  <c r="J9" i="5"/>
  <c r="J10" i="5" s="1"/>
  <c r="K9" i="5"/>
  <c r="K10" i="5" s="1"/>
  <c r="C52" i="16"/>
  <c r="F4" i="22"/>
  <c r="B12" i="12"/>
  <c r="C12" i="15"/>
  <c r="C51" i="16"/>
  <c r="C28" i="13"/>
  <c r="E27" i="13"/>
  <c r="E26" i="13"/>
  <c r="C13" i="15"/>
  <c r="G160" i="1"/>
  <c r="C7" i="13"/>
  <c r="G42" i="1"/>
  <c r="G154" i="1"/>
  <c r="E30" i="8"/>
  <c r="B8" i="12"/>
  <c r="C50" i="16"/>
  <c r="C49" i="16"/>
  <c r="G181" i="1"/>
  <c r="C15" i="15"/>
  <c r="C14" i="16"/>
  <c r="G174" i="1"/>
  <c r="G60" i="1"/>
  <c r="G162" i="1" s="1"/>
  <c r="G47" i="1"/>
  <c r="G32" i="1"/>
  <c r="E8" i="11" l="1"/>
  <c r="E21" i="11" s="1"/>
  <c r="F8" i="11"/>
  <c r="F21" i="11" s="1"/>
  <c r="H8" i="11"/>
  <c r="H21" i="11" s="1"/>
  <c r="I8" i="11"/>
  <c r="I21" i="11" s="1"/>
  <c r="K8" i="11"/>
  <c r="K21" i="11" s="1"/>
  <c r="D8" i="11"/>
  <c r="D21" i="11" s="1"/>
  <c r="J8" i="11"/>
  <c r="J21" i="11" s="1"/>
  <c r="J5" i="25"/>
  <c r="K46" i="5"/>
  <c r="L57" i="5" s="1"/>
  <c r="J46" i="5"/>
  <c r="I5" i="25"/>
  <c r="I46" i="5"/>
  <c r="H5" i="25"/>
  <c r="J17" i="10"/>
  <c r="J37" i="10"/>
  <c r="G4" i="22"/>
  <c r="C17" i="10"/>
  <c r="E7" i="13"/>
  <c r="C8" i="13"/>
  <c r="E28" i="13"/>
  <c r="C29" i="13"/>
  <c r="C35" i="16"/>
  <c r="I173" i="1"/>
  <c r="G163" i="1"/>
  <c r="G164" i="1" s="1"/>
  <c r="C34" i="16"/>
  <c r="F49" i="1"/>
  <c r="E21" i="5" l="1"/>
  <c r="H21" i="5"/>
  <c r="I21" i="5"/>
  <c r="K21" i="5"/>
  <c r="F21" i="5"/>
  <c r="J21" i="5"/>
  <c r="D21" i="5"/>
  <c r="J57" i="5"/>
  <c r="E46" i="5"/>
  <c r="D37" i="10"/>
  <c r="D17" i="10"/>
  <c r="F46" i="5"/>
  <c r="E37" i="10"/>
  <c r="E17" i="10"/>
  <c r="H4" i="22"/>
  <c r="C5" i="25"/>
  <c r="D6" i="11"/>
  <c r="D29" i="11" s="1"/>
  <c r="C27" i="6" s="1"/>
  <c r="C37" i="10"/>
  <c r="D46" i="5"/>
  <c r="D7" i="11"/>
  <c r="D13" i="11" s="1"/>
  <c r="D19" i="11" s="1"/>
  <c r="E29" i="13"/>
  <c r="C30" i="13"/>
  <c r="E30" i="13" s="1"/>
  <c r="C9" i="13"/>
  <c r="E8" i="13"/>
  <c r="D5" i="25"/>
  <c r="E6" i="11"/>
  <c r="E29" i="11" s="1"/>
  <c r="D27" i="6" s="1"/>
  <c r="G49" i="1"/>
  <c r="G50" i="1" s="1"/>
  <c r="I46" i="1"/>
  <c r="E5" i="25"/>
  <c r="F6" i="11"/>
  <c r="F29" i="11" s="1"/>
  <c r="G175" i="1"/>
  <c r="I172" i="1" s="1"/>
  <c r="I175" i="1" s="1"/>
  <c r="C32" i="16"/>
  <c r="D22" i="5" l="1"/>
  <c r="D23" i="5" s="1"/>
  <c r="E22" i="5"/>
  <c r="E23" i="5" s="1"/>
  <c r="F7" i="11"/>
  <c r="F13" i="11" s="1"/>
  <c r="F19" i="11" s="1"/>
  <c r="E57" i="5"/>
  <c r="F57" i="5"/>
  <c r="I4" i="22"/>
  <c r="E27" i="6"/>
  <c r="C28" i="7"/>
  <c r="I7" i="11"/>
  <c r="D16" i="11"/>
  <c r="H7" i="11"/>
  <c r="C10" i="13"/>
  <c r="E9" i="13"/>
  <c r="E7" i="11"/>
  <c r="C33" i="16"/>
  <c r="C6" i="19"/>
  <c r="F17" i="13"/>
  <c r="F36" i="13" s="1"/>
  <c r="D8" i="22"/>
  <c r="D38" i="10" l="1"/>
  <c r="D39" i="10" s="1"/>
  <c r="D51" i="10" s="1"/>
  <c r="F16" i="11"/>
  <c r="C6" i="25"/>
  <c r="C7" i="25" s="1"/>
  <c r="C10" i="25" s="1"/>
  <c r="G37" i="10"/>
  <c r="G17" i="10"/>
  <c r="J4" i="22"/>
  <c r="D14" i="11"/>
  <c r="E12" i="11" s="1"/>
  <c r="D28" i="7"/>
  <c r="E5" i="22"/>
  <c r="I13" i="11"/>
  <c r="I19" i="11" s="1"/>
  <c r="I16" i="11"/>
  <c r="I14" i="11" s="1"/>
  <c r="E13" i="11"/>
  <c r="E16" i="11"/>
  <c r="H13" i="11"/>
  <c r="H19" i="11" s="1"/>
  <c r="H16" i="11"/>
  <c r="H14" i="11" s="1"/>
  <c r="E28" i="7"/>
  <c r="D6" i="25"/>
  <c r="D7" i="25" s="1"/>
  <c r="D10" i="25" s="1"/>
  <c r="H6" i="11"/>
  <c r="H46" i="5"/>
  <c r="G5" i="25"/>
  <c r="E10" i="13"/>
  <c r="C11" i="13"/>
  <c r="F14" i="11" l="1"/>
  <c r="G12" i="11" s="1"/>
  <c r="H29" i="11"/>
  <c r="G27" i="6" s="1"/>
  <c r="C38" i="10"/>
  <c r="C39" i="10" s="1"/>
  <c r="C51" i="10" s="1"/>
  <c r="I57" i="5"/>
  <c r="H37" i="10"/>
  <c r="H17" i="10"/>
  <c r="E19" i="11"/>
  <c r="E24" i="7"/>
  <c r="F37" i="5" s="1"/>
  <c r="E13" i="6"/>
  <c r="F13" i="6"/>
  <c r="G13" i="6"/>
  <c r="K4" i="22"/>
  <c r="D31" i="11"/>
  <c r="I12" i="11"/>
  <c r="E14" i="11"/>
  <c r="F12" i="11" s="1"/>
  <c r="I31" i="11"/>
  <c r="H28" i="6" s="1"/>
  <c r="D11" i="22"/>
  <c r="D25" i="5" s="1"/>
  <c r="I6" i="11"/>
  <c r="C12" i="13"/>
  <c r="E11" i="13"/>
  <c r="J7" i="11"/>
  <c r="F31" i="11" l="1"/>
  <c r="E28" i="6" s="1"/>
  <c r="I29" i="11"/>
  <c r="H27" i="6" s="1"/>
  <c r="H28" i="7" s="1"/>
  <c r="C30" i="7"/>
  <c r="C28" i="6"/>
  <c r="C29" i="7" s="1"/>
  <c r="C8" i="25"/>
  <c r="I17" i="10"/>
  <c r="I37" i="10"/>
  <c r="D14" i="8"/>
  <c r="C13" i="6"/>
  <c r="C8" i="6" s="1"/>
  <c r="E14" i="8"/>
  <c r="D13" i="6"/>
  <c r="L4" i="22"/>
  <c r="M4" i="22" s="1"/>
  <c r="D33" i="11"/>
  <c r="F33" i="11"/>
  <c r="E31" i="11"/>
  <c r="D28" i="6" s="1"/>
  <c r="H31" i="11"/>
  <c r="J12" i="11"/>
  <c r="F24" i="7"/>
  <c r="G37" i="5" s="1"/>
  <c r="F14" i="8"/>
  <c r="H37" i="5"/>
  <c r="G14" i="8"/>
  <c r="D24" i="7"/>
  <c r="E37" i="5" s="1"/>
  <c r="J13" i="11"/>
  <c r="J19" i="11" s="1"/>
  <c r="J16" i="11"/>
  <c r="J14" i="11" s="1"/>
  <c r="K6" i="11"/>
  <c r="K29" i="11" s="1"/>
  <c r="J6" i="11"/>
  <c r="K7" i="11"/>
  <c r="E12" i="13"/>
  <c r="C13" i="13"/>
  <c r="I33" i="11" l="1"/>
  <c r="J29" i="11"/>
  <c r="I27" i="6" s="1"/>
  <c r="I28" i="7" s="1"/>
  <c r="D29" i="7"/>
  <c r="J27" i="6"/>
  <c r="K28" i="7" s="1"/>
  <c r="H33" i="11"/>
  <c r="G28" i="6"/>
  <c r="E29" i="7"/>
  <c r="N4" i="22"/>
  <c r="O4" i="22" s="1"/>
  <c r="P4" i="22" s="1"/>
  <c r="K57" i="5"/>
  <c r="C20" i="10"/>
  <c r="C14" i="10"/>
  <c r="H30" i="7"/>
  <c r="E33" i="11"/>
  <c r="K12" i="11"/>
  <c r="K13" i="11"/>
  <c r="K19" i="11" s="1"/>
  <c r="K16" i="11"/>
  <c r="K14" i="11" s="1"/>
  <c r="D30" i="7"/>
  <c r="E30" i="7"/>
  <c r="C14" i="13"/>
  <c r="E14" i="13" s="1"/>
  <c r="E13" i="13"/>
  <c r="J28" i="7" l="1"/>
  <c r="H29" i="7"/>
  <c r="C19" i="10"/>
  <c r="J31" i="11"/>
  <c r="I28" i="6" s="1"/>
  <c r="I29" i="7" s="1"/>
  <c r="L12" i="11"/>
  <c r="C40" i="16"/>
  <c r="C43" i="16" s="1"/>
  <c r="L9" i="11" l="1"/>
  <c r="K31" i="11"/>
  <c r="J33" i="11"/>
  <c r="C54" i="16"/>
  <c r="C53" i="16"/>
  <c r="L23" i="11" l="1"/>
  <c r="L26" i="11" s="1"/>
  <c r="K30" i="7"/>
  <c r="J28" i="6"/>
  <c r="M9" i="11"/>
  <c r="K33" i="11"/>
  <c r="I30" i="7"/>
  <c r="J30" i="7"/>
  <c r="D9" i="11"/>
  <c r="D23" i="11" s="1"/>
  <c r="D26" i="11" s="1"/>
  <c r="C12" i="6" s="1"/>
  <c r="D40" i="10"/>
  <c r="D52" i="10" s="1"/>
  <c r="D53" i="10" s="1"/>
  <c r="C55" i="16"/>
  <c r="K12" i="6" l="1"/>
  <c r="K24" i="10" s="1"/>
  <c r="L35" i="11"/>
  <c r="L36" i="11" s="1"/>
  <c r="L37" i="11" s="1"/>
  <c r="K14" i="6" s="1"/>
  <c r="M23" i="11"/>
  <c r="M26" i="11" s="1"/>
  <c r="J29" i="7"/>
  <c r="K29" i="7"/>
  <c r="D35" i="11"/>
  <c r="D41" i="11" s="1"/>
  <c r="E9" i="11"/>
  <c r="E23" i="11" s="1"/>
  <c r="E26" i="11" s="1"/>
  <c r="D6" i="10"/>
  <c r="C40" i="10"/>
  <c r="C52" i="10" s="1"/>
  <c r="C53" i="10" s="1"/>
  <c r="J40" i="10"/>
  <c r="K9" i="11"/>
  <c r="K23" i="11" s="1"/>
  <c r="G40" i="10"/>
  <c r="I9" i="11"/>
  <c r="I23" i="11" s="1"/>
  <c r="H40" i="10"/>
  <c r="E40" i="10"/>
  <c r="H9" i="11"/>
  <c r="J9" i="11"/>
  <c r="J23" i="11" s="1"/>
  <c r="I40" i="10"/>
  <c r="F9" i="11"/>
  <c r="L12" i="6" l="1"/>
  <c r="M16" i="7" s="1"/>
  <c r="M35" i="11"/>
  <c r="M41" i="11" s="1"/>
  <c r="F23" i="11"/>
  <c r="F26" i="11" s="1"/>
  <c r="H23" i="11"/>
  <c r="H26" i="11" s="1"/>
  <c r="G12" i="6" s="1"/>
  <c r="L16" i="7"/>
  <c r="L24" i="10"/>
  <c r="C16" i="7"/>
  <c r="C15" i="10"/>
  <c r="J26" i="11"/>
  <c r="K26" i="11"/>
  <c r="J12" i="6" s="1"/>
  <c r="I26" i="11"/>
  <c r="D47" i="5"/>
  <c r="D51" i="5" s="1"/>
  <c r="E35" i="11"/>
  <c r="E41" i="11" s="1"/>
  <c r="D36" i="11"/>
  <c r="D37" i="11" s="1"/>
  <c r="D10" i="24"/>
  <c r="E41" i="5"/>
  <c r="E47" i="5"/>
  <c r="E51" i="5" s="1"/>
  <c r="C6" i="10"/>
  <c r="D41" i="5"/>
  <c r="N41" i="11" l="1"/>
  <c r="N10" i="24"/>
  <c r="M10" i="24"/>
  <c r="M36" i="11"/>
  <c r="M37" i="11" s="1"/>
  <c r="N39" i="11" s="1"/>
  <c r="N26" i="5" s="1"/>
  <c r="M10" i="8" s="1"/>
  <c r="M13" i="8" s="1"/>
  <c r="E12" i="6"/>
  <c r="E16" i="7" s="1"/>
  <c r="F35" i="11"/>
  <c r="F10" i="24" s="1"/>
  <c r="H35" i="11"/>
  <c r="H36" i="11" s="1"/>
  <c r="H37" i="11" s="1"/>
  <c r="C14" i="6"/>
  <c r="C10" i="7" s="1"/>
  <c r="D39" i="11"/>
  <c r="D26" i="5" s="1"/>
  <c r="I35" i="11"/>
  <c r="H12" i="6"/>
  <c r="H16" i="7" s="1"/>
  <c r="J35" i="11"/>
  <c r="I12" i="6"/>
  <c r="J16" i="7" s="1"/>
  <c r="K35" i="11"/>
  <c r="K16" i="7"/>
  <c r="J24" i="10"/>
  <c r="E36" i="11"/>
  <c r="E37" i="11" s="1"/>
  <c r="E10" i="24"/>
  <c r="G24" i="10"/>
  <c r="D16" i="7"/>
  <c r="D24" i="10"/>
  <c r="L14" i="6" l="1"/>
  <c r="M39" i="11"/>
  <c r="M26" i="5" s="1"/>
  <c r="L10" i="8" s="1"/>
  <c r="L13" i="8" s="1"/>
  <c r="F41" i="11"/>
  <c r="C10" i="8"/>
  <c r="C13" i="8" s="1"/>
  <c r="E24" i="10"/>
  <c r="F36" i="11"/>
  <c r="D15" i="2" s="1"/>
  <c r="I10" i="24"/>
  <c r="L10" i="7"/>
  <c r="M10" i="7"/>
  <c r="J41" i="11"/>
  <c r="I41" i="11"/>
  <c r="I36" i="11"/>
  <c r="I37" i="11" s="1"/>
  <c r="H14" i="6" s="1"/>
  <c r="J36" i="11"/>
  <c r="J37" i="11" s="1"/>
  <c r="J10" i="24"/>
  <c r="K41" i="11"/>
  <c r="D14" i="6"/>
  <c r="D10" i="7" s="1"/>
  <c r="E39" i="11"/>
  <c r="E26" i="5" s="1"/>
  <c r="D10" i="8" s="1"/>
  <c r="D13" i="8" s="1"/>
  <c r="G14" i="6"/>
  <c r="I24" i="10"/>
  <c r="K36" i="11"/>
  <c r="K37" i="11" s="1"/>
  <c r="H24" i="10"/>
  <c r="I16" i="7"/>
  <c r="K10" i="24"/>
  <c r="L41" i="11"/>
  <c r="L10" i="24"/>
  <c r="F37" i="11" l="1"/>
  <c r="E14" i="6" s="1"/>
  <c r="J39" i="11"/>
  <c r="J26" i="5" s="1"/>
  <c r="I10" i="8" s="1"/>
  <c r="I39" i="11"/>
  <c r="I26" i="5" s="1"/>
  <c r="H10" i="8" s="1"/>
  <c r="H13" i="8" s="1"/>
  <c r="H10" i="7"/>
  <c r="L39" i="11"/>
  <c r="L26" i="5" s="1"/>
  <c r="K10" i="8" s="1"/>
  <c r="J14" i="6"/>
  <c r="E10" i="7"/>
  <c r="I14" i="6"/>
  <c r="I10" i="7" s="1"/>
  <c r="K39" i="11"/>
  <c r="K26" i="5" s="1"/>
  <c r="J10" i="8" s="1"/>
  <c r="J13" i="8" s="1"/>
  <c r="C24" i="10"/>
  <c r="F39" i="11" l="1"/>
  <c r="F26" i="5" s="1"/>
  <c r="E10" i="8" s="1"/>
  <c r="E13" i="8" s="1"/>
  <c r="K13" i="8"/>
  <c r="I13" i="8"/>
  <c r="J10" i="7"/>
  <c r="K10" i="7"/>
  <c r="C10" i="10"/>
  <c r="C32" i="10" s="1"/>
  <c r="C41" i="10"/>
  <c r="C9" i="8"/>
  <c r="C12" i="8" s="1"/>
  <c r="C15" i="8" s="1"/>
  <c r="C36" i="16"/>
  <c r="C38" i="16" s="1"/>
  <c r="C45" i="16" s="1"/>
  <c r="C47" i="16" s="1"/>
  <c r="G189" i="1"/>
  <c r="D48" i="5" l="1"/>
  <c r="D53" i="5" s="1"/>
  <c r="C6" i="8"/>
  <c r="C24" i="6"/>
  <c r="D8" i="24"/>
  <c r="C42" i="10"/>
  <c r="C43" i="10" s="1"/>
  <c r="C50" i="10" s="1"/>
  <c r="D34" i="5"/>
  <c r="C14" i="7" s="1"/>
  <c r="C11" i="25" l="1"/>
  <c r="C12" i="25" s="1"/>
  <c r="C9" i="25"/>
  <c r="D42" i="10" l="1"/>
  <c r="D24" i="6"/>
  <c r="D6" i="8"/>
  <c r="E48" i="5"/>
  <c r="E53" i="5" s="1"/>
  <c r="E34" i="5"/>
  <c r="D14" i="7" s="1"/>
  <c r="E8" i="24"/>
  <c r="C8" i="7" l="1"/>
  <c r="C12" i="10"/>
  <c r="C21" i="10"/>
  <c r="C35" i="10" s="1"/>
  <c r="D8" i="7" l="1"/>
  <c r="D21" i="10"/>
  <c r="F6" i="6" l="1"/>
  <c r="F8" i="7" s="1"/>
  <c r="E8" i="7"/>
  <c r="E21" i="10"/>
  <c r="G6" i="6" l="1"/>
  <c r="F21" i="10"/>
  <c r="H6" i="6" l="1"/>
  <c r="H8" i="7" s="1"/>
  <c r="G8" i="7"/>
  <c r="G21" i="10"/>
  <c r="I6" i="6" l="1"/>
  <c r="H21" i="10"/>
  <c r="J6" i="6" l="1"/>
  <c r="K6" i="6" s="1"/>
  <c r="I8" i="7"/>
  <c r="I21" i="10"/>
  <c r="K21" i="10" l="1"/>
  <c r="L6" i="6"/>
  <c r="M6" i="6" s="1"/>
  <c r="K8" i="7"/>
  <c r="J21" i="10"/>
  <c r="J8" i="7"/>
  <c r="M21" i="10" l="1"/>
  <c r="M8" i="7"/>
  <c r="L21" i="10"/>
  <c r="L8" i="7"/>
  <c r="C11" i="7" l="1"/>
  <c r="D11" i="7" l="1"/>
  <c r="G9" i="5" l="1"/>
  <c r="G10" i="5" s="1"/>
  <c r="G8" i="11" l="1"/>
  <c r="G21" i="11" s="1"/>
  <c r="G6" i="11"/>
  <c r="G29" i="11" s="1"/>
  <c r="F37" i="10"/>
  <c r="F17" i="10"/>
  <c r="G46" i="5"/>
  <c r="F5" i="25"/>
  <c r="F27" i="6" l="1"/>
  <c r="G28" i="7" s="1"/>
  <c r="G21" i="5"/>
  <c r="F40" i="10" s="1"/>
  <c r="G7" i="11"/>
  <c r="G57" i="5"/>
  <c r="H57" i="5"/>
  <c r="D58" i="5" l="1"/>
  <c r="F28" i="7"/>
  <c r="G9" i="11"/>
  <c r="G23" i="11" s="1"/>
  <c r="G13" i="11"/>
  <c r="G19" i="11" s="1"/>
  <c r="G16" i="11"/>
  <c r="G14" i="11" s="1"/>
  <c r="G26" i="11" l="1"/>
  <c r="F12" i="6" s="1"/>
  <c r="G31" i="11"/>
  <c r="F28" i="6" s="1"/>
  <c r="H12" i="11"/>
  <c r="F29" i="7" l="1"/>
  <c r="G29" i="7"/>
  <c r="F24" i="10"/>
  <c r="F16" i="7"/>
  <c r="G16" i="7"/>
  <c r="G33" i="11"/>
  <c r="G35" i="11" s="1"/>
  <c r="G41" i="11" l="1"/>
  <c r="G36" i="11"/>
  <c r="G37" i="11" s="1"/>
  <c r="H41" i="11"/>
  <c r="G10" i="24"/>
  <c r="H10" i="24"/>
  <c r="F30" i="7"/>
  <c r="G30" i="7"/>
  <c r="F14" i="6" l="1"/>
  <c r="H39" i="11"/>
  <c r="H26" i="5" s="1"/>
  <c r="G10" i="8" s="1"/>
  <c r="G13" i="8" s="1"/>
  <c r="G39" i="11"/>
  <c r="G26" i="5" s="1"/>
  <c r="F10" i="8" s="1"/>
  <c r="F13" i="8" s="1"/>
  <c r="H47" i="22"/>
  <c r="F10" i="7" l="1"/>
  <c r="G10" i="7"/>
  <c r="D36" i="22"/>
  <c r="F36" i="22" l="1"/>
  <c r="D37" i="22" s="1"/>
  <c r="G36" i="22" l="1"/>
  <c r="F37" i="22"/>
  <c r="D38" i="22" s="1"/>
  <c r="G37" i="22" l="1"/>
  <c r="F38" i="22"/>
  <c r="D39" i="22" s="1"/>
  <c r="G38" i="22" l="1"/>
  <c r="F39" i="22"/>
  <c r="D40" i="22" s="1"/>
  <c r="F40" i="22" l="1"/>
  <c r="D41" i="22" s="1"/>
  <c r="G39" i="22"/>
  <c r="F41" i="22" l="1"/>
  <c r="D42" i="22" s="1"/>
  <c r="G40" i="22"/>
  <c r="G41" i="22" l="1"/>
  <c r="F42" i="22"/>
  <c r="D43" i="22" s="1"/>
  <c r="G42" i="22" l="1"/>
  <c r="F43" i="22"/>
  <c r="D44" i="22" s="1"/>
  <c r="F44" i="22" l="1"/>
  <c r="D45" i="22" s="1"/>
  <c r="G43" i="22"/>
  <c r="G44" i="22" l="1"/>
  <c r="F45" i="22"/>
  <c r="D46" i="22" s="1"/>
  <c r="E6" i="22" s="1"/>
  <c r="D9" i="7" l="1"/>
  <c r="D8" i="6" s="1"/>
  <c r="E8" i="22"/>
  <c r="F5" i="22" s="1"/>
  <c r="F8" i="22" s="1"/>
  <c r="G5" i="22" s="1"/>
  <c r="G8" i="22" s="1"/>
  <c r="H5" i="22" s="1"/>
  <c r="H8" i="22" s="1"/>
  <c r="I5" i="22" s="1"/>
  <c r="I8" i="22" s="1"/>
  <c r="J5" i="22" s="1"/>
  <c r="J8" i="22" s="1"/>
  <c r="K5" i="22" s="1"/>
  <c r="K8" i="22" s="1"/>
  <c r="L5" i="22" s="1"/>
  <c r="L8" i="22" s="1"/>
  <c r="M5" i="22" s="1"/>
  <c r="M8" i="22" s="1"/>
  <c r="N5" i="22" s="1"/>
  <c r="N8" i="22" s="1"/>
  <c r="O5" i="22" s="1"/>
  <c r="O8" i="22" s="1"/>
  <c r="P5" i="22" s="1"/>
  <c r="P8" i="22" s="1"/>
  <c r="Q6" i="22"/>
  <c r="G45" i="22"/>
  <c r="F46" i="22"/>
  <c r="D48" i="22" s="1"/>
  <c r="E8" i="6" l="1"/>
  <c r="D12" i="10"/>
  <c r="D20" i="10"/>
  <c r="D35" i="10" s="1"/>
  <c r="D14" i="10"/>
  <c r="F48" i="22"/>
  <c r="D49" i="22" s="1"/>
  <c r="G46" i="22"/>
  <c r="D19" i="10" l="1"/>
  <c r="D15" i="10"/>
  <c r="E14" i="10"/>
  <c r="E20" i="10"/>
  <c r="E35" i="10" s="1"/>
  <c r="E12" i="10"/>
  <c r="F8" i="6"/>
  <c r="E10" i="22"/>
  <c r="E9" i="22"/>
  <c r="E12" i="22" s="1"/>
  <c r="G48" i="22"/>
  <c r="F49" i="22"/>
  <c r="D50" i="22" s="1"/>
  <c r="G49" i="22" l="1"/>
  <c r="F20" i="10"/>
  <c r="F35" i="10" s="1"/>
  <c r="G8" i="6"/>
  <c r="F14" i="10"/>
  <c r="F12" i="10"/>
  <c r="E19" i="10"/>
  <c r="E15" i="10"/>
  <c r="F50" i="22"/>
  <c r="D51" i="22" s="1"/>
  <c r="E11" i="22"/>
  <c r="G186" i="1"/>
  <c r="G187" i="1" s="1"/>
  <c r="G188" i="1" s="1"/>
  <c r="G190" i="1" s="1"/>
  <c r="G47" i="19"/>
  <c r="F15" i="10" l="1"/>
  <c r="F19" i="10"/>
  <c r="G14" i="10"/>
  <c r="G12" i="10"/>
  <c r="G20" i="10"/>
  <c r="G35" i="10" s="1"/>
  <c r="H8" i="6"/>
  <c r="G50" i="22"/>
  <c r="F10" i="22" s="1"/>
  <c r="G45" i="19"/>
  <c r="H45" i="19" s="1"/>
  <c r="D21" i="6" s="1"/>
  <c r="H47" i="19"/>
  <c r="G46" i="19"/>
  <c r="H46" i="19" s="1"/>
  <c r="G44" i="19"/>
  <c r="H44" i="19" s="1"/>
  <c r="F51" i="22"/>
  <c r="D52" i="22" s="1"/>
  <c r="E25" i="5"/>
  <c r="J47" i="19" l="1"/>
  <c r="Q10" i="22"/>
  <c r="D20" i="6"/>
  <c r="I8" i="6"/>
  <c r="H12" i="10"/>
  <c r="H20" i="10"/>
  <c r="H35" i="10" s="1"/>
  <c r="H14" i="10"/>
  <c r="G15" i="10"/>
  <c r="G19" i="10"/>
  <c r="F52" i="22"/>
  <c r="D53" i="22" s="1"/>
  <c r="G51" i="22"/>
  <c r="D9" i="8"/>
  <c r="D12" i="8" s="1"/>
  <c r="D15" i="8" s="1"/>
  <c r="D10" i="10"/>
  <c r="D32" i="10" s="1"/>
  <c r="D41" i="10"/>
  <c r="D43" i="10" s="1"/>
  <c r="D50" i="10" s="1"/>
  <c r="D8" i="25"/>
  <c r="D12" i="2" l="1"/>
  <c r="D6" i="19"/>
  <c r="J46" i="19"/>
  <c r="K46" i="19" s="1"/>
  <c r="J44" i="19"/>
  <c r="K44" i="19" s="1"/>
  <c r="J45" i="19"/>
  <c r="K45" i="19" s="1"/>
  <c r="E21" i="6" s="1"/>
  <c r="F21" i="6" s="1"/>
  <c r="G21" i="6" s="1"/>
  <c r="H21" i="6" s="1"/>
  <c r="I21" i="6" s="1"/>
  <c r="J21" i="6" s="1"/>
  <c r="K21" i="6" s="1"/>
  <c r="L21" i="6" s="1"/>
  <c r="M21" i="6" s="1"/>
  <c r="K47" i="19"/>
  <c r="H19" i="10"/>
  <c r="H15" i="10"/>
  <c r="I12" i="10"/>
  <c r="J8" i="6"/>
  <c r="I20" i="10"/>
  <c r="I35" i="10" s="1"/>
  <c r="I14" i="10"/>
  <c r="D9" i="25"/>
  <c r="D11" i="25"/>
  <c r="D12" i="25" s="1"/>
  <c r="G52" i="22"/>
  <c r="F53" i="22"/>
  <c r="D54" i="22" s="1"/>
  <c r="L44" i="19" l="1"/>
  <c r="L43" i="19" s="1"/>
  <c r="E20" i="6"/>
  <c r="D5" i="19"/>
  <c r="F5" i="19" s="1"/>
  <c r="D3" i="19"/>
  <c r="F3" i="19" s="1"/>
  <c r="D4" i="19"/>
  <c r="F4" i="19" s="1"/>
  <c r="I19" i="10"/>
  <c r="I15" i="10"/>
  <c r="J20" i="10"/>
  <c r="J35" i="10" s="1"/>
  <c r="K8" i="6"/>
  <c r="J12" i="10"/>
  <c r="J14" i="10"/>
  <c r="F54" i="22"/>
  <c r="D55" i="22" s="1"/>
  <c r="G53" i="22"/>
  <c r="C23" i="6"/>
  <c r="C15" i="19" l="1"/>
  <c r="C31" i="19"/>
  <c r="C32" i="19" s="1"/>
  <c r="C33" i="19" s="1"/>
  <c r="D31" i="19" s="1"/>
  <c r="D32" i="19" s="1"/>
  <c r="D33" i="19" s="1"/>
  <c r="E31" i="19" s="1"/>
  <c r="C12" i="19"/>
  <c r="C28" i="19"/>
  <c r="C29" i="19" s="1"/>
  <c r="F6" i="19"/>
  <c r="C34" i="19"/>
  <c r="C35" i="19" s="1"/>
  <c r="C36" i="19" s="1"/>
  <c r="D34" i="19" s="1"/>
  <c r="D35" i="19" s="1"/>
  <c r="D36" i="19" s="1"/>
  <c r="E34" i="19" s="1"/>
  <c r="E35" i="19" s="1"/>
  <c r="E36" i="19" s="1"/>
  <c r="F34" i="19" s="1"/>
  <c r="C18" i="19"/>
  <c r="J19" i="10"/>
  <c r="J15" i="10"/>
  <c r="K12" i="10"/>
  <c r="K14" i="10"/>
  <c r="K20" i="10"/>
  <c r="K35" i="10" s="1"/>
  <c r="L8" i="6"/>
  <c r="M8" i="6" s="1"/>
  <c r="G54" i="22"/>
  <c r="C25" i="6"/>
  <c r="C22" i="7"/>
  <c r="F55" i="22"/>
  <c r="D56" i="22" s="1"/>
  <c r="D23" i="6"/>
  <c r="C16" i="19" l="1"/>
  <c r="C17" i="19" s="1"/>
  <c r="C30" i="19"/>
  <c r="C38" i="19" s="1"/>
  <c r="C37" i="19"/>
  <c r="D15" i="19"/>
  <c r="C13" i="19"/>
  <c r="C14" i="19" s="1"/>
  <c r="D12" i="19"/>
  <c r="G7" i="19"/>
  <c r="L45" i="19"/>
  <c r="D18" i="19"/>
  <c r="C19" i="19"/>
  <c r="C20" i="19" s="1"/>
  <c r="M14" i="10"/>
  <c r="M20" i="10"/>
  <c r="M35" i="10" s="1"/>
  <c r="M12" i="10"/>
  <c r="F16" i="5"/>
  <c r="F17" i="5" s="1"/>
  <c r="L14" i="10"/>
  <c r="L20" i="10"/>
  <c r="L35" i="10" s="1"/>
  <c r="L12" i="10"/>
  <c r="K15" i="10"/>
  <c r="K19" i="10"/>
  <c r="E32" i="19"/>
  <c r="E33" i="19" s="1"/>
  <c r="F31" i="19" s="1"/>
  <c r="E23" i="6"/>
  <c r="E22" i="7" s="1"/>
  <c r="F20" i="6"/>
  <c r="C18" i="10"/>
  <c r="C31" i="10" s="1"/>
  <c r="C33" i="7"/>
  <c r="D11" i="24"/>
  <c r="D25" i="6"/>
  <c r="D22" i="7"/>
  <c r="E11" i="24"/>
  <c r="F35" i="19"/>
  <c r="F36" i="19" s="1"/>
  <c r="G34" i="19" s="1"/>
  <c r="G55" i="22"/>
  <c r="F56" i="22"/>
  <c r="D57" i="22" s="1"/>
  <c r="H8" i="26" l="1"/>
  <c r="H21" i="26"/>
  <c r="D28" i="19"/>
  <c r="D29" i="19" s="1"/>
  <c r="D37" i="19" s="1"/>
  <c r="C22" i="19"/>
  <c r="D16" i="19"/>
  <c r="D17" i="19" s="1"/>
  <c r="D13" i="19"/>
  <c r="D14" i="19" s="1"/>
  <c r="E12" i="19"/>
  <c r="E15" i="19"/>
  <c r="D19" i="19"/>
  <c r="D20" i="19" s="1"/>
  <c r="E18" i="19"/>
  <c r="C21" i="19"/>
  <c r="H20" i="26" s="1"/>
  <c r="M19" i="10"/>
  <c r="M15" i="10"/>
  <c r="G16" i="5"/>
  <c r="G17" i="5" s="1"/>
  <c r="F22" i="5"/>
  <c r="F23" i="5" s="1"/>
  <c r="E38" i="10"/>
  <c r="E39" i="10" s="1"/>
  <c r="E6" i="25"/>
  <c r="E7" i="25" s="1"/>
  <c r="E10" i="25" s="1"/>
  <c r="L15" i="10"/>
  <c r="L19" i="10"/>
  <c r="F32" i="19"/>
  <c r="F33" i="19" s="1"/>
  <c r="G31" i="19" s="1"/>
  <c r="D18" i="10"/>
  <c r="D31" i="10" s="1"/>
  <c r="F57" i="22"/>
  <c r="D58" i="22" s="1"/>
  <c r="G35" i="19"/>
  <c r="G36" i="19" s="1"/>
  <c r="H34" i="19" s="1"/>
  <c r="G56" i="22"/>
  <c r="G20" i="6"/>
  <c r="F23" i="6"/>
  <c r="F11" i="24"/>
  <c r="I8" i="26" l="1"/>
  <c r="I21" i="26"/>
  <c r="D30" i="19"/>
  <c r="E28" i="19" s="1"/>
  <c r="C49" i="19"/>
  <c r="E10" i="6" s="1"/>
  <c r="D22" i="19"/>
  <c r="E16" i="19"/>
  <c r="E17" i="19" s="1"/>
  <c r="F12" i="19"/>
  <c r="E13" i="19"/>
  <c r="E14" i="19" s="1"/>
  <c r="F28" i="5"/>
  <c r="H7" i="26"/>
  <c r="D21" i="19"/>
  <c r="I20" i="26" s="1"/>
  <c r="F15" i="19"/>
  <c r="E19" i="19"/>
  <c r="E20" i="19" s="1"/>
  <c r="F18" i="19"/>
  <c r="H16" i="5"/>
  <c r="H17" i="5" s="1"/>
  <c r="E52" i="10"/>
  <c r="E53" i="10" s="1"/>
  <c r="E51" i="10"/>
  <c r="E6" i="10"/>
  <c r="F41" i="5"/>
  <c r="F47" i="5"/>
  <c r="F38" i="10"/>
  <c r="F39" i="10" s="1"/>
  <c r="F6" i="25"/>
  <c r="F7" i="25" s="1"/>
  <c r="F10" i="25" s="1"/>
  <c r="G22" i="5"/>
  <c r="G23" i="5" s="1"/>
  <c r="H35" i="19"/>
  <c r="H36" i="19" s="1"/>
  <c r="I34" i="19" s="1"/>
  <c r="H20" i="6"/>
  <c r="G23" i="6"/>
  <c r="G11" i="24"/>
  <c r="F58" i="22"/>
  <c r="D59" i="22" s="1"/>
  <c r="G32" i="19"/>
  <c r="G33" i="19" s="1"/>
  <c r="H31" i="19" s="1"/>
  <c r="G57" i="22"/>
  <c r="D38" i="19" l="1"/>
  <c r="D49" i="19" s="1"/>
  <c r="F10" i="6" s="1"/>
  <c r="C50" i="19"/>
  <c r="F32" i="5" s="1"/>
  <c r="E7" i="8" s="1"/>
  <c r="E22" i="19"/>
  <c r="F16" i="19"/>
  <c r="F17" i="19" s="1"/>
  <c r="G18" i="19"/>
  <c r="F19" i="19"/>
  <c r="F20" i="19" s="1"/>
  <c r="F8" i="24"/>
  <c r="F34" i="5"/>
  <c r="E14" i="7" s="1"/>
  <c r="E24" i="6"/>
  <c r="E42" i="10"/>
  <c r="E6" i="8"/>
  <c r="G15" i="19"/>
  <c r="E21" i="19"/>
  <c r="J20" i="26" s="1"/>
  <c r="G28" i="5"/>
  <c r="I7" i="26"/>
  <c r="F13" i="19"/>
  <c r="F14" i="19" s="1"/>
  <c r="G12" i="19"/>
  <c r="I16" i="5"/>
  <c r="I17" i="5" s="1"/>
  <c r="G38" i="10"/>
  <c r="G39" i="10" s="1"/>
  <c r="G6" i="25"/>
  <c r="G7" i="25" s="1"/>
  <c r="G10" i="25" s="1"/>
  <c r="H22" i="5"/>
  <c r="H23" i="5" s="1"/>
  <c r="F51" i="5"/>
  <c r="F48" i="5"/>
  <c r="F53" i="5" s="1"/>
  <c r="F6" i="10"/>
  <c r="G47" i="5"/>
  <c r="G41" i="5"/>
  <c r="F51" i="10"/>
  <c r="F52" i="10"/>
  <c r="F53" i="10" s="1"/>
  <c r="H11" i="24"/>
  <c r="H23" i="6"/>
  <c r="I20" i="6"/>
  <c r="G58" i="22"/>
  <c r="I35" i="19"/>
  <c r="I36" i="19" s="1"/>
  <c r="J34" i="19" s="1"/>
  <c r="H32" i="19"/>
  <c r="H33" i="19" s="1"/>
  <c r="I31" i="19" s="1"/>
  <c r="F59" i="22"/>
  <c r="D61" i="22" s="1"/>
  <c r="E29" i="19"/>
  <c r="E37" i="19" s="1"/>
  <c r="J8" i="26" l="1"/>
  <c r="J21" i="26"/>
  <c r="D50" i="19"/>
  <c r="G32" i="5" s="1"/>
  <c r="F7" i="7" s="1"/>
  <c r="F35" i="5"/>
  <c r="E7" i="7"/>
  <c r="F24" i="6"/>
  <c r="F25" i="6" s="1"/>
  <c r="F21" i="19"/>
  <c r="G16" i="19"/>
  <c r="G17" i="19" s="1"/>
  <c r="F22" i="19"/>
  <c r="J16" i="5"/>
  <c r="J17" i="5" s="1"/>
  <c r="F42" i="10"/>
  <c r="F6" i="8"/>
  <c r="G34" i="5"/>
  <c r="F14" i="7" s="1"/>
  <c r="G8" i="24"/>
  <c r="H15" i="19"/>
  <c r="H16" i="19" s="1"/>
  <c r="G13" i="19"/>
  <c r="G14" i="19" s="1"/>
  <c r="H12" i="19"/>
  <c r="E25" i="6"/>
  <c r="J7" i="26"/>
  <c r="H28" i="5"/>
  <c r="H18" i="19"/>
  <c r="G19" i="19"/>
  <c r="G20" i="19" s="1"/>
  <c r="G51" i="10"/>
  <c r="G52" i="10"/>
  <c r="G53" i="10" s="1"/>
  <c r="G6" i="10"/>
  <c r="H47" i="5"/>
  <c r="H51" i="5" s="1"/>
  <c r="H41" i="5"/>
  <c r="H6" i="25"/>
  <c r="H7" i="25" s="1"/>
  <c r="H10" i="25" s="1"/>
  <c r="H38" i="10"/>
  <c r="H39" i="10" s="1"/>
  <c r="I22" i="5"/>
  <c r="I23" i="5" s="1"/>
  <c r="G51" i="5"/>
  <c r="G48" i="5"/>
  <c r="G53" i="5" s="1"/>
  <c r="F61" i="22"/>
  <c r="D62" i="22" s="1"/>
  <c r="J20" i="6"/>
  <c r="I23" i="6"/>
  <c r="G59" i="22"/>
  <c r="F9" i="22" s="1"/>
  <c r="F12" i="22" s="1"/>
  <c r="I32" i="19"/>
  <c r="I33" i="19" s="1"/>
  <c r="J31" i="19" s="1"/>
  <c r="I11" i="24"/>
  <c r="J35" i="19"/>
  <c r="J36" i="19" s="1"/>
  <c r="K34" i="19" s="1"/>
  <c r="E30" i="19"/>
  <c r="K7" i="26" l="1"/>
  <c r="K20" i="26"/>
  <c r="G35" i="5"/>
  <c r="F7" i="8"/>
  <c r="G24" i="6"/>
  <c r="H17" i="19"/>
  <c r="F18" i="10"/>
  <c r="F31" i="10" s="1"/>
  <c r="E18" i="10"/>
  <c r="E31" i="10" s="1"/>
  <c r="K16" i="5"/>
  <c r="K17" i="5" s="1"/>
  <c r="I28" i="5"/>
  <c r="G22" i="19"/>
  <c r="I15" i="19"/>
  <c r="I18" i="19"/>
  <c r="H19" i="19"/>
  <c r="H20" i="19" s="1"/>
  <c r="I12" i="19"/>
  <c r="H13" i="19"/>
  <c r="H14" i="19" s="1"/>
  <c r="G21" i="19"/>
  <c r="L20" i="26" s="1"/>
  <c r="K35" i="19"/>
  <c r="K36" i="19" s="1"/>
  <c r="H52" i="10"/>
  <c r="H53" i="10" s="1"/>
  <c r="H51" i="10"/>
  <c r="J22" i="5"/>
  <c r="J23" i="5" s="1"/>
  <c r="I6" i="25"/>
  <c r="I7" i="25" s="1"/>
  <c r="I10" i="25" s="1"/>
  <c r="I38" i="10"/>
  <c r="I39" i="10" s="1"/>
  <c r="H6" i="10"/>
  <c r="I41" i="5"/>
  <c r="I47" i="5"/>
  <c r="I51" i="5" s="1"/>
  <c r="G61" i="22"/>
  <c r="J32" i="19"/>
  <c r="J33" i="19" s="1"/>
  <c r="K31" i="19" s="1"/>
  <c r="F11" i="22"/>
  <c r="J11" i="24"/>
  <c r="F28" i="19"/>
  <c r="E38" i="19"/>
  <c r="E49" i="19" s="1"/>
  <c r="J23" i="6"/>
  <c r="K20" i="6"/>
  <c r="G42" i="10"/>
  <c r="H34" i="5"/>
  <c r="G14" i="7" s="1"/>
  <c r="H8" i="24"/>
  <c r="G6" i="8"/>
  <c r="H48" i="5"/>
  <c r="H53" i="5" s="1"/>
  <c r="F62" i="22"/>
  <c r="D63" i="22" s="1"/>
  <c r="H24" i="6" l="1"/>
  <c r="L16" i="5"/>
  <c r="L17" i="5" s="1"/>
  <c r="E50" i="19"/>
  <c r="H32" i="5" s="1"/>
  <c r="G10" i="6"/>
  <c r="H22" i="19"/>
  <c r="I16" i="19"/>
  <c r="I17" i="19" s="1"/>
  <c r="J15" i="19"/>
  <c r="I13" i="19"/>
  <c r="I14" i="19" s="1"/>
  <c r="J12" i="19"/>
  <c r="J18" i="19"/>
  <c r="I19" i="19"/>
  <c r="I20" i="19" s="1"/>
  <c r="J28" i="5"/>
  <c r="I24" i="6" s="1"/>
  <c r="L7" i="26"/>
  <c r="K32" i="19"/>
  <c r="K33" i="19" s="1"/>
  <c r="I51" i="10"/>
  <c r="I52" i="10"/>
  <c r="I53" i="10" s="1"/>
  <c r="J41" i="5"/>
  <c r="J47" i="5"/>
  <c r="J51" i="5" s="1"/>
  <c r="I6" i="10"/>
  <c r="J38" i="10"/>
  <c r="J39" i="10" s="1"/>
  <c r="K22" i="5"/>
  <c r="K23" i="5" s="1"/>
  <c r="J6" i="25"/>
  <c r="J7" i="25" s="1"/>
  <c r="J10" i="25" s="1"/>
  <c r="F29" i="19"/>
  <c r="F37" i="19" s="1"/>
  <c r="F25" i="5"/>
  <c r="G25" i="6"/>
  <c r="F63" i="22"/>
  <c r="D64" i="22" s="1"/>
  <c r="G62" i="22"/>
  <c r="L20" i="6"/>
  <c r="K23" i="6"/>
  <c r="K11" i="24"/>
  <c r="K8" i="26" l="1"/>
  <c r="K21" i="26"/>
  <c r="M16" i="5"/>
  <c r="M17" i="5" s="1"/>
  <c r="L6" i="25" s="1"/>
  <c r="L7" i="25" s="1"/>
  <c r="L10" i="25" s="1"/>
  <c r="G7" i="7"/>
  <c r="G7" i="8"/>
  <c r="H35" i="5"/>
  <c r="I22" i="19"/>
  <c r="J16" i="19"/>
  <c r="J17" i="19" s="1"/>
  <c r="K15" i="19"/>
  <c r="K18" i="19"/>
  <c r="J19" i="19"/>
  <c r="J20" i="19" s="1"/>
  <c r="J13" i="19"/>
  <c r="J14" i="19" s="1"/>
  <c r="K12" i="19"/>
  <c r="H21" i="19"/>
  <c r="M20" i="26" s="1"/>
  <c r="L23" i="6"/>
  <c r="M11" i="24" s="1"/>
  <c r="M20" i="6"/>
  <c r="M23" i="6" s="1"/>
  <c r="K38" i="10"/>
  <c r="K39" i="10" s="1"/>
  <c r="L22" i="5"/>
  <c r="L23" i="5" s="1"/>
  <c r="K6" i="25"/>
  <c r="K7" i="25" s="1"/>
  <c r="K10" i="25" s="1"/>
  <c r="J51" i="10"/>
  <c r="J52" i="10"/>
  <c r="J53" i="10" s="1"/>
  <c r="J6" i="10"/>
  <c r="K41" i="5"/>
  <c r="K47" i="5"/>
  <c r="K51" i="5" s="1"/>
  <c r="G63" i="22"/>
  <c r="G12" i="22" s="1"/>
  <c r="Q12" i="22" s="1"/>
  <c r="G18" i="10"/>
  <c r="G31" i="10" s="1"/>
  <c r="L11" i="24"/>
  <c r="E9" i="8"/>
  <c r="E12" i="8" s="1"/>
  <c r="E15" i="8" s="1"/>
  <c r="E10" i="10"/>
  <c r="E32" i="10" s="1"/>
  <c r="E8" i="25"/>
  <c r="E41" i="10"/>
  <c r="E43" i="10" s="1"/>
  <c r="E50" i="10" s="1"/>
  <c r="F30" i="19"/>
  <c r="F64" i="22"/>
  <c r="D65" i="22" s="1"/>
  <c r="N16" i="5" l="1"/>
  <c r="N17" i="5" s="1"/>
  <c r="N22" i="5" s="1"/>
  <c r="N23" i="5" s="1"/>
  <c r="K19" i="19"/>
  <c r="K20" i="19" s="1"/>
  <c r="K16" i="19"/>
  <c r="K17" i="19" s="1"/>
  <c r="K13" i="19"/>
  <c r="K14" i="19" s="1"/>
  <c r="J22" i="19"/>
  <c r="M7" i="26"/>
  <c r="K28" i="5"/>
  <c r="J24" i="6" s="1"/>
  <c r="L38" i="10"/>
  <c r="L39" i="10" s="1"/>
  <c r="L51" i="10" s="1"/>
  <c r="M22" i="5"/>
  <c r="M23" i="5" s="1"/>
  <c r="L6" i="10" s="1"/>
  <c r="N11" i="24"/>
  <c r="K6" i="10"/>
  <c r="L47" i="5"/>
  <c r="L51" i="5" s="1"/>
  <c r="L41" i="5"/>
  <c r="K51" i="10"/>
  <c r="K52" i="10"/>
  <c r="K53" i="10" s="1"/>
  <c r="E11" i="25"/>
  <c r="E12" i="25" s="1"/>
  <c r="E9" i="25"/>
  <c r="F65" i="22"/>
  <c r="D66" i="22" s="1"/>
  <c r="G64" i="22"/>
  <c r="G28" i="19"/>
  <c r="F38" i="19"/>
  <c r="F49" i="19" s="1"/>
  <c r="I48" i="5"/>
  <c r="I53" i="5" s="1"/>
  <c r="H42" i="10"/>
  <c r="I8" i="24"/>
  <c r="H6" i="8"/>
  <c r="I34" i="5"/>
  <c r="H14" i="7" s="1"/>
  <c r="M6" i="25" l="1"/>
  <c r="M7" i="25" s="1"/>
  <c r="M10" i="25" s="1"/>
  <c r="M38" i="10"/>
  <c r="M39" i="10" s="1"/>
  <c r="M52" i="10" s="1"/>
  <c r="M53" i="10" s="1"/>
  <c r="F50" i="19"/>
  <c r="I32" i="5" s="1"/>
  <c r="H10" i="6"/>
  <c r="K22" i="19"/>
  <c r="I21" i="19"/>
  <c r="N20" i="26" s="1"/>
  <c r="L52" i="10"/>
  <c r="L53" i="10" s="1"/>
  <c r="M41" i="5"/>
  <c r="M47" i="5"/>
  <c r="M51" i="5" s="1"/>
  <c r="N47" i="5"/>
  <c r="M6" i="10"/>
  <c r="N41" i="5"/>
  <c r="G65" i="22"/>
  <c r="G29" i="19"/>
  <c r="G37" i="19" s="1"/>
  <c r="F66" i="22"/>
  <c r="D67" i="22" s="1"/>
  <c r="H25" i="6"/>
  <c r="L8" i="26" l="1"/>
  <c r="L21" i="26"/>
  <c r="M51" i="10"/>
  <c r="H7" i="7"/>
  <c r="H7" i="8"/>
  <c r="I35" i="5"/>
  <c r="L28" i="5"/>
  <c r="K24" i="6" s="1"/>
  <c r="N7" i="26"/>
  <c r="N51" i="5"/>
  <c r="D52" i="5" s="1"/>
  <c r="G66" i="22"/>
  <c r="F67" i="22"/>
  <c r="D68" i="22" s="1"/>
  <c r="H18" i="10"/>
  <c r="H31" i="10" s="1"/>
  <c r="G30" i="19"/>
  <c r="J21" i="19" l="1"/>
  <c r="O20" i="26" s="1"/>
  <c r="G67" i="22"/>
  <c r="J48" i="5"/>
  <c r="J53" i="5" s="1"/>
  <c r="J8" i="24"/>
  <c r="I6" i="8"/>
  <c r="I42" i="10"/>
  <c r="J34" i="5"/>
  <c r="I14" i="7" s="1"/>
  <c r="G38" i="19"/>
  <c r="G49" i="19" s="1"/>
  <c r="H28" i="19"/>
  <c r="F68" i="22"/>
  <c r="D69" i="22" s="1"/>
  <c r="G50" i="19" l="1"/>
  <c r="J32" i="5" s="1"/>
  <c r="I10" i="6"/>
  <c r="M28" i="5"/>
  <c r="L24" i="6" s="1"/>
  <c r="O7" i="26"/>
  <c r="H29" i="19"/>
  <c r="H37" i="19" s="1"/>
  <c r="F69" i="22"/>
  <c r="D70" i="22" s="1"/>
  <c r="G68" i="22"/>
  <c r="I25" i="6"/>
  <c r="M8" i="26" l="1"/>
  <c r="M21" i="26"/>
  <c r="I7" i="7"/>
  <c r="J35" i="5"/>
  <c r="I7" i="8"/>
  <c r="K21" i="19"/>
  <c r="P20" i="26" s="1"/>
  <c r="G69" i="22"/>
  <c r="I18" i="10"/>
  <c r="I31" i="10" s="1"/>
  <c r="F70" i="22"/>
  <c r="D71" i="22" s="1"/>
  <c r="H30" i="19"/>
  <c r="N28" i="5" l="1"/>
  <c r="M24" i="6" s="1"/>
  <c r="P7" i="26"/>
  <c r="G70" i="22"/>
  <c r="K8" i="24"/>
  <c r="K34" i="5"/>
  <c r="J14" i="7" s="1"/>
  <c r="J6" i="8"/>
  <c r="K48" i="5"/>
  <c r="K53" i="5" s="1"/>
  <c r="J42" i="10"/>
  <c r="H38" i="19"/>
  <c r="H49" i="19" s="1"/>
  <c r="I28" i="19"/>
  <c r="F71" i="22"/>
  <c r="D72" i="22" s="1"/>
  <c r="H50" i="19" l="1"/>
  <c r="K32" i="5" s="1"/>
  <c r="J10" i="6"/>
  <c r="J25" i="6"/>
  <c r="I29" i="19"/>
  <c r="I37" i="19" s="1"/>
  <c r="F72" i="22"/>
  <c r="D74" i="22" s="1"/>
  <c r="G71" i="22"/>
  <c r="N8" i="26" l="1"/>
  <c r="N21" i="26"/>
  <c r="J7" i="7"/>
  <c r="J7" i="8"/>
  <c r="K35" i="5"/>
  <c r="G72" i="22"/>
  <c r="G9" i="22" s="1"/>
  <c r="G11" i="22" s="1"/>
  <c r="I30" i="19"/>
  <c r="I38" i="19" s="1"/>
  <c r="I49" i="19" s="1"/>
  <c r="F74" i="22"/>
  <c r="D75" i="22" s="1"/>
  <c r="J18" i="10"/>
  <c r="J31" i="10" s="1"/>
  <c r="I50" i="19" l="1"/>
  <c r="L32" i="5" s="1"/>
  <c r="K10" i="6"/>
  <c r="J28" i="19"/>
  <c r="J29" i="19" s="1"/>
  <c r="J37" i="19" s="1"/>
  <c r="K42" i="10"/>
  <c r="K6" i="8"/>
  <c r="L8" i="24"/>
  <c r="L34" i="5"/>
  <c r="K14" i="7" s="1"/>
  <c r="L48" i="5"/>
  <c r="L53" i="5" s="1"/>
  <c r="G74" i="22"/>
  <c r="F75" i="22"/>
  <c r="D76" i="22" s="1"/>
  <c r="G25" i="5"/>
  <c r="O8" i="26" l="1"/>
  <c r="O21" i="26"/>
  <c r="K7" i="7"/>
  <c r="L35" i="5"/>
  <c r="K7" i="8"/>
  <c r="K25" i="6"/>
  <c r="F9" i="8"/>
  <c r="F12" i="8" s="1"/>
  <c r="F15" i="8" s="1"/>
  <c r="F41" i="10"/>
  <c r="F43" i="10" s="1"/>
  <c r="F50" i="10" s="1"/>
  <c r="F8" i="25"/>
  <c r="F10" i="10"/>
  <c r="F32" i="10" s="1"/>
  <c r="G75" i="22"/>
  <c r="F76" i="22"/>
  <c r="D77" i="22" s="1"/>
  <c r="J30" i="19"/>
  <c r="J38" i="19" l="1"/>
  <c r="J49" i="19" s="1"/>
  <c r="K28" i="19"/>
  <c r="L25" i="6"/>
  <c r="F9" i="25"/>
  <c r="F11" i="25"/>
  <c r="F12" i="25" s="1"/>
  <c r="G76" i="22"/>
  <c r="M8" i="24"/>
  <c r="M48" i="5"/>
  <c r="M53" i="5" s="1"/>
  <c r="L42" i="10"/>
  <c r="M34" i="5"/>
  <c r="L14" i="7" s="1"/>
  <c r="L6" i="8"/>
  <c r="K18" i="10"/>
  <c r="K31" i="10" s="1"/>
  <c r="F77" i="22"/>
  <c r="D78" i="22" s="1"/>
  <c r="L18" i="10" l="1"/>
  <c r="L31" i="10" s="1"/>
  <c r="J50" i="19"/>
  <c r="M32" i="5" s="1"/>
  <c r="L10" i="6"/>
  <c r="K29" i="19"/>
  <c r="K37" i="19" s="1"/>
  <c r="P21" i="26" s="1"/>
  <c r="G77" i="22"/>
  <c r="F78" i="22"/>
  <c r="D79" i="22" s="1"/>
  <c r="L7" i="7" l="1"/>
  <c r="L7" i="8"/>
  <c r="M35" i="5"/>
  <c r="M6" i="8"/>
  <c r="P8" i="26"/>
  <c r="K30" i="19"/>
  <c r="K38" i="19" s="1"/>
  <c r="K49" i="19" s="1"/>
  <c r="M42" i="10"/>
  <c r="N8" i="24"/>
  <c r="N34" i="5"/>
  <c r="M14" i="7" s="1"/>
  <c r="N48" i="5"/>
  <c r="N53" i="5" s="1"/>
  <c r="D54" i="5" s="1"/>
  <c r="M25" i="6"/>
  <c r="F79" i="22"/>
  <c r="D80" i="22" s="1"/>
  <c r="G78" i="22"/>
  <c r="M18" i="10" l="1"/>
  <c r="M31" i="10" s="1"/>
  <c r="K50" i="19"/>
  <c r="N32" i="5" s="1"/>
  <c r="M7" i="8" s="1"/>
  <c r="M10" i="6"/>
  <c r="G79" i="22"/>
  <c r="F80" i="22"/>
  <c r="D81" i="22" s="1"/>
  <c r="M7" i="7" l="1"/>
  <c r="N35" i="5"/>
  <c r="F81" i="22"/>
  <c r="D82" i="22" s="1"/>
  <c r="G80" i="22"/>
  <c r="G81" i="22" l="1"/>
  <c r="F82" i="22"/>
  <c r="D83" i="22" s="1"/>
  <c r="F83" i="22" l="1"/>
  <c r="D84" i="22" s="1"/>
  <c r="G82" i="22"/>
  <c r="F84" i="22" l="1"/>
  <c r="D85" i="22" s="1"/>
  <c r="G83" i="22"/>
  <c r="G84" i="22" l="1"/>
  <c r="F85" i="22"/>
  <c r="D87" i="22" s="1"/>
  <c r="G85" i="22" l="1"/>
  <c r="H9" i="22" s="1"/>
  <c r="H11" i="22" s="1"/>
  <c r="F87" i="22"/>
  <c r="D88" i="22" s="1"/>
  <c r="G87" i="22" l="1"/>
  <c r="H25" i="5"/>
  <c r="F88" i="22"/>
  <c r="D89" i="22" s="1"/>
  <c r="G88" i="22" l="1"/>
  <c r="F89" i="22"/>
  <c r="D90" i="22" s="1"/>
  <c r="G41" i="10"/>
  <c r="G43" i="10" s="1"/>
  <c r="G50" i="10" s="1"/>
  <c r="G9" i="8"/>
  <c r="G12" i="8" s="1"/>
  <c r="G15" i="8" s="1"/>
  <c r="G10" i="10"/>
  <c r="G32" i="10" s="1"/>
  <c r="G8" i="25"/>
  <c r="G89" i="22" l="1"/>
  <c r="F90" i="22"/>
  <c r="D91" i="22" s="1"/>
  <c r="G11" i="25"/>
  <c r="G12" i="25" s="1"/>
  <c r="G9" i="25"/>
  <c r="G90" i="22" l="1"/>
  <c r="F91" i="22"/>
  <c r="D92" i="22" s="1"/>
  <c r="F92" i="22" l="1"/>
  <c r="D93" i="22" s="1"/>
  <c r="G91" i="22"/>
  <c r="G92" i="22" l="1"/>
  <c r="F93" i="22"/>
  <c r="D94" i="22" s="1"/>
  <c r="G93" i="22" l="1"/>
  <c r="F94" i="22"/>
  <c r="D95" i="22" s="1"/>
  <c r="F95" i="22" l="1"/>
  <c r="D96" i="22" s="1"/>
  <c r="G94" i="22"/>
  <c r="F96" i="22" l="1"/>
  <c r="D97" i="22" s="1"/>
  <c r="G95" i="22"/>
  <c r="F97" i="22" l="1"/>
  <c r="D98" i="22" s="1"/>
  <c r="G96" i="22"/>
  <c r="F98" i="22" l="1"/>
  <c r="D100" i="22" s="1"/>
  <c r="G97" i="22"/>
  <c r="F100" i="22" l="1"/>
  <c r="D101" i="22" s="1"/>
  <c r="G98" i="22"/>
  <c r="I9" i="22" s="1"/>
  <c r="G100" i="22" l="1"/>
  <c r="I11" i="22"/>
  <c r="F101" i="22"/>
  <c r="D102" i="22" s="1"/>
  <c r="G101" i="22" l="1"/>
  <c r="F102" i="22"/>
  <c r="D103" i="22" s="1"/>
  <c r="I25" i="5"/>
  <c r="F103" i="22" l="1"/>
  <c r="D104" i="22" s="1"/>
  <c r="H9" i="8"/>
  <c r="H12" i="8" s="1"/>
  <c r="H15" i="8" s="1"/>
  <c r="H41" i="10"/>
  <c r="H43" i="10" s="1"/>
  <c r="H50" i="10" s="1"/>
  <c r="H10" i="10"/>
  <c r="H32" i="10" s="1"/>
  <c r="H8" i="25"/>
  <c r="G102" i="22"/>
  <c r="H11" i="25" l="1"/>
  <c r="H12" i="25" s="1"/>
  <c r="H9" i="25"/>
  <c r="F104" i="22"/>
  <c r="D105" i="22" s="1"/>
  <c r="G103" i="22"/>
  <c r="F105" i="22" l="1"/>
  <c r="D106" i="22" s="1"/>
  <c r="G104" i="22"/>
  <c r="G105" i="22" l="1"/>
  <c r="F106" i="22"/>
  <c r="D107" i="22" s="1"/>
  <c r="G106" i="22" l="1"/>
  <c r="F107" i="22"/>
  <c r="D108" i="22" s="1"/>
  <c r="G107" i="22" l="1"/>
  <c r="F108" i="22"/>
  <c r="D109" i="22" s="1"/>
  <c r="F109" i="22" l="1"/>
  <c r="D110" i="22" s="1"/>
  <c r="G108" i="22"/>
  <c r="F110" i="22" l="1"/>
  <c r="D111" i="22" s="1"/>
  <c r="G109" i="22"/>
  <c r="F111" i="22" l="1"/>
  <c r="D113" i="22" s="1"/>
  <c r="G110" i="22"/>
  <c r="F113" i="22" l="1"/>
  <c r="D114" i="22" s="1"/>
  <c r="G111" i="22"/>
  <c r="J9" i="22" s="1"/>
  <c r="J11" i="22" s="1"/>
  <c r="J25" i="5" s="1"/>
  <c r="G113" i="22" l="1"/>
  <c r="I9" i="8"/>
  <c r="I12" i="8" s="1"/>
  <c r="I15" i="8" s="1"/>
  <c r="I8" i="25"/>
  <c r="I41" i="10"/>
  <c r="I43" i="10" s="1"/>
  <c r="I50" i="10" s="1"/>
  <c r="I10" i="10"/>
  <c r="I32" i="10" s="1"/>
  <c r="F114" i="22"/>
  <c r="D115" i="22" s="1"/>
  <c r="G114" i="22" l="1"/>
  <c r="I11" i="25"/>
  <c r="I12" i="25" s="1"/>
  <c r="I9" i="25"/>
  <c r="F115" i="22"/>
  <c r="D116" i="22" s="1"/>
  <c r="F116" i="22" l="1"/>
  <c r="D117" i="22" s="1"/>
  <c r="G115" i="22"/>
  <c r="G116" i="22" l="1"/>
  <c r="F117" i="22"/>
  <c r="D118" i="22" s="1"/>
  <c r="G117" i="22" l="1"/>
  <c r="F118" i="22"/>
  <c r="D119" i="22" s="1"/>
  <c r="F119" i="22" l="1"/>
  <c r="D120" i="22" s="1"/>
  <c r="G118" i="22"/>
  <c r="F120" i="22" l="1"/>
  <c r="D121" i="22" s="1"/>
  <c r="G119" i="22"/>
  <c r="G120" i="22" l="1"/>
  <c r="F121" i="22"/>
  <c r="D122" i="22" s="1"/>
  <c r="G121" i="22" l="1"/>
  <c r="F122" i="22"/>
  <c r="D123" i="22" s="1"/>
  <c r="F123" i="22" l="1"/>
  <c r="D124" i="22" s="1"/>
  <c r="G122" i="22"/>
  <c r="F124" i="22" l="1"/>
  <c r="D126" i="22" s="1"/>
  <c r="G123" i="22"/>
  <c r="F126" i="22" l="1"/>
  <c r="D127" i="22" s="1"/>
  <c r="G124" i="22"/>
  <c r="K9" i="22" s="1"/>
  <c r="K11" i="22" s="1"/>
  <c r="K25" i="5" s="1"/>
  <c r="J41" i="10" l="1"/>
  <c r="J43" i="10" s="1"/>
  <c r="J50" i="10" s="1"/>
  <c r="J8" i="25"/>
  <c r="J9" i="8"/>
  <c r="J12" i="8" s="1"/>
  <c r="J15" i="8" s="1"/>
  <c r="J10" i="10"/>
  <c r="J32" i="10" s="1"/>
  <c r="F127" i="22"/>
  <c r="D128" i="22" s="1"/>
  <c r="G126" i="22"/>
  <c r="F128" i="22" l="1"/>
  <c r="D129" i="22" s="1"/>
  <c r="G127" i="22"/>
  <c r="J11" i="25"/>
  <c r="J12" i="25" s="1"/>
  <c r="J9" i="25"/>
  <c r="F129" i="22" l="1"/>
  <c r="D130" i="22" s="1"/>
  <c r="G128" i="22"/>
  <c r="F130" i="22" l="1"/>
  <c r="D131" i="22" s="1"/>
  <c r="G129" i="22"/>
  <c r="F131" i="22" l="1"/>
  <c r="D132" i="22" s="1"/>
  <c r="G130" i="22"/>
  <c r="F132" i="22" l="1"/>
  <c r="D133" i="22" s="1"/>
  <c r="G131" i="22"/>
  <c r="G132" i="22" l="1"/>
  <c r="F133" i="22"/>
  <c r="D134" i="22" s="1"/>
  <c r="F134" i="22" l="1"/>
  <c r="D135" i="22" s="1"/>
  <c r="G133" i="22"/>
  <c r="F135" i="22" l="1"/>
  <c r="D136" i="22" s="1"/>
  <c r="G134" i="22"/>
  <c r="F136" i="22" l="1"/>
  <c r="D137" i="22" s="1"/>
  <c r="G135" i="22"/>
  <c r="F137" i="22" l="1"/>
  <c r="D139" i="22" s="1"/>
  <c r="G136" i="22"/>
  <c r="F139" i="22" l="1"/>
  <c r="D140" i="22" s="1"/>
  <c r="G137" i="22"/>
  <c r="L9" i="22" s="1"/>
  <c r="L11" i="22" s="1"/>
  <c r="L25" i="5" s="1"/>
  <c r="G139" i="22" l="1"/>
  <c r="K9" i="8"/>
  <c r="K12" i="8" s="1"/>
  <c r="K15" i="8" s="1"/>
  <c r="K8" i="25"/>
  <c r="K41" i="10"/>
  <c r="K43" i="10" s="1"/>
  <c r="K50" i="10" s="1"/>
  <c r="K10" i="10"/>
  <c r="K32" i="10" s="1"/>
  <c r="F140" i="22"/>
  <c r="D141" i="22" s="1"/>
  <c r="F141" i="22" l="1"/>
  <c r="D142" i="22" s="1"/>
  <c r="K11" i="25"/>
  <c r="K12" i="25" s="1"/>
  <c r="K9" i="25"/>
  <c r="G140" i="22"/>
  <c r="F142" i="22" l="1"/>
  <c r="D143" i="22" s="1"/>
  <c r="G141" i="22"/>
  <c r="F143" i="22" l="1"/>
  <c r="D144" i="22" s="1"/>
  <c r="G142" i="22"/>
  <c r="G143" i="22" l="1"/>
  <c r="F144" i="22"/>
  <c r="D145" i="22" s="1"/>
  <c r="G144" i="22" l="1"/>
  <c r="F145" i="22"/>
  <c r="D146" i="22" s="1"/>
  <c r="G145" i="22" l="1"/>
  <c r="F146" i="22"/>
  <c r="D147" i="22" s="1"/>
  <c r="G146" i="22" l="1"/>
  <c r="F147" i="22"/>
  <c r="D148" i="22" s="1"/>
  <c r="G147" i="22" l="1"/>
  <c r="F148" i="22"/>
  <c r="D149" i="22" s="1"/>
  <c r="F149" i="22" l="1"/>
  <c r="D150" i="22" s="1"/>
  <c r="G148" i="22"/>
  <c r="F150" i="22" l="1"/>
  <c r="D152" i="22" s="1"/>
  <c r="G149" i="22"/>
  <c r="F152" i="22" l="1"/>
  <c r="D153" i="22" s="1"/>
  <c r="G150" i="22"/>
  <c r="M9" i="22" s="1"/>
  <c r="M11" i="22" s="1"/>
  <c r="M25" i="5" s="1"/>
  <c r="G152" i="22" l="1"/>
  <c r="L41" i="10"/>
  <c r="L43" i="10" s="1"/>
  <c r="L50" i="10" s="1"/>
  <c r="L10" i="10"/>
  <c r="L32" i="10" s="1"/>
  <c r="L9" i="8"/>
  <c r="L12" i="8" s="1"/>
  <c r="L15" i="8" s="1"/>
  <c r="L8" i="25"/>
  <c r="F153" i="22"/>
  <c r="D154" i="22" s="1"/>
  <c r="F154" i="22" l="1"/>
  <c r="D155" i="22" s="1"/>
  <c r="G153" i="22"/>
  <c r="L9" i="25"/>
  <c r="L11" i="25"/>
  <c r="L12" i="25" s="1"/>
  <c r="G154" i="22" l="1"/>
  <c r="F155" i="22"/>
  <c r="D156" i="22" s="1"/>
  <c r="F156" i="22" l="1"/>
  <c r="D157" i="22" s="1"/>
  <c r="G155" i="22"/>
  <c r="G156" i="22" l="1"/>
  <c r="F157" i="22"/>
  <c r="D158" i="22" s="1"/>
  <c r="G157" i="22" l="1"/>
  <c r="F158" i="22"/>
  <c r="D159" i="22" s="1"/>
  <c r="F159" i="22" l="1"/>
  <c r="D160" i="22" s="1"/>
  <c r="G158" i="22"/>
  <c r="F160" i="22" l="1"/>
  <c r="D161" i="22" s="1"/>
  <c r="G159" i="22"/>
  <c r="G160" i="22" l="1"/>
  <c r="F161" i="22"/>
  <c r="D162" i="22" s="1"/>
  <c r="F162" i="22" l="1"/>
  <c r="D163" i="22" s="1"/>
  <c r="G161" i="22"/>
  <c r="F163" i="22" l="1"/>
  <c r="D165" i="22" s="1"/>
  <c r="G162" i="22"/>
  <c r="F165" i="22" l="1"/>
  <c r="D166" i="22" s="1"/>
  <c r="G163" i="22"/>
  <c r="N9" i="22" s="1"/>
  <c r="N11" i="22" s="1"/>
  <c r="N25" i="5" s="1"/>
  <c r="M9" i="8" l="1"/>
  <c r="M12" i="8" s="1"/>
  <c r="M15" i="8" s="1"/>
  <c r="M10" i="10"/>
  <c r="M32" i="10" s="1"/>
  <c r="M41" i="10"/>
  <c r="M43" i="10" s="1"/>
  <c r="M50" i="10" s="1"/>
  <c r="M8" i="25"/>
  <c r="N30" i="5"/>
  <c r="G165" i="22"/>
  <c r="F166" i="22"/>
  <c r="D167" i="22" s="1"/>
  <c r="P19" i="26" l="1"/>
  <c r="N6" i="24"/>
  <c r="P6" i="26"/>
  <c r="P9" i="26" s="1"/>
  <c r="M9" i="25"/>
  <c r="M11" i="25"/>
  <c r="M12" i="25" s="1"/>
  <c r="M8" i="10"/>
  <c r="M7" i="10"/>
  <c r="F167" i="22"/>
  <c r="D168" i="22" s="1"/>
  <c r="G166" i="22"/>
  <c r="F168" i="22" l="1"/>
  <c r="D169" i="22" s="1"/>
  <c r="G167" i="22"/>
  <c r="G168" i="22" l="1"/>
  <c r="F169" i="22"/>
  <c r="D170" i="22" s="1"/>
  <c r="G169" i="22" l="1"/>
  <c r="F170" i="22"/>
  <c r="D171" i="22" s="1"/>
  <c r="F171" i="22" l="1"/>
  <c r="D172" i="22" s="1"/>
  <c r="G170" i="22"/>
  <c r="F172" i="22" l="1"/>
  <c r="D173" i="22" s="1"/>
  <c r="G171" i="22"/>
  <c r="F173" i="22" l="1"/>
  <c r="D174" i="22" s="1"/>
  <c r="G172" i="22"/>
  <c r="G173" i="22" l="1"/>
  <c r="F174" i="22"/>
  <c r="D175" i="22" s="1"/>
  <c r="F175" i="22" l="1"/>
  <c r="D176" i="22" s="1"/>
  <c r="G174" i="22"/>
  <c r="F176" i="22" l="1"/>
  <c r="D178" i="22" s="1"/>
  <c r="G175" i="22"/>
  <c r="F178" i="22" l="1"/>
  <c r="D179" i="22" s="1"/>
  <c r="G176" i="22"/>
  <c r="O9" i="22" s="1"/>
  <c r="O11" i="22" s="1"/>
  <c r="F179" i="22" l="1"/>
  <c r="D180" i="22" s="1"/>
  <c r="G178" i="22"/>
  <c r="G179" i="22" l="1"/>
  <c r="F180" i="22"/>
  <c r="D181" i="22" s="1"/>
  <c r="F181" i="22" l="1"/>
  <c r="D182" i="22" s="1"/>
  <c r="G180" i="22"/>
  <c r="F182" i="22" l="1"/>
  <c r="D183" i="22" s="1"/>
  <c r="G181" i="22"/>
  <c r="G182" i="22" l="1"/>
  <c r="F183" i="22"/>
  <c r="D184" i="22" s="1"/>
  <c r="G183" i="22" l="1"/>
  <c r="F184" i="22"/>
  <c r="D185" i="22" s="1"/>
  <c r="F185" i="22" l="1"/>
  <c r="D186" i="22" s="1"/>
  <c r="G184" i="22"/>
  <c r="G185" i="22" l="1"/>
  <c r="F186" i="22"/>
  <c r="D187" i="22" s="1"/>
  <c r="F187" i="22" l="1"/>
  <c r="D188" i="22" s="1"/>
  <c r="G186" i="22"/>
  <c r="G187" i="22" l="1"/>
  <c r="F188" i="22"/>
  <c r="D189" i="22" s="1"/>
  <c r="F189" i="22" l="1"/>
  <c r="G189" i="22" s="1"/>
  <c r="G188" i="22"/>
  <c r="P9" i="22" l="1"/>
  <c r="P11" i="22" l="1"/>
  <c r="Q11" i="22" s="1"/>
  <c r="Q9" i="22"/>
  <c r="D27" i="7" l="1"/>
  <c r="F42" i="7" l="1"/>
  <c r="H42" i="7"/>
  <c r="I42" i="7"/>
  <c r="J42" i="7"/>
  <c r="K42" i="7"/>
  <c r="L42" i="7"/>
  <c r="G42" i="7"/>
  <c r="E42" i="7"/>
  <c r="I43" i="7" l="1"/>
  <c r="H43" i="7"/>
  <c r="K43" i="7"/>
  <c r="G43" i="7"/>
  <c r="L30" i="6"/>
  <c r="M27" i="7" s="1"/>
  <c r="M33" i="7" s="1"/>
  <c r="M43" i="7"/>
  <c r="L43" i="7"/>
  <c r="J43" i="7"/>
  <c r="F43" i="7"/>
  <c r="E43" i="7"/>
  <c r="G30" i="6"/>
  <c r="K30" i="6"/>
  <c r="M30" i="5"/>
  <c r="I30" i="6"/>
  <c r="H30" i="6"/>
  <c r="E30" i="6"/>
  <c r="J30" i="6"/>
  <c r="L30" i="5"/>
  <c r="F30" i="6"/>
  <c r="L6" i="24" l="1"/>
  <c r="N19" i="26"/>
  <c r="M6" i="24"/>
  <c r="O19" i="26"/>
  <c r="N6" i="26"/>
  <c r="N9" i="26" s="1"/>
  <c r="O6" i="26"/>
  <c r="O9" i="26" s="1"/>
  <c r="L7" i="10"/>
  <c r="L8" i="10"/>
  <c r="K27" i="7"/>
  <c r="K33" i="7" s="1"/>
  <c r="K8" i="10"/>
  <c r="K7" i="10"/>
  <c r="I27" i="7"/>
  <c r="I33" i="7" s="1"/>
  <c r="J27" i="7"/>
  <c r="J33" i="7" s="1"/>
  <c r="E27" i="7"/>
  <c r="E33" i="7" s="1"/>
  <c r="F27" i="7"/>
  <c r="F33" i="7" s="1"/>
  <c r="L27" i="7"/>
  <c r="L33" i="7" s="1"/>
  <c r="G27" i="7"/>
  <c r="G33" i="7" s="1"/>
  <c r="H27" i="7"/>
  <c r="H33" i="7" s="1"/>
  <c r="P22" i="26" l="1"/>
  <c r="O22" i="26"/>
  <c r="N22" i="26"/>
  <c r="D23" i="7"/>
  <c r="D33" i="7" s="1"/>
  <c r="D17" i="2"/>
  <c r="D21" i="2" s="1"/>
  <c r="D29" i="5"/>
  <c r="C8" i="8" s="1"/>
  <c r="E29" i="5"/>
  <c r="D15" i="7" s="1"/>
  <c r="F29" i="5"/>
  <c r="E8" i="8" s="1"/>
  <c r="G29" i="5"/>
  <c r="F8" i="8" s="1"/>
  <c r="H29" i="5"/>
  <c r="G8" i="8" s="1"/>
  <c r="I29" i="5"/>
  <c r="H8" i="8" s="1"/>
  <c r="J29" i="5"/>
  <c r="I8" i="8" s="1"/>
  <c r="K29" i="5"/>
  <c r="J8" i="8" s="1"/>
  <c r="D30" i="5"/>
  <c r="F6" i="26" s="1"/>
  <c r="F9" i="26" s="1"/>
  <c r="E30" i="5"/>
  <c r="E6" i="24" s="1"/>
  <c r="F30" i="5"/>
  <c r="F6" i="24" s="1"/>
  <c r="I30" i="5"/>
  <c r="I6" i="24" s="1"/>
  <c r="E7" i="10" l="1"/>
  <c r="H19" i="26"/>
  <c r="H22" i="26" s="1"/>
  <c r="H6" i="26"/>
  <c r="H9" i="26" s="1"/>
  <c r="E8" i="10"/>
  <c r="H30" i="5"/>
  <c r="H6" i="24" s="1"/>
  <c r="K30" i="5"/>
  <c r="M19" i="26" s="1"/>
  <c r="M22" i="26" s="1"/>
  <c r="G30" i="5"/>
  <c r="G6" i="24" s="1"/>
  <c r="J30" i="5"/>
  <c r="J6" i="24" s="1"/>
  <c r="D8" i="10"/>
  <c r="D7" i="10"/>
  <c r="G19" i="26"/>
  <c r="G22" i="26" s="1"/>
  <c r="G6" i="26"/>
  <c r="G9" i="26" s="1"/>
  <c r="F12" i="26"/>
  <c r="F10" i="26"/>
  <c r="H8" i="10"/>
  <c r="K6" i="26"/>
  <c r="K9" i="26" s="1"/>
  <c r="C8" i="10"/>
  <c r="D80" i="24"/>
  <c r="C7" i="10"/>
  <c r="F19" i="26"/>
  <c r="F22" i="26" s="1"/>
  <c r="H7" i="10"/>
  <c r="K19" i="26"/>
  <c r="K22" i="26" s="1"/>
  <c r="D24" i="2"/>
  <c r="F24" i="2"/>
  <c r="D8" i="8"/>
  <c r="C15" i="7"/>
  <c r="D6" i="24"/>
  <c r="J15" i="7"/>
  <c r="I15" i="7"/>
  <c r="H15" i="7"/>
  <c r="D32" i="6"/>
  <c r="E32" i="6" s="1"/>
  <c r="F32" i="6" s="1"/>
  <c r="G32" i="6" s="1"/>
  <c r="H32" i="6" s="1"/>
  <c r="I32" i="6" s="1"/>
  <c r="J32" i="6" s="1"/>
  <c r="K32" i="6" s="1"/>
  <c r="L32" i="6" s="1"/>
  <c r="M32" i="6" s="1"/>
  <c r="G15" i="7"/>
  <c r="F15" i="7"/>
  <c r="E15" i="7"/>
  <c r="J7" i="10" l="1"/>
  <c r="F8" i="10"/>
  <c r="J19" i="26"/>
  <c r="J22" i="26" s="1"/>
  <c r="I19" i="26"/>
  <c r="I22" i="26" s="1"/>
  <c r="G8" i="10"/>
  <c r="I6" i="26"/>
  <c r="I9" i="26" s="1"/>
  <c r="F7" i="10"/>
  <c r="J6" i="26"/>
  <c r="J9" i="26" s="1"/>
  <c r="G7" i="10"/>
  <c r="K6" i="24"/>
  <c r="J8" i="10"/>
  <c r="M6" i="26"/>
  <c r="M9" i="26" s="1"/>
  <c r="I8" i="10"/>
  <c r="L6" i="26"/>
  <c r="L9" i="26" s="1"/>
  <c r="L19" i="26"/>
  <c r="L22" i="26" s="1"/>
  <c r="I7" i="10"/>
  <c r="G10" i="26"/>
  <c r="H10" i="26" s="1"/>
  <c r="F23" i="26"/>
  <c r="G23" i="26" s="1"/>
  <c r="H23" i="26" s="1"/>
  <c r="F25" i="26"/>
  <c r="G11" i="26"/>
  <c r="G12" i="26" s="1"/>
  <c r="F13" i="26"/>
  <c r="D31" i="5" s="1"/>
  <c r="D33" i="5" s="1"/>
  <c r="C9" i="10" s="1"/>
  <c r="D30" i="2"/>
  <c r="B5" i="12"/>
  <c r="I23" i="26" l="1"/>
  <c r="J23" i="26" s="1"/>
  <c r="K23" i="26" s="1"/>
  <c r="L23" i="26" s="1"/>
  <c r="M23" i="26" s="1"/>
  <c r="N23" i="26" s="1"/>
  <c r="O23" i="26" s="1"/>
  <c r="P23" i="26" s="1"/>
  <c r="I10" i="26"/>
  <c r="J10" i="26" s="1"/>
  <c r="K10" i="26" s="1"/>
  <c r="L10" i="26" s="1"/>
  <c r="M10" i="26" s="1"/>
  <c r="N10" i="26" s="1"/>
  <c r="O10" i="26" s="1"/>
  <c r="P10" i="26" s="1"/>
  <c r="C6" i="12"/>
  <c r="C12" i="12" s="1"/>
  <c r="D49" i="5"/>
  <c r="D55" i="5" s="1"/>
  <c r="C6" i="7"/>
  <c r="C19" i="7" s="1"/>
  <c r="C35" i="7" s="1"/>
  <c r="C36" i="7" s="1"/>
  <c r="D34" i="7" s="1"/>
  <c r="C5" i="8"/>
  <c r="D78" i="24" s="1"/>
  <c r="D79" i="24" s="1"/>
  <c r="D42" i="5"/>
  <c r="D36" i="5"/>
  <c r="D38" i="5" s="1"/>
  <c r="D39" i="5" s="1"/>
  <c r="C7" i="6"/>
  <c r="C11" i="10" s="1"/>
  <c r="C27" i="10" s="1"/>
  <c r="G13" i="26"/>
  <c r="E31" i="5" s="1"/>
  <c r="E33" i="5" s="1"/>
  <c r="H11" i="26"/>
  <c r="H12" i="26" s="1"/>
  <c r="G24" i="26"/>
  <c r="G25" i="26" s="1"/>
  <c r="F26" i="26"/>
  <c r="D7" i="24" s="1"/>
  <c r="D9" i="24" s="1"/>
  <c r="D12" i="24" s="1"/>
  <c r="C8" i="12"/>
  <c r="C28" i="10"/>
  <c r="C26" i="10"/>
  <c r="B11" i="12"/>
  <c r="B13" i="12" s="1"/>
  <c r="K14" i="12" s="1"/>
  <c r="C31" i="6" l="1"/>
  <c r="C11" i="8"/>
  <c r="C16" i="8" s="1"/>
  <c r="C30" i="10" s="1"/>
  <c r="C15" i="6"/>
  <c r="C13" i="10"/>
  <c r="C16" i="10" s="1"/>
  <c r="C34" i="10" s="1"/>
  <c r="D7" i="6"/>
  <c r="D11" i="10" s="1"/>
  <c r="D27" i="10" s="1"/>
  <c r="D14" i="24"/>
  <c r="D16" i="24" s="1"/>
  <c r="D66" i="24"/>
  <c r="D69" i="24" s="1"/>
  <c r="H24" i="26"/>
  <c r="H25" i="26" s="1"/>
  <c r="G26" i="26"/>
  <c r="E7" i="24" s="1"/>
  <c r="E9" i="24" s="1"/>
  <c r="E12" i="24" s="1"/>
  <c r="I11" i="26"/>
  <c r="I12" i="26" s="1"/>
  <c r="H13" i="26"/>
  <c r="F31" i="5" s="1"/>
  <c r="F33" i="5" s="1"/>
  <c r="C29" i="10"/>
  <c r="D5" i="8"/>
  <c r="D6" i="7"/>
  <c r="D19" i="7" s="1"/>
  <c r="D35" i="7" s="1"/>
  <c r="D36" i="7" s="1"/>
  <c r="E49" i="5"/>
  <c r="E55" i="5" s="1"/>
  <c r="D6" i="12"/>
  <c r="D12" i="12" s="1"/>
  <c r="D13" i="12" s="1"/>
  <c r="D9" i="10"/>
  <c r="E36" i="5"/>
  <c r="E38" i="5" s="1"/>
  <c r="E39" i="5" s="1"/>
  <c r="E42" i="5"/>
  <c r="C13" i="12"/>
  <c r="D13" i="10"/>
  <c r="D15" i="6"/>
  <c r="C23" i="10"/>
  <c r="C33" i="10" s="1"/>
  <c r="C26" i="6"/>
  <c r="C33" i="6" s="1"/>
  <c r="C35" i="6" l="1"/>
  <c r="E7" i="6"/>
  <c r="E13" i="10" s="1"/>
  <c r="E34" i="7"/>
  <c r="D31" i="6"/>
  <c r="D23" i="10" s="1"/>
  <c r="D33" i="10" s="1"/>
  <c r="D39" i="7"/>
  <c r="I13" i="26"/>
  <c r="G31" i="5" s="1"/>
  <c r="G33" i="5" s="1"/>
  <c r="F7" i="6" s="1"/>
  <c r="J11" i="26"/>
  <c r="J12" i="26" s="1"/>
  <c r="D28" i="10"/>
  <c r="D26" i="10"/>
  <c r="E66" i="24"/>
  <c r="E69" i="24" s="1"/>
  <c r="E14" i="24"/>
  <c r="E16" i="24" s="1"/>
  <c r="I24" i="26"/>
  <c r="I25" i="26" s="1"/>
  <c r="H26" i="26"/>
  <c r="F7" i="24" s="1"/>
  <c r="F9" i="24" s="1"/>
  <c r="F12" i="24" s="1"/>
  <c r="E78" i="24"/>
  <c r="E79" i="24" s="1"/>
  <c r="D11" i="8"/>
  <c r="D16" i="8" s="1"/>
  <c r="D30" i="10" s="1"/>
  <c r="F42" i="5"/>
  <c r="E5" i="8"/>
  <c r="E6" i="7"/>
  <c r="E19" i="7" s="1"/>
  <c r="E35" i="7" s="1"/>
  <c r="F49" i="5"/>
  <c r="F55" i="5" s="1"/>
  <c r="E6" i="12"/>
  <c r="E12" i="12" s="1"/>
  <c r="E13" i="12" s="1"/>
  <c r="E9" i="10"/>
  <c r="F36" i="5"/>
  <c r="F38" i="5" s="1"/>
  <c r="F39" i="5" s="1"/>
  <c r="D8" i="12"/>
  <c r="E11" i="10"/>
  <c r="E27" i="10" s="1"/>
  <c r="D16" i="10"/>
  <c r="D34" i="10" s="1"/>
  <c r="D29" i="10"/>
  <c r="E15" i="6" l="1"/>
  <c r="D26" i="6"/>
  <c r="D33" i="6" s="1"/>
  <c r="D35" i="6" s="1"/>
  <c r="E11" i="8"/>
  <c r="E16" i="8" s="1"/>
  <c r="E30" i="10" s="1"/>
  <c r="F78" i="24"/>
  <c r="C9" i="12"/>
  <c r="E8" i="12"/>
  <c r="D9" i="12"/>
  <c r="K11" i="26"/>
  <c r="K12" i="26" s="1"/>
  <c r="J13" i="26"/>
  <c r="H31" i="5" s="1"/>
  <c r="H33" i="5" s="1"/>
  <c r="G7" i="6" s="1"/>
  <c r="G49" i="5"/>
  <c r="G55" i="5" s="1"/>
  <c r="G36" i="5"/>
  <c r="G38" i="5" s="1"/>
  <c r="G39" i="5" s="1"/>
  <c r="G42" i="5"/>
  <c r="F6" i="7"/>
  <c r="F19" i="7" s="1"/>
  <c r="F35" i="7" s="1"/>
  <c r="F5" i="8"/>
  <c r="F6" i="12"/>
  <c r="F12" i="12" s="1"/>
  <c r="F13" i="12" s="1"/>
  <c r="F9" i="10"/>
  <c r="F79" i="24"/>
  <c r="E26" i="10"/>
  <c r="E28" i="10"/>
  <c r="F14" i="24"/>
  <c r="F16" i="24" s="1"/>
  <c r="F66" i="24"/>
  <c r="F69" i="24" s="1"/>
  <c r="J24" i="26"/>
  <c r="J25" i="26" s="1"/>
  <c r="I26" i="26"/>
  <c r="G7" i="24" s="1"/>
  <c r="G9" i="24" s="1"/>
  <c r="G12" i="24" s="1"/>
  <c r="E36" i="7"/>
  <c r="E16" i="10"/>
  <c r="E34" i="10" s="1"/>
  <c r="E29" i="10"/>
  <c r="F11" i="10"/>
  <c r="F27" i="10" s="1"/>
  <c r="F13" i="10"/>
  <c r="F15" i="6"/>
  <c r="G6" i="7" l="1"/>
  <c r="G19" i="7" s="1"/>
  <c r="G35" i="7" s="1"/>
  <c r="H49" i="5"/>
  <c r="H55" i="5" s="1"/>
  <c r="G6" i="12"/>
  <c r="G12" i="12" s="1"/>
  <c r="G13" i="12" s="1"/>
  <c r="G9" i="10"/>
  <c r="H42" i="5"/>
  <c r="H36" i="5"/>
  <c r="H38" i="5" s="1"/>
  <c r="H39" i="5" s="1"/>
  <c r="G5" i="8"/>
  <c r="E39" i="7"/>
  <c r="E31" i="6"/>
  <c r="F34" i="7"/>
  <c r="F36" i="7" s="1"/>
  <c r="F28" i="10"/>
  <c r="F26" i="10"/>
  <c r="L11" i="26"/>
  <c r="L12" i="26" s="1"/>
  <c r="K13" i="26"/>
  <c r="I31" i="5" s="1"/>
  <c r="I33" i="5" s="1"/>
  <c r="H7" i="6" s="1"/>
  <c r="G66" i="24"/>
  <c r="G69" i="24" s="1"/>
  <c r="G14" i="24"/>
  <c r="G16" i="24" s="1"/>
  <c r="K24" i="26"/>
  <c r="K25" i="26" s="1"/>
  <c r="J26" i="26"/>
  <c r="H7" i="24" s="1"/>
  <c r="H9" i="24" s="1"/>
  <c r="H12" i="24" s="1"/>
  <c r="F11" i="8"/>
  <c r="F16" i="8" s="1"/>
  <c r="F30" i="10" s="1"/>
  <c r="G78" i="24"/>
  <c r="G79" i="24" s="1"/>
  <c r="F8" i="12"/>
  <c r="G8" i="12" s="1"/>
  <c r="G11" i="10"/>
  <c r="G27" i="10" s="1"/>
  <c r="G13" i="10"/>
  <c r="G15" i="6"/>
  <c r="F16" i="10"/>
  <c r="F34" i="10" s="1"/>
  <c r="F29" i="10"/>
  <c r="H14" i="24" l="1"/>
  <c r="H16" i="24" s="1"/>
  <c r="H66" i="24"/>
  <c r="H69" i="24" s="1"/>
  <c r="G11" i="8"/>
  <c r="G16" i="8" s="1"/>
  <c r="G30" i="10" s="1"/>
  <c r="H78" i="24"/>
  <c r="H79" i="24" s="1"/>
  <c r="M11" i="26"/>
  <c r="M12" i="26" s="1"/>
  <c r="L13" i="26"/>
  <c r="J31" i="5" s="1"/>
  <c r="J33" i="5" s="1"/>
  <c r="I7" i="6" s="1"/>
  <c r="H9" i="10"/>
  <c r="I36" i="5"/>
  <c r="I38" i="5" s="1"/>
  <c r="I39" i="5" s="1"/>
  <c r="I42" i="5"/>
  <c r="H6" i="7"/>
  <c r="H19" i="7" s="1"/>
  <c r="H35" i="7" s="1"/>
  <c r="I49" i="5"/>
  <c r="I55" i="5" s="1"/>
  <c r="H6" i="12"/>
  <c r="H12" i="12" s="1"/>
  <c r="H5" i="8"/>
  <c r="G28" i="10"/>
  <c r="G26" i="10"/>
  <c r="F31" i="6"/>
  <c r="F39" i="7"/>
  <c r="G34" i="7"/>
  <c r="G36" i="7" s="1"/>
  <c r="L24" i="26"/>
  <c r="L25" i="26" s="1"/>
  <c r="K26" i="26"/>
  <c r="I7" i="24" s="1"/>
  <c r="I9" i="24" s="1"/>
  <c r="I12" i="24" s="1"/>
  <c r="E26" i="6"/>
  <c r="E33" i="6" s="1"/>
  <c r="E35" i="6" s="1"/>
  <c r="E23" i="10"/>
  <c r="E33" i="10" s="1"/>
  <c r="G16" i="10"/>
  <c r="G34" i="10" s="1"/>
  <c r="G29" i="10"/>
  <c r="H15" i="6"/>
  <c r="H11" i="10"/>
  <c r="H27" i="10" s="1"/>
  <c r="H13" i="10"/>
  <c r="L26" i="26" l="1"/>
  <c r="J7" i="24" s="1"/>
  <c r="J9" i="24" s="1"/>
  <c r="J12" i="24" s="1"/>
  <c r="M24" i="26"/>
  <c r="M25" i="26" s="1"/>
  <c r="H26" i="10"/>
  <c r="H28" i="10"/>
  <c r="H8" i="12"/>
  <c r="I8" i="12" s="1"/>
  <c r="J8" i="12" s="1"/>
  <c r="K8" i="12" s="1"/>
  <c r="I9" i="10"/>
  <c r="J36" i="5"/>
  <c r="J38" i="5" s="1"/>
  <c r="J39" i="5" s="1"/>
  <c r="J42" i="5"/>
  <c r="I5" i="8"/>
  <c r="I6" i="7"/>
  <c r="I19" i="7" s="1"/>
  <c r="I35" i="7" s="1"/>
  <c r="J49" i="5"/>
  <c r="J55" i="5" s="1"/>
  <c r="I66" i="24"/>
  <c r="I69" i="24" s="1"/>
  <c r="I14" i="24"/>
  <c r="I16" i="24" s="1"/>
  <c r="I78" i="24"/>
  <c r="I79" i="24" s="1"/>
  <c r="H11" i="8"/>
  <c r="H16" i="8" s="1"/>
  <c r="H30" i="10" s="1"/>
  <c r="N11" i="26"/>
  <c r="N12" i="26" s="1"/>
  <c r="M13" i="26"/>
  <c r="K31" i="5" s="1"/>
  <c r="K33" i="5" s="1"/>
  <c r="J7" i="6" s="1"/>
  <c r="D5" i="13" a="1"/>
  <c r="H13" i="12"/>
  <c r="H34" i="7"/>
  <c r="H36" i="7" s="1"/>
  <c r="G31" i="6"/>
  <c r="G39" i="7"/>
  <c r="F26" i="6"/>
  <c r="F33" i="6" s="1"/>
  <c r="F35" i="6" s="1"/>
  <c r="F23" i="10"/>
  <c r="F33" i="10" s="1"/>
  <c r="I13" i="10"/>
  <c r="I15" i="6"/>
  <c r="I11" i="10"/>
  <c r="I27" i="10" s="1"/>
  <c r="H16" i="10"/>
  <c r="H34" i="10" s="1"/>
  <c r="H29" i="10"/>
  <c r="I26" i="10" l="1"/>
  <c r="I28" i="10"/>
  <c r="G23" i="10"/>
  <c r="G33" i="10" s="1"/>
  <c r="G26" i="6"/>
  <c r="G33" i="6" s="1"/>
  <c r="G35" i="6" s="1"/>
  <c r="H39" i="7"/>
  <c r="I34" i="7"/>
  <c r="I36" i="7" s="1"/>
  <c r="H31" i="6"/>
  <c r="D14" i="13"/>
  <c r="F14" i="13" s="1"/>
  <c r="D13" i="13"/>
  <c r="F13" i="13" s="1"/>
  <c r="D12" i="13"/>
  <c r="F12" i="13" s="1"/>
  <c r="D7" i="13"/>
  <c r="D6" i="13"/>
  <c r="D8" i="13"/>
  <c r="D11" i="13"/>
  <c r="D9" i="13"/>
  <c r="D5" i="13"/>
  <c r="D10" i="13"/>
  <c r="N24" i="26"/>
  <c r="N25" i="26" s="1"/>
  <c r="M26" i="26"/>
  <c r="K7" i="24" s="1"/>
  <c r="K9" i="24" s="1"/>
  <c r="K12" i="24" s="1"/>
  <c r="K42" i="5"/>
  <c r="J5" i="8"/>
  <c r="J9" i="10"/>
  <c r="K36" i="5"/>
  <c r="K38" i="5" s="1"/>
  <c r="K39" i="5" s="1"/>
  <c r="J6" i="7"/>
  <c r="J19" i="7" s="1"/>
  <c r="J35" i="7" s="1"/>
  <c r="K49" i="5"/>
  <c r="K55" i="5" s="1"/>
  <c r="J78" i="24"/>
  <c r="I11" i="8"/>
  <c r="I16" i="8" s="1"/>
  <c r="I30" i="10" s="1"/>
  <c r="J14" i="24"/>
  <c r="J16" i="24" s="1"/>
  <c r="J66" i="24"/>
  <c r="J69" i="24" s="1"/>
  <c r="N13" i="26"/>
  <c r="L31" i="5" s="1"/>
  <c r="L33" i="5" s="1"/>
  <c r="K7" i="6" s="1"/>
  <c r="O11" i="26"/>
  <c r="O12" i="26" s="1"/>
  <c r="J13" i="10"/>
  <c r="J15" i="6"/>
  <c r="J11" i="10"/>
  <c r="J27" i="10" s="1"/>
  <c r="I16" i="10"/>
  <c r="I34" i="10" s="1"/>
  <c r="I29" i="10"/>
  <c r="D24" i="13" l="1"/>
  <c r="F24" i="13" s="1"/>
  <c r="F35" i="13" s="1"/>
  <c r="F37" i="13" s="1"/>
  <c r="F5" i="13"/>
  <c r="F16" i="13" s="1"/>
  <c r="F18" i="13" s="1"/>
  <c r="O24" i="26"/>
  <c r="O25" i="26" s="1"/>
  <c r="N26" i="26"/>
  <c r="L7" i="24" s="1"/>
  <c r="L9" i="24" s="1"/>
  <c r="L12" i="24" s="1"/>
  <c r="P11" i="26"/>
  <c r="P12" i="26" s="1"/>
  <c r="P13" i="26" s="1"/>
  <c r="N31" i="5" s="1"/>
  <c r="N33" i="5" s="1"/>
  <c r="O13" i="26"/>
  <c r="M31" i="5" s="1"/>
  <c r="M33" i="5" s="1"/>
  <c r="L7" i="6" s="1"/>
  <c r="D28" i="13"/>
  <c r="F28" i="13" s="1"/>
  <c r="F9" i="13"/>
  <c r="H26" i="6"/>
  <c r="H33" i="6" s="1"/>
  <c r="H35" i="6" s="1"/>
  <c r="H23" i="10"/>
  <c r="H33" i="10" s="1"/>
  <c r="D81" i="24"/>
  <c r="J79" i="24"/>
  <c r="L36" i="5"/>
  <c r="L38" i="5" s="1"/>
  <c r="L39" i="5" s="1"/>
  <c r="K6" i="7"/>
  <c r="K19" i="7" s="1"/>
  <c r="K35" i="7" s="1"/>
  <c r="L42" i="5"/>
  <c r="K5" i="8"/>
  <c r="L49" i="5"/>
  <c r="L55" i="5" s="1"/>
  <c r="K9" i="10"/>
  <c r="J28" i="10"/>
  <c r="J26" i="10"/>
  <c r="F11" i="13"/>
  <c r="D30" i="13"/>
  <c r="F30" i="13" s="1"/>
  <c r="J34" i="7"/>
  <c r="J36" i="7" s="1"/>
  <c r="I31" i="6"/>
  <c r="I39" i="7"/>
  <c r="J11" i="8"/>
  <c r="J16" i="8" s="1"/>
  <c r="J30" i="10" s="1"/>
  <c r="K78" i="24"/>
  <c r="D27" i="13"/>
  <c r="F27" i="13" s="1"/>
  <c r="F8" i="13"/>
  <c r="D25" i="13"/>
  <c r="F25" i="13" s="1"/>
  <c r="F6" i="13"/>
  <c r="K66" i="24"/>
  <c r="K69" i="24" s="1"/>
  <c r="K14" i="24"/>
  <c r="K16" i="24" s="1"/>
  <c r="D26" i="13"/>
  <c r="F26" i="13" s="1"/>
  <c r="F7" i="13"/>
  <c r="F10" i="13"/>
  <c r="D29" i="13"/>
  <c r="F29" i="13" s="1"/>
  <c r="J16" i="10"/>
  <c r="J34" i="10" s="1"/>
  <c r="J29" i="10"/>
  <c r="K13" i="10"/>
  <c r="K15" i="6"/>
  <c r="K11" i="10"/>
  <c r="K27" i="10" s="1"/>
  <c r="I26" i="6" l="1"/>
  <c r="I33" i="6" s="1"/>
  <c r="I35" i="6" s="1"/>
  <c r="I23" i="10"/>
  <c r="I33" i="10" s="1"/>
  <c r="K11" i="8"/>
  <c r="K16" i="8" s="1"/>
  <c r="K30" i="10" s="1"/>
  <c r="L78" i="24"/>
  <c r="J31" i="6"/>
  <c r="J39" i="7"/>
  <c r="K34" i="7"/>
  <c r="K36" i="7" s="1"/>
  <c r="M42" i="5"/>
  <c r="M36" i="5"/>
  <c r="M38" i="5" s="1"/>
  <c r="M39" i="5" s="1"/>
  <c r="L5" i="8"/>
  <c r="L6" i="7"/>
  <c r="L19" i="7" s="1"/>
  <c r="L35" i="7" s="1"/>
  <c r="M49" i="5"/>
  <c r="M55" i="5" s="1"/>
  <c r="D56" i="5" s="1"/>
  <c r="L9" i="10"/>
  <c r="N49" i="5"/>
  <c r="N55" i="5" s="1"/>
  <c r="N36" i="5"/>
  <c r="N38" i="5" s="1"/>
  <c r="M9" i="10"/>
  <c r="N42" i="5"/>
  <c r="M5" i="8"/>
  <c r="N78" i="24" s="1"/>
  <c r="M6" i="7"/>
  <c r="M19" i="7" s="1"/>
  <c r="M35" i="7" s="1"/>
  <c r="K79" i="24"/>
  <c r="L66" i="24"/>
  <c r="L69" i="24" s="1"/>
  <c r="L14" i="24"/>
  <c r="L16" i="24" s="1"/>
  <c r="O26" i="26"/>
  <c r="M7" i="24" s="1"/>
  <c r="M9" i="24" s="1"/>
  <c r="M12" i="24" s="1"/>
  <c r="P24" i="26"/>
  <c r="P25" i="26" s="1"/>
  <c r="P26" i="26" s="1"/>
  <c r="N7" i="24" s="1"/>
  <c r="N9" i="24" s="1"/>
  <c r="K28" i="10"/>
  <c r="K26" i="10"/>
  <c r="K16" i="10"/>
  <c r="K34" i="10" s="1"/>
  <c r="K29" i="10"/>
  <c r="L11" i="10"/>
  <c r="L27" i="10" s="1"/>
  <c r="M7" i="6"/>
  <c r="L13" i="10"/>
  <c r="L15" i="6"/>
  <c r="L79" i="24" l="1"/>
  <c r="N13" i="24"/>
  <c r="N67" i="24" s="1"/>
  <c r="N68" i="24" s="1"/>
  <c r="N12" i="24"/>
  <c r="M28" i="10"/>
  <c r="M26" i="10"/>
  <c r="M14" i="24"/>
  <c r="M66" i="24"/>
  <c r="M69" i="24" s="1"/>
  <c r="K31" i="6"/>
  <c r="K39" i="7"/>
  <c r="L34" i="7"/>
  <c r="L36" i="7" s="1"/>
  <c r="L28" i="10"/>
  <c r="L26" i="10"/>
  <c r="J26" i="6"/>
  <c r="J33" i="6" s="1"/>
  <c r="J35" i="6" s="1"/>
  <c r="J23" i="10"/>
  <c r="J33" i="10" s="1"/>
  <c r="M78" i="24"/>
  <c r="M79" i="24" s="1"/>
  <c r="L11" i="8"/>
  <c r="M11" i="8"/>
  <c r="M16" i="8" s="1"/>
  <c r="M30" i="10" s="1"/>
  <c r="N39" i="5"/>
  <c r="M11" i="10"/>
  <c r="M27" i="10" s="1"/>
  <c r="M13" i="10"/>
  <c r="M15" i="6"/>
  <c r="L16" i="10"/>
  <c r="L34" i="10" s="1"/>
  <c r="L29" i="10"/>
  <c r="N79" i="24" l="1"/>
  <c r="L16" i="8"/>
  <c r="C17" i="8"/>
  <c r="K23" i="10"/>
  <c r="K33" i="10" s="1"/>
  <c r="K26" i="6"/>
  <c r="K33" i="6" s="1"/>
  <c r="K35" i="6" s="1"/>
  <c r="M16" i="24"/>
  <c r="D15" i="24"/>
  <c r="N14" i="24"/>
  <c r="N16" i="24" s="1"/>
  <c r="N66" i="24"/>
  <c r="N69" i="24" s="1"/>
  <c r="D71" i="24" s="1"/>
  <c r="M34" i="7"/>
  <c r="M36" i="7" s="1"/>
  <c r="L39" i="7"/>
  <c r="L31" i="6"/>
  <c r="M16" i="10"/>
  <c r="M34" i="10" s="1"/>
  <c r="M29" i="10"/>
  <c r="C17" i="24" l="1"/>
  <c r="C73" i="24"/>
  <c r="L26" i="6"/>
  <c r="L33" i="6" s="1"/>
  <c r="L35" i="6" s="1"/>
  <c r="L23" i="10"/>
  <c r="L33" i="10" s="1"/>
  <c r="M31" i="6"/>
  <c r="M39" i="7"/>
  <c r="L30" i="10"/>
  <c r="C18" i="8"/>
  <c r="M26" i="6" l="1"/>
  <c r="M33" i="6" s="1"/>
  <c r="M35" i="6" s="1"/>
  <c r="M23" i="10"/>
  <c r="M3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tc={AF1F2FD4-44C8-4014-8299-318466772B1A}</author>
  </authors>
  <commentList>
    <comment ref="B12" authorId="0" shapeId="0" xr:uid="{AF1F2FD4-44C8-4014-8299-318466772B1A}">
      <text>
        <t>[Threaded comment]
Your version of Excel allows you to read this threaded comment; however, any edits to it will get removed if the file is opened in a newer version of Excel. Learn more: https://go.microsoft.com/fwlink/?linkid=870924
Comment:
    RM, WIP &amp; FG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44" authorId="0" shapeId="0" xr:uid="{46E0E62A-AAF4-4140-B76B-50523D3CC17A}">
      <text>
        <r>
          <rPr>
            <b/>
            <sz val="8"/>
            <color indexed="81"/>
            <rFont val="Tahoma"/>
            <family val="2"/>
          </rPr>
          <t>Admin:</t>
        </r>
        <r>
          <rPr>
            <sz val="8"/>
            <color indexed="81"/>
            <rFont val="Tahoma"/>
            <family val="2"/>
          </rPr>
          <t xml:space="preserve">
balance sheet figure or MPBF</t>
        </r>
      </text>
    </comment>
    <comment ref="F44" authorId="0" shapeId="0" xr:uid="{924E1424-0669-460B-B9A2-4715520EC75B}">
      <text>
        <r>
          <rPr>
            <b/>
            <sz val="8"/>
            <color indexed="81"/>
            <rFont val="Tahoma"/>
            <family val="2"/>
          </rPr>
          <t>Admin:</t>
        </r>
        <r>
          <rPr>
            <sz val="8"/>
            <color indexed="81"/>
            <rFont val="Tahoma"/>
            <family val="2"/>
          </rPr>
          <t xml:space="preserve">
balance sheet figure or MPBF</t>
        </r>
      </text>
    </comment>
    <comment ref="G44" authorId="0" shapeId="0" xr:uid="{4A653802-A70C-469E-89A8-357EB0CC59B4}">
      <text>
        <r>
          <rPr>
            <b/>
            <sz val="8"/>
            <color indexed="81"/>
            <rFont val="Tahoma"/>
            <family val="2"/>
          </rPr>
          <t>Admin:</t>
        </r>
        <r>
          <rPr>
            <sz val="8"/>
            <color indexed="81"/>
            <rFont val="Tahoma"/>
            <family val="2"/>
          </rPr>
          <t xml:space="preserve">
balance sheet figure or MPBF</t>
        </r>
      </text>
    </comment>
    <comment ref="H44" authorId="0" shapeId="0" xr:uid="{B7A9443D-4145-4362-8F2E-087A00AB4106}">
      <text>
        <r>
          <rPr>
            <b/>
            <sz val="8"/>
            <color indexed="81"/>
            <rFont val="Tahoma"/>
            <family val="2"/>
          </rPr>
          <t>Admin:</t>
        </r>
        <r>
          <rPr>
            <sz val="8"/>
            <color indexed="81"/>
            <rFont val="Tahoma"/>
            <family val="2"/>
          </rPr>
          <t xml:space="preserve">
balance sheet figure or MPBF</t>
        </r>
      </text>
    </comment>
    <comment ref="I44" authorId="0" shapeId="0" xr:uid="{9F8A6E52-942C-4667-AA88-FCBDC377BE60}">
      <text>
        <r>
          <rPr>
            <b/>
            <sz val="8"/>
            <color indexed="81"/>
            <rFont val="Tahoma"/>
            <family val="2"/>
          </rPr>
          <t>Admin:</t>
        </r>
        <r>
          <rPr>
            <sz val="8"/>
            <color indexed="81"/>
            <rFont val="Tahoma"/>
            <family val="2"/>
          </rPr>
          <t xml:space="preserve">
balance sheet figure or MPBF</t>
        </r>
      </text>
    </comment>
    <comment ref="J44" authorId="0" shapeId="0" xr:uid="{B8D0554B-BD7B-4E73-B3DB-7FFF85B44558}">
      <text>
        <r>
          <rPr>
            <b/>
            <sz val="8"/>
            <color indexed="81"/>
            <rFont val="Tahoma"/>
            <family val="2"/>
          </rPr>
          <t>Admin:</t>
        </r>
        <r>
          <rPr>
            <sz val="8"/>
            <color indexed="81"/>
            <rFont val="Tahoma"/>
            <family val="2"/>
          </rPr>
          <t xml:space="preserve">
balance sheet figure or MPBF</t>
        </r>
      </text>
    </comment>
    <comment ref="K44" authorId="0" shapeId="0" xr:uid="{CF3D1CA9-4148-4995-9B33-BADB4CEB966A}">
      <text>
        <r>
          <rPr>
            <b/>
            <sz val="8"/>
            <color indexed="81"/>
            <rFont val="Tahoma"/>
            <family val="2"/>
          </rPr>
          <t>Admin:</t>
        </r>
        <r>
          <rPr>
            <sz val="8"/>
            <color indexed="81"/>
            <rFont val="Tahoma"/>
            <family val="2"/>
          </rPr>
          <t xml:space="preserve">
balance sheet figure or MPBF</t>
        </r>
      </text>
    </comment>
    <comment ref="L44" authorId="0" shapeId="0" xr:uid="{7B62F417-5DB3-40E1-9360-C14EFFB418C5}">
      <text>
        <r>
          <rPr>
            <b/>
            <sz val="8"/>
            <color indexed="81"/>
            <rFont val="Tahoma"/>
            <family val="2"/>
          </rPr>
          <t>Admin:</t>
        </r>
        <r>
          <rPr>
            <sz val="8"/>
            <color indexed="81"/>
            <rFont val="Tahoma"/>
            <family val="2"/>
          </rPr>
          <t xml:space="preserve">
balance sheet figure or MPBF</t>
        </r>
      </text>
    </comment>
    <comment ref="M44" authorId="0" shapeId="0" xr:uid="{4B47F09D-97AF-4895-80AE-E1418B5E7780}">
      <text>
        <r>
          <rPr>
            <b/>
            <sz val="8"/>
            <color indexed="81"/>
            <rFont val="Tahoma"/>
            <family val="2"/>
          </rPr>
          <t>Admin:</t>
        </r>
        <r>
          <rPr>
            <sz val="8"/>
            <color indexed="81"/>
            <rFont val="Tahoma"/>
            <family val="2"/>
          </rPr>
          <t xml:space="preserve">
balance sheet figure or MPBF</t>
        </r>
      </text>
    </comment>
    <comment ref="N44" authorId="0" shapeId="0" xr:uid="{CEB64A0C-FC68-4ADD-A392-7D0D0DE1CF43}">
      <text>
        <r>
          <rPr>
            <b/>
            <sz val="8"/>
            <color indexed="81"/>
            <rFont val="Tahoma"/>
            <family val="2"/>
          </rPr>
          <t>Admin:</t>
        </r>
        <r>
          <rPr>
            <sz val="8"/>
            <color indexed="81"/>
            <rFont val="Tahoma"/>
            <family val="2"/>
          </rPr>
          <t xml:space="preserve">
balance sheet figure or MPBF</t>
        </r>
      </text>
    </comment>
    <comment ref="O44" authorId="0" shapeId="0" xr:uid="{700D3C7F-C25C-4AF0-AC8E-6CAD28E9886F}">
      <text>
        <r>
          <rPr>
            <b/>
            <sz val="8"/>
            <color indexed="81"/>
            <rFont val="Tahoma"/>
            <family val="2"/>
          </rPr>
          <t>Admin:</t>
        </r>
        <r>
          <rPr>
            <sz val="8"/>
            <color indexed="81"/>
            <rFont val="Tahoma"/>
            <family val="2"/>
          </rPr>
          <t xml:space="preserve">
balance sheet figure or MPBF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anupam</author>
  </authors>
  <commentList>
    <comment ref="D116" authorId="0" shapeId="0" xr:uid="{243AA70A-C9F0-476E-9EF3-26572A0674B3}">
      <text>
        <r>
          <rPr>
            <sz val="9"/>
            <color indexed="81"/>
            <rFont val="Tahoma"/>
            <family val="2"/>
          </rPr>
          <t xml:space="preserve">
( For Feed ,Purified Water &amp; Purified MEG)</t>
        </r>
      </text>
    </comment>
  </commentList>
</comments>
</file>

<file path=xl/sharedStrings.xml><?xml version="1.0" encoding="utf-8"?>
<sst xmlns="http://schemas.openxmlformats.org/spreadsheetml/2006/main" count="3656" uniqueCount="1993">
  <si>
    <t>Sr. No.</t>
  </si>
  <si>
    <t xml:space="preserve">CAPITAL COST HEAD </t>
  </si>
  <si>
    <t>QTY.</t>
  </si>
  <si>
    <t xml:space="preserve">UNITS </t>
  </si>
  <si>
    <t>UNIT RATE (INR)</t>
  </si>
  <si>
    <t xml:space="preserve">SUB TOTAL </t>
  </si>
  <si>
    <t xml:space="preserve">DETAILED PROJECT COST </t>
  </si>
  <si>
    <t>INR (LAKH)</t>
  </si>
  <si>
    <t>%</t>
  </si>
  <si>
    <t xml:space="preserve">PROJECT COST AND MEANS OF FINANCE </t>
  </si>
  <si>
    <t xml:space="preserve">DETAILED ASSUMPTION </t>
  </si>
  <si>
    <t xml:space="preserve">YEAR </t>
  </si>
  <si>
    <t xml:space="preserve">1ST </t>
  </si>
  <si>
    <t xml:space="preserve">FINANCIAL RATIOS </t>
  </si>
  <si>
    <t xml:space="preserve">INVESTMENT INDICATION </t>
  </si>
  <si>
    <t xml:space="preserve">A. PAY BACK PERIOD </t>
  </si>
  <si>
    <t xml:space="preserve">1. PAYBACK PERIOD WITHOUT SUBSIDY </t>
  </si>
  <si>
    <t xml:space="preserve">TOTAL PROJECT COST </t>
  </si>
  <si>
    <t xml:space="preserve">B. INTERNAL RATE OF RETURN </t>
  </si>
  <si>
    <t xml:space="preserve">OPERATIONAL CASH INFLOW </t>
  </si>
  <si>
    <t>NET CASH FLOW</t>
  </si>
  <si>
    <t xml:space="preserve">NET PRESENT VALUE </t>
  </si>
  <si>
    <t>INTERNAL RATE OF RETURN (%)</t>
  </si>
  <si>
    <t xml:space="preserve">2. EQUITY IRR WITHOUT SUBSIDY </t>
  </si>
  <si>
    <t xml:space="preserve">INITIAL EQUITY OUTFLOW </t>
  </si>
  <si>
    <t>TOTAL SALES</t>
  </si>
  <si>
    <t>LESS ; VARIABLE COST</t>
  </si>
  <si>
    <t xml:space="preserve">CONTRIBUTION </t>
  </si>
  <si>
    <t>FIXED COST</t>
  </si>
  <si>
    <t xml:space="preserve">INTEREST </t>
  </si>
  <si>
    <t xml:space="preserve">DEPRECIATION </t>
  </si>
  <si>
    <t>TOTAL FIXED COST</t>
  </si>
  <si>
    <t>OPERATION BREAK EVEN (%)</t>
  </si>
  <si>
    <t>CASH BREAKEVEN (%)</t>
  </si>
  <si>
    <t>AVERAGE OPERATION BREAKEVEN (%)</t>
  </si>
  <si>
    <t>AVERAGE CASH BREAKEVEN (%)</t>
  </si>
  <si>
    <t>PROJECTED LIST PRICE @ 15 PE RATIO</t>
  </si>
  <si>
    <t xml:space="preserve">ANNUALIZED GROWTH RATE </t>
  </si>
  <si>
    <t xml:space="preserve">LIABILITIES </t>
  </si>
  <si>
    <t xml:space="preserve">TOTAL </t>
  </si>
  <si>
    <t xml:space="preserve">A. SOURCE OF FUND </t>
  </si>
  <si>
    <t>TOTAL</t>
  </si>
  <si>
    <t xml:space="preserve">B. APPLICATION OF FUNDS </t>
  </si>
  <si>
    <t>Net Surplus/ Deficit</t>
  </si>
  <si>
    <t xml:space="preserve">Cumulative Balance </t>
  </si>
  <si>
    <t xml:space="preserve">PBT </t>
  </si>
  <si>
    <t>Sale of Bio-CNG</t>
  </si>
  <si>
    <t>Sale of CERs</t>
  </si>
  <si>
    <t>Gross Annual Sale</t>
  </si>
  <si>
    <t>Total Variable Cost</t>
  </si>
  <si>
    <t xml:space="preserve">FIXED EXPENSES </t>
  </si>
  <si>
    <t>Total Fixed Cost</t>
  </si>
  <si>
    <t>EBIDTA</t>
  </si>
  <si>
    <t>Interest on Term Loan</t>
  </si>
  <si>
    <t xml:space="preserve">Depreciation </t>
  </si>
  <si>
    <t>PBT</t>
  </si>
  <si>
    <t>PAT</t>
  </si>
  <si>
    <t xml:space="preserve">Add : Depreciation </t>
  </si>
  <si>
    <t xml:space="preserve">Repayment Obligations </t>
  </si>
  <si>
    <t xml:space="preserve">Cumulative Internal Accruals  </t>
  </si>
  <si>
    <t xml:space="preserve">Building </t>
  </si>
  <si>
    <t xml:space="preserve">WDV of Building </t>
  </si>
  <si>
    <t xml:space="preserve">Plant &amp; Machinery </t>
  </si>
  <si>
    <t xml:space="preserve">Gross Annual Sale </t>
  </si>
  <si>
    <t xml:space="preserve">Value </t>
  </si>
  <si>
    <t xml:space="preserve">Unit </t>
  </si>
  <si>
    <t xml:space="preserve">PARTICUALR </t>
  </si>
  <si>
    <t>I</t>
  </si>
  <si>
    <t>II</t>
  </si>
  <si>
    <t>PLANT UTILIZATION FACTOR</t>
  </si>
  <si>
    <t>III</t>
  </si>
  <si>
    <t xml:space="preserve">ESTIMATION OF PRODUCTION </t>
  </si>
  <si>
    <t>A</t>
  </si>
  <si>
    <t>B</t>
  </si>
  <si>
    <t>C</t>
  </si>
  <si>
    <t>IV</t>
  </si>
  <si>
    <t xml:space="preserve">PLANT CAPACITY </t>
  </si>
  <si>
    <t>V</t>
  </si>
  <si>
    <t>VI</t>
  </si>
  <si>
    <t>VII</t>
  </si>
  <si>
    <t>VIII</t>
  </si>
  <si>
    <t>D</t>
  </si>
  <si>
    <t>E</t>
  </si>
  <si>
    <t>F</t>
  </si>
  <si>
    <t>G</t>
  </si>
  <si>
    <t>H</t>
  </si>
  <si>
    <t>J</t>
  </si>
  <si>
    <t xml:space="preserve">PROJECT COST </t>
  </si>
  <si>
    <t>Subsidy from MNRE</t>
  </si>
  <si>
    <t xml:space="preserve">Miscellaneous Assets </t>
  </si>
  <si>
    <t xml:space="preserve">Working Capital Margin </t>
  </si>
  <si>
    <t>SUB TOTAL</t>
  </si>
  <si>
    <t xml:space="preserve">CIVIL WORK </t>
  </si>
  <si>
    <t xml:space="preserve">BUILDING </t>
  </si>
  <si>
    <t xml:space="preserve">BUILDING SERVICE </t>
  </si>
  <si>
    <t xml:space="preserve">PLANT &amp; MACHINERY </t>
  </si>
  <si>
    <t>ORGANIC FERTILIZER PLANT</t>
  </si>
  <si>
    <t xml:space="preserve">MISCELLANEOUS ASSETS </t>
  </si>
  <si>
    <t xml:space="preserve">PRELIMINARY &amp; PRE-OPERATIVE EXPENSES </t>
  </si>
  <si>
    <t xml:space="preserve">PRE-OPERATIVE EXPENSES </t>
  </si>
  <si>
    <t xml:space="preserve">OFFICE EQUIPMENTS &amp; FURNITURE </t>
  </si>
  <si>
    <t>AC for factory 1.5 Ton</t>
  </si>
  <si>
    <t xml:space="preserve">PRELIMINARY EXPENSES </t>
  </si>
  <si>
    <t>TOTAL FOR PRELIMINARY &amp; PRE-OPERATIVE EXPENSES</t>
  </si>
  <si>
    <t>TOTAL PROJECT COST</t>
  </si>
  <si>
    <t xml:space="preserve">2ND </t>
  </si>
  <si>
    <t xml:space="preserve">3RD </t>
  </si>
  <si>
    <t>4TH</t>
  </si>
  <si>
    <t>5TH</t>
  </si>
  <si>
    <t>6TH</t>
  </si>
  <si>
    <t>7TH</t>
  </si>
  <si>
    <t>8TH</t>
  </si>
  <si>
    <t>9TH</t>
  </si>
  <si>
    <t>10TH</t>
  </si>
  <si>
    <t>No. of daily Operation Hours</t>
  </si>
  <si>
    <t>No. of days per Annum</t>
  </si>
  <si>
    <t xml:space="preserve">Daily Volume of Bio-CNG Generated </t>
  </si>
  <si>
    <t xml:space="preserve">Mass of Bio-CNG Generated </t>
  </si>
  <si>
    <t>SOLID BIO FERTILIZER PRODUCTION</t>
  </si>
  <si>
    <t xml:space="preserve">LIQUID FERTILIZER CONCENTRATE GENERATION </t>
  </si>
  <si>
    <t>Quantity of Phosphorus liquid fertilizer concentrate</t>
  </si>
  <si>
    <t xml:space="preserve">Total quantity of liquid fertilizer concentrate </t>
  </si>
  <si>
    <t xml:space="preserve">Total water requirement </t>
  </si>
  <si>
    <t xml:space="preserve">Bio-CNG Plant Capacity </t>
  </si>
  <si>
    <t xml:space="preserve">Compost Plant Capacity </t>
  </si>
  <si>
    <t xml:space="preserve">Liquid Fertilizer Concentrate Capacity </t>
  </si>
  <si>
    <t>ANNUAL OUTPUT ON 100% BASIS</t>
  </si>
  <si>
    <t>ANNUAL INPUT ON 100% BASIS</t>
  </si>
  <si>
    <t>UNIT PRICE</t>
  </si>
  <si>
    <t>PARASITIC CONSUMPTION OF POWER</t>
  </si>
  <si>
    <t xml:space="preserve">Load of Biogas Section </t>
  </si>
  <si>
    <t xml:space="preserve">Total Carbon Credit </t>
  </si>
  <si>
    <t>HHV of LPG</t>
  </si>
  <si>
    <t>HHV of Bio-CNG</t>
  </si>
  <si>
    <t xml:space="preserve">Selling price of solid organic fertilizer </t>
  </si>
  <si>
    <t xml:space="preserve">Selling price of liquid fertilizer concentrate </t>
  </si>
  <si>
    <t>No.</t>
  </si>
  <si>
    <t>Capacity Utilization Factor</t>
  </si>
  <si>
    <t>Kg</t>
  </si>
  <si>
    <t>M3</t>
  </si>
  <si>
    <t xml:space="preserve">Hour </t>
  </si>
  <si>
    <t>Days</t>
  </si>
  <si>
    <t>Ton</t>
  </si>
  <si>
    <t>M3/Day</t>
  </si>
  <si>
    <t>Kg/day</t>
  </si>
  <si>
    <t>INR/Kg</t>
  </si>
  <si>
    <t>INR</t>
  </si>
  <si>
    <t xml:space="preserve">Kg </t>
  </si>
  <si>
    <t>L/day</t>
  </si>
  <si>
    <t xml:space="preserve">Initial water for dilution of first charge </t>
  </si>
  <si>
    <t>KWe</t>
  </si>
  <si>
    <t>CERs</t>
  </si>
  <si>
    <t>m3/year</t>
  </si>
  <si>
    <t>Kcal/Kg</t>
  </si>
  <si>
    <t>ratio</t>
  </si>
  <si>
    <t>1.08/1</t>
  </si>
  <si>
    <t>INR/L</t>
  </si>
  <si>
    <t>KL</t>
  </si>
  <si>
    <t>INR/CER</t>
  </si>
  <si>
    <t>INR/MT</t>
  </si>
  <si>
    <t>Mtr.</t>
  </si>
  <si>
    <t>SET</t>
  </si>
  <si>
    <t>Ltr.</t>
  </si>
  <si>
    <t xml:space="preserve">SUB TOTAL FOR P. &amp; MACHINERY </t>
  </si>
  <si>
    <t>LOT</t>
  </si>
  <si>
    <t xml:space="preserve">TOTAL FOR P. &amp; MACHINERY </t>
  </si>
  <si>
    <t xml:space="preserve">Computer at factory </t>
  </si>
  <si>
    <t>Table chair set</t>
  </si>
  <si>
    <t>Conference chair and table set</t>
  </si>
  <si>
    <t xml:space="preserve">Provision for others </t>
  </si>
  <si>
    <t>Interest during construction period</t>
  </si>
  <si>
    <t xml:space="preserve">TOTAL PROJECT EXPENDITURE </t>
  </si>
  <si>
    <t xml:space="preserve">Bore well with Motor, Piping and Pump </t>
  </si>
  <si>
    <t>Multifunction laser printer at factory</t>
  </si>
  <si>
    <t xml:space="preserve">TOTAL FOR MISC. ASSETS </t>
  </si>
  <si>
    <t xml:space="preserve">Loss of Biogas by Leakage/ Seepage to Atmosphere </t>
  </si>
  <si>
    <t xml:space="preserve">Daily Volume of Biogas available for conversion into Bio-CNG </t>
  </si>
  <si>
    <t xml:space="preserve">Methane Slip or Loss during up-gradation </t>
  </si>
  <si>
    <t xml:space="preserve">Quantity of potassium &amp; nitrogen liquid fertilizer concentrate </t>
  </si>
  <si>
    <t>KW.e</t>
  </si>
  <si>
    <t>Load of auxiliaries at Bio-CNG Unit</t>
  </si>
  <si>
    <t xml:space="preserve">Bio-CNG to LPG energy equivalence </t>
  </si>
  <si>
    <t xml:space="preserve">WDV of Plant &amp; Machinery </t>
  </si>
  <si>
    <t xml:space="preserve">Provision for unforeseen expenses </t>
  </si>
  <si>
    <t>PROFITIBLITY PROJECTIONS  (INR Lakh)</t>
  </si>
  <si>
    <t xml:space="preserve">Solid/ Liquid Fertilizer Separator Unit </t>
  </si>
  <si>
    <t xml:space="preserve">TOTAL FOR CIVIL WORKS </t>
  </si>
  <si>
    <t xml:space="preserve">SUMMARY OF BIO-CNG PROJECT ECONOMICS </t>
  </si>
  <si>
    <t>PARAMETERS</t>
  </si>
  <si>
    <t xml:space="preserve">Capacities </t>
  </si>
  <si>
    <t>Biogas Plant Capacity</t>
  </si>
  <si>
    <t>Bio-CNG Plant Capacity</t>
  </si>
  <si>
    <t>Carbon dioxide Plant Capacity</t>
  </si>
  <si>
    <t xml:space="preserve">Captive Power Plant Capacity </t>
  </si>
  <si>
    <t>Consumption &amp; Output @ 100% Capacity</t>
  </si>
  <si>
    <t xml:space="preserve">Annual Consumption of Cattle Dung as received </t>
  </si>
  <si>
    <t xml:space="preserve">Annual Consumption of Sugar Cane Press Mud </t>
  </si>
  <si>
    <t>Annual Consumption of other bio-degradable stuff</t>
  </si>
  <si>
    <t xml:space="preserve">Parasitic Consumption of Electricity for Factory Use </t>
  </si>
  <si>
    <t xml:space="preserve">Maximum Quantity of Biogas Generated </t>
  </si>
  <si>
    <t xml:space="preserve">Maximum Quantity of Bio-CNG Exported </t>
  </si>
  <si>
    <t xml:space="preserve">Maximum Quantity of Carbon dioxide Gas Generated </t>
  </si>
  <si>
    <t xml:space="preserve">Maximum Quantity of Compost  Generated </t>
  </si>
  <si>
    <t xml:space="preserve">Maximum Quantity of Liquid Fertilizer Generated </t>
  </si>
  <si>
    <t xml:space="preserve">Selling Price and Cost </t>
  </si>
  <si>
    <t xml:space="preserve">Selling Price of Bio-CNG @ 90% of current market Price of Commercial LPG </t>
  </si>
  <si>
    <t xml:space="preserve">Selling Price of CERs @ USD 5 </t>
  </si>
  <si>
    <t>Cost of Cattle Dung including Transportation cost</t>
  </si>
  <si>
    <t>Cost of food Waste including Transportation cost</t>
  </si>
  <si>
    <t xml:space="preserve">Cost of Iron Fillings </t>
  </si>
  <si>
    <t xml:space="preserve">Cost of Water </t>
  </si>
  <si>
    <t xml:space="preserve">Cost of Electricity  </t>
  </si>
  <si>
    <t xml:space="preserve">Investment Summary </t>
  </si>
  <si>
    <t>Land</t>
  </si>
  <si>
    <t xml:space="preserve">Preliminary and Pre-Operative Expenses </t>
  </si>
  <si>
    <t xml:space="preserve">working Capital Margin </t>
  </si>
  <si>
    <t xml:space="preserve">MEANS OF FINANCE </t>
  </si>
  <si>
    <t>Equity and Preference Share Capital @ 30%</t>
  </si>
  <si>
    <t xml:space="preserve">Loan from Banks </t>
  </si>
  <si>
    <t xml:space="preserve">Total </t>
  </si>
  <si>
    <t>Financial Indicators @ 85% CUF</t>
  </si>
  <si>
    <t xml:space="preserve">Total Project Cost </t>
  </si>
  <si>
    <t>Less : Capital subsidy from MNRE</t>
  </si>
  <si>
    <t>Less : IT saving on accelerated Depreciation</t>
  </si>
  <si>
    <t>Net Project Cost</t>
  </si>
  <si>
    <t>Project Profitability</t>
  </si>
  <si>
    <t>Sale of Carbon-di-oxide</t>
  </si>
  <si>
    <t>Sale of Compost</t>
  </si>
  <si>
    <t>sale of Liquid Fertilizer</t>
  </si>
  <si>
    <t xml:space="preserve">Total Interest </t>
  </si>
  <si>
    <t>Depreciation</t>
  </si>
  <si>
    <t>Average operation Break Even (%)</t>
  </si>
  <si>
    <t>Average Cash Break Even (%)</t>
  </si>
  <si>
    <t>Average DSCR</t>
  </si>
  <si>
    <t xml:space="preserve">Payback Period without Capital Subsidy </t>
  </si>
  <si>
    <t xml:space="preserve">Payback Period with Capital Subsidy </t>
  </si>
  <si>
    <t xml:space="preserve">IRR on Project Cost without Subsidy </t>
  </si>
  <si>
    <t xml:space="preserve">IRR on Equity Capital without Subsidy </t>
  </si>
  <si>
    <t xml:space="preserve">Total  </t>
  </si>
  <si>
    <t>Kg/Day</t>
  </si>
  <si>
    <t>Ltr/Day</t>
  </si>
  <si>
    <t>TON</t>
  </si>
  <si>
    <t>INR/TON</t>
  </si>
  <si>
    <t xml:space="preserve">Cost of sugarcane press mud </t>
  </si>
  <si>
    <t>Sum</t>
  </si>
  <si>
    <t>Year</t>
  </si>
  <si>
    <t>Interest</t>
  </si>
  <si>
    <t>Cash Flow</t>
  </si>
  <si>
    <t>PAYBACK PERIOD (Years)</t>
  </si>
  <si>
    <t>K =</t>
  </si>
  <si>
    <t>PVCF</t>
  </si>
  <si>
    <t>PVCI</t>
  </si>
  <si>
    <t>Investment</t>
  </si>
  <si>
    <t>Less</t>
  </si>
  <si>
    <t>NPV</t>
  </si>
  <si>
    <t>IRR</t>
  </si>
  <si>
    <t xml:space="preserve">Maximum Quantity of Bio-CNG Generated  </t>
  </si>
  <si>
    <t>INR/KW.h</t>
  </si>
  <si>
    <t>Financial Indicators @ 100% CUF</t>
  </si>
  <si>
    <t xml:space="preserve">Fertilizer Unit bagging system and accessories    </t>
  </si>
  <si>
    <t xml:space="preserve">No. of Working days Per Annum </t>
  </si>
  <si>
    <t xml:space="preserve">GROSS TOTAL  </t>
  </si>
  <si>
    <t xml:space="preserve">CCTV Camera system </t>
  </si>
  <si>
    <t xml:space="preserve">GST on Plant and Machinery </t>
  </si>
  <si>
    <t>L</t>
  </si>
  <si>
    <t>GST</t>
  </si>
  <si>
    <t xml:space="preserve">Way Bridge cum Security Room </t>
  </si>
  <si>
    <t xml:space="preserve">Gate </t>
  </si>
  <si>
    <t xml:space="preserve">Admin Office </t>
  </si>
  <si>
    <t>K</t>
  </si>
  <si>
    <t>M</t>
  </si>
  <si>
    <t>N</t>
  </si>
  <si>
    <t>O</t>
  </si>
  <si>
    <t>P</t>
  </si>
  <si>
    <t>Q</t>
  </si>
  <si>
    <t>R</t>
  </si>
  <si>
    <t xml:space="preserve">SQMT </t>
  </si>
  <si>
    <t xml:space="preserve">CUMT </t>
  </si>
  <si>
    <t xml:space="preserve">Equipment Foundations </t>
  </si>
  <si>
    <t>Heating System</t>
  </si>
  <si>
    <t>SS Bar Grill</t>
  </si>
  <si>
    <t>Platform mixing tank</t>
  </si>
  <si>
    <t>Auto Valves</t>
  </si>
  <si>
    <t>Flanges</t>
  </si>
  <si>
    <t>Wall mounting Flanges</t>
  </si>
  <si>
    <t>Fitting Material of Flanges</t>
  </si>
  <si>
    <t>Pump for slurry Transfer</t>
  </si>
  <si>
    <t>Manual Valves</t>
  </si>
  <si>
    <t>Spider Ring</t>
  </si>
  <si>
    <t>Nylon Belts</t>
  </si>
  <si>
    <t>Nylon Rope Net</t>
  </si>
  <si>
    <t>Wall Flanges</t>
  </si>
  <si>
    <t>Pipes</t>
  </si>
  <si>
    <t>Pipe fittings</t>
  </si>
  <si>
    <t>Inspection Window</t>
  </si>
  <si>
    <t xml:space="preserve">Other Fitting &amp; Fixtures </t>
  </si>
  <si>
    <t>Electrical &amp; Electronics Requirements</t>
  </si>
  <si>
    <t>Electrical Control panel</t>
  </si>
  <si>
    <t>Earthings</t>
  </si>
  <si>
    <t>BIO-CNG STORAGE</t>
  </si>
  <si>
    <t>Clearing Forwarding, Handling &amp; Freight Cost</t>
  </si>
  <si>
    <t xml:space="preserve">Annual Operational Spares </t>
  </si>
  <si>
    <t xml:space="preserve">Laboratory and Analytical Equipments </t>
  </si>
  <si>
    <t>OTHER IMPORTANT ITEMS</t>
  </si>
  <si>
    <t xml:space="preserve">Cash Margin </t>
  </si>
  <si>
    <t>Potable Water day Storage (1500 L)</t>
  </si>
  <si>
    <t xml:space="preserve">load point </t>
  </si>
  <si>
    <t>operatin time</t>
  </si>
  <si>
    <t>3X 15 hp screw pump</t>
  </si>
  <si>
    <t>grinder 5 hp X 2</t>
  </si>
  <si>
    <t>agitator mixing pit 15 hp x 2</t>
  </si>
  <si>
    <t>digestor agitator 5 x 15 hp</t>
  </si>
  <si>
    <t>digestor agitator 4 x 10 hp</t>
  </si>
  <si>
    <t>air blower for balloon 2 x 2 hp</t>
  </si>
  <si>
    <t xml:space="preserve">solid liquid seperator 7.5 hp </t>
  </si>
  <si>
    <t>filling compressor 100 hp</t>
  </si>
  <si>
    <t xml:space="preserve">shreder 60 hp x 2 </t>
  </si>
  <si>
    <t>utility load 10 kw</t>
  </si>
  <si>
    <t>Power KW</t>
  </si>
  <si>
    <t>purification plant load 100 hp</t>
  </si>
  <si>
    <t>Equipments/ Machinery For Digester Tank Equipments</t>
  </si>
  <si>
    <t>Equipments/ Machinery For Fertilizer Tank</t>
  </si>
  <si>
    <t>Equipments/ Machinery For Feed Mixing Tank</t>
  </si>
  <si>
    <t>N/A</t>
  </si>
  <si>
    <t>WATER CONSUMPTION</t>
  </si>
  <si>
    <t>Month</t>
  </si>
  <si>
    <t>Selling Price of Organic Fertilizer</t>
  </si>
  <si>
    <t>Annual Consumption of Water</t>
  </si>
  <si>
    <t xml:space="preserve">Annual Consumption of Cattle Dung as Received </t>
  </si>
  <si>
    <t>Solid Liquid Separator Platform</t>
  </si>
  <si>
    <t>Drawing, Design, Architectural, Work</t>
  </si>
  <si>
    <t xml:space="preserve">Maximum Quantity of bio-CNG Generated </t>
  </si>
  <si>
    <t>Maximum Quantity of Compost Produced</t>
  </si>
  <si>
    <t xml:space="preserve">Maximum Quantity of liquid fertilizer concentrate generated </t>
  </si>
  <si>
    <t xml:space="preserve">PROJECT SITE &amp; LAND DEVELOPMENT </t>
  </si>
  <si>
    <t xml:space="preserve">Weighbridge &amp; other equip. </t>
  </si>
  <si>
    <t>HP</t>
  </si>
  <si>
    <t>Side Entry Agitators For mixing and circulation</t>
  </si>
  <si>
    <t>Double Membrane Digester Roof/Balloon</t>
  </si>
  <si>
    <t>Lum</t>
  </si>
  <si>
    <t>Top Entry Agitator</t>
  </si>
  <si>
    <t>Roots Blower</t>
  </si>
  <si>
    <t>Vacuum Pump with FLP Motor</t>
  </si>
  <si>
    <t xml:space="preserve">BioCNG Surge tank </t>
  </si>
  <si>
    <t>BIOCNG Storge Tank</t>
  </si>
  <si>
    <t xml:space="preserve">High Pressure line upto Compressor to Cascade </t>
  </si>
  <si>
    <t>PLC Control panel, Power panel, Cable for all these from field to panel room</t>
  </si>
  <si>
    <t>Automation Elements</t>
  </si>
  <si>
    <t>Electrical Wiring, Bus Bar, Joints, Protectors,Eathing etc.</t>
  </si>
  <si>
    <t>Electrical distribution panel</t>
  </si>
  <si>
    <t xml:space="preserve">Grid Transformer/LBS/HTMC for Plant </t>
  </si>
  <si>
    <t>Other High pressure accessories</t>
  </si>
  <si>
    <t>Product Gas Analysers
Online gas Monitoring system with Analyser for H2S,CH4,O2,Co2
Online dew point meter (Optional)</t>
  </si>
  <si>
    <t xml:space="preserve">Pumping Equipments &amp; Grinder </t>
  </si>
  <si>
    <t xml:space="preserve">Screw Pump for Slurry transfer </t>
  </si>
  <si>
    <t xml:space="preserve">Grinder </t>
  </si>
  <si>
    <t xml:space="preserve">Piping &amp; Valves </t>
  </si>
  <si>
    <t xml:space="preserve">Daily Recycled Water </t>
  </si>
  <si>
    <t xml:space="preserve">Load of Biogas Up-gradation Section &amp; Recovery </t>
  </si>
  <si>
    <t xml:space="preserve">Load of Bio-CNG Compression Unit  </t>
  </si>
  <si>
    <t>KW.h</t>
  </si>
  <si>
    <t>Running Load</t>
  </si>
  <si>
    <t xml:space="preserve">Annual Consumption of Power </t>
  </si>
  <si>
    <t>KG</t>
  </si>
  <si>
    <t>Cost of Other Bio-degradable Dry(Agro) Biomass Poultry Droppings etc.</t>
  </si>
  <si>
    <t xml:space="preserve">Civil Work </t>
  </si>
  <si>
    <t>Particulars</t>
  </si>
  <si>
    <t>Subtotal</t>
  </si>
  <si>
    <t>DSCR</t>
  </si>
  <si>
    <t>DSCR Calculation</t>
  </si>
  <si>
    <t>PAT (Proft After Tax)</t>
  </si>
  <si>
    <t>Opening Stock</t>
  </si>
  <si>
    <t>Add - Purchase During the year</t>
  </si>
  <si>
    <t>Less - Closing Stock</t>
  </si>
  <si>
    <t>COGS</t>
  </si>
  <si>
    <t>(days)</t>
  </si>
  <si>
    <t>Trade Receivables</t>
  </si>
  <si>
    <t>Inventories</t>
  </si>
  <si>
    <t>Overheads</t>
  </si>
  <si>
    <t>Current Assets</t>
  </si>
  <si>
    <t>Current Liabilities</t>
  </si>
  <si>
    <t xml:space="preserve">Amt </t>
  </si>
  <si>
    <t>Total CoP</t>
  </si>
  <si>
    <t>WDV rate</t>
  </si>
  <si>
    <t>Civil Work / Construction</t>
  </si>
  <si>
    <t>Plant &amp; Machinery</t>
  </si>
  <si>
    <t>Tax Calulation</t>
  </si>
  <si>
    <t>Add : SLM</t>
  </si>
  <si>
    <t>Less : WDV</t>
  </si>
  <si>
    <t>Taxable Income / Proft</t>
  </si>
  <si>
    <t>Carry forward of loss</t>
  </si>
  <si>
    <t>Set off of loss</t>
  </si>
  <si>
    <t>Net taxable income</t>
  </si>
  <si>
    <t xml:space="preserve">Total WDV Depreciation </t>
  </si>
  <si>
    <t xml:space="preserve">Less : Depreciation </t>
  </si>
  <si>
    <t>Gross Assets</t>
  </si>
  <si>
    <t>Preliminary Expense</t>
  </si>
  <si>
    <t>Total Gross Block</t>
  </si>
  <si>
    <t>CURRENT ASSETS</t>
  </si>
  <si>
    <t>Secured Loan</t>
  </si>
  <si>
    <t>Reserve &amp; Surplus</t>
  </si>
  <si>
    <t>PRELIMINARY EXPENSES W/off</t>
  </si>
  <si>
    <t xml:space="preserve">Capital Expenses </t>
  </si>
  <si>
    <t xml:space="preserve">Net Profit </t>
  </si>
  <si>
    <t xml:space="preserve">Decrease in Term Loan </t>
  </si>
  <si>
    <t>Opening Balance</t>
  </si>
  <si>
    <t>Diff</t>
  </si>
  <si>
    <t>CASH FLOW STATEMENT (INR Lakh)</t>
  </si>
  <si>
    <t>CIVIL WORK</t>
  </si>
  <si>
    <t>NET BLOCK</t>
  </si>
  <si>
    <t>CASH &amp; BANK</t>
  </si>
  <si>
    <t>Cash accrual</t>
  </si>
  <si>
    <t>Net cash accrual</t>
  </si>
  <si>
    <t>CASH ACCRUAL</t>
  </si>
  <si>
    <t>CUMULATIVE CASH ACCRUAL</t>
  </si>
  <si>
    <t>Net Flow</t>
  </si>
  <si>
    <t>Subsidy Inflow</t>
  </si>
  <si>
    <t>Net WC</t>
  </si>
  <si>
    <t>Working Cap Margin</t>
  </si>
  <si>
    <t>NET PROFIT BEFORE INT. &amp; DEP.</t>
  </si>
  <si>
    <t>PROFIT BEFORE INT &amp; TAX</t>
  </si>
  <si>
    <t xml:space="preserve">TERM LOAN INTEREST </t>
  </si>
  <si>
    <t xml:space="preserve">CAPITAL EMPLOYED </t>
  </si>
  <si>
    <t xml:space="preserve">CAPITAL INVESTMENT </t>
  </si>
  <si>
    <t xml:space="preserve">NET WORTH </t>
  </si>
  <si>
    <t>SALES REVENUE</t>
  </si>
  <si>
    <t>RETURN ON SALE (%)</t>
  </si>
  <si>
    <t>RETURN ON CAPITAL (%)</t>
  </si>
  <si>
    <t>RETURN ON INVESTMENT</t>
  </si>
  <si>
    <t xml:space="preserve">RETURN ON NET WORTH </t>
  </si>
  <si>
    <t xml:space="preserve">AVERAGE DSCR </t>
  </si>
  <si>
    <t xml:space="preserve">FIXED ASSETS COVERAGE </t>
  </si>
  <si>
    <t>TERM LOAN</t>
  </si>
  <si>
    <t xml:space="preserve">BREAK EVEN POINT </t>
  </si>
  <si>
    <t>Profit / PBT</t>
  </si>
  <si>
    <t xml:space="preserve">PV RATIO </t>
  </si>
  <si>
    <t xml:space="preserve">BEP  Sales </t>
  </si>
  <si>
    <t xml:space="preserve">BEP% </t>
  </si>
  <si>
    <t xml:space="preserve">WORKING CAPITAL </t>
  </si>
  <si>
    <t>Land Lease Registration</t>
  </si>
  <si>
    <t xml:space="preserve">Sales </t>
  </si>
  <si>
    <t>CC Loan</t>
  </si>
  <si>
    <t>Total Loan</t>
  </si>
  <si>
    <t>Cost of Pddy/ Wheat Straw, /Nappier Grass/ Other Agro-Waste</t>
  </si>
  <si>
    <t>Annual Consumption of Pddy/ Wheat Straw, /Nappier Grass/ Other Agro-Waste</t>
  </si>
  <si>
    <t>GST on Bio-Gas plant</t>
  </si>
  <si>
    <t>INTEREST COVERAGE RATIO</t>
  </si>
  <si>
    <t>CURRENT LIABILITIES</t>
  </si>
  <si>
    <t>CURRENT RATIO</t>
  </si>
  <si>
    <t>Total</t>
  </si>
  <si>
    <t>Repayment</t>
  </si>
  <si>
    <t>Closing Principal o/s</t>
  </si>
  <si>
    <t>IDC</t>
  </si>
  <si>
    <t>TL Interest</t>
  </si>
  <si>
    <t>SECURED LOAN</t>
  </si>
  <si>
    <t>DEBT - EQUITY RATIO</t>
  </si>
  <si>
    <t>Increase in TL</t>
  </si>
  <si>
    <t>Valves</t>
  </si>
  <si>
    <t>Heating System Valves</t>
  </si>
  <si>
    <t>Tractor and trolley</t>
  </si>
  <si>
    <t>Tractor with loader</t>
  </si>
  <si>
    <t xml:space="preserve">Agitator </t>
  </si>
  <si>
    <t xml:space="preserve">Technical Room </t>
  </si>
  <si>
    <t xml:space="preserve">Feeding Pump </t>
  </si>
  <si>
    <t xml:space="preserve">Ladder </t>
  </si>
  <si>
    <t xml:space="preserve">Solid Liquid Seperator </t>
  </si>
  <si>
    <t>Gas Purification &amp; Compressor Unit</t>
  </si>
  <si>
    <t xml:space="preserve">Underground Water/ Slurry Storage </t>
  </si>
  <si>
    <t>Machinery Shed (Purification and Compressor)</t>
  </si>
  <si>
    <t>Fertilizer Shed with Packing</t>
  </si>
  <si>
    <t xml:space="preserve">Digested Slurry Tank </t>
  </si>
  <si>
    <t>CUMT</t>
  </si>
  <si>
    <t>S</t>
  </si>
  <si>
    <t>CNG Transport vehicle</t>
  </si>
  <si>
    <t>H2S Removal System</t>
  </si>
  <si>
    <t>Accessories</t>
  </si>
  <si>
    <t>NA</t>
  </si>
  <si>
    <t xml:space="preserve">BIOCNG Filling header </t>
  </si>
  <si>
    <t>CNG cylinder Filling Header</t>
  </si>
  <si>
    <t>Electrical ,Instrumentation &amp; Control Panel etc.</t>
  </si>
  <si>
    <t>Pressure &amp; temperature measuring system</t>
  </si>
  <si>
    <t>Flow measuring system</t>
  </si>
  <si>
    <t>Automatic valves for Biogas line and slurry line</t>
  </si>
  <si>
    <t xml:space="preserve">PH sensor ,Level sensor,Ammonia sensor
</t>
  </si>
  <si>
    <t>Methane leak detection and alarm system</t>
  </si>
  <si>
    <t>kg/Day</t>
  </si>
  <si>
    <t>Equivalent price of CNG</t>
  </si>
  <si>
    <t>Disbursement</t>
  </si>
  <si>
    <t>Opening Bal</t>
  </si>
  <si>
    <t>Interest During Construction (IDC)</t>
  </si>
  <si>
    <t>WCM, IDC &amp; Cont</t>
  </si>
  <si>
    <t xml:space="preserve">Biomass Handling Facility </t>
  </si>
  <si>
    <t>15 X 2</t>
  </si>
  <si>
    <t xml:space="preserve">350 M3/hr Recovery System - 2 Tower Based System
</t>
  </si>
  <si>
    <t>350 m3 per hr Methane   Recovery System</t>
  </si>
  <si>
    <t>High pressure Fittings</t>
  </si>
  <si>
    <t xml:space="preserve">Quantity of Compost produced from dry Sludge </t>
  </si>
  <si>
    <t>Main Digester (Dia 32 Mtr.)</t>
  </si>
  <si>
    <t xml:space="preserve">Top Entry Type Agitator 15 HP/Variable RPM  </t>
  </si>
  <si>
    <t>Annual Input of chicken (poultry) manure</t>
  </si>
  <si>
    <t xml:space="preserve">40 Cylinder Cascade </t>
  </si>
  <si>
    <t xml:space="preserve">Shed for  Filling header with cylinder cascade </t>
  </si>
  <si>
    <t>Nos.</t>
  </si>
  <si>
    <t>Cables</t>
  </si>
  <si>
    <t xml:space="preserve">Both side PVC coated fabric/Balloon -2 Set </t>
  </si>
  <si>
    <t xml:space="preserve">Under Pressure protection &amp; over pressure Valve-2 Set </t>
  </si>
  <si>
    <t>CONTINGENCIES EXPENSES</t>
  </si>
  <si>
    <t>12 M</t>
  </si>
  <si>
    <t>Particulars / YEAR</t>
  </si>
  <si>
    <t>12M</t>
  </si>
  <si>
    <t>Feed Mixing Tank (2 x300 CUM)</t>
  </si>
  <si>
    <t>700 m3/hr Catalyst Tower based H2S Removal system (H2S &lt;= 1500 ppm)</t>
  </si>
  <si>
    <t>700 M3 /hr Biogas Up gradation Plant  as per given scope of supply 4 Tower Based systems</t>
  </si>
  <si>
    <t>700 m3/hr Biogas Moisture removal system 
Heat exchanger with moisture separator</t>
  </si>
  <si>
    <t>700 m3/hr Four Towers (Composite bed) VPSA Unit for removal of H2O, CO2 with Surge vessel and inter connected piping and valves &amp; Instruments for safe operation of the plant</t>
  </si>
  <si>
    <t xml:space="preserve">Single memerane Balloon/Biogas Tank </t>
  </si>
  <si>
    <t xml:space="preserve">Daily Input of Sugar Cane Press Mud  </t>
  </si>
  <si>
    <t>Assumptions</t>
  </si>
  <si>
    <t>1st Disbursement</t>
  </si>
  <si>
    <t>IDC Start &amp; End Month</t>
  </si>
  <si>
    <t>Commencement /Operation Start</t>
  </si>
  <si>
    <t>Repayment of Loan</t>
  </si>
  <si>
    <t>Repayment Start</t>
  </si>
  <si>
    <t>Repayment End</t>
  </si>
  <si>
    <t>Repayment Period</t>
  </si>
  <si>
    <t>Rate of Interest</t>
  </si>
  <si>
    <t>Subsidy  (To be Adjusted in Loan Account after Project is Commissioned)</t>
  </si>
  <si>
    <t>Feed Preparation Platform with Pump</t>
  </si>
  <si>
    <t>Technical room/panel room + Lab Area + Security Office</t>
  </si>
  <si>
    <t>Staff Room with Kitchen, Bathroom (3 BHK House)</t>
  </si>
  <si>
    <t>T</t>
  </si>
  <si>
    <t>Labours Rooms</t>
  </si>
  <si>
    <t>Lagoon</t>
  </si>
  <si>
    <t xml:space="preserve">Toilet Block + parcking </t>
  </si>
  <si>
    <t xml:space="preserve">350-400 m3/hr Biogas Booster compressors for Providing 250 bar pressure at outlet. </t>
  </si>
  <si>
    <t>Waste  and BioCNG handling Equipments</t>
  </si>
  <si>
    <t xml:space="preserve">350-400 m3/hr BioCNG Booster compressor </t>
  </si>
  <si>
    <t xml:space="preserve">Term liabilities payable within one year </t>
  </si>
  <si>
    <t>Equity</t>
  </si>
  <si>
    <t xml:space="preserve">Bio-CNG Plant Design Capacity </t>
  </si>
  <si>
    <t>Biogas Plant Generation  (Design Capcity x 90 %)</t>
  </si>
  <si>
    <t>Increase in Equity / Share Capital</t>
  </si>
  <si>
    <t>AMOUNT (INR)</t>
  </si>
  <si>
    <t xml:space="preserve">ELECTRICITY CONNECTION </t>
  </si>
  <si>
    <t>ToL / TNW</t>
  </si>
  <si>
    <t>ToL</t>
  </si>
  <si>
    <t>TNW</t>
  </si>
  <si>
    <t>Electricty Connection</t>
  </si>
  <si>
    <t>IDC Period (construction period)</t>
  </si>
  <si>
    <t>Moratorium Period after COD</t>
  </si>
  <si>
    <t>EBIT</t>
  </si>
  <si>
    <t>Less: Taxes</t>
  </si>
  <si>
    <t>Add: Depreciation &amp; Amortisation</t>
  </si>
  <si>
    <t>Gross Cash Flow</t>
  </si>
  <si>
    <t>Increase/(Decrease) in working capital</t>
  </si>
  <si>
    <t>Free Cash Flow to Firm (FCFF)</t>
  </si>
  <si>
    <t>Project IRR (Post-tax)</t>
  </si>
  <si>
    <t>INR in lacs</t>
  </si>
  <si>
    <t>WACC Calculation</t>
  </si>
  <si>
    <t>Incremental Cost of Debt</t>
  </si>
  <si>
    <t>Cost of Equity</t>
  </si>
  <si>
    <t>Proportion of Debt</t>
  </si>
  <si>
    <t>Tax</t>
  </si>
  <si>
    <t>WACC</t>
  </si>
  <si>
    <t>Discounting factor</t>
  </si>
  <si>
    <t xml:space="preserve">Project IRR </t>
  </si>
  <si>
    <t>Break Even</t>
  </si>
  <si>
    <t>Sales</t>
  </si>
  <si>
    <t>Variable Expenses</t>
  </si>
  <si>
    <t>Contribution</t>
  </si>
  <si>
    <t>PV RATIO (Contr / Sales)</t>
  </si>
  <si>
    <t>BEP  Sales (Fix Exps / Contr * Sales)</t>
  </si>
  <si>
    <t>BEP% (BEP Sales / sales)</t>
  </si>
  <si>
    <t>Boundary (Total Length 700Mtr.)</t>
  </si>
  <si>
    <t>Internal Road 6 + 2 (Open Space) Mtr Wide) Length-625 Mtr</t>
  </si>
  <si>
    <t xml:space="preserve">Fire Fitting Equipment </t>
  </si>
  <si>
    <t xml:space="preserve">Liquid Fertiliser Filling System </t>
  </si>
  <si>
    <t>Other professional fees of project cost</t>
  </si>
  <si>
    <t xml:space="preserve">Loan processing fee of loan </t>
  </si>
  <si>
    <t>DG Set FOR Backup Power 10 kVA</t>
  </si>
  <si>
    <t xml:space="preserve"> </t>
  </si>
  <si>
    <t>DEBT</t>
  </si>
  <si>
    <t>EQUITY</t>
  </si>
  <si>
    <t>S. No.</t>
  </si>
  <si>
    <t>Net Production of Bio-CNG with 96% CH4</t>
  </si>
  <si>
    <t>Particulars (Rs in lacs)</t>
  </si>
  <si>
    <t>DEBT REPAYMENT SCHEDULE</t>
  </si>
  <si>
    <t>FY  Rs in Lakhs</t>
  </si>
  <si>
    <t>Ratio Analysis</t>
  </si>
  <si>
    <t>Particulars (Rs in Lakh)</t>
  </si>
  <si>
    <t>YEAR (Rs in Lakhs)</t>
  </si>
  <si>
    <t xml:space="preserve">YEAR/ASSET HEAD </t>
  </si>
  <si>
    <t>Interest on term loan</t>
  </si>
  <si>
    <t>Discount rate</t>
  </si>
  <si>
    <t>Expected growth rate(Terminal)</t>
  </si>
  <si>
    <t>Period (Months)</t>
  </si>
  <si>
    <t>Discount period</t>
  </si>
  <si>
    <t>Discount Factor</t>
  </si>
  <si>
    <t>PV of FCF</t>
  </si>
  <si>
    <t>Terminal Value</t>
  </si>
  <si>
    <t>PV of Terminal Value</t>
  </si>
  <si>
    <t>PV of FCF+ PV of Terminal Value</t>
  </si>
  <si>
    <t>No. Of Years</t>
  </si>
  <si>
    <t>Cash Accrual</t>
  </si>
  <si>
    <t>Accumulated Cash Accrual</t>
  </si>
  <si>
    <t>TPC</t>
  </si>
  <si>
    <t>Payback Period</t>
  </si>
  <si>
    <t>Years</t>
  </si>
  <si>
    <t>EBITDA</t>
  </si>
  <si>
    <t xml:space="preserve">Revenue </t>
  </si>
  <si>
    <t>EBITDA Margin %</t>
  </si>
  <si>
    <t>EBIT Margin %</t>
  </si>
  <si>
    <t>PAT Margin %</t>
  </si>
  <si>
    <t>Revenue Growth Rate %</t>
  </si>
  <si>
    <t xml:space="preserve">Average </t>
  </si>
  <si>
    <t>Khasra Number 917, First Floor Ahmedpur Kadach Railway Road, Jwalapur, Haridwar, Uttarakhand, 249407</t>
  </si>
  <si>
    <t xml:space="preserve">5,000 Kg per day Bio CNG generating plant along with 30 Ton/Day of solid organic fertilizer, and 90,000 Litre/day of liquid fertilizer.  </t>
  </si>
  <si>
    <t>KHASRA NO 740, VILLAGE TUGALPUR, PARAGNA GORDHANPUR</t>
  </si>
  <si>
    <t>KHASRA NO 740, Village - Tughalpur, Paragna Goverdhanpur, Tehsil - Laksar, District-Haridwar, Uttarakhand -247663</t>
  </si>
  <si>
    <t>Bio CNG generating plant along with solid and liquid fertilizers</t>
  </si>
  <si>
    <t>Renewable Energy</t>
  </si>
  <si>
    <t>Bio CNG, Solid organic fertilizer and liquid fertilizer</t>
  </si>
  <si>
    <t>Total project cost estimations</t>
  </si>
  <si>
    <t>Land assessment</t>
  </si>
  <si>
    <t>Area</t>
  </si>
  <si>
    <t>Sq. Mtr.</t>
  </si>
  <si>
    <t>DPR</t>
  </si>
  <si>
    <t>Sale Deed</t>
  </si>
  <si>
    <t>Capcity</t>
  </si>
  <si>
    <t>tpd</t>
  </si>
  <si>
    <t>References</t>
  </si>
  <si>
    <t>Required Area</t>
  </si>
  <si>
    <t>Capacity</t>
  </si>
  <si>
    <t>Maximum DSCR</t>
  </si>
  <si>
    <t>compressed biogas plant</t>
  </si>
  <si>
    <t>Khasra No. 740, Village Tughalpur, Paragna Goverdhanpur, Tehsil - Laksar, District-Haridwar, Uttarakhand -247663</t>
  </si>
  <si>
    <t>5,000 Kg (7000 M3)/ Day of Bio-CNG</t>
  </si>
  <si>
    <t>m3</t>
  </si>
  <si>
    <t>https://www.downtoearth.org.in/blog/energy/budget-kick-keep-these-factors-in-mind-while-setting-up-a-bio-cng-plant-87471#:~:text=Feedstock%20storage,compartments%20and%20other%20auxiliary%20machinery.</t>
  </si>
  <si>
    <t>30 Ton/day of fermented solid organic fertilizer &amp; 90 KL/ Day of fermented Liquid Fertilizer which will be sold as value added by products.</t>
  </si>
  <si>
    <t>Mr. VANSHAJ GUPTA and Mr. RISHABH GUPTA</t>
  </si>
  <si>
    <t>fermented solid organic fertilizer</t>
  </si>
  <si>
    <t>The CSTR Mesophilic bio-methanation technology</t>
  </si>
  <si>
    <t>80% is mechanical and 20% is manual.</t>
  </si>
  <si>
    <t>JOG WASTE TO ENERGY PVT LTD , Ahmadabad based solution provider,</t>
  </si>
  <si>
    <t>As per the sale deed shared by the client or company, promoters have purchased 2.2540 hectares (22,540 sq. m.) of land at Khata Number 193, Khasra No. 740, Village Tughalpur, Paragna Goverdhanpur, Tehsil-LLaksar, District Haridwar, Uttarakhand, -247663. This land has been leased out by the promoters in the name of the company for 29 years as per the shared lease deed. A change of land use (CLU) certificate has been obtained by the company as of August 23, 2023, from the respective authority.</t>
  </si>
  <si>
    <t>The plant needs about 1, 00,000 Litre/ day of water and 500 Kwh of power to meet process energy requirement.</t>
  </si>
  <si>
    <t>have already secured a purchase agreement/ LOI (Ref No.)IndianOil/SATAT/01/3646., DATE: 02.01.2024</t>
  </si>
  <si>
    <t>under SATAT initiative to promote Compressed Bio-Gas as an alternative, green transport fuel.</t>
  </si>
  <si>
    <t>Mr. VANSHAJ GUPTA</t>
  </si>
  <si>
    <t>Memorandum of Association</t>
  </si>
  <si>
    <t>To carry on the business to produce, market, sell, supply, distribute and dealing in all kinds of bio-gas, Bio-CNG likes or containing a mixture of H2S, CH4, hydrocarbon, and CO2 from agricultural residue, Ethanol and manure as well as dealing its byproducts like biomass pellets and organic fertilizers.</t>
  </si>
  <si>
    <t>M/s Naruma Industries Pvt Ltd</t>
  </si>
  <si>
    <t>The Corporate Identification Number (CIN) of the company is U27101DL2021PTC391084. The registered office is Flat No-19, G/F, Block -D-1, Vasant Kunj, Pkt-E-2, Near Sultangarhi CNG Pump, Delhi-110070. INDIA. The company has Two directors names Mr. Rama Nand Modi (DIN: 09431445) and Mr. Rakesh Kumar Modi (DIN: 09431446). The company is registered as MSME shown below:</t>
  </si>
  <si>
    <t>Mr. Vanshaj Gupta and Mr. Rishabh Gupta are the promoters and Directors of Naruma Industries Private Limited.</t>
  </si>
  <si>
    <t xml:space="preserve">The promoters of the company are Mr. VANSHAJ GUPTA (DIN: 09626875) and Mr. RISHABH GUPTA (DIN: 09626874) are also the Directors of the company and are the major shareholders of the company who are holding more than 50%-50% share of the company in total.       </t>
  </si>
  <si>
    <t>UDYAM REGISTRATION NUMBER UDYAM-UK-06-0035781</t>
  </si>
  <si>
    <t>In this company, promoters has proposed Ferro Alloys manufacturing unit to manufacture Ferro Silicon, Silico Manganese, Ferro Chrome, Ferro Manganese, Pig Iron and Calcium Carbide etc.</t>
  </si>
  <si>
    <t>As per Memorandum of Association shared by the client/company, Both the Promoters/Directors is having 50-50% shareholding in the company as listed in the table below:</t>
  </si>
  <si>
    <t>Currently Mr. Vanshaj Gupta and Mr. Rishabh Gupta are looking after their Family business, which is Gupta Ji Jewellers and Mahadev Mine Minerals</t>
  </si>
  <si>
    <t>H.NO – 46, Vishnu Garden, Gandhi Ashram, Kankhal, Haridwar, Haridwar, Uttarakhand -249408</t>
  </si>
  <si>
    <t>Mr. Vanshaj Gupta is an alumnus of Institute of Hotel Management Aurangabad (Taj Group). He started his early career working in Taj Hotels Resorts and Palaces and later on in Marriott Hotels and Resorts.</t>
  </si>
  <si>
    <t>Mr. Rishabh Gupta is an alumnus of Amity University Noida and EMDI Institute of Media Communication India. He started his early career as a freelancer and has done most of the successful events with PERCEPT Media, VIACOM, Lakshya Media, Tiger Productions, Mudrush event, FIFA India, Indian Premier League, Youtube fan fest and many more.</t>
  </si>
  <si>
    <t>Mr. Vanshaj Gupta and Mr. Rishabh Gupta are also the Co-owners of Gupta Ji Jewellers, Haridwar. They have the biggest jewellery store in the city and they deal in the production and assortment of Silver, Gemstone, Diamond and Gold Jewellery.</t>
  </si>
  <si>
    <t xml:space="preserve">As a young entrepreneur, Mr. Vanshaj Gupta and Mr. Rishabh Gupta proposed the plan to enter into the </t>
  </si>
  <si>
    <t>Ministry of Petroleum And Natural Gas</t>
  </si>
  <si>
    <t>as per the lease deed provided to us by the company.</t>
  </si>
  <si>
    <t>Sugar mill is approximately 14 Km away from the site  Nearest Sugar Mill is Laksar sugar mill  Muzzafarnagar Sugar Mill ( Approximately 50-55km away )  Uttam sugar mill ( approximately 45km away )</t>
  </si>
  <si>
    <t>R. B. N. S. Sugar Mill Laksar, P2WH+WHW, Shekhpuri, Laksar, Uttarakhand 247663</t>
  </si>
  <si>
    <t>Rohana Sugar Mill, Shop No- 12, Amrit Inter College G.T Road, Rohana Mill Meerut, Uttar Pradesh 251202</t>
  </si>
  <si>
    <t>Uttam Sugar Mill Manglore, Lahboli - Mandawli Road, Lahvauli, Mundyaki, Uttarakhand 247656</t>
  </si>
  <si>
    <t>https://www.google.com/maps/place/29%C2%B037'25.6%22N+77%C2%B059'36.7%22E/@29.6228603,77.9793391,1059m/data=!3m1!1e3!4m4!3m3!8m2!3d29.6237778!4d77.9935278?entry=ttu</t>
  </si>
  <si>
    <t>Connectivity Details of the Proposed Location</t>
  </si>
  <si>
    <t>Raisi, Netwala Saidabad, Uttarakhand 247671</t>
  </si>
  <si>
    <t>Laksar Junction, MDR 6W, Laksar, Uttarakhand 247663</t>
  </si>
  <si>
    <t xml:space="preserve">Project location is 29°37'25.6" North and 77°59'36.7" East in SIDCO Industrial Area Centre, Samba, Jammu &amp; Kashmir, Pahse-1 and the location as per the Google map has been attached below: </t>
  </si>
  <si>
    <t>Sub Divisional Magistrate</t>
  </si>
  <si>
    <t>Bio-CNG plant needs a total of about 22,267 M2 land area for Project implementation</t>
  </si>
  <si>
    <t xml:space="preserve">During the site visit I found that the approach road which connects to the main road is narrow/ Kuchcha Road of 15ft wide. However customer informed me that they have applied one letter to GRAM PRADHAN regarding the road widening , and the road will get wide soon. </t>
  </si>
  <si>
    <t>r</t>
  </si>
  <si>
    <t>pie/4*d^2*h</t>
  </si>
  <si>
    <t>Biogas to CNG plant needs a total of about 22,267 M2 land area for Project implementation, 600 M2 Covered Shed for Fertilizer Processing and storage in off season. 3663 M2of open area for locating the hydrolysis tanks, biogas digester tank, and sludge separator filter, besides connecting roads. About 930 M2of built up area is required to house the technical buildings including MPSA separation plant and Bio CNG Compressor. About 12,330 M2 is reserved for Green Belt and future expansion.</t>
  </si>
  <si>
    <t>As per specifications, material brand, cost may change.</t>
  </si>
  <si>
    <t>"No Objection Certificate" for groundwater extraction</t>
  </si>
  <si>
    <t>Supply of AC power 415 V, 50 Hz, 3P &amp; N required for Total plant running, for consumption of different components of the unit as bellow:</t>
  </si>
  <si>
    <t>Biogas is commercially produced by a process called anaerobic digestion. The process involves breakdown of organic waste materials such as animal waste, food waste and industrial sludge to produce biogas and digestate. The latter is further treated to be used as a fertilizer. Anaerobic digestion process is carried out in a sealed, oxygen-free tank, also called an anaerobic digester. The biogas produced is subjected to scrubbing, upgradation and compression processes to produce Bio-CNG (CBG).</t>
  </si>
  <si>
    <t>Bio-CNG or bio-compressed natural gas, also known as sustainable natural gas or biomethane, is a biogas which has been upgraded to a quality similar to fossil natural gas and having a methane concentration of 90% or greater. As the gas is derived from natural and renewable sources, it is also termed renewable natural gas (RNG).</t>
  </si>
  <si>
    <t>(Ref No. - IndianOil/SATAT/01/3646., Date: 02.01.2024)</t>
  </si>
  <si>
    <t>Additionally, in a significant move towards promoting sustainable agriculture, the central government announced comprehensive guidelines to offer market development
assistance (MDA) at Rs 1500/MT (1.5 RS / Kg) for fermented organic manure (FOM) or bio-digestate derived from compressed biogas (CBG) facilities. The government aims to bolster the production and use of organic fertilizers like FOM; liquid fermented organic manure (LFOM), and enriched phosphate rich organic manure (PROM). These
fertilizers emerge as by-products from biogas (BG) and compressed biogas (CBG) plants.</t>
  </si>
  <si>
    <t>https://pib.gov.in/PressReleasePage.aspx?PRID=1935893</t>
  </si>
  <si>
    <t>Tughalpur, Paragna Goverdhanpur, Tehsil - Laksar in Haridwar district is well known by sugar processing industries from sugarcane. Haridwar is surrounded by top 10 -12
biggest sugarcane industries around 35 to 40 km range area. The present methods of for disposal of press mud are not economically suitable and pollute the environment. Around 800-1000 tons per day of sugarcane press mud is being disposed, as it contains appreciable proportion of biodegradable organic matter, it has very good potential for production of biogas. As per the past records of their yield, we are assured of getting the required amount of raw material as required for the plant. Daily 10-15 tons of Cattle dung and 115-120 ton Sugarcane press- will be fed to the Plant. The proposed scheme will ensure a stable microbial reaction and a smooth functioning of the digester performance. Quantity of the addition will be adjusted as per the availability, TS content, and storage requirements of the project.</t>
  </si>
  <si>
    <t>https://gobardhan.co.in/</t>
  </si>
  <si>
    <t>Demand for alternative fuel vehicles in India is on the upswing and clearly seen in the increasing sales of CNG-powered vehicles. Given the favourable price arbitrage of CNG versus petrol and diesel, retail sales of CNG vehicles, across four sub-segments, crossed the 650,000-unit mark for the first time in a fiscal in FY2023. Cumulative sales of 660,153 units (see data table below) translate into strong double-digit YoY growth of 46% (FY2022: 451,552 units). (Ref.: https://www.autocarpro.in/analysis-sales/cng-vehicle-sales-surge-by-46-to-over-650000-units-in-fy2023-114656)</t>
  </si>
  <si>
    <t>The government has increasingly focused on the production of compressed biogas in India. It is currently aiming to set up 5,000 CBG plants by FY25 under SATAT.</t>
  </si>
  <si>
    <t>The economics of a CBG plant can vary depending on various factors such as the scale of the plant , technology used, feedstock cost , government incentives and market demand for CBG.</t>
  </si>
  <si>
    <t xml:space="preserve">As per the sale deed executed on 29th June 2022, promoters of the Company has purchased a 2.2540 hectare (22,540 Sq. Mt.) land at Khasra No. 740, Village Tughalpur, Paragna Goverdhanpur, Tehsil-Laksar, District Haridwar, Uttarakhand 247663 and this land has been leased out by the promoters in the name of M/s Naruma Industries Private Limited for a period of 29 years on an annual lease rental of INR 12,000/annum (excluding all other charges) through an executed lease deed on 23rd August 2022. </t>
  </si>
  <si>
    <t xml:space="preserve">Change of land use (CLU) has been approved by, for setting up the proposed Bio-CNG plant. </t>
  </si>
  <si>
    <t>With Reference to DPR, study we found that the electricity connection charge for 800 Kva is mentioned 50 Lacs. The Electricity Distribution Division laksar, Haridwar will give an electricity connection line form his nearest substation to   the Naruma Industries Project Site. 
The electrify connection cost 50lacs charge in DPR is included with connection and fix charge , excavation, pipeline laying with cable, and installation and complete commissioning. 
Please also note that as per discussion with M/s. Naruma Industries Pvt Ltd has also applied a electricity connection cost estimate (copy of letter attached) to the Electricity Distribution Division Laksar, Haridwar. Naruma Industries pvt ltd will also submit the cost estimate to their bank as they receive from Electricity distribution division laksar, Haridwar.</t>
  </si>
  <si>
    <t>Reg. No. : 05AAICN2846A1ZT</t>
  </si>
  <si>
    <t>Certificate No:02-7-CAFIP-6921183087298</t>
  </si>
  <si>
    <t>kg/m3</t>
  </si>
  <si>
    <t>kg</t>
  </si>
  <si>
    <t>after leakage</t>
  </si>
  <si>
    <t>5,000 kg</t>
  </si>
  <si>
    <t>70-90</t>
  </si>
  <si>
    <t>Daily Input of Agriculture residue - Paddy Straw</t>
  </si>
  <si>
    <t xml:space="preserve">Daily Volume of Biomass Pellet Production as per Plant Design Capcity </t>
  </si>
  <si>
    <t>Daily Volume of Biomass Pellet (Design Capacity x 90 %)</t>
  </si>
  <si>
    <t>Maximum Quantity of Biomass Pellets Manufactured</t>
  </si>
  <si>
    <t>Selling price of Bioamass Pellets</t>
  </si>
  <si>
    <t xml:space="preserve">Fixed Overheads </t>
  </si>
  <si>
    <t>Trade Payables</t>
  </si>
  <si>
    <t>Salvage value</t>
  </si>
  <si>
    <t>Capex/ (salvage value)</t>
  </si>
  <si>
    <t>Median</t>
  </si>
  <si>
    <t>Unlevered Beta - Industry</t>
  </si>
  <si>
    <t>Tax Rate</t>
  </si>
  <si>
    <t>Relevered Beta</t>
  </si>
  <si>
    <t>Cost of Equity (Ke)</t>
  </si>
  <si>
    <t>Risk Free Rate (Rfr)</t>
  </si>
  <si>
    <t>Market Return (Rm)</t>
  </si>
  <si>
    <t>Sum if Risk Free Rate and Market Risk Premium</t>
  </si>
  <si>
    <t>Market Risk Premium</t>
  </si>
  <si>
    <t>Levered Beta</t>
  </si>
  <si>
    <t>Additional Risk Premium</t>
  </si>
  <si>
    <t>Higher CSRP on account of new business</t>
  </si>
  <si>
    <t>Cost of Debt (Kd)</t>
  </si>
  <si>
    <t>Pre Tax - Cost of Debt (Kd)</t>
  </si>
  <si>
    <t>Cost of Debt - Pre Tax</t>
  </si>
  <si>
    <t>Marginal tax rate</t>
  </si>
  <si>
    <t>To be considered from Tax Workings Sheet</t>
  </si>
  <si>
    <t>Post Tax - Cost of Debt (Kd)</t>
  </si>
  <si>
    <t>Debt / Equity</t>
  </si>
  <si>
    <t>Industry</t>
  </si>
  <si>
    <t xml:space="preserve">  </t>
  </si>
  <si>
    <t>Rounded off WACC</t>
  </si>
  <si>
    <t>Promoters' Equity</t>
  </si>
  <si>
    <t xml:space="preserve">COMPUTATION OF PELLETS PRODUCTION </t>
  </si>
  <si>
    <t>Preliminary Expenses</t>
  </si>
  <si>
    <t xml:space="preserve">Total WDV </t>
  </si>
  <si>
    <t>Loan Repayment</t>
  </si>
  <si>
    <t>`</t>
  </si>
  <si>
    <t>Trade receivables</t>
  </si>
  <si>
    <t>Inventory</t>
  </si>
  <si>
    <t>Total Fixed Cost (incl Int and
Dep)</t>
  </si>
  <si>
    <t xml:space="preserve">Loan Schedule </t>
  </si>
  <si>
    <t>Loan Amount</t>
  </si>
  <si>
    <t>Rs in Lakhs</t>
  </si>
  <si>
    <t>Rep Year</t>
  </si>
  <si>
    <t>Interest Rate</t>
  </si>
  <si>
    <t>%age p.a</t>
  </si>
  <si>
    <t>Repay (%)</t>
  </si>
  <si>
    <t>Op Bal</t>
  </si>
  <si>
    <t>Repay</t>
  </si>
  <si>
    <t>Cl Bal</t>
  </si>
  <si>
    <t>Mar</t>
  </si>
  <si>
    <t>July</t>
  </si>
  <si>
    <t>Aug</t>
  </si>
  <si>
    <t>Sept</t>
  </si>
  <si>
    <t>Oct</t>
  </si>
  <si>
    <t>Nov</t>
  </si>
  <si>
    <t>Dec</t>
  </si>
  <si>
    <t>Jan</t>
  </si>
  <si>
    <t>Feb</t>
  </si>
  <si>
    <t>2024-25</t>
  </si>
  <si>
    <t>Apr</t>
  </si>
  <si>
    <t>May</t>
  </si>
  <si>
    <t>June</t>
  </si>
  <si>
    <t>CoD</t>
  </si>
  <si>
    <t>2025-26</t>
  </si>
  <si>
    <t>2026-27</t>
  </si>
  <si>
    <t>2027-28</t>
  </si>
  <si>
    <t>2028-29</t>
  </si>
  <si>
    <t>2029-30</t>
  </si>
  <si>
    <t>2030-31</t>
  </si>
  <si>
    <t>2031-32</t>
  </si>
  <si>
    <t>Prelm Exps w/off</t>
  </si>
  <si>
    <t>Monthly Pay</t>
  </si>
  <si>
    <t xml:space="preserve">Moratorium Start &amp; End Month </t>
  </si>
  <si>
    <t>PROFORMA BALANCE SHEET (INR Lakh)</t>
  </si>
  <si>
    <t>Amount</t>
  </si>
  <si>
    <t>1. Salary &amp; Wages</t>
  </si>
  <si>
    <t>LAND</t>
  </si>
  <si>
    <t>FURNITURE &amp; FIXTURES</t>
  </si>
  <si>
    <t>Furniture &amp; Fixtures</t>
  </si>
  <si>
    <t>WDV of Furniture &amp; Fixtures</t>
  </si>
  <si>
    <t>Total Trade Payables</t>
  </si>
  <si>
    <t>Unsecured Loan</t>
  </si>
  <si>
    <t>Increase in UL</t>
  </si>
  <si>
    <t>Investment in NWC</t>
  </si>
  <si>
    <t>Terminal value</t>
  </si>
  <si>
    <t>Total cash flows</t>
  </si>
  <si>
    <t xml:space="preserve">Capex = depreciation in TY </t>
  </si>
  <si>
    <t>Project NPV (Post-tax)</t>
  </si>
  <si>
    <t>Interest on Unscured Loan</t>
  </si>
  <si>
    <t>0 M</t>
  </si>
  <si>
    <t xml:space="preserve">VARIABLE EXPENSES </t>
  </si>
  <si>
    <t>TOTAL COST OF SALES</t>
  </si>
  <si>
    <t>Pre-Operative Expenses</t>
  </si>
  <si>
    <t>Quasi Share Capital (Unsecured Loan from Directors or Share Holder)</t>
  </si>
  <si>
    <t>Secured Term Loans From Bank/FI (For Project Cost)</t>
  </si>
  <si>
    <t xml:space="preserve">Term Loan </t>
  </si>
  <si>
    <t>Term Loan</t>
  </si>
  <si>
    <t>2032-33</t>
  </si>
  <si>
    <t>2033-34</t>
  </si>
  <si>
    <t>2034-35</t>
  </si>
  <si>
    <t>2035-36</t>
  </si>
  <si>
    <t>2036-37</t>
  </si>
  <si>
    <t>Moratorium period interest</t>
  </si>
  <si>
    <t xml:space="preserve">Disb </t>
  </si>
  <si>
    <t>CWIP</t>
  </si>
  <si>
    <t>FY2025</t>
  </si>
  <si>
    <t>FY2026</t>
  </si>
  <si>
    <t>Amt</t>
  </si>
  <si>
    <t>Damodaran ERP India July 2024</t>
  </si>
  <si>
    <t>D/E</t>
  </si>
  <si>
    <t>Land &amp; Development Cost</t>
  </si>
  <si>
    <t>Main Plant Machineries with Utilities - Recycle plant</t>
  </si>
  <si>
    <t>Main Plant Machineries with Utilities - CP plant</t>
  </si>
  <si>
    <t>Power and water lines</t>
  </si>
  <si>
    <t>Erection &amp; Commissioning Expenses</t>
  </si>
  <si>
    <t>Misc Fixed Assets</t>
  </si>
  <si>
    <t xml:space="preserve">Contingencies </t>
  </si>
  <si>
    <t>Working Capital Margin 25% of Rs.30 crores</t>
  </si>
  <si>
    <t>Building Cost breakup</t>
  </si>
  <si>
    <t>Building Blocks</t>
  </si>
  <si>
    <t>Size (SQM)</t>
  </si>
  <si>
    <t>Rate</t>
  </si>
  <si>
    <t>Rs./Lacs</t>
  </si>
  <si>
    <t>Main Plant  Building- Recycling Plant ,  G + 4 , (2240 x 4M²)</t>
  </si>
  <si>
    <t>Main Plant Building - Polymerization Plant G+4 , (960x 4)  M²</t>
  </si>
  <si>
    <t>Utility and HTM Heater Shade Fire Hydrant &amp; Lagoon and ETP (980+1716+640+640) + Tanks</t>
  </si>
  <si>
    <t>Tank farm Area + Storage Tank Foundations ( 25 x 32 ), 6 Tanks</t>
  </si>
  <si>
    <t xml:space="preserve">Raw Material Storage </t>
  </si>
  <si>
    <t>Electrical Transforemr , Panel Room etc.700 G+1</t>
  </si>
  <si>
    <t>Finished Good storage 40x21</t>
  </si>
  <si>
    <t xml:space="preserve">Office Admin Block  </t>
  </si>
  <si>
    <t xml:space="preserve">Annual Capacity </t>
  </si>
  <si>
    <t>MTPA</t>
  </si>
  <si>
    <t xml:space="preserve">COD </t>
  </si>
  <si>
    <t>PRFOTIBILITY ESTIMATES  (300 days)</t>
  </si>
  <si>
    <t xml:space="preserve">PROJECTIONS </t>
  </si>
  <si>
    <t xml:space="preserve">UNIT </t>
  </si>
  <si>
    <t>ANNUAL QUANTITY (MTPA)</t>
  </si>
  <si>
    <t>AMOUNT  (INR)</t>
  </si>
  <si>
    <t>https://www.exportersindia.com/product-detail/pvc-flex-banner-2714338.htm</t>
  </si>
  <si>
    <t xml:space="preserve">INCOME </t>
  </si>
  <si>
    <t>As per study by IIT, sale price per KG of flex banner is approx 100-125</t>
  </si>
  <si>
    <t>Sale of PVC Flex banner</t>
  </si>
  <si>
    <t>Please bifurcate sale of flex/fabric banners and please provide expected selling price for each (sale vouchers from Cleena)</t>
  </si>
  <si>
    <t>Calcium Carbonate</t>
  </si>
  <si>
    <t>https://www.vickyplast.com/calcium-carbonates.html</t>
  </si>
  <si>
    <t>PVC Resin</t>
  </si>
  <si>
    <t>https://www.exportersindia.com/indian-suppliers/pvc-resin.htm#:~:text=What%20is%20the%20cost%20of%20PVC%20resins%3F&amp;text=The%20price%20of%20PVC%20resins,of%20the%20product.</t>
  </si>
  <si>
    <t>Polyester Fabric</t>
  </si>
  <si>
    <t>https://www.pranerafabrics.com/plain-polyester-fabric-3040614.html</t>
  </si>
  <si>
    <t xml:space="preserve">EXPENSES </t>
  </si>
  <si>
    <t>Plasticizers</t>
  </si>
  <si>
    <t>https://www.vickyplast.com/pvc-plasticizers.html</t>
  </si>
  <si>
    <t>VARIABLE OPERATING EXPENSES</t>
  </si>
  <si>
    <t>Additives</t>
  </si>
  <si>
    <t>https://www.metawaresindia.com/pvc-chemicals.html</t>
  </si>
  <si>
    <t xml:space="preserve">RAW MATERIAL </t>
  </si>
  <si>
    <t>PVC resin</t>
  </si>
  <si>
    <t>Please provide breakup of raw material components/composition and expected price of every component  (purchase vouchers of Cleena)</t>
  </si>
  <si>
    <t xml:space="preserve">Fabric </t>
  </si>
  <si>
    <t>Please provide breakup of polyster/textile/other fabric</t>
  </si>
  <si>
    <t xml:space="preserve">POWER &amp; WATER REQUIREMENT </t>
  </si>
  <si>
    <t xml:space="preserve">Electricity &amp; Power </t>
  </si>
  <si>
    <t>INR/KWh</t>
  </si>
  <si>
    <t>Please provide copy pf electricity connection application for 1200KW. Also, please let us know electricity requried for WPC division in case Company plans to produce WPC boards</t>
  </si>
  <si>
    <t>Fuel (wood for boiler)</t>
  </si>
  <si>
    <t>Amount at 100% capacity as informed by the client (3000 MT for 300 days)</t>
  </si>
  <si>
    <t>Consumables, Stores &amp; Spares</t>
  </si>
  <si>
    <t>Amount at 100% capacity as informed by the client</t>
  </si>
  <si>
    <t xml:space="preserve">R &amp; M </t>
  </si>
  <si>
    <t>INR/YEAR</t>
  </si>
  <si>
    <t>Increase of 10% has been assumed each year thereafter</t>
  </si>
  <si>
    <t>Other Manufacturing Expenses</t>
  </si>
  <si>
    <t>These expenses includes Laboratory Exps., Water/Air Cess, etc. Increase of 10% has been assumed each year thereafter</t>
  </si>
  <si>
    <t>ANNUAL QUANTITY</t>
  </si>
  <si>
    <t xml:space="preserve">FIXED OPERATING EXPENSES </t>
  </si>
  <si>
    <t>Office and other Overheads</t>
  </si>
  <si>
    <t>Salary and wages</t>
  </si>
  <si>
    <t>10% escalation in first 5 years, then 8% for 2 next 2 years and then 5%</t>
  </si>
  <si>
    <t>General, Selling &amp; Administrative Expenses</t>
  </si>
  <si>
    <t>%  sales</t>
  </si>
  <si>
    <t>General, Selling &amp; Administrative Expenses have been assumed @4% of net sales</t>
  </si>
  <si>
    <r>
      <t xml:space="preserve">M/s Texfil Private Ltd.
</t>
    </r>
    <r>
      <rPr>
        <b/>
        <sz val="20"/>
        <rFont val="Arial"/>
        <family val="2"/>
      </rPr>
      <t>(A wholly owned subsidery of M/s Filatex India Limited)</t>
    </r>
    <r>
      <rPr>
        <b/>
        <sz val="26"/>
        <rFont val="Arial"/>
        <family val="2"/>
      </rPr>
      <t xml:space="preserve">                                       
Financial Projections-                                                         for Project 75 TPD Recycling Polyester Chips</t>
    </r>
  </si>
  <si>
    <t>M/s Texfil Private Ltd.</t>
  </si>
  <si>
    <t>(A wholly owned subsidery of M/s Filatex India Ltd.)</t>
  </si>
  <si>
    <t>Snapshot for Financial Projections</t>
  </si>
  <si>
    <t>Standalone Fiancials:</t>
  </si>
  <si>
    <t>Rs./Crs</t>
  </si>
  <si>
    <t>Projected</t>
  </si>
  <si>
    <t>Capacity Utilisation</t>
  </si>
  <si>
    <t>Days in operations</t>
  </si>
  <si>
    <t>Net Sales</t>
  </si>
  <si>
    <t>Net Profit</t>
  </si>
  <si>
    <t>Internal Accruals</t>
  </si>
  <si>
    <t>DSCR:</t>
  </si>
  <si>
    <t>Payback</t>
  </si>
  <si>
    <t>Base Case</t>
  </si>
  <si>
    <t>if Sales price decrease by 1%</t>
  </si>
  <si>
    <t>5 YEARS</t>
  </si>
  <si>
    <t>if Raw Material price increase by 1%</t>
  </si>
  <si>
    <t>if ROI increase by 1%</t>
  </si>
  <si>
    <t>MONTHS</t>
  </si>
  <si>
    <t>if Project Cost increase by 5%</t>
  </si>
  <si>
    <t>Estimated Project Cost</t>
  </si>
  <si>
    <t>(for 75 TPD of Recycled Polyester Chips/Yarns</t>
  </si>
  <si>
    <t>S.NO.</t>
  </si>
  <si>
    <t>DESCRIPTION</t>
  </si>
  <si>
    <t>Total Cost</t>
  </si>
  <si>
    <t>Pre-Operative Expenses/Interest during construction</t>
  </si>
  <si>
    <t>Means of Finance</t>
  </si>
  <si>
    <t>S.No.</t>
  </si>
  <si>
    <t>PARTICULARS</t>
  </si>
  <si>
    <t>%age</t>
  </si>
  <si>
    <t>(Rs.in Lacs)</t>
  </si>
  <si>
    <t>Equity Capital, Premium and loan from Holding Company</t>
  </si>
  <si>
    <t>Fiance from Indian Bank</t>
  </si>
  <si>
    <t>Total Project Cost</t>
  </si>
  <si>
    <t>Rs.Crs</t>
  </si>
  <si>
    <t>(Rs.in Crs)</t>
  </si>
  <si>
    <t xml:space="preserve">Projected Profitability Statements </t>
  </si>
  <si>
    <t>(Rs/Crs)</t>
  </si>
  <si>
    <t>PROJECTED</t>
  </si>
  <si>
    <t>Gross Sales</t>
  </si>
  <si>
    <t>Less:  Duty &amp; Taxes (GST)</t>
  </si>
  <si>
    <t>Net Sales (A-B)</t>
  </si>
  <si>
    <t>Increase/(Decrease) in Stocks</t>
  </si>
  <si>
    <t>Raw Materials</t>
  </si>
  <si>
    <t>Consumables, Stores  spares &amp; Power</t>
  </si>
  <si>
    <t>Manpower</t>
  </si>
  <si>
    <t xml:space="preserve">Packing </t>
  </si>
  <si>
    <t>Factory Overheads/General &amp; Admn.</t>
  </si>
  <si>
    <t>Selling Expenses</t>
  </si>
  <si>
    <t>Sub Total</t>
  </si>
  <si>
    <t>Gross Profit before Int. &amp; Dep.(PBDIT)</t>
  </si>
  <si>
    <t>Financial Expenses</t>
  </si>
  <si>
    <t>Interest On Term Loan</t>
  </si>
  <si>
    <t>Int.on Working Cap / Vechicle Loan</t>
  </si>
  <si>
    <t>Operating Profit</t>
  </si>
  <si>
    <t>Other Income</t>
  </si>
  <si>
    <t>Profit Before Tax</t>
  </si>
  <si>
    <t>Profit After Tax (PAT)</t>
  </si>
  <si>
    <t>Key Financial Ratio</t>
  </si>
  <si>
    <t>PBDIT to Net Sales</t>
  </si>
  <si>
    <t>PAT to Net Sales</t>
  </si>
  <si>
    <t>RM to Net Sales</t>
  </si>
  <si>
    <t>PBDIT to Interest Cost</t>
  </si>
  <si>
    <t>Projected Balance Sheet</t>
  </si>
  <si>
    <t>LIABILITIES</t>
  </si>
  <si>
    <t>Share Capital &amp; Premimum</t>
  </si>
  <si>
    <t>Term Loans</t>
  </si>
  <si>
    <t>Loan from Holding Company</t>
  </si>
  <si>
    <t>Bank Borrowings</t>
  </si>
  <si>
    <t>Current Libilities</t>
  </si>
  <si>
    <t>TOTAL LIABILITIES</t>
  </si>
  <si>
    <t>ASSETS</t>
  </si>
  <si>
    <t>Gross Block +CWIP</t>
  </si>
  <si>
    <t>LESS: Depreciation</t>
  </si>
  <si>
    <t>Net Block</t>
  </si>
  <si>
    <t>Investments</t>
  </si>
  <si>
    <t>Cash &amp; Bank Balances</t>
  </si>
  <si>
    <t>Advamce to suppliers</t>
  </si>
  <si>
    <t>TOTAL ASSETS</t>
  </si>
  <si>
    <t>2016-17</t>
  </si>
  <si>
    <t>Debt/Equity Ratio</t>
  </si>
  <si>
    <t>Current Ratio - Without TL Ints as CL</t>
  </si>
  <si>
    <t>Current Ratio - With TL Ints as CL</t>
  </si>
  <si>
    <t>FACR</t>
  </si>
  <si>
    <t>TOL/TNW</t>
  </si>
  <si>
    <t>Term loan installments due next 12 M</t>
  </si>
  <si>
    <t xml:space="preserve">Projected Cash Flow Statement </t>
  </si>
  <si>
    <t xml:space="preserve">Year </t>
  </si>
  <si>
    <t>a</t>
  </si>
  <si>
    <t xml:space="preserve">Opening Cash in Hand </t>
  </si>
  <si>
    <t>INFLOW OF FUND</t>
  </si>
  <si>
    <t>Funds from operation</t>
  </si>
  <si>
    <t>Increase in Equity Share Capital/App Money</t>
  </si>
  <si>
    <t>Increase in Creditors</t>
  </si>
  <si>
    <t>Increase in Bank Borrowing</t>
  </si>
  <si>
    <t>Increase in Term Loans Banks</t>
  </si>
  <si>
    <t>Increase/decrease in loans from Holding Co.</t>
  </si>
  <si>
    <t>b</t>
  </si>
  <si>
    <t>TOTAL INFLOW</t>
  </si>
  <si>
    <t>OUTFLOW OF FUNDS</t>
  </si>
  <si>
    <t>Increase in Current Assets</t>
  </si>
  <si>
    <t>Increase in Fixed Assets</t>
  </si>
  <si>
    <t>Reapyment of Term Loan</t>
  </si>
  <si>
    <t>Reapyment of loans from Holding Co</t>
  </si>
  <si>
    <t>Increase in Investments</t>
  </si>
  <si>
    <t>Advance to supplier</t>
  </si>
  <si>
    <t>c</t>
  </si>
  <si>
    <t>TOTAL OUT FLOW</t>
  </si>
  <si>
    <t>d</t>
  </si>
  <si>
    <t>Closing Cash in Hand (a+b-c)</t>
  </si>
  <si>
    <t>PROJECTED INVESTMENT &amp; RETURNS</t>
  </si>
  <si>
    <t>Closing Cash Balance</t>
  </si>
  <si>
    <t xml:space="preserve">Deployed in Investment </t>
  </si>
  <si>
    <t>Cummulatative Investments</t>
  </si>
  <si>
    <t>Retrun on Investment projected for half years (6 Months) for the initial year</t>
  </si>
  <si>
    <t xml:space="preserve"> Projected Depreciation Schedule as per Companies Act (SLM)</t>
  </si>
  <si>
    <t>(Rs./Crs)</t>
  </si>
  <si>
    <t>Gross Block for Dep</t>
  </si>
  <si>
    <t>AMOUNT</t>
  </si>
  <si>
    <t>RATE</t>
  </si>
  <si>
    <t>Gross Block</t>
  </si>
  <si>
    <t>01.04.2026</t>
  </si>
  <si>
    <t>BUILDINGS - FACTORY</t>
  </si>
  <si>
    <t>yrs</t>
  </si>
  <si>
    <t xml:space="preserve">                     </t>
  </si>
  <si>
    <t>PLANT &amp; MACHINERY</t>
  </si>
  <si>
    <t>Additons during the year Build</t>
  </si>
  <si>
    <t>Additons during the year P&amp;M</t>
  </si>
  <si>
    <t>WDV</t>
  </si>
  <si>
    <t>Details of Term Loans With Banks / Holding Company/Working capital</t>
  </si>
  <si>
    <t>S No.</t>
  </si>
  <si>
    <t>Loan Detals</t>
  </si>
  <si>
    <t>Qtr</t>
  </si>
  <si>
    <t>Recycle Project Loan (Bank)</t>
  </si>
  <si>
    <t>Instalments</t>
  </si>
  <si>
    <t>Q1</t>
  </si>
  <si>
    <t>Q2</t>
  </si>
  <si>
    <t>Q3</t>
  </si>
  <si>
    <t>Q4</t>
  </si>
  <si>
    <t>Total Repayments</t>
  </si>
  <si>
    <t>Balance</t>
  </si>
  <si>
    <t>Op Balance</t>
  </si>
  <si>
    <t>Total Interest</t>
  </si>
  <si>
    <t>Working Capital</t>
  </si>
  <si>
    <t>Working Capital Limits (RTL/FCL)</t>
  </si>
  <si>
    <t>%age of Utilisations</t>
  </si>
  <si>
    <t>Cost</t>
  </si>
  <si>
    <t>Bank Charges</t>
  </si>
  <si>
    <t>Total Interest &amp; Charges</t>
  </si>
  <si>
    <t xml:space="preserve"> PROJECTED DEBT SERVICE COVERAGE RATIO</t>
  </si>
  <si>
    <t>Profit After Tax</t>
  </si>
  <si>
    <t>Interest On Long Term Loan</t>
  </si>
  <si>
    <t>Total  A</t>
  </si>
  <si>
    <t>Interest on Long Term Loan</t>
  </si>
  <si>
    <t>Repayment of Long Term Loans</t>
  </si>
  <si>
    <t>Total B</t>
  </si>
  <si>
    <t>DSCR ( A / B )</t>
  </si>
  <si>
    <t>MAXIMUM</t>
  </si>
  <si>
    <t>MINIMUM</t>
  </si>
  <si>
    <t>AVERAGE</t>
  </si>
  <si>
    <t xml:space="preserve"> M/s Texfil Private Ltd.</t>
  </si>
  <si>
    <t xml:space="preserve"> PROJECTED PAY BACK PERIOD </t>
  </si>
  <si>
    <t>3 MONTHS</t>
  </si>
  <si>
    <t>(Rs/crs)</t>
  </si>
  <si>
    <t>Const. Period</t>
  </si>
  <si>
    <t>0 months</t>
  </si>
  <si>
    <t>Initial Outflow</t>
  </si>
  <si>
    <t>INFLOWS:</t>
  </si>
  <si>
    <t>Cummulative Inflows:</t>
  </si>
  <si>
    <t>Cash Flow during the year</t>
  </si>
  <si>
    <t>Monthly cash flow Avg</t>
  </si>
  <si>
    <t>months required</t>
  </si>
  <si>
    <t>additional month</t>
  </si>
  <si>
    <t xml:space="preserve">PROJECTED INTERNAL RATE OF RETURN (IRR) </t>
  </si>
  <si>
    <t>Rs./ crs</t>
  </si>
  <si>
    <t>(Capital Investments)</t>
  </si>
  <si>
    <t>Internal Accurals</t>
  </si>
  <si>
    <t>Interest on Term loans</t>
  </si>
  <si>
    <t>Salvage Value of Investment</t>
  </si>
  <si>
    <t>Net Cash Flows</t>
  </si>
  <si>
    <t>Discounting Factor</t>
  </si>
  <si>
    <t>Discounting Factor @ 11.50%</t>
  </si>
  <si>
    <t>Present Value of Net Cash Flows</t>
  </si>
  <si>
    <t>NET PRESENT VALUE (NPV)</t>
  </si>
  <si>
    <t>Detail of Working Capital Requriements</t>
  </si>
  <si>
    <t>Stock and Book Debts</t>
  </si>
  <si>
    <t>Factor</t>
  </si>
  <si>
    <t>days</t>
  </si>
  <si>
    <t>WC</t>
  </si>
  <si>
    <t>Raw Material</t>
  </si>
  <si>
    <t>RM Cost</t>
  </si>
  <si>
    <t>Stock in Process</t>
  </si>
  <si>
    <t>Cost of production</t>
  </si>
  <si>
    <t>Finished Goods</t>
  </si>
  <si>
    <t>Cost of Sales</t>
  </si>
  <si>
    <t>Receivables</t>
  </si>
  <si>
    <t>Other Stores &amp; Spares</t>
  </si>
  <si>
    <t>Not applicable</t>
  </si>
  <si>
    <t>Advance to suppliers</t>
  </si>
  <si>
    <t>Less:</t>
  </si>
  <si>
    <t>Crediitors</t>
  </si>
  <si>
    <t>Raw Material Purchase</t>
  </si>
  <si>
    <t>Total Working Capital Requireent</t>
  </si>
  <si>
    <t>Margin on WC 25%</t>
  </si>
  <si>
    <t>Stock</t>
  </si>
  <si>
    <t>Creditors</t>
  </si>
  <si>
    <t xml:space="preserve">Assumption of manufacturing costs </t>
  </si>
  <si>
    <t>Rate (Rs.) per Kg</t>
  </si>
  <si>
    <t>Depolymerisation Sections</t>
  </si>
  <si>
    <t>Utilities &amp; Energy</t>
  </si>
  <si>
    <t>Polymerisation Sections</t>
  </si>
  <si>
    <t>Packing</t>
  </si>
  <si>
    <t>Office overhead</t>
  </si>
  <si>
    <t>Selling Cost</t>
  </si>
  <si>
    <t>Installed Capacity (MTs)</t>
  </si>
  <si>
    <t>%age of utilisations</t>
  </si>
  <si>
    <t>Days of operations</t>
  </si>
  <si>
    <t>Sales Price</t>
  </si>
  <si>
    <t>Production (Qty in MTs)</t>
  </si>
  <si>
    <t>Sales (Qty in  MTs)</t>
  </si>
  <si>
    <t xml:space="preserve">DCCO -  Date of Commercial </t>
  </si>
  <si>
    <t>Conversion Cost PET Recycling Rs. per kg</t>
  </si>
  <si>
    <t>Depolymerization Section</t>
  </si>
  <si>
    <t>(A) MATERIAL</t>
  </si>
  <si>
    <t xml:space="preserve">Quantity </t>
  </si>
  <si>
    <t xml:space="preserve">Price </t>
  </si>
  <si>
    <t>Rs/ Kg</t>
  </si>
  <si>
    <t xml:space="preserve">Rs </t>
  </si>
  <si>
    <t>PET Cloth Waste</t>
  </si>
  <si>
    <t>Loss of waste due to rejection and solid waste loss 10%</t>
  </si>
  <si>
    <t>Mono ethylene Glycol</t>
  </si>
  <si>
    <t>Catalyst Zinc Acetate 1600 ppm = 0.0016 kg/kg</t>
  </si>
  <si>
    <t>BHET produced  per kg of PET = 1.325729</t>
  </si>
  <si>
    <t>Diatomaceous Earth ( Celite) 25 kg per 600 kg polymer</t>
  </si>
  <si>
    <t>Activated Carbon  average 8% of BHET</t>
  </si>
  <si>
    <t>TOTAL A</t>
  </si>
  <si>
    <t>(B) UTILITY AND ENERGY</t>
  </si>
  <si>
    <t xml:space="preserve">Heating </t>
  </si>
  <si>
    <t>Rs/Kg</t>
  </si>
  <si>
    <t>Cost of MEG Evaporation after Glycolysis</t>
  </si>
  <si>
    <t>MEG Evaporation and  Loss per Day with Sludge ( 0.7 +7.7)</t>
  </si>
  <si>
    <t>MVR Operation and Distillation for EGR</t>
  </si>
  <si>
    <t xml:space="preserve">Electricity </t>
  </si>
  <si>
    <t>kWh/Kg</t>
  </si>
  <si>
    <t xml:space="preserve">Connected load </t>
  </si>
  <si>
    <t>Running</t>
  </si>
  <si>
    <t xml:space="preserve">Compressed Air </t>
  </si>
  <si>
    <r>
      <t>m</t>
    </r>
    <r>
      <rPr>
        <sz val="10"/>
        <rFont val="Calibri"/>
        <family val="2"/>
      </rPr>
      <t>³/Kg</t>
    </r>
  </si>
  <si>
    <t>bKW</t>
  </si>
  <si>
    <t>kWh</t>
  </si>
  <si>
    <t>Compressed Air ( Instt)</t>
  </si>
  <si>
    <t>Nitrogen</t>
  </si>
  <si>
    <t>Soft Water</t>
  </si>
  <si>
    <t>Cooling Water</t>
  </si>
  <si>
    <t xml:space="preserve">Chilled Water </t>
  </si>
  <si>
    <r>
      <t>DM Water (10 m</t>
    </r>
    <r>
      <rPr>
        <b/>
        <sz val="10"/>
        <rFont val="Calibri"/>
        <family val="2"/>
      </rPr>
      <t>³</t>
    </r>
    <r>
      <rPr>
        <b/>
        <sz val="10"/>
        <rFont val="Arial"/>
        <family val="2"/>
      </rPr>
      <t>/day</t>
    </r>
  </si>
  <si>
    <r>
      <t>ETP (100 m</t>
    </r>
    <r>
      <rPr>
        <b/>
        <sz val="10"/>
        <rFont val="Calibri"/>
        <family val="2"/>
      </rPr>
      <t>³</t>
    </r>
    <r>
      <rPr>
        <b/>
        <sz val="10"/>
        <rFont val="Arial"/>
        <family val="2"/>
      </rPr>
      <t>)</t>
    </r>
  </si>
  <si>
    <t>TOTAL Cost BHET Preparation</t>
  </si>
  <si>
    <t>B. Polymerization Section -</t>
  </si>
  <si>
    <t>Heating Energy</t>
  </si>
  <si>
    <t>Utility</t>
  </si>
  <si>
    <t>Repair and Maintenance</t>
  </si>
  <si>
    <t>Catalyst &amp; Additive</t>
  </si>
  <si>
    <t>Total A+B+C</t>
  </si>
  <si>
    <t>Say</t>
  </si>
  <si>
    <t>Selling Price</t>
  </si>
  <si>
    <t>Rs.</t>
  </si>
  <si>
    <t>Per Kg</t>
  </si>
  <si>
    <t>Annual</t>
  </si>
  <si>
    <t xml:space="preserve">Cationic CP Budget Vs Actual Cost </t>
  </si>
  <si>
    <t>Sr No</t>
  </si>
  <si>
    <t>Project Item</t>
  </si>
  <si>
    <t>Dept.</t>
  </si>
  <si>
    <t xml:space="preserve">AFE Value including Taxes </t>
  </si>
  <si>
    <t>Jacketed 3way plug valve pnumatic actuated</t>
  </si>
  <si>
    <t>Mech</t>
  </si>
  <si>
    <t>Design-Supply of Structure Packed &amp; try Column</t>
  </si>
  <si>
    <t xml:space="preserve">Supply of Paste transfer and Feed Pump 4 Nos </t>
  </si>
  <si>
    <t xml:space="preserve">Supply of Flush Bottom Valve &amp;  Flushing valve Feeding Sys </t>
  </si>
  <si>
    <t xml:space="preserve">Maag make Prepoly &amp; Polymer Gear Pump </t>
  </si>
  <si>
    <t>Details Engineering and Stress Analysis Pipe -</t>
  </si>
  <si>
    <t xml:space="preserve">HTM Process and Dosing Centrifugal Pump </t>
  </si>
  <si>
    <t xml:space="preserve">Polymer Jacket Valves </t>
  </si>
  <si>
    <t xml:space="preserve">CS Bellow Seal Globle Valves for </t>
  </si>
  <si>
    <t xml:space="preserve">Dow Reboiler &amp; Column Condenser </t>
  </si>
  <si>
    <t xml:space="preserve">SS CS MS Tank Mat &amp; Fab Charges  </t>
  </si>
  <si>
    <t xml:space="preserve">Chips Bagging M/c with Conveyor </t>
  </si>
  <si>
    <t>Spring Supports for HTM and Jacket Lines</t>
  </si>
  <si>
    <t xml:space="preserve">SS Seamless Pipe/Fitting Vapor Line </t>
  </si>
  <si>
    <t>Rotary Valve 2500mm for PTA Handling 7TP</t>
  </si>
  <si>
    <t xml:space="preserve">HTM CS Strainers &amp; Process SS Strainers </t>
  </si>
  <si>
    <t xml:space="preserve">DM Water Band Filter System Conveyor type </t>
  </si>
  <si>
    <t xml:space="preserve">Safety Valves Leser </t>
  </si>
  <si>
    <t xml:space="preserve">MS Stru Mat Stripper Col P.F., HTM Pump Tank P.F. </t>
  </si>
  <si>
    <t xml:space="preserve">Polymer Transfer Line with CS Jacket Ma </t>
  </si>
  <si>
    <t xml:space="preserve">Radiography for HTM PL/SS PL/VL </t>
  </si>
  <si>
    <t>Supply of Flush Bottom Valve &amp;  Flushing valve Feeding Sys</t>
  </si>
  <si>
    <t xml:space="preserve">Monomer Pump </t>
  </si>
  <si>
    <t xml:space="preserve">Under Water Strand Palletizing System </t>
  </si>
  <si>
    <t xml:space="preserve">Duplex CPF System </t>
  </si>
  <si>
    <t>HTM Process and Dosing Centrifugal Pump f</t>
  </si>
  <si>
    <t>PHE f</t>
  </si>
  <si>
    <t xml:space="preserve">Details Study &amp; Hydraulic Bal HTM Net </t>
  </si>
  <si>
    <t xml:space="preserve">HTM Cooler Fin Tube 40 NB </t>
  </si>
  <si>
    <t>SS Ball Valve Flanged Peak &amp; CS Non Return</t>
  </si>
  <si>
    <t xml:space="preserve">CS &amp; SS piping Mat for OSBL </t>
  </si>
  <si>
    <t xml:space="preserve">Pre Poly &amp; PGP Inlet/Outlet mating flange </t>
  </si>
  <si>
    <t xml:space="preserve">Steel Structure for Utly Pipe Rack &amp; Staircase </t>
  </si>
  <si>
    <t xml:space="preserve">Flame Proof Hoist 2 /10Ton-3/1 Nos </t>
  </si>
  <si>
    <t>SS Ball Valve Flanged PTFE</t>
  </si>
  <si>
    <t xml:space="preserve">Rapture Disc for ES1 &amp; Process </t>
  </si>
  <si>
    <t xml:space="preserve">Flame ArresterSS 304 </t>
  </si>
  <si>
    <t xml:space="preserve">Expansion Bellow Joint SS 304 </t>
  </si>
  <si>
    <t xml:space="preserve">Additive tanks agitator Qty 3 Nos </t>
  </si>
  <si>
    <t>Miscellanious Items of Mech</t>
  </si>
  <si>
    <t xml:space="preserve">Painting of Structure &amp; Pipe Rack </t>
  </si>
  <si>
    <t>SS Seamless Pipe/Fitting Vapor Line</t>
  </si>
  <si>
    <t xml:space="preserve">Spring Supports for HTM and Jacket Lines </t>
  </si>
  <si>
    <t xml:space="preserve">Add Qty of Spring Support </t>
  </si>
  <si>
    <t xml:space="preserve">Hot Insulation Material Charges </t>
  </si>
  <si>
    <t xml:space="preserve">Dynisco Adaptors </t>
  </si>
  <si>
    <t xml:space="preserve">Erection &amp; Lab Charge </t>
  </si>
  <si>
    <t xml:space="preserve">Steel Structure for 7-14 Mtr Platform/Ladder </t>
  </si>
  <si>
    <t>Add Qty of Spring Support</t>
  </si>
  <si>
    <t>CS &amp; SS piping Mat for OSBL \</t>
  </si>
  <si>
    <t>Rapture Disc for ES1 &amp; Process \</t>
  </si>
  <si>
    <t xml:space="preserve">Expansion Bello Joint SS 304 </t>
  </si>
  <si>
    <t>Mechanical Total</t>
  </si>
  <si>
    <t xml:space="preserve">Instrument Perforated Cable Tray </t>
  </si>
  <si>
    <t>Instru</t>
  </si>
  <si>
    <t xml:space="preserve">Instrumentation Structural Steel CS ERW Pipe </t>
  </si>
  <si>
    <t xml:space="preserve">Instrument Material Takoff (MTO) </t>
  </si>
  <si>
    <t xml:space="preserve">Instrument Signal Cables </t>
  </si>
  <si>
    <t xml:space="preserve">Addn Flow Meter (Vam+Process Addn) </t>
  </si>
  <si>
    <t xml:space="preserve">Instrument Erection Incl. Liffitng &amp; Positioning </t>
  </si>
  <si>
    <t>Nucleonic Level Transmitter for Cationic CP Proj</t>
  </si>
  <si>
    <t xml:space="preserve">Monomer and Polymer Melt Pres Tranmitter (Dynisco) </t>
  </si>
  <si>
    <t xml:space="preserve">Temperature Element Head Mount Trasmitter and Thermowell </t>
  </si>
  <si>
    <t xml:space="preserve">Transmitters (GPT/FT/LT/DPT) </t>
  </si>
  <si>
    <t xml:space="preserve">TOV System </t>
  </si>
  <si>
    <t xml:space="preserve">TOV Adaptor MOC55304 </t>
  </si>
  <si>
    <t xml:space="preserve">Various Inverters </t>
  </si>
  <si>
    <t>On Off Ball &amp; Gate Valve for Cationic CP Proj</t>
  </si>
  <si>
    <t xml:space="preserve">Control Valve with Electro Pneumatic Po </t>
  </si>
  <si>
    <t xml:space="preserve">UPS </t>
  </si>
  <si>
    <t xml:space="preserve">Field Instruments (Level/Pressure &amp; Temp) </t>
  </si>
  <si>
    <t xml:space="preserve">Battery BankFinisher Agitator &amp; PGP </t>
  </si>
  <si>
    <t xml:space="preserve">DCS System </t>
  </si>
  <si>
    <t xml:space="preserve">On Off Ball &amp; Gate Valve </t>
  </si>
  <si>
    <t>Field Instruments (Level/Pressure &amp; Temp)</t>
  </si>
  <si>
    <t>Dynisco Adaptors for Cationic CP Proj</t>
  </si>
  <si>
    <t xml:space="preserve">Eco Karl Fisher auto Titrator and Dosimat </t>
  </si>
  <si>
    <t xml:space="preserve">Equipment /Instruments for General Lab </t>
  </si>
  <si>
    <t>Instrument Total</t>
  </si>
  <si>
    <t xml:space="preserve">Portable AHU &amp; Ducting </t>
  </si>
  <si>
    <t xml:space="preserve">Cooling Water Pipe, Fitting &amp; Mat </t>
  </si>
  <si>
    <t xml:space="preserve">MS Stru Beam,Plate,H Bolt for 850 TR Hot Vapour VAM </t>
  </si>
  <si>
    <t>Mat &amp; Lab Charges- Painting Steel Structure &amp; PL -Co</t>
  </si>
  <si>
    <t>Mat &amp; Lab -Chilled Water PL&amp; Portable AHU Duct Cold Insulation</t>
  </si>
  <si>
    <t>Cooling Water Basket Filter 850 TR VAM for Cationic CP Proj</t>
  </si>
  <si>
    <t>MS Stru Beam,Plate,H Bolt for 850 TR Hot Vapour VAM Found F</t>
  </si>
  <si>
    <t>Mat &amp; Lab Charges- Painting Steel Structure &amp; PL -Cooling Li</t>
  </si>
  <si>
    <t>Utility Total</t>
  </si>
  <si>
    <t xml:space="preserve">Earthing Pit </t>
  </si>
  <si>
    <t>Elec</t>
  </si>
  <si>
    <t xml:space="preserve">Miscellaneous Item Electrical </t>
  </si>
  <si>
    <t xml:space="preserve">Lighting </t>
  </si>
  <si>
    <t xml:space="preserve">Cable Glands Lugs </t>
  </si>
  <si>
    <t>Cable Tray</t>
  </si>
  <si>
    <t xml:space="preserve">Electrification Work </t>
  </si>
  <si>
    <t xml:space="preserve">LT Switchgears </t>
  </si>
  <si>
    <t xml:space="preserve">LT Panel </t>
  </si>
  <si>
    <t>Motors</t>
  </si>
  <si>
    <t xml:space="preserve">Cable Tray Support Structure Steel </t>
  </si>
  <si>
    <t>Hydraulic Lift 3.5 Ton</t>
  </si>
  <si>
    <t>Cable Tray Support Structure Steel</t>
  </si>
  <si>
    <t xml:space="preserve">LT Cabel </t>
  </si>
  <si>
    <t>Electrical Total</t>
  </si>
  <si>
    <t xml:space="preserve">Ultransonic Cleaning M/c 2set </t>
  </si>
  <si>
    <t>Process</t>
  </si>
  <si>
    <t>Therminol</t>
  </si>
  <si>
    <t>Hypox system for Filer candle cleaning</t>
  </si>
  <si>
    <t>Process Total</t>
  </si>
  <si>
    <t>Grand Total</t>
  </si>
  <si>
    <t>Lacs</t>
  </si>
  <si>
    <t>USD</t>
  </si>
  <si>
    <t>Rs/USD</t>
  </si>
  <si>
    <t>Main Plant &amp; Machinery ( ZC)</t>
  </si>
  <si>
    <t>Misc</t>
  </si>
  <si>
    <t>Total Including Main machinery</t>
  </si>
  <si>
    <t>BUDGET - Textile Recycling Plant - 75 MT Per Day</t>
  </si>
  <si>
    <t>A- BUDGET RECYCLING SECTION ( 25 TPD x 3 Stream)</t>
  </si>
  <si>
    <t xml:space="preserve">Sr.No. </t>
  </si>
  <si>
    <t>TAG</t>
  </si>
  <si>
    <t xml:space="preserve"> Equipment </t>
  </si>
  <si>
    <t>Power (kW)</t>
  </si>
  <si>
    <t xml:space="preserve">Weight </t>
  </si>
  <si>
    <t>Price Per unit</t>
  </si>
  <si>
    <t xml:space="preserve">Total Cost </t>
  </si>
  <si>
    <t>Remarks</t>
  </si>
  <si>
    <t xml:space="preserve">Installed </t>
  </si>
  <si>
    <t>Absorbed</t>
  </si>
  <si>
    <t>or Size</t>
  </si>
  <si>
    <t>Number</t>
  </si>
  <si>
    <t>A- Cloth Washing &amp; Shreading Section</t>
  </si>
  <si>
    <t>A-1</t>
  </si>
  <si>
    <t>Sorting Belt conveyor ( Horizontal ) Length 5-10 Mtr , Width - 800-1000 mm</t>
  </si>
  <si>
    <t>A-2</t>
  </si>
  <si>
    <t xml:space="preserve">Shredding Machine </t>
  </si>
  <si>
    <t>3 TPH</t>
  </si>
  <si>
    <t xml:space="preserve">A-3 </t>
  </si>
  <si>
    <t>Horizontal Belt Cpnveyor ( for feeding to Cloth Washing Trough) L-4 Mtr x 800 mm</t>
  </si>
  <si>
    <t xml:space="preserve">A-4 </t>
  </si>
  <si>
    <t xml:space="preserve">Cloth Washing Trough( with perforated Tray  ( L- 5 Mtr x W - 1 Mtr) &amp; Twin Screw </t>
  </si>
  <si>
    <t>2 TPH</t>
  </si>
  <si>
    <t xml:space="preserve">Alternatively Washing Machine + Extractor+Dryer </t>
  </si>
  <si>
    <t xml:space="preserve">A-5 </t>
  </si>
  <si>
    <t>Centrifugal Spin Dryer</t>
  </si>
  <si>
    <t>2TPH</t>
  </si>
  <si>
    <t>A-6</t>
  </si>
  <si>
    <t xml:space="preserve">Hot Air Dryer /Conveyor with Serpentine duct + blower + Heater + Cyclone </t>
  </si>
  <si>
    <t xml:space="preserve">2 TPH </t>
  </si>
  <si>
    <t>A-7</t>
  </si>
  <si>
    <t xml:space="preserve">Hydraulic Elevator ( for BHET Building ) </t>
  </si>
  <si>
    <t xml:space="preserve">4000 Kg </t>
  </si>
  <si>
    <t>A-8</t>
  </si>
  <si>
    <t>Weighing Bridge &amp; Accessories</t>
  </si>
  <si>
    <t>Set</t>
  </si>
  <si>
    <t>Total A</t>
  </si>
  <si>
    <t xml:space="preserve">B- Depolymerization Section </t>
  </si>
  <si>
    <t>B-1</t>
  </si>
  <si>
    <t xml:space="preserve">Shreaded Fabric Belt Conveyor  </t>
  </si>
  <si>
    <t>15 MT Capacity</t>
  </si>
  <si>
    <t xml:space="preserve"> With Hoist 6 Hoist </t>
  </si>
  <si>
    <t>B-2</t>
  </si>
  <si>
    <t>V-01 A-E</t>
  </si>
  <si>
    <r>
      <t xml:space="preserve">Fabric feed Bin </t>
    </r>
    <r>
      <rPr>
        <sz val="10"/>
        <color indexed="10"/>
        <rFont val="Calibri"/>
        <family val="2"/>
      </rPr>
      <t xml:space="preserve">Ø </t>
    </r>
    <r>
      <rPr>
        <sz val="10.6"/>
        <color indexed="10"/>
        <rFont val="Arial"/>
        <family val="2"/>
      </rPr>
      <t>3200 x 5000</t>
    </r>
    <r>
      <rPr>
        <sz val="10"/>
        <color indexed="10"/>
        <rFont val="Arial"/>
        <family val="2"/>
      </rPr>
      <t xml:space="preserve"> ( Bottom Conical ) x 4 Thk</t>
    </r>
  </si>
  <si>
    <r>
      <t>58 M</t>
    </r>
    <r>
      <rPr>
        <sz val="10"/>
        <rFont val="Calibri"/>
        <family val="2"/>
      </rPr>
      <t>³</t>
    </r>
  </si>
  <si>
    <t>B-3</t>
  </si>
  <si>
    <t>R-01 A-E</t>
  </si>
  <si>
    <t xml:space="preserve">Depoly Reactor with Internal + Limpet Coil , Agitator with mechnaial Seal </t>
  </si>
  <si>
    <t>B-4</t>
  </si>
  <si>
    <t xml:space="preserve">Actuator operated Jacketed Flush Bottom Valve </t>
  </si>
  <si>
    <t>**</t>
  </si>
  <si>
    <t>150 NB</t>
  </si>
  <si>
    <t>Outlet</t>
  </si>
  <si>
    <t>B-5</t>
  </si>
  <si>
    <t xml:space="preserve">Actuator Operated  Gate Valve with bellow seal ( Non Jacketed </t>
  </si>
  <si>
    <t>600 NB</t>
  </si>
  <si>
    <t>Inlet</t>
  </si>
  <si>
    <t>B-6</t>
  </si>
  <si>
    <t>F-01 A-E</t>
  </si>
  <si>
    <r>
      <t xml:space="preserve">Jacketed Basket Filter </t>
    </r>
    <r>
      <rPr>
        <sz val="10"/>
        <rFont val="Calibri"/>
        <family val="2"/>
      </rPr>
      <t>Ø</t>
    </r>
    <r>
      <rPr>
        <sz val="10"/>
        <rFont val="Arial"/>
        <family val="2"/>
      </rPr>
      <t xml:space="preserve"> 1250mm x 1000 L mm</t>
    </r>
  </si>
  <si>
    <r>
      <t>1.5-2 M</t>
    </r>
    <r>
      <rPr>
        <sz val="10"/>
        <rFont val="Calibri"/>
        <family val="2"/>
      </rPr>
      <t>³</t>
    </r>
  </si>
  <si>
    <t xml:space="preserve">To trap Undissolved impurities like cotton  Viscose , </t>
  </si>
  <si>
    <t>B-7</t>
  </si>
  <si>
    <t>P-01 A-E</t>
  </si>
  <si>
    <t xml:space="preserve">Glycolyzed Transfer Pump with Motor ( Transfer time 10- 20 minute) </t>
  </si>
  <si>
    <r>
      <t>80- 100 M</t>
    </r>
    <r>
      <rPr>
        <sz val="10"/>
        <rFont val="Calibri"/>
        <family val="2"/>
      </rPr>
      <t xml:space="preserve">³ </t>
    </r>
    <r>
      <rPr>
        <sz val="10"/>
        <rFont val="Arial"/>
        <family val="2"/>
      </rPr>
      <t>/ hr</t>
    </r>
  </si>
  <si>
    <t>1 Pump as Standby for All the reactor</t>
  </si>
  <si>
    <t>B-8</t>
  </si>
  <si>
    <t>C-01 A/B/C</t>
  </si>
  <si>
    <r>
      <t>Separating Column with Reboiler (15 M</t>
    </r>
    <r>
      <rPr>
        <sz val="10"/>
        <rFont val="Calibri"/>
        <family val="2"/>
      </rPr>
      <t>³</t>
    </r>
    <r>
      <rPr>
        <sz val="10"/>
        <rFont val="Arial"/>
        <family val="2"/>
      </rPr>
      <t xml:space="preserve"> Volume) &amp; In-built Condenser </t>
    </r>
  </si>
  <si>
    <r>
      <rPr>
        <sz val="10"/>
        <rFont val="Calibri"/>
        <family val="2"/>
      </rPr>
      <t xml:space="preserve">Ø </t>
    </r>
    <r>
      <rPr>
        <sz val="10"/>
        <rFont val="Arial"/>
        <family val="2"/>
      </rPr>
      <t xml:space="preserve">600mm x </t>
    </r>
    <r>
      <rPr>
        <sz val="10"/>
        <rFont val="Calibri"/>
        <family val="2"/>
      </rPr>
      <t>Ø</t>
    </r>
    <r>
      <rPr>
        <sz val="10"/>
        <rFont val="Arial"/>
        <family val="2"/>
      </rPr>
      <t xml:space="preserve"> 2200 mm</t>
    </r>
  </si>
  <si>
    <t>for moisture removal &amp; MEG Distillation</t>
  </si>
  <si>
    <t>B-9</t>
  </si>
  <si>
    <t>E-01 A/B/C</t>
  </si>
  <si>
    <t xml:space="preserve">Shell &amp; Tube Heat Exchanger for Product Cooling during transfer </t>
  </si>
  <si>
    <t>****</t>
  </si>
  <si>
    <t>B-10</t>
  </si>
  <si>
    <t>***</t>
  </si>
  <si>
    <t>Water Collection Tank</t>
  </si>
  <si>
    <r>
      <t>15 M</t>
    </r>
    <r>
      <rPr>
        <sz val="10"/>
        <rFont val="Calibri"/>
        <family val="2"/>
      </rPr>
      <t>³</t>
    </r>
  </si>
  <si>
    <t>B-11</t>
  </si>
  <si>
    <t xml:space="preserve">HTM Pump with motor </t>
  </si>
  <si>
    <r>
      <t>80 M</t>
    </r>
    <r>
      <rPr>
        <sz val="10"/>
        <rFont val="Calibri"/>
        <family val="2"/>
      </rPr>
      <t xml:space="preserve">³ </t>
    </r>
    <r>
      <rPr>
        <sz val="10"/>
        <rFont val="Arial"/>
        <family val="2"/>
      </rPr>
      <t>/ hr</t>
    </r>
  </si>
  <si>
    <t xml:space="preserve">C-Cooling and Leaf Filtration </t>
  </si>
  <si>
    <t>C-1</t>
  </si>
  <si>
    <t>V-02 A-E</t>
  </si>
  <si>
    <t>Cooling Reactor with Limpet Coil &amp; Agitator, Gear Box Motor )</t>
  </si>
  <si>
    <r>
      <t>70 M</t>
    </r>
    <r>
      <rPr>
        <sz val="10"/>
        <rFont val="Calibri"/>
        <family val="2"/>
      </rPr>
      <t>³</t>
    </r>
  </si>
  <si>
    <t>Weight Tank - 6400 kg , + Agitator weight 2500 kg ( 8 lac)</t>
  </si>
  <si>
    <t>C-2</t>
  </si>
  <si>
    <t>F-02 A-I</t>
  </si>
  <si>
    <t xml:space="preserve">Micro bac Candle Filter ( Activated Carbon separation ) - Type Vertical </t>
  </si>
  <si>
    <r>
      <t>80 M</t>
    </r>
    <r>
      <rPr>
        <sz val="10"/>
        <rFont val="Calibri"/>
        <family val="2"/>
      </rPr>
      <t>²</t>
    </r>
  </si>
  <si>
    <t>C-3</t>
  </si>
  <si>
    <t>P-02 A-E</t>
  </si>
  <si>
    <t>Circulation and Transfer Pump - From V-02 to V-03 - Centrifugal Pump</t>
  </si>
  <si>
    <r>
      <t>120 M</t>
    </r>
    <r>
      <rPr>
        <sz val="10"/>
        <rFont val="Calibri"/>
        <family val="2"/>
      </rPr>
      <t xml:space="preserve">³ </t>
    </r>
    <r>
      <rPr>
        <sz val="10"/>
        <rFont val="Arial"/>
        <family val="2"/>
      </rPr>
      <t>/ hr</t>
    </r>
  </si>
  <si>
    <t>C-4</t>
  </si>
  <si>
    <t>V-03 A-E</t>
  </si>
  <si>
    <t>Intermediate Vessel ( After Microbac Filter)</t>
  </si>
  <si>
    <t>C-5</t>
  </si>
  <si>
    <t>P-03 A-E</t>
  </si>
  <si>
    <t>C-6</t>
  </si>
  <si>
    <t>PLF-A-I</t>
  </si>
  <si>
    <t xml:space="preserve">Pressure Leaf Filter( Vertical) </t>
  </si>
  <si>
    <r>
      <t>100 M</t>
    </r>
    <r>
      <rPr>
        <sz val="10"/>
        <rFont val="Calibri"/>
        <family val="2"/>
      </rPr>
      <t>²</t>
    </r>
  </si>
  <si>
    <t>C-7</t>
  </si>
  <si>
    <t>V-04 A-E</t>
  </si>
  <si>
    <t>Storage Vessel ( Cleaned Product mix)</t>
  </si>
  <si>
    <t>C-8</t>
  </si>
  <si>
    <t>P-04 A-E</t>
  </si>
  <si>
    <t xml:space="preserve">Product Transfer Pump to Crystallizr </t>
  </si>
  <si>
    <r>
      <t>15 M</t>
    </r>
    <r>
      <rPr>
        <sz val="10"/>
        <rFont val="Calibri"/>
        <family val="2"/>
      </rPr>
      <t xml:space="preserve">³ </t>
    </r>
    <r>
      <rPr>
        <sz val="10"/>
        <rFont val="Arial"/>
        <family val="2"/>
      </rPr>
      <t>/ hr</t>
    </r>
  </si>
  <si>
    <t>3 W + 3S</t>
  </si>
  <si>
    <t>V-05 A/B/C</t>
  </si>
  <si>
    <t xml:space="preserve">Leaf Filter Drain Tank </t>
  </si>
  <si>
    <r>
      <t>10 M</t>
    </r>
    <r>
      <rPr>
        <sz val="10"/>
        <rFont val="Calibri"/>
        <family val="2"/>
      </rPr>
      <t>³</t>
    </r>
  </si>
  <si>
    <t>V-06 A/B/C</t>
  </si>
  <si>
    <t>Leaf Filter Preparation Tank With Agitator (Jacketed )</t>
  </si>
  <si>
    <t>P-05 A-E</t>
  </si>
  <si>
    <t>Centrifugal Pump ( Leaf Filter Preparation &amp; Drain Tank)</t>
  </si>
  <si>
    <r>
      <t>5 M</t>
    </r>
    <r>
      <rPr>
        <sz val="10"/>
        <rFont val="Calibri"/>
        <family val="2"/>
      </rPr>
      <t>³</t>
    </r>
    <r>
      <rPr>
        <sz val="10"/>
        <rFont val="Arial"/>
        <family val="2"/>
      </rPr>
      <t xml:space="preserve"> / hr</t>
    </r>
  </si>
  <si>
    <t>Hopper for Charcoal Feeding 1000 mm x 1000 mm</t>
  </si>
  <si>
    <t>Drained Charcoal &amp; Celite Collection Vessel with Trolley</t>
  </si>
  <si>
    <r>
      <t>2 M</t>
    </r>
    <r>
      <rPr>
        <sz val="10"/>
        <rFont val="Calibri"/>
        <family val="2"/>
      </rPr>
      <t>³</t>
    </r>
  </si>
  <si>
    <t>Total C</t>
  </si>
  <si>
    <t>D-Crystallization and Filtration</t>
  </si>
  <si>
    <t>D-1</t>
  </si>
  <si>
    <t>V-07-1/2/3  A-F</t>
  </si>
  <si>
    <r>
      <t>Crystallizaer Cooling Vessel with Agitator  12 KL ( From 75</t>
    </r>
    <r>
      <rPr>
        <sz val="10"/>
        <rFont val="Calibri"/>
        <family val="2"/>
      </rPr>
      <t>°</t>
    </r>
    <r>
      <rPr>
        <sz val="10"/>
        <rFont val="Arial"/>
        <family val="2"/>
      </rPr>
      <t xml:space="preserve">C to 20 </t>
    </r>
    <r>
      <rPr>
        <sz val="10"/>
        <rFont val="Calibri"/>
        <family val="2"/>
      </rPr>
      <t>°</t>
    </r>
    <r>
      <rPr>
        <sz val="10"/>
        <rFont val="Arial"/>
        <family val="2"/>
      </rPr>
      <t>C)</t>
    </r>
  </si>
  <si>
    <r>
      <t>12  M</t>
    </r>
    <r>
      <rPr>
        <sz val="10"/>
        <rFont val="Calibri"/>
        <family val="2"/>
      </rPr>
      <t>³</t>
    </r>
  </si>
  <si>
    <t>Per stream 2 Vessel one preparation and one feed tank to crystallizer</t>
  </si>
  <si>
    <t>D-2</t>
  </si>
  <si>
    <t>V-08 A/B/C</t>
  </si>
  <si>
    <r>
      <t>Crystallizer Holding Vessel with Agitator  ( Crystallized product for 6-7 Hour) @ 20</t>
    </r>
    <r>
      <rPr>
        <sz val="10"/>
        <rFont val="Calibri"/>
        <family val="2"/>
      </rPr>
      <t>°</t>
    </r>
    <r>
      <rPr>
        <sz val="10"/>
        <rFont val="Arial"/>
        <family val="2"/>
      </rPr>
      <t>C</t>
    </r>
  </si>
  <si>
    <r>
      <t>60 M</t>
    </r>
    <r>
      <rPr>
        <sz val="10"/>
        <rFont val="Calibri"/>
        <family val="2"/>
      </rPr>
      <t xml:space="preserve">³ </t>
    </r>
  </si>
  <si>
    <t>D-3</t>
  </si>
  <si>
    <t>V-09 A-E</t>
  </si>
  <si>
    <t xml:space="preserve">Crystallizer Feed Vessel ( 6 KL) </t>
  </si>
  <si>
    <r>
      <t>6 M</t>
    </r>
    <r>
      <rPr>
        <sz val="10"/>
        <rFont val="Calibri"/>
        <family val="2"/>
      </rPr>
      <t xml:space="preserve">³ </t>
    </r>
  </si>
  <si>
    <t xml:space="preserve">1 Set with 1 hr residence time </t>
  </si>
  <si>
    <t>D-4</t>
  </si>
  <si>
    <t xml:space="preserve">XV </t>
  </si>
  <si>
    <t xml:space="preserve">Actuator operated 3- Way Diverter Valve , Inlet &amp; Outlet </t>
  </si>
  <si>
    <t xml:space="preserve">80 /100  NB </t>
  </si>
  <si>
    <r>
      <t>Head Pressure 1.8 kg /cm</t>
    </r>
    <r>
      <rPr>
        <sz val="10"/>
        <rFont val="Calibri"/>
        <family val="2"/>
      </rPr>
      <t>²</t>
    </r>
    <r>
      <rPr>
        <sz val="10"/>
        <rFont val="Arial"/>
        <family val="2"/>
      </rPr>
      <t xml:space="preserve"> gravity feed to RPF</t>
    </r>
  </si>
  <si>
    <t>D-5</t>
  </si>
  <si>
    <t>RPF-A/B/C</t>
  </si>
  <si>
    <t>Rotary Pressure Filter Capacity 2500 kg/hr</t>
  </si>
  <si>
    <t>40000 kg</t>
  </si>
  <si>
    <t>50 TPD</t>
  </si>
  <si>
    <t>3 W +1 S</t>
  </si>
  <si>
    <t>D-6</t>
  </si>
  <si>
    <t>V-10 A/B/C</t>
  </si>
  <si>
    <r>
      <t>Mix Water( Filtrate &amp; Wash Water) Collection Tank -</t>
    </r>
    <r>
      <rPr>
        <sz val="10"/>
        <rFont val="Calibri"/>
        <family val="2"/>
      </rPr>
      <t xml:space="preserve">Ø </t>
    </r>
    <r>
      <rPr>
        <sz val="10"/>
        <rFont val="Arial"/>
        <family val="2"/>
      </rPr>
      <t>3000 mm x H 3600 mm</t>
    </r>
  </si>
  <si>
    <r>
      <t>25 M</t>
    </r>
    <r>
      <rPr>
        <sz val="10"/>
        <rFont val="Calibri"/>
        <family val="2"/>
      </rPr>
      <t>³</t>
    </r>
  </si>
  <si>
    <t>Fabrication rate 300 ( 220+80)</t>
  </si>
  <si>
    <t>D-7</t>
  </si>
  <si>
    <t>V-11 A/B/C</t>
  </si>
  <si>
    <t>Mix Water (Cloth Rinsing + Dewatering) Collection Tank Ø3000 mm x 3600 mm</t>
  </si>
  <si>
    <t>D-8</t>
  </si>
  <si>
    <t>P-06 A/B</t>
  </si>
  <si>
    <t xml:space="preserve">Mix Water ( D-6) Transfer Pump to MVR </t>
  </si>
  <si>
    <r>
      <t>40 M</t>
    </r>
    <r>
      <rPr>
        <sz val="10"/>
        <rFont val="Calibri"/>
        <family val="2"/>
      </rPr>
      <t>³/hr</t>
    </r>
  </si>
  <si>
    <t>with Mechanical Seal</t>
  </si>
  <si>
    <t>D-9</t>
  </si>
  <si>
    <t>P-07 A/B</t>
  </si>
  <si>
    <t>Mix Water (D-7)  Transfer Pump to Water Addition Tank ( V-02  A to E )</t>
  </si>
  <si>
    <r>
      <t>20 M</t>
    </r>
    <r>
      <rPr>
        <sz val="10"/>
        <rFont val="Calibri"/>
        <family val="2"/>
      </rPr>
      <t>³/hr</t>
    </r>
  </si>
  <si>
    <t>Total D</t>
  </si>
  <si>
    <t xml:space="preserve">E- Mix Water Purification Plant ( MVR) </t>
  </si>
  <si>
    <t>E-1</t>
  </si>
  <si>
    <t>DMW- R</t>
  </si>
  <si>
    <t>Mechanical Vapor Recompression for Water Recovery System Complete</t>
  </si>
  <si>
    <t>30 T/hr</t>
  </si>
  <si>
    <t>Chemprocess - Power &amp; Cost</t>
  </si>
  <si>
    <t>E-2</t>
  </si>
  <si>
    <t>EG-R</t>
  </si>
  <si>
    <t xml:space="preserve">MEG Distillation System Complete </t>
  </si>
  <si>
    <t>10 MT/hr</t>
  </si>
  <si>
    <t>Included in MVR cost</t>
  </si>
  <si>
    <t>E-3</t>
  </si>
  <si>
    <t>P-08 A-E</t>
  </si>
  <si>
    <t>Centrifugal Pump</t>
  </si>
  <si>
    <r>
      <t>20  M</t>
    </r>
    <r>
      <rPr>
        <sz val="10"/>
        <rFont val="Calibri"/>
        <family val="2"/>
      </rPr>
      <t>³/hr</t>
    </r>
  </si>
  <si>
    <t>E-4</t>
  </si>
  <si>
    <t>V-12 A/B/C</t>
  </si>
  <si>
    <r>
      <t xml:space="preserve">Intermediate Feed &amp; Storage Tank  </t>
    </r>
    <r>
      <rPr>
        <sz val="10"/>
        <rFont val="Calibri"/>
        <family val="2"/>
      </rPr>
      <t>Ø</t>
    </r>
    <r>
      <rPr>
        <sz val="10"/>
        <rFont val="Arial"/>
        <family val="2"/>
      </rPr>
      <t>5000mm x 5500mm x 6</t>
    </r>
  </si>
  <si>
    <r>
      <t>100 M</t>
    </r>
    <r>
      <rPr>
        <sz val="10"/>
        <rFont val="Calibri"/>
        <family val="2"/>
      </rPr>
      <t>³</t>
    </r>
  </si>
  <si>
    <t>Total E</t>
  </si>
  <si>
    <t xml:space="preserve">F- BHET Cake Drying and Storage </t>
  </si>
  <si>
    <t>F-1</t>
  </si>
  <si>
    <t>XX</t>
  </si>
  <si>
    <t xml:space="preserve">Belt Conveyor for Cake Transportation </t>
  </si>
  <si>
    <r>
      <t>with Heating coil to maintain 70</t>
    </r>
    <r>
      <rPr>
        <sz val="10"/>
        <rFont val="Calibri"/>
        <family val="2"/>
      </rPr>
      <t>°</t>
    </r>
  </si>
  <si>
    <t>F-2</t>
  </si>
  <si>
    <t xml:space="preserve">BHET Cake Feed Hopper for dryer </t>
  </si>
  <si>
    <t>F-3</t>
  </si>
  <si>
    <t>RVPD-A/E</t>
  </si>
  <si>
    <t>BHET Cake Dryer  RVPD)  20 KL</t>
  </si>
  <si>
    <t>20 KL</t>
  </si>
  <si>
    <t xml:space="preserve">with internal coil </t>
  </si>
  <si>
    <t>F-4</t>
  </si>
  <si>
    <t>LRVP-A-I</t>
  </si>
  <si>
    <t>Liquid Ring Vacuum Pump &amp; Accessories</t>
  </si>
  <si>
    <t>V-13 A/B/C</t>
  </si>
  <si>
    <t xml:space="preserve">BHET Powder Collection Vessel </t>
  </si>
  <si>
    <r>
      <t>20 M</t>
    </r>
    <r>
      <rPr>
        <sz val="10"/>
        <rFont val="Calibri"/>
        <family val="2"/>
      </rPr>
      <t>³</t>
    </r>
  </si>
  <si>
    <t>F-5</t>
  </si>
  <si>
    <t xml:space="preserve">BHET Powder Conveying System to Storage Silo ( Lean Phase) </t>
  </si>
  <si>
    <t xml:space="preserve">3.5 TPH </t>
  </si>
  <si>
    <t>F-6</t>
  </si>
  <si>
    <t>ST-01 A/B</t>
  </si>
  <si>
    <r>
      <t xml:space="preserve">BHET Storage Silo Capacity  ( </t>
    </r>
    <r>
      <rPr>
        <sz val="10"/>
        <rFont val="Calibri"/>
        <family val="2"/>
      </rPr>
      <t>Ø</t>
    </r>
    <r>
      <rPr>
        <sz val="10"/>
        <rFont val="Arial"/>
        <family val="2"/>
      </rPr>
      <t xml:space="preserve"> 7000 x H 15000 x 8 thk)</t>
    </r>
  </si>
  <si>
    <r>
      <t>575 M</t>
    </r>
    <r>
      <rPr>
        <sz val="10"/>
        <rFont val="Calibri"/>
        <family val="2"/>
      </rPr>
      <t>³</t>
    </r>
  </si>
  <si>
    <t xml:space="preserve">with Flat Bottom , Reciprocating agitator to discahrge cake </t>
  </si>
  <si>
    <t>F-7</t>
  </si>
  <si>
    <t>V-14</t>
  </si>
  <si>
    <t>Water Collection Tank  ( Ø 3000 x H 3000 x 5 thk)</t>
  </si>
  <si>
    <t>P-09 A/B</t>
  </si>
  <si>
    <t>Transfer Pump Water</t>
  </si>
  <si>
    <r>
      <t>5 M</t>
    </r>
    <r>
      <rPr>
        <sz val="10"/>
        <rFont val="Calibri"/>
        <family val="2"/>
      </rPr>
      <t>³/hr</t>
    </r>
  </si>
  <si>
    <t>Total F</t>
  </si>
  <si>
    <t>G- Utility Section</t>
  </si>
  <si>
    <t>G-1</t>
  </si>
  <si>
    <t>HTM Heater ( FO/Gas Fired )</t>
  </si>
  <si>
    <t>6 Mkcal/hr</t>
  </si>
  <si>
    <t>1 W + 1 S</t>
  </si>
  <si>
    <t>G-2</t>
  </si>
  <si>
    <t>Chimney</t>
  </si>
  <si>
    <t>55 mtr</t>
  </si>
  <si>
    <t>G-3</t>
  </si>
  <si>
    <t>Air Compressor 7 Kg/sq.cm (g)  500x 2</t>
  </si>
  <si>
    <r>
      <t>500 Nm</t>
    </r>
    <r>
      <rPr>
        <sz val="10"/>
        <rFont val="Calibri"/>
        <family val="2"/>
      </rPr>
      <t>³</t>
    </r>
    <r>
      <rPr>
        <sz val="10"/>
        <rFont val="Arial"/>
        <family val="2"/>
      </rPr>
      <t>/ hr</t>
    </r>
  </si>
  <si>
    <t>G-4</t>
  </si>
  <si>
    <t xml:space="preserve">Air Dryer </t>
  </si>
  <si>
    <r>
      <t>250 Nm</t>
    </r>
    <r>
      <rPr>
        <sz val="10"/>
        <rFont val="Calibri"/>
        <family val="2"/>
      </rPr>
      <t>³</t>
    </r>
    <r>
      <rPr>
        <sz val="10"/>
        <rFont val="Arial"/>
        <family val="2"/>
      </rPr>
      <t>/ hr</t>
    </r>
  </si>
  <si>
    <t>G-5</t>
  </si>
  <si>
    <t>Nitrogen Plant</t>
  </si>
  <si>
    <r>
      <t>50 Nm</t>
    </r>
    <r>
      <rPr>
        <sz val="10"/>
        <rFont val="Calibri"/>
        <family val="2"/>
      </rPr>
      <t>³</t>
    </r>
    <r>
      <rPr>
        <sz val="10"/>
        <rFont val="Arial"/>
        <family val="2"/>
      </rPr>
      <t>/ hr</t>
    </r>
  </si>
  <si>
    <t>G-6</t>
  </si>
  <si>
    <t>Soft Water Plant</t>
  </si>
  <si>
    <r>
      <t>100 M</t>
    </r>
    <r>
      <rPr>
        <sz val="10"/>
        <rFont val="Calibri"/>
        <family val="2"/>
      </rPr>
      <t>³</t>
    </r>
    <r>
      <rPr>
        <sz val="10"/>
        <rFont val="Arial"/>
        <family val="2"/>
      </rPr>
      <t xml:space="preserve"> / hr</t>
    </r>
  </si>
  <si>
    <t>G-7</t>
  </si>
  <si>
    <t xml:space="preserve">DM Water &amp; RO Pant </t>
  </si>
  <si>
    <r>
      <t>10 M</t>
    </r>
    <r>
      <rPr>
        <sz val="10"/>
        <rFont val="Calibri"/>
        <family val="2"/>
      </rPr>
      <t>³</t>
    </r>
    <r>
      <rPr>
        <sz val="10"/>
        <rFont val="Arial"/>
        <family val="2"/>
      </rPr>
      <t xml:space="preserve"> / hr</t>
    </r>
  </si>
  <si>
    <t>G-8</t>
  </si>
  <si>
    <t xml:space="preserve">Cooling Tower ( 3 x 500 ) </t>
  </si>
  <si>
    <r>
      <t>500 M</t>
    </r>
    <r>
      <rPr>
        <sz val="10"/>
        <rFont val="Calibri"/>
        <family val="2"/>
      </rPr>
      <t>³</t>
    </r>
    <r>
      <rPr>
        <sz val="10"/>
        <rFont val="Arial"/>
        <family val="2"/>
      </rPr>
      <t xml:space="preserve"> / hr</t>
    </r>
  </si>
  <si>
    <t>2 W +1 S</t>
  </si>
  <si>
    <t>G-9</t>
  </si>
  <si>
    <t>Chiller</t>
  </si>
  <si>
    <t>600 TR</t>
  </si>
  <si>
    <t>1 (VAM ) W +1 (Electrical) S</t>
  </si>
  <si>
    <t>G-10</t>
  </si>
  <si>
    <t xml:space="preserve">Effluent Treatment Plant </t>
  </si>
  <si>
    <t>100 KLD</t>
  </si>
  <si>
    <t>G-11</t>
  </si>
  <si>
    <t>HTM Blow Down Tank</t>
  </si>
  <si>
    <t>100 KL</t>
  </si>
  <si>
    <t>G-12</t>
  </si>
  <si>
    <t>Therminol-66</t>
  </si>
  <si>
    <t>60 KL</t>
  </si>
  <si>
    <t>G-13</t>
  </si>
  <si>
    <t>Therminol - VP-1</t>
  </si>
  <si>
    <t>10 KL</t>
  </si>
  <si>
    <t>Total G</t>
  </si>
  <si>
    <t xml:space="preserve">H- Tank Farm Area </t>
  </si>
  <si>
    <t>H-1</t>
  </si>
  <si>
    <r>
      <t xml:space="preserve">MEG Storage Tank  (MS Epoxy) </t>
    </r>
    <r>
      <rPr>
        <sz val="10"/>
        <rFont val="Calibri"/>
        <family val="2"/>
      </rPr>
      <t>Ø</t>
    </r>
    <r>
      <rPr>
        <sz val="10"/>
        <rFont val="Arial"/>
        <family val="2"/>
      </rPr>
      <t xml:space="preserve">  6500mm x 10000mm x 8mm</t>
    </r>
  </si>
  <si>
    <t>300 MT</t>
  </si>
  <si>
    <t>H-2</t>
  </si>
  <si>
    <r>
      <t xml:space="preserve">Mixed Water Tank ( MS Epoxy ) </t>
    </r>
    <r>
      <rPr>
        <sz val="10"/>
        <rFont val="Calibri"/>
        <family val="2"/>
      </rPr>
      <t>Ø</t>
    </r>
    <r>
      <rPr>
        <sz val="10"/>
        <rFont val="Arial"/>
        <family val="2"/>
      </rPr>
      <t xml:space="preserve"> 8500 mm x 10000 mm x 8mm </t>
    </r>
  </si>
  <si>
    <t>1000 MT</t>
  </si>
  <si>
    <t>H-3</t>
  </si>
  <si>
    <r>
      <t xml:space="preserve">DM Water Tank  </t>
    </r>
    <r>
      <rPr>
        <sz val="10"/>
        <rFont val="Calibri"/>
        <family val="2"/>
      </rPr>
      <t>Ø</t>
    </r>
    <r>
      <rPr>
        <sz val="10"/>
        <rFont val="Arial"/>
        <family val="2"/>
      </rPr>
      <t xml:space="preserve">  6500mm x 10000 x 8 mm</t>
    </r>
  </si>
  <si>
    <t xml:space="preserve">300 MT </t>
  </si>
  <si>
    <t>H-4</t>
  </si>
  <si>
    <t>MEG Unloading and Transfer Pump</t>
  </si>
  <si>
    <r>
      <t>50 M</t>
    </r>
    <r>
      <rPr>
        <sz val="10"/>
        <rFont val="Calibri"/>
        <family val="2"/>
      </rPr>
      <t>³</t>
    </r>
    <r>
      <rPr>
        <sz val="10"/>
        <rFont val="Arial"/>
        <family val="2"/>
      </rPr>
      <t xml:space="preserve"> / hr x 25</t>
    </r>
  </si>
  <si>
    <t>H-5</t>
  </si>
  <si>
    <t>DM Water Transfer Pump</t>
  </si>
  <si>
    <r>
      <t>30 M</t>
    </r>
    <r>
      <rPr>
        <sz val="10"/>
        <rFont val="Calibri"/>
        <family val="2"/>
      </rPr>
      <t>³</t>
    </r>
    <r>
      <rPr>
        <sz val="10"/>
        <rFont val="Arial"/>
        <family val="2"/>
      </rPr>
      <t xml:space="preserve"> / hr</t>
    </r>
  </si>
  <si>
    <t>H-6</t>
  </si>
  <si>
    <t>Solvent Unloading and Transfer Pump</t>
  </si>
  <si>
    <r>
      <t>50 M</t>
    </r>
    <r>
      <rPr>
        <sz val="10"/>
        <rFont val="Calibri"/>
        <family val="2"/>
      </rPr>
      <t>³</t>
    </r>
    <r>
      <rPr>
        <sz val="10"/>
        <rFont val="Arial"/>
        <family val="2"/>
      </rPr>
      <t xml:space="preserve"> / hr</t>
    </r>
  </si>
  <si>
    <t>Total H</t>
  </si>
  <si>
    <t>J - Silo Area</t>
  </si>
  <si>
    <t>J-1</t>
  </si>
  <si>
    <t>Chips Silo. 300 MT</t>
  </si>
  <si>
    <t>Ø5000mm x 16000 mm</t>
  </si>
  <si>
    <t>25000 kg weight per silo 5 mm thk</t>
  </si>
  <si>
    <t>Total J</t>
  </si>
  <si>
    <t>K - Instrumentation &amp; Control</t>
  </si>
  <si>
    <t>K-1</t>
  </si>
  <si>
    <t>Distributed Control System</t>
  </si>
  <si>
    <t>K-2</t>
  </si>
  <si>
    <t>Transmitters ( Level, Flow, Pressure,Temperature )</t>
  </si>
  <si>
    <t>Lot</t>
  </si>
  <si>
    <t>K-3</t>
  </si>
  <si>
    <t xml:space="preserve">Control Valves </t>
  </si>
  <si>
    <t>K-4</t>
  </si>
  <si>
    <t>Control Panels VFD</t>
  </si>
  <si>
    <t>K-5</t>
  </si>
  <si>
    <t xml:space="preserve">Control Cables </t>
  </si>
  <si>
    <t>K-6</t>
  </si>
  <si>
    <t>Erecetion Material and contract ( Cable Tray , Gauges , RTD , LI etc.)</t>
  </si>
  <si>
    <t>K-7</t>
  </si>
  <si>
    <t>Weigh Bridge</t>
  </si>
  <si>
    <t>Total K</t>
  </si>
  <si>
    <t>L - Electrical Section</t>
  </si>
  <si>
    <t>L-1</t>
  </si>
  <si>
    <t xml:space="preserve">PCC &amp; MCC Panels </t>
  </si>
  <si>
    <t>L-2</t>
  </si>
  <si>
    <t xml:space="preserve">Power Cables </t>
  </si>
  <si>
    <t>L-3</t>
  </si>
  <si>
    <t>Transformers</t>
  </si>
  <si>
    <t>L-4</t>
  </si>
  <si>
    <t xml:space="preserve">AC Drives </t>
  </si>
  <si>
    <t xml:space="preserve">L-5 </t>
  </si>
  <si>
    <t>Erecetion Material and contract ( Cable Tray, Earth Pit, Lugs , etc.)</t>
  </si>
  <si>
    <t>L-6</t>
  </si>
  <si>
    <t>D.G. Set</t>
  </si>
  <si>
    <t>1010 KVA</t>
  </si>
  <si>
    <t>Total L</t>
  </si>
  <si>
    <t>M - Erection, Fabrication  and Insualation</t>
  </si>
  <si>
    <t>M-1</t>
  </si>
  <si>
    <t>Centrifugal pump ( HTM &amp; Process)</t>
  </si>
  <si>
    <t>M-2</t>
  </si>
  <si>
    <t>SS &amp; CS Valve , Ball valve , Plug Valve , Globe Valve and Butterfly valve)</t>
  </si>
  <si>
    <t xml:space="preserve">HTM , Cooling Tower filter , Pipe &amp; Pipe Fittings </t>
  </si>
  <si>
    <t>M-3</t>
  </si>
  <si>
    <t>Erection of Equipment</t>
  </si>
  <si>
    <t>M-4</t>
  </si>
  <si>
    <t>Fabrication of Piping &amp; Equipment  Site</t>
  </si>
  <si>
    <t>M-5</t>
  </si>
  <si>
    <t>Structural Steel ( Material &amp; Fabrication )</t>
  </si>
  <si>
    <t xml:space="preserve"> 300 MT Steel @ 60 Rs /kg ( 50 +10)</t>
  </si>
  <si>
    <t>M-6</t>
  </si>
  <si>
    <t>Fire and Safety ( Hydrant Piping &amp; Pump Station</t>
  </si>
  <si>
    <t>Insulation Material ( Hot and Cold )</t>
  </si>
  <si>
    <t>Insulation Labour Charges</t>
  </si>
  <si>
    <t>Total M</t>
  </si>
  <si>
    <t>N- Miscelleneous</t>
  </si>
  <si>
    <t>N-1</t>
  </si>
  <si>
    <t>Laboratory Instruments</t>
  </si>
  <si>
    <t>Total N</t>
  </si>
  <si>
    <t>Grand Total A - M</t>
  </si>
  <si>
    <t>Taxes</t>
  </si>
  <si>
    <t>Final Value</t>
  </si>
  <si>
    <t>h</t>
  </si>
  <si>
    <t>t</t>
  </si>
  <si>
    <t xml:space="preserve">wastage </t>
  </si>
  <si>
    <t>Description</t>
  </si>
  <si>
    <t xml:space="preserve">Size </t>
  </si>
  <si>
    <t>Rs. In Lac</t>
  </si>
  <si>
    <t>Rs. In lacs</t>
  </si>
  <si>
    <t>Preoperative Expenses</t>
  </si>
  <si>
    <t>Civil Expenses</t>
  </si>
  <si>
    <t>Sq. Mtr</t>
  </si>
  <si>
    <t>Land &amp; Land Development Cost</t>
  </si>
  <si>
    <t xml:space="preserve">15 Acre </t>
  </si>
  <si>
    <r>
      <t>Main Plant  Building- Recycling Plant ,  G + 4 , (2000 x 5 M</t>
    </r>
    <r>
      <rPr>
        <sz val="14"/>
        <rFont val="Calibri"/>
        <family val="2"/>
      </rPr>
      <t>²)</t>
    </r>
  </si>
  <si>
    <t>20000 Rs/Sq. Mtr with GST</t>
  </si>
  <si>
    <r>
      <t>Main Plant Building - Polymerization Plant G+4 , (768x 5)  M</t>
    </r>
    <r>
      <rPr>
        <sz val="14"/>
        <rFont val="Calibri"/>
        <family val="2"/>
      </rPr>
      <t>²</t>
    </r>
  </si>
  <si>
    <t>Utility and HTM Heater Shade and ETP (1500 + 400 +600) + Tanks</t>
  </si>
  <si>
    <t>15000 Rs/sq. Mtr with GST</t>
  </si>
  <si>
    <t>Tank farm Area + Storage Tank Foundations ( 45 x 32 ), 6 Tanks</t>
  </si>
  <si>
    <t>Electrical Transforemer , HT Panel Room etc.</t>
  </si>
  <si>
    <t>Office Admin Block  G+2 ( 400 x3</t>
  </si>
  <si>
    <t>Main Plant and Machinery with Uitlity( Recycling Plant )</t>
  </si>
  <si>
    <t>GST including</t>
  </si>
  <si>
    <t xml:space="preserve">Main Plant and Machinery ( CP Plant) </t>
  </si>
  <si>
    <t xml:space="preserve">Total Estimated Cost </t>
  </si>
  <si>
    <t>M/s Texfil Pvt Ltd.</t>
  </si>
  <si>
    <t>Quotations received from different vendors for recycling plant. (under negotiation)</t>
  </si>
  <si>
    <t>SL No</t>
  </si>
  <si>
    <t>Offer No</t>
  </si>
  <si>
    <t>Date</t>
  </si>
  <si>
    <t>Party</t>
  </si>
  <si>
    <t>Qty</t>
  </si>
  <si>
    <t>Curr</t>
  </si>
  <si>
    <t>VB/CP/2024/0146</t>
  </si>
  <si>
    <t>Chicago Pneumatic Compressors</t>
  </si>
  <si>
    <t>Compressor</t>
  </si>
  <si>
    <t>CO Oil Free Reciprocating Air Compressor Model HN215 NP (160 LW IE3 Motor, 1182 CFM, 7 Bar)</t>
  </si>
  <si>
    <t>RECIP Lub Oil (20 Liter = 1 Can). 2 CAN Required Per Air Compressor</t>
  </si>
  <si>
    <t>HIL/QUO/TFH/FBC/2024-25/010/ARP</t>
  </si>
  <si>
    <t>Heatex Industries Limited</t>
  </si>
  <si>
    <t>Thermopack</t>
  </si>
  <si>
    <t>Vertical 4000 U VTA (4 Pass) Thermic Fluid Heater with FBC system</t>
  </si>
  <si>
    <t>FIL(D)/066/2023-24</t>
  </si>
  <si>
    <t>Nextjen Cooling Towers Pvt Ltd, Baroda</t>
  </si>
  <si>
    <t>Cooling Tower</t>
  </si>
  <si>
    <t>500 M3/Hr. X 3 Cell i.e. 1500 M3/Hr.</t>
  </si>
  <si>
    <t>500 M3/Hr. X 1 Cell i.e. 500 M3/Hr.</t>
  </si>
  <si>
    <t>TITPL/2024/FILATEX/22042024</t>
  </si>
  <si>
    <t>Trane Technologies India Pvt Ltd</t>
  </si>
  <si>
    <t>Centrifugal Chiller</t>
  </si>
  <si>
    <t>500 tr water cooled centrifugal chiller with wye delta starter</t>
  </si>
  <si>
    <t>500TR water cooled screw chiller with VFD Saterter</t>
  </si>
  <si>
    <t>TOTPL/2024/FILATEX/22042024</t>
  </si>
  <si>
    <t>Supply of refrigerant R-514A, adopter box, insulation and commissioning of 500 TR Centrifugal Chiller</t>
  </si>
  <si>
    <t>Supply of Refrigerant R-134A, adopter box, insulation and commissioning of 500TR Screw Chiller</t>
  </si>
  <si>
    <t>Broad Air Conditioning India Pvt. Ltd</t>
  </si>
  <si>
    <t>VAM Chiller (BDS181X1II0-39/32-7/12-400</t>
  </si>
  <si>
    <t>A&amp;C/QTN/24/2204</t>
  </si>
  <si>
    <t>Anil &amp; Co.</t>
  </si>
  <si>
    <t>Softner Plant</t>
  </si>
  <si>
    <t>Filtration System : 100 m3/hr</t>
  </si>
  <si>
    <t>Effluent Treatment Plant</t>
  </si>
  <si>
    <t>ETP Plant : 100 KLD</t>
  </si>
  <si>
    <t>D M Plant</t>
  </si>
  <si>
    <t>DM System : 10 M3/hr</t>
  </si>
  <si>
    <t>RK/CRF/2024-23/04</t>
  </si>
  <si>
    <t>R. K. Engineering</t>
  </si>
  <si>
    <t>PSA Nitrogen Plant : 50Nm3/hr @ 99.9%
including Nitrogen Generator &amp; Nitrogen receiver of Geometric Volume</t>
  </si>
  <si>
    <t>17 - 29013922-00.0A0</t>
  </si>
  <si>
    <t>Piller Blower &amp; Compressors Gmbh</t>
  </si>
  <si>
    <t>MVR Piller Comp</t>
  </si>
  <si>
    <t>Euro</t>
  </si>
  <si>
    <t>EVS/2005475/R2</t>
  </si>
  <si>
    <t>Chem Process systems P. Ltd</t>
  </si>
  <si>
    <t>MVR Chemprocess</t>
  </si>
  <si>
    <t>MVR based multiple effect evaporation plant followed by distillation unit</t>
  </si>
  <si>
    <t>TES/QTN/24-25/289</t>
  </si>
  <si>
    <t>Technofab Engineering Services</t>
  </si>
  <si>
    <t>Reactors, Ceystalloizers and Holding tanks</t>
  </si>
  <si>
    <t>2600/24 Revision 1</t>
  </si>
  <si>
    <t>Maag Pump Systems AG, Switzerland</t>
  </si>
  <si>
    <t>ZCHKFIL20240913</t>
  </si>
  <si>
    <t>Zhicheng Chemical Ltd</t>
  </si>
  <si>
    <t>Polymer Line or R-Pet with Standard Parts &amp; accessories</t>
  </si>
  <si>
    <t>SES/3015/RO</t>
  </si>
  <si>
    <t>Shiva Engineering Services</t>
  </si>
  <si>
    <t>Engineering Services</t>
  </si>
  <si>
    <t>Engineering Services of Textile recycling project</t>
  </si>
  <si>
    <t>Zhangjiagang Xinbei Machinery Co. Ltd</t>
  </si>
  <si>
    <t>XB-JF800 Milling Shredder</t>
  </si>
  <si>
    <t>053/24-25</t>
  </si>
  <si>
    <t>Valves Industries, Mumbai</t>
  </si>
  <si>
    <t>Valve</t>
  </si>
  <si>
    <t>NEC-4500285947</t>
  </si>
  <si>
    <t>National Engineering Corporation</t>
  </si>
  <si>
    <t>17 - 29013922-01.0A0</t>
  </si>
  <si>
    <t>BHS Sonthofen Gmbh, Germany</t>
  </si>
  <si>
    <t>BHS Rotary Pressure Filter</t>
  </si>
  <si>
    <t>BHS Rotary Pressure Filter with spare Parts</t>
  </si>
  <si>
    <t>Shanghai Cando Machinery &amp; Equipment Co Ltd</t>
  </si>
  <si>
    <t>QS1190 REVO</t>
  </si>
  <si>
    <t>Mansco Products, USA</t>
  </si>
  <si>
    <t>TOV System Package</t>
  </si>
  <si>
    <t>Q-VT-FIL-242507081-R1</t>
  </si>
  <si>
    <t>V Tech Engineering</t>
  </si>
  <si>
    <t>Cristaliser for BHET Crystallization</t>
  </si>
  <si>
    <t xml:space="preserve">Cristaliser for BHET Crystallization
60KL-3 Nos
</t>
  </si>
  <si>
    <t>Cristaliser for BHET Crystallization
12KL-18 Nos</t>
  </si>
  <si>
    <t>Cristaliser for BHET Crystallization
6KL-6 Nos</t>
  </si>
  <si>
    <t>SHRP/SSK/SP/345A/24-25</t>
  </si>
  <si>
    <t>Sharplex Filters (India) Pvt. Ltd</t>
  </si>
  <si>
    <t>100 M2 Sharplex Vertex Pressure Leaf Filter in SS 304 with CS Jacket non contacts in carbon steel with fixed spray nozzle arrangement on top -slurry discharge type, without bottom discharge valve including 2 sets O-rings for filter ;eaves</t>
  </si>
  <si>
    <t>Spare set of filter leaves for 100 M2 VPLF</t>
  </si>
  <si>
    <t>100M2 Sherplex Pulsejet Candle Filter in SS 304, with CS Jacket, non-contacts in Carbon steel - Slurry discharge type including 2 sets O-rings</t>
  </si>
  <si>
    <t>Extra Cloth</t>
  </si>
  <si>
    <t>RE/TPL/PQ/2509</t>
  </si>
  <si>
    <t>Rushabh Enterprises</t>
  </si>
  <si>
    <t>Pumps</t>
  </si>
  <si>
    <t>48 pumps (backpull out type with closed impeller)</t>
  </si>
  <si>
    <t>% Capacity Utlization</t>
  </si>
  <si>
    <t>-</t>
  </si>
  <si>
    <t>Interest rate to be discussed</t>
  </si>
  <si>
    <t>R-PET Chips</t>
  </si>
  <si>
    <t>1. Raw Materials</t>
  </si>
  <si>
    <t>2. Utilities &amp; Energy</t>
  </si>
  <si>
    <t>3. Packing</t>
  </si>
  <si>
    <t>4. Selling &amp; Marketing</t>
  </si>
  <si>
    <t>2. Factory Overheads</t>
  </si>
  <si>
    <t>Tax rate of 17.16% considered under section 115BAB even though manufacturing will happen after 31-03-2024</t>
  </si>
  <si>
    <t>Return @7%</t>
  </si>
  <si>
    <t>CC Limit</t>
  </si>
  <si>
    <t>Increase in CC Limit</t>
  </si>
  <si>
    <t>Decrease in CC Limit</t>
  </si>
  <si>
    <t>Decrease in UL</t>
  </si>
  <si>
    <t>IDC &amp; Contingencies considered in P&amp;M by the client and not allocated to land</t>
  </si>
  <si>
    <t>CWIP breakup required for year 1 and year 2 to compute IDC and for cash flow calculation</t>
  </si>
  <si>
    <t>Receivables computed on raw materials purchased instead of sales. Working capital computation to be verified.</t>
  </si>
  <si>
    <t>Interst computation done on monthly basis in our model</t>
  </si>
  <si>
    <t>Interest on CC Limit</t>
  </si>
  <si>
    <t>IDC not calculated by client, hard punched figure in cost of project. IDC coming out to be 1760 lakhs instead of 800 lakhs. Consequently, cost of project is increasing beyond 300 Cr.</t>
  </si>
  <si>
    <t>12 Months</t>
  </si>
  <si>
    <t>84 Months</t>
  </si>
  <si>
    <t>Damodaran - Apparel</t>
  </si>
  <si>
    <t>RBI - 10-Year G-Sec Par Yield (FBIL) - 11 Oct 2024</t>
  </si>
  <si>
    <t>Depreciation has been computed under Income Tax Act in our model as against Companies Act</t>
  </si>
  <si>
    <t xml:space="preserve">Raw Materials </t>
  </si>
  <si>
    <t>Utilities</t>
  </si>
  <si>
    <t>Interest on CC Loan</t>
  </si>
  <si>
    <t>Working capital loan and interest computed according to workign capital investment</t>
  </si>
  <si>
    <t>Assumed in year 2</t>
  </si>
  <si>
    <t>550 considered in client model</t>
  </si>
  <si>
    <t>Loan Disbursement has been assumed till FY26</t>
  </si>
  <si>
    <t>Expected sale price of output to be verified</t>
  </si>
  <si>
    <t>Raw material pricing to be verified (specially polyester fabric waste)</t>
  </si>
  <si>
    <t>5. Repair &amp; Maintenance</t>
  </si>
  <si>
    <t>Repair &amp; maintenance expense considered in our model @2% of gross block</t>
  </si>
  <si>
    <t>Operating margins seems to be higher as compared to industry</t>
  </si>
  <si>
    <t>Revenue</t>
  </si>
  <si>
    <t>EBITDA%</t>
  </si>
  <si>
    <t>PAT%</t>
  </si>
  <si>
    <t>FY2024</t>
  </si>
  <si>
    <t>Revalyu Recycling (India) Limited</t>
  </si>
  <si>
    <t>J B Ecotex Limited</t>
  </si>
  <si>
    <t>INR Cr</t>
  </si>
  <si>
    <t>FY2023</t>
  </si>
  <si>
    <t>Revenue per MT</t>
  </si>
  <si>
    <t>Revenue/MT (INR Lakhs)</t>
  </si>
  <si>
    <t>Capacity utilisation</t>
  </si>
  <si>
    <t>90%-98%</t>
  </si>
  <si>
    <t>Birla Cellulose ~8%</t>
  </si>
  <si>
    <t>Specifications for CP Plant</t>
  </si>
  <si>
    <t>Materials</t>
  </si>
  <si>
    <t>Composition (wt. %)</t>
  </si>
  <si>
    <t>Price per Kg</t>
  </si>
  <si>
    <t>Reference</t>
  </si>
  <si>
    <t>Diatomaceous Earth (Celite)</t>
  </si>
  <si>
    <t>Quantity (in Kg)</t>
  </si>
  <si>
    <t>Raw material composition -  error in multiplication</t>
  </si>
  <si>
    <t>Amount (INR per Kg)</t>
  </si>
  <si>
    <t xml:space="preserve">Raw material Cost </t>
  </si>
  <si>
    <t>https://virtuemarketresearch.com/report/recycled-polyester-filament-yarn-market</t>
  </si>
  <si>
    <t>Considered as 750 by the client</t>
  </si>
  <si>
    <t>Interest on CC</t>
  </si>
  <si>
    <t>Application for change of land use</t>
  </si>
  <si>
    <t>PRICE PER KG</t>
  </si>
  <si>
    <t>CR</t>
  </si>
  <si>
    <t>Polymerisation section costing breakup required</t>
  </si>
  <si>
    <t>Quotations received from different vendors including GST  - detail required</t>
  </si>
  <si>
    <t>Quotations for CP plant</t>
  </si>
  <si>
    <t>Main plant cost-quotations for INR 150 Cr whereas we have considered INR 145 Cr</t>
  </si>
  <si>
    <t>Minimum cash balance to be maintained</t>
  </si>
  <si>
    <t>Return @7% pasted</t>
  </si>
  <si>
    <t>Cummulatative Investments pasted</t>
  </si>
  <si>
    <t>DCCO</t>
  </si>
  <si>
    <t>Provision for Tax @ 25.168%(22x1.1x1.04)</t>
  </si>
  <si>
    <t>Returns @ 7% p.a</t>
  </si>
  <si>
    <t>Draw Down Shedule and Interest During Construction</t>
  </si>
  <si>
    <t>Period</t>
  </si>
  <si>
    <t>Amount to be disburse</t>
  </si>
  <si>
    <t>Months</t>
  </si>
  <si>
    <t>Quarter ended June 25</t>
  </si>
  <si>
    <t>Quarter ended Sep 25</t>
  </si>
  <si>
    <t>Quarter ended Dec 25</t>
  </si>
  <si>
    <t>Quarter ended March 26</t>
  </si>
  <si>
    <t>Quarter ended June 26</t>
  </si>
  <si>
    <t>Quarter ended Sep 26</t>
  </si>
  <si>
    <t>Total IDC</t>
  </si>
  <si>
    <t>Other Pre-operative Expenses</t>
  </si>
  <si>
    <t>Total Pre-operative cost estimated</t>
  </si>
  <si>
    <t xml:space="preserve"> #Disbursement for Qtr June/Sep 26 shall be assumed for NFB payments for capital goods and other retention money.</t>
  </si>
  <si>
    <t>01.07.2026</t>
  </si>
  <si>
    <t>3 YEARS</t>
  </si>
  <si>
    <t xml:space="preserve"> (DCCO - 01.07.2026)</t>
  </si>
  <si>
    <t>Considered in factory overheads as per client</t>
  </si>
  <si>
    <t>COD - 01.07.2026</t>
  </si>
  <si>
    <t>July-25 to June-26</t>
  </si>
  <si>
    <t>July-25 to June-27</t>
  </si>
  <si>
    <t>FY2027</t>
  </si>
  <si>
    <t>9 M</t>
  </si>
  <si>
    <t>Calculated for only 3 months as loan repayment is till June 2034</t>
  </si>
  <si>
    <t>150 Cr as per quotations sheet including GST</t>
  </si>
  <si>
    <t>6 Cr in first year of operations, going upto 12 Cr in FY2035</t>
  </si>
  <si>
    <t>DEPRECIATION SCHEDULE AS PER INCOME TAX ACT  (Lakh INR)</t>
  </si>
  <si>
    <t>DEPRECIATION SCHEDULE AS PER COMPANIES ACT  (Lakh INR)</t>
  </si>
  <si>
    <t xml:space="preserve">Total SLM Depreciation </t>
  </si>
  <si>
    <t xml:space="preserve">Less : SLM Depreciation </t>
  </si>
  <si>
    <t>0M</t>
  </si>
  <si>
    <t>9M</t>
  </si>
  <si>
    <t>Tax on Income @ 25.17%</t>
  </si>
  <si>
    <t>Client Comments</t>
  </si>
  <si>
    <t>Raw material expected suppliers (since pilot production is already going on in Filatex)</t>
  </si>
  <si>
    <t>Already considered in our model under various factory overhead and gen admn cost.</t>
  </si>
  <si>
    <t>Interest as principally agreed with banks at 8.80%, however, company has option to convert the same in foreign currency under FCNR-B funds available with bank at a cheaper rate with all in cost at about 7%, thus company can be achieve overall interest cost at about 7.25% (conservative) – but taken on higher side at about 8.80% p.a.</t>
  </si>
  <si>
    <t>based on our model of disbursement including major rupee disbursement in last quarters, accordingly we have taken IDC at Rs. 5.50 crs (maximum as per our previous experience) plus taken as Rs 2.50 crs as other preoperative / preliminary expenses).</t>
  </si>
  <si>
    <t>Need to change in our model to replace with 25.168% ( 22%+10%+4% slab)</t>
  </si>
  <si>
    <t>as land has already purchased and incorporated real value thus need not any more provision under contingencies.</t>
  </si>
  <si>
    <t>CWIP is assumed to be at Rs 50 crs for FY24-25 and be full value of investment by end of FY25-26, as shown in the balance sheet and has already captured in the IDC.</t>
  </si>
  <si>
    <t>need to be corrected, will share the revised working model.</t>
  </si>
  <si>
    <t>interest on working capital is taken as per estimated WC loan be taken from bank</t>
  </si>
  <si>
    <t>need to be disburse during after the DCCO for retentions money for performance of machinery / warranty.</t>
  </si>
  <si>
    <t>please revise according to disbursement estimated by us.</t>
  </si>
  <si>
    <t>We need to incorporate as per Companies Act only, however, deferred tax liabilities is to be shown separately but the same shall be within the overall tax structure / slab of 25.168% (already taking the provision)</t>
  </si>
  <si>
    <t>1. Fabric waste purchased for pilot plant - INR 9.05/kg
2. Downgraded Yarn waste sold from Filatex - INR 22/kg
3. High Quality Yarn Waste sold from Filatex - INR 46/kg</t>
  </si>
  <si>
    <t>Export Data of Revalyu Recycled Chips shared</t>
  </si>
  <si>
    <t>1. JB ecotex and Revalyu are only using bottle waste for their process which is significantly more expensive that textile waste. 
2. Sales price of Revalyu can be verified via export data. We expect similar or higher prices due to better quality end product as well as textile to textile recycling premium.
3. Noone in the Indian industry is doing Textile2Textile recycling. Therefore profitability cannot be compared to existing players. Regulations relating to Extended Producer Responsibility (ERP) will come into force in 27 EU member states from December 2024 and will require manufacturers to take on significant responsibility for the treatment or disposal of post-consumer products. All reputed international brands have expressed firm commitments and readiness to establish a supply chain from recycled products and are willing to pay a substantial price premium for the same.</t>
  </si>
  <si>
    <t>Technical team to provide</t>
  </si>
  <si>
    <t>Technical standards for production</t>
  </si>
  <si>
    <t>Manpower proposal</t>
  </si>
  <si>
    <t>Ganesha Ecosphere Limited</t>
  </si>
  <si>
    <t>Application of RPET chips vs RPET yarn</t>
  </si>
  <si>
    <t>Check input output ratio</t>
  </si>
  <si>
    <t>Please share sale price of Rpet chips from pilot plant</t>
  </si>
  <si>
    <t>Built up area of factory and vacant land</t>
  </si>
  <si>
    <t>Company</t>
  </si>
  <si>
    <t>Capacity (MTPA)</t>
  </si>
  <si>
    <t>Capex per MTPA (Lakhs)</t>
  </si>
  <si>
    <t>Project Details</t>
  </si>
  <si>
    <t>Loop Industries + Esther</t>
  </si>
  <si>
    <t>Manufacturing 100% recycled virgin-quality DMT and MEG monomers using proprietary Infinite Loop technology</t>
  </si>
  <si>
    <t>- 70,000 MT of r-DMT
- 23,000 MT of r-MEG</t>
  </si>
  <si>
    <t>Capex (INR Cr)</t>
  </si>
  <si>
    <t>https://www.indianchemicalnews.com/petro-chemical/ester-industries-and-loop-industries-jv-project-to-set-up-rs-1385-crore-rdmt-and-rmeg-plant-22871</t>
  </si>
  <si>
    <t>Project Location</t>
  </si>
  <si>
    <t>India</t>
  </si>
  <si>
    <t>Syre + Selenis</t>
  </si>
  <si>
    <t>Textile-To-Textile Recycling Plant</t>
  </si>
  <si>
    <t>North Carolina, USA</t>
  </si>
  <si>
    <t>https://www.bizjournals.com/seattle/bizwomen/news/latest-news/2024/03/syre-textile-polyester-recycling-plant.html</t>
  </si>
  <si>
    <t>https://www.selenis.com/news/selenis-syre-form-a-strategic-partnership-to-establish-a-textile-to-textile-recycling-plant-in-north-carolina</t>
  </si>
  <si>
    <t>Carbios</t>
  </si>
  <si>
    <t xml:space="preserve">Manufacturing 100% recycled PET using an enzymatic depolymerization process </t>
  </si>
  <si>
    <t>France</t>
  </si>
  <si>
    <t>- 50,000 MT of r-PET</t>
  </si>
  <si>
    <t>- 10,000 MT of r-PET</t>
  </si>
  <si>
    <t>https://www.carbios.com/en/strategic-update-2023/</t>
  </si>
  <si>
    <t>Company is proposing to use glycolysis process for depolymerization. In costing sheet, why monoethylene glycol (MEG) is taken as NIL.</t>
  </si>
  <si>
    <t>1. Detailed Project Report of the Proposed Waste to Polymer Manufacturing unit in the name of "Texfil Pvt. Ltd." as a 100% subsidiary in Gujrat.</t>
  </si>
  <si>
    <t>2. kindly provide the Information memorandum containing the detailed description about the project along with, Background, proposed capacity, expected capacity utilization &amp; pricing strategies etc.</t>
  </si>
  <si>
    <t>3. Financial Model/Updated CMA of the Project in excel with proper assumptions &amp; Projections.</t>
  </si>
  <si>
    <t>4. Incorporation details of the Company along with organizational structure, MOA, AOA, GST, PAN, TAN etc. and brief write up of historical milestones/Financials or profitability statement (if any).</t>
  </si>
  <si>
    <t>5. Proposed Shareholding Pattern.</t>
  </si>
  <si>
    <t>6. Details of the Directors/Promoters (Name, Age, Qualification, DIN, Experience in the subject Industry).</t>
  </si>
  <si>
    <t>7. List of the Raw material required with ratio, grade and specifications and cost.</t>
  </si>
  <si>
    <t>8. List of the expected suppliers of the raw material (kindly share the agreement/contact etc. if any).</t>
  </si>
  <si>
    <t>9. List of the expected customer-line for By-products.</t>
  </si>
  <si>
    <r>
      <t>10. Information regarding the Current Physical Status of the project </t>
    </r>
    <r>
      <rPr>
        <sz val="12"/>
        <rFont val="Arial"/>
        <family val="2"/>
      </rPr>
      <t>along with current status of utilities (Electricity, water etc.) at the proposed site.</t>
    </r>
  </si>
  <si>
    <t>11. Details of the manufacturing facility/Infrastructures:</t>
  </si>
  <si>
    <r>
      <t>A.</t>
    </r>
    <r>
      <rPr>
        <sz val="12"/>
        <color rgb="FF000000"/>
        <rFont val="Arial"/>
        <family val="2"/>
      </rPr>
      <t>      </t>
    </r>
    <r>
      <rPr>
        <b/>
        <sz val="12"/>
        <color rgb="FF000000"/>
        <rFont val="Arial"/>
        <family val="2"/>
      </rPr>
      <t>Land: </t>
    </r>
  </si>
  <si>
    <t>a)      Total Area of the land used for the project.</t>
  </si>
  <si>
    <t>b)      Layout Plan. </t>
  </si>
  <si>
    <t>c)       Sale/Lease Deed.</t>
  </si>
  <si>
    <t>d)      Current status/utilization of the land.</t>
  </si>
  <si>
    <t>e)      Address of the Unit</t>
  </si>
  <si>
    <r>
      <t>f)       </t>
    </r>
    <r>
      <rPr>
        <sz val="12"/>
        <color rgb="FF222222"/>
        <rFont val="Arial"/>
        <family val="2"/>
      </rPr>
      <t>Google coordinates of the location.</t>
    </r>
  </si>
  <si>
    <r>
      <t>g)      </t>
    </r>
    <r>
      <rPr>
        <sz val="12"/>
        <color rgb="FF222222"/>
        <rFont val="Arial"/>
        <family val="2"/>
      </rPr>
      <t>Attach sale deed.</t>
    </r>
  </si>
  <si>
    <r>
      <t>B.</t>
    </r>
    <r>
      <rPr>
        <sz val="12"/>
        <color rgb="FF000000"/>
        <rFont val="Arial"/>
        <family val="2"/>
      </rPr>
      <t>      </t>
    </r>
    <r>
      <rPr>
        <b/>
        <sz val="12"/>
        <color rgb="FF000000"/>
        <rFont val="Arial"/>
        <family val="2"/>
      </rPr>
      <t>Building and Civil works:</t>
    </r>
  </si>
  <si>
    <t>a)      Total Area proposed for the Building.</t>
  </si>
  <si>
    <t>b)      Layout/ Site plan.</t>
  </si>
  <si>
    <t>c)       Site Map Approval/Sanctioned.</t>
  </si>
  <si>
    <t>d)      Details of the contractor's engaged.</t>
  </si>
  <si>
    <t>e)      Attach agreement with contractor.</t>
  </si>
  <si>
    <r>
      <t>C.</t>
    </r>
    <r>
      <rPr>
        <sz val="12"/>
        <color rgb="FF000000"/>
        <rFont val="Arial"/>
        <family val="2"/>
      </rPr>
      <t>      </t>
    </r>
    <r>
      <rPr>
        <b/>
        <sz val="12"/>
        <color rgb="FF000000"/>
        <rFont val="Arial"/>
        <family val="2"/>
      </rPr>
      <t>Plant &amp; Machinery</t>
    </r>
  </si>
  <si>
    <t>a)      List of proposed equipment as per below heads:</t>
  </si>
  <si>
    <t>·         Serial Number, if any</t>
  </si>
  <si>
    <t>·         Equipment name</t>
  </si>
  <si>
    <t>·         Manufacturer name</t>
  </si>
  <si>
    <t>·         Specification/capacity</t>
  </si>
  <si>
    <t>·         Expected Landed Price</t>
  </si>
  <si>
    <t>·         Current status of the order</t>
  </si>
  <si>
    <t>b)      Kindly Attach Bills/ Invoices/ Purchase Order/ Any agreement with the suppliers/ Quotations.</t>
  </si>
  <si>
    <t>c)      Is Project implemented through any EPC consultant? If yes then Details of the same like Name of the consultant, its website. Attach contract agreement with EPC consultant.</t>
  </si>
  <si>
    <r>
      <t>12. Certificates of statutory approvals obtained and list of statutory approval need to be obtained </t>
    </r>
    <r>
      <rPr>
        <sz val="12"/>
        <rFont val="Arial"/>
        <family val="2"/>
      </rPr>
      <t>(Kindly attach the copy of approvals).</t>
    </r>
  </si>
  <si>
    <t>13. Pricing Strategy of the along with selling, marketing &amp; distribution plan.</t>
  </si>
  <si>
    <t>14. Details of invented/proposed technology along with Intellectual Properties (Patent/Copyright/trademark etc.) registered.</t>
  </si>
  <si>
    <t>15. Completion schedule of the Project (List down high level milestones and to be achieved date, COD).</t>
  </si>
  <si>
    <t>16. Details of proposed manpower (Semi-skilled, skilled, Unskilled) along with proposed salary &amp; wages.</t>
  </si>
  <si>
    <r>
      <t>17. Any market study performed at your end during planning of the product </t>
    </r>
    <r>
      <rPr>
        <sz val="12"/>
        <rFont val="Arial"/>
        <family val="2"/>
      </rPr>
      <t>or any other relevant data for the assignment in your view.</t>
    </r>
  </si>
  <si>
    <t>Query</t>
  </si>
  <si>
    <t>Site Visit Checklist</t>
  </si>
  <si>
    <t xml:space="preserve">Highway connectivity </t>
  </si>
  <si>
    <t>Whether land demarcation has been done</t>
  </si>
  <si>
    <t xml:space="preserve">TranscriptofQ3FY2024EarningsConferenceCall </t>
  </si>
  <si>
    <t>Ganesha Ecosphere realisation &gt; 90 per kg for yarn</t>
  </si>
  <si>
    <t>Pashupati Polytex ~14%</t>
  </si>
  <si>
    <t>Srichakra PolyPlast ~8%</t>
  </si>
  <si>
    <t xml:space="preserve">EBITDA - </t>
  </si>
  <si>
    <t>25 Cr in FY25 and 30 Cr in FY26</t>
  </si>
  <si>
    <t>82% to 85%.</t>
  </si>
  <si>
    <t>MEG is required for depolymerization. It shall be recycled throughout the de-polymerization &amp; re-polymerization process. Cost is very minimal as only process loss ~10% is taken. Thus, Monoethylene Glycol (MEG) is taken as NIL.</t>
  </si>
  <si>
    <t>As per Drawing, total ground coverage shall be 65% i.e. 38,117 sqm. Initially the plant shall be developed on Plot-1 i.e. 27,348 sqm. Plot-2 is left for future development. (Refer to Attached Sheet.)</t>
  </si>
  <si>
    <t xml:space="preserve"> It is Connected via Dahej-Bharuch Highway at a distance of 2 KM.</t>
  </si>
  <si>
    <t>Raw Material shall be procured from different textile industries specially from Surat.</t>
  </si>
  <si>
    <t>As per DPR ~250 Manpower is required. final number shall be confirmed only agter plant commissioning.</t>
  </si>
  <si>
    <t xml:space="preserve">RPET chips used for rPET Yarn production. RPET chips used in Packaging, Fabrics &amp; Textiles, Home Furnishing etc. rPET Yarn is use for Appeals, Textiles, Diapers, Hospital Clothes etc. </t>
  </si>
  <si>
    <t>Land is not demarcated yet. It is water logged. Land filling is required.</t>
  </si>
  <si>
    <t>Any difference in production process of Rpet yarn vs rpet chips</t>
  </si>
  <si>
    <t>PET chips are made from a polyester resin, while PET yarn is made from molten polymer or PET chips</t>
  </si>
  <si>
    <t>Deferred Tax Asset/(Liability)</t>
  </si>
  <si>
    <t>Less: Deferred Tax</t>
  </si>
  <si>
    <t>Less : Current Tax</t>
  </si>
  <si>
    <t>Deferred Tax</t>
  </si>
  <si>
    <t>Add: Deferred Tax</t>
  </si>
  <si>
    <t>Tax Calulation - EBIT</t>
  </si>
  <si>
    <t>Provided</t>
  </si>
  <si>
    <t xml:space="preserve">Freight </t>
  </si>
  <si>
    <t>Ins.</t>
  </si>
  <si>
    <t>Packing &amp; Forw. Charges</t>
  </si>
  <si>
    <t>https://m.indiamart.com/proddetail/polyester-fabric-waste-2852854024362.html</t>
  </si>
  <si>
    <t>https://www.tradeindia.com/products/activated-granular-carbon-5808823.html</t>
  </si>
  <si>
    <t>https://www.siliconactivatedcarbon.com/diatomite-filter-aid.html</t>
  </si>
  <si>
    <t>https://dir.indiamart.com/impcat/zinc-acetate-dihydrate.html</t>
  </si>
  <si>
    <t>Deferred Tax Liability</t>
  </si>
  <si>
    <t>https://www.indiamart.com/proddetail/activated-carbon-pellets-2245966697.html</t>
  </si>
  <si>
    <t>Raw material Cost per Kg of Recycled Polyester Chips</t>
  </si>
  <si>
    <t>PET Cloth Waste (including process loss)</t>
  </si>
  <si>
    <t>Mono Ethylene Glycol (MEG)</t>
  </si>
  <si>
    <t>De-poly Catalyst (consumables)</t>
  </si>
  <si>
    <t>Diatomaceous Earth (Consumables)</t>
  </si>
  <si>
    <t>MOF e.g. Activated Carbon (Consumables)</t>
  </si>
  <si>
    <t>De-poly Catalyst (Catalyst Zinc Acetate)</t>
  </si>
  <si>
    <t>MOF (Activated Carbon)</t>
  </si>
  <si>
    <t>https://www.indiamart.com/proddetail/mono-ethylene-glycol-2384861491.html?srsltid=AfmBOorLEucvIYpus47e9rrbGPt4_9qT_n7lv3N-R7uA7QzYw2-biTBj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</si>
</sst>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64" formatCode="_(* #,##0.00_);_(* \(#,##0.00\);_(* &quot;-&quot;??_);_(@_)"/>
    <numFmt numFmtId="165" formatCode="0.0"/>
    <numFmt numFmtId="166" formatCode="&quot;₹&quot;\ #,##0.00"/>
    <numFmt numFmtId="167" formatCode="&quot;₹&quot;\ #,##0"/>
    <numFmt numFmtId="168" formatCode="[$₹-439]#,##0"/>
    <numFmt numFmtId="169" formatCode="_(* #,##0_);_(* \(#,##0\);_(* &quot;-&quot;??_);_(@_)"/>
    <numFmt numFmtId="170" formatCode="0.0%"/>
    <numFmt numFmtId="171" formatCode="&quot;₹&quot;#,##0.00"/>
    <numFmt numFmtId="172" formatCode="0.00_);\(0.00\)"/>
    <numFmt numFmtId="173" formatCode="_ * #,##0_ ;_ * \-#,##0_ ;_ * &quot;-&quot;??_ ;_ @_ "/>
    <numFmt numFmtId="174" formatCode="0.000%"/>
    <numFmt numFmtId="175" formatCode="0.0_);\(0.0\)"/>
    <numFmt numFmtId="176" formatCode="#,##0.0"/>
    <numFmt numFmtId="177" formatCode="0;[Red]0"/>
    <numFmt numFmtId="178" formatCode="&quot;₹&quot;\ #,##0.000"/>
    <numFmt numFmtId="179" formatCode="&quot;FY&quot;\ 0"/>
    <numFmt numFmtId="180" formatCode="_(* #,##0.0_);_(* \(#,##0.0\);_(* &quot;-&quot;??_);_(@_)"/>
    <numFmt numFmtId="181" formatCode="_(* #,##0.0000_);_(* \(#,##0.0000\);_(* &quot;-&quot;??_);_(@_)"/>
    <numFmt numFmtId="182" formatCode="0.0000"/>
    <numFmt numFmtId="183" formatCode="0.000"/>
    <numFmt numFmtId="184" formatCode="_ * #,##0.0000_ ;_ * \-#,##0.0000_ ;_ * &quot;-&quot;??_ ;_ @_ "/>
    <numFmt numFmtId="185" formatCode="_ * #,##0_ ;_ * \-#,##0_ ;_ * &quot;-&quot;????_ ;_ @_ "/>
    <numFmt numFmtId="186" formatCode="[$-F800]dddd\,\ mmmm\ dd\,\ yyyy"/>
  </numFmts>
  <fonts count="83" x14ac:knownFonts="1">
    <font>
      <sz val="11"/>
      <color theme="1"/>
      <name val="Calibri"/>
      <family val="2"/>
      <scheme val="minor"/>
    </font>
    <font>
      <sz val="11"/>
      <color theme="1"/>
      <name val="Times New Roman"/>
      <family val="1"/>
    </font>
    <font>
      <b/>
      <sz val="11"/>
      <color theme="1"/>
      <name val="Calibri"/>
      <family val="2"/>
      <scheme val="minor"/>
    </font>
    <font>
      <sz val="12"/>
      <color theme="1"/>
      <name val="Times New Roman"/>
      <family val="1"/>
    </font>
    <font>
      <sz val="12"/>
      <color theme="1"/>
      <name val="Calibri"/>
      <family val="2"/>
      <scheme val="minor"/>
    </font>
    <font>
      <b/>
      <sz val="12"/>
      <color theme="1"/>
      <name val="Times New Roman"/>
      <family val="1"/>
    </font>
    <font>
      <b/>
      <sz val="12"/>
      <color theme="1"/>
      <name val="Calibri"/>
      <family val="2"/>
      <scheme val="minor"/>
    </font>
    <font>
      <b/>
      <sz val="14"/>
      <color theme="1"/>
      <name val="Times New Roman"/>
      <family val="1"/>
    </font>
    <font>
      <b/>
      <sz val="11"/>
      <color theme="1"/>
      <name val="Times New Roman"/>
      <family val="1"/>
    </font>
    <font>
      <sz val="12"/>
      <color rgb="FF000000"/>
      <name val="Times New Roman"/>
      <family val="1"/>
    </font>
    <font>
      <sz val="11"/>
      <color theme="1"/>
      <name val="Calibri"/>
      <family val="2"/>
      <scheme val="minor"/>
    </font>
    <font>
      <sz val="10"/>
      <name val="Arial"/>
      <family val="2"/>
    </font>
    <font>
      <b/>
      <sz val="10"/>
      <name val="Arial"/>
      <family val="2"/>
    </font>
    <font>
      <sz val="10"/>
      <name val="Arial"/>
      <family val="2"/>
    </font>
    <font>
      <sz val="11"/>
      <color theme="1"/>
      <name val="Calibri"/>
      <family val="2"/>
    </font>
    <font>
      <b/>
      <sz val="11"/>
      <color theme="1"/>
      <name val="Calibri"/>
      <family val="2"/>
    </font>
    <font>
      <b/>
      <sz val="11"/>
      <color rgb="FF000000"/>
      <name val="Calibri"/>
      <family val="2"/>
    </font>
    <font>
      <sz val="11"/>
      <color rgb="FF000000"/>
      <name val="Calibri"/>
      <family val="2"/>
    </font>
    <font>
      <b/>
      <sz val="11"/>
      <color theme="0"/>
      <name val="Calibri"/>
      <family val="2"/>
    </font>
    <font>
      <b/>
      <sz val="12"/>
      <color rgb="FFC00000"/>
      <name val="Calibri"/>
      <family val="2"/>
    </font>
    <font>
      <b/>
      <sz val="11"/>
      <name val="Calibri"/>
      <family val="2"/>
    </font>
    <font>
      <b/>
      <sz val="11"/>
      <color rgb="FFC00000"/>
      <name val="Calibri"/>
      <family val="2"/>
    </font>
    <font>
      <sz val="11"/>
      <color theme="0"/>
      <name val="Calibri"/>
      <family val="2"/>
    </font>
    <font>
      <sz val="11"/>
      <name val="Calibri"/>
      <family val="2"/>
    </font>
    <font>
      <sz val="11"/>
      <color rgb="FFC00000"/>
      <name val="Calibri"/>
      <family val="2"/>
    </font>
    <font>
      <sz val="11"/>
      <color rgb="FFFF0000"/>
      <name val="Calibri"/>
      <family val="2"/>
    </font>
    <font>
      <b/>
      <sz val="11"/>
      <color indexed="12"/>
      <name val="Calibri"/>
      <family val="2"/>
    </font>
    <font>
      <b/>
      <i/>
      <sz val="11"/>
      <color theme="1"/>
      <name val="Calibri"/>
      <family val="2"/>
    </font>
    <font>
      <sz val="11"/>
      <name val="Calibri"/>
      <family val="2"/>
      <scheme val="minor"/>
    </font>
    <font>
      <i/>
      <sz val="11"/>
      <color theme="1"/>
      <name val="Calibri"/>
      <family val="2"/>
    </font>
    <font>
      <b/>
      <sz val="11"/>
      <color theme="0"/>
      <name val="Calibri"/>
      <family val="2"/>
      <scheme val="minor"/>
    </font>
    <font>
      <u/>
      <sz val="11"/>
      <color theme="10"/>
      <name val="Calibri"/>
      <family val="2"/>
      <scheme val="minor"/>
    </font>
    <font>
      <b/>
      <sz val="10"/>
      <color theme="0"/>
      <name val="Calibri"/>
      <family val="2"/>
    </font>
    <font>
      <sz val="10"/>
      <name val="Calibri"/>
      <family val="2"/>
    </font>
    <font>
      <sz val="11"/>
      <color theme="1"/>
      <name val="Times New Roman"/>
      <family val="2"/>
    </font>
    <font>
      <b/>
      <u/>
      <sz val="10"/>
      <name val="Calibri"/>
      <family val="2"/>
    </font>
    <font>
      <i/>
      <sz val="10"/>
      <color rgb="FFFF0000"/>
      <name val="Calibri"/>
      <family val="2"/>
    </font>
    <font>
      <i/>
      <sz val="10"/>
      <name val="Calibri"/>
      <family val="2"/>
    </font>
    <font>
      <b/>
      <sz val="10"/>
      <name val="Calibri"/>
      <family val="2"/>
    </font>
    <font>
      <b/>
      <sz val="11"/>
      <color rgb="FFFF0000"/>
      <name val="Calibri"/>
      <family val="2"/>
    </font>
    <font>
      <b/>
      <sz val="26"/>
      <name val="Arial"/>
      <family val="2"/>
    </font>
    <font>
      <b/>
      <sz val="20"/>
      <name val="Arial"/>
      <family val="2"/>
    </font>
    <font>
      <u/>
      <sz val="10"/>
      <name val="Arial"/>
      <family val="2"/>
    </font>
    <font>
      <b/>
      <u/>
      <sz val="10"/>
      <name val="Arial"/>
      <family val="2"/>
    </font>
    <font>
      <b/>
      <sz val="11"/>
      <name val="Times New Roman"/>
      <family val="1"/>
    </font>
    <font>
      <sz val="11"/>
      <name val="Times New Roman"/>
      <family val="1"/>
    </font>
    <font>
      <sz val="10"/>
      <color rgb="FFFF0000"/>
      <name val="Arial"/>
      <family val="2"/>
    </font>
    <font>
      <b/>
      <sz val="10"/>
      <color rgb="FFFF0000"/>
      <name val="Arial"/>
      <family val="2"/>
    </font>
    <font>
      <b/>
      <u/>
      <sz val="10"/>
      <color rgb="FFFF0000"/>
      <name val="Arial"/>
      <family val="2"/>
    </font>
    <font>
      <sz val="10"/>
      <color theme="1"/>
      <name val="Arial"/>
      <family val="2"/>
    </font>
    <font>
      <b/>
      <sz val="11"/>
      <name val="Arial"/>
      <family val="2"/>
    </font>
    <font>
      <sz val="11"/>
      <name val="Arial"/>
      <family val="2"/>
    </font>
    <font>
      <b/>
      <u/>
      <sz val="11"/>
      <name val="Arial"/>
      <family val="2"/>
    </font>
    <font>
      <sz val="9"/>
      <name val="Arial"/>
      <family val="2"/>
    </font>
    <font>
      <b/>
      <sz val="9"/>
      <name val="Arial"/>
      <family val="2"/>
    </font>
    <font>
      <u/>
      <sz val="11"/>
      <name val="Arial"/>
      <family val="2"/>
    </font>
    <font>
      <b/>
      <sz val="11"/>
      <color indexed="48"/>
      <name val="Arial"/>
      <family val="2"/>
    </font>
    <font>
      <sz val="11"/>
      <color rgb="FFFF0000"/>
      <name val="Arial"/>
      <family val="2"/>
    </font>
    <font>
      <sz val="10"/>
      <name val="Garamond"/>
      <family val="1"/>
    </font>
    <font>
      <b/>
      <sz val="10"/>
      <name val="Verdana"/>
      <family val="2"/>
    </font>
    <font>
      <b/>
      <sz val="12"/>
      <name val="Arial"/>
      <family val="2"/>
    </font>
    <font>
      <sz val="10"/>
      <color indexed="10"/>
      <name val="Arial"/>
      <family val="2"/>
    </font>
    <font>
      <b/>
      <u val="singleAccounting"/>
      <sz val="10"/>
      <name val="Arial"/>
      <family val="2"/>
    </font>
    <font>
      <b/>
      <sz val="8"/>
      <color indexed="81"/>
      <name val="Tahoma"/>
      <family val="2"/>
    </font>
    <font>
      <sz val="8"/>
      <color indexed="81"/>
      <name val="Tahoma"/>
      <family val="2"/>
    </font>
    <font>
      <b/>
      <sz val="16"/>
      <name val="Arial"/>
      <family val="2"/>
    </font>
    <font>
      <b/>
      <u/>
      <sz val="12"/>
      <name val="Arial"/>
      <family val="2"/>
    </font>
    <font>
      <b/>
      <sz val="14"/>
      <name val="Arial"/>
      <family val="2"/>
    </font>
    <font>
      <sz val="12"/>
      <name val="Arial"/>
      <family val="2"/>
    </font>
    <font>
      <sz val="10"/>
      <color indexed="10"/>
      <name val="Calibri"/>
      <family val="2"/>
    </font>
    <font>
      <sz val="10.6"/>
      <color indexed="10"/>
      <name val="Arial"/>
      <family val="2"/>
    </font>
    <font>
      <sz val="14"/>
      <name val="Arial"/>
      <family val="2"/>
    </font>
    <font>
      <sz val="9"/>
      <color indexed="81"/>
      <name val="Tahoma"/>
      <family val="2"/>
    </font>
    <font>
      <sz val="14"/>
      <name val="Calibri"/>
      <family val="2"/>
    </font>
    <font>
      <b/>
      <sz val="14"/>
      <color theme="1"/>
      <name val="Calibri"/>
      <family val="2"/>
      <scheme val="minor"/>
    </font>
    <font>
      <b/>
      <sz val="11"/>
      <name val="Calibri"/>
      <family val="2"/>
      <scheme val="minor"/>
    </font>
    <font>
      <sz val="11"/>
      <color rgb="FFFF0000"/>
      <name val="Calibri"/>
      <family val="2"/>
      <scheme val="minor"/>
    </font>
    <font>
      <sz val="8"/>
      <name val="Arial"/>
      <family val="2"/>
    </font>
    <font>
      <b/>
      <sz val="11"/>
      <color rgb="FFFFFFFF"/>
      <name val="Calibri"/>
      <family val="2"/>
    </font>
    <font>
      <sz val="12"/>
      <color rgb="FF000000"/>
      <name val="Arial"/>
      <family val="2"/>
    </font>
    <font>
      <b/>
      <sz val="12"/>
      <color rgb="FF000000"/>
      <name val="Arial"/>
      <family val="2"/>
    </font>
    <font>
      <sz val="12"/>
      <color rgb="FF222222"/>
      <name val="Arial"/>
      <family val="2"/>
    </font>
    <font>
      <b/>
      <u/>
      <sz val="12"/>
      <color rgb="FF000000"/>
      <name val="Arial"/>
      <family val="2"/>
    </font>
  </fonts>
  <fills count="27">
    <fill>
      <patternFill patternType="none"/>
    </fill>
    <fill>
      <patternFill patternType="gray125"/>
    </fill>
    <fill>
      <patternFill patternType="solid">
        <fgColor indexed="9"/>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22"/>
        <bgColor indexed="64"/>
      </patternFill>
    </fill>
    <fill>
      <patternFill patternType="solid">
        <fgColor theme="3" tint="0.79998168889431442"/>
        <bgColor indexed="64"/>
      </patternFill>
    </fill>
    <fill>
      <patternFill patternType="solid">
        <fgColor rgb="FF002060"/>
        <bgColor indexed="64"/>
      </patternFill>
    </fill>
    <fill>
      <patternFill patternType="solid">
        <fgColor theme="3"/>
        <bgColor indexed="64"/>
      </patternFill>
    </fill>
    <fill>
      <patternFill patternType="solid">
        <fgColor theme="0"/>
        <bgColor indexed="64"/>
      </patternFill>
    </fill>
    <fill>
      <patternFill patternType="solid">
        <fgColor rgb="FF01274E"/>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BE5F1"/>
        <bgColor indexed="64"/>
      </patternFill>
    </fill>
    <fill>
      <patternFill patternType="solid">
        <fgColor theme="3" tint="0.59999389629810485"/>
        <bgColor indexed="64"/>
      </patternFill>
    </fill>
    <fill>
      <patternFill patternType="solid">
        <fgColor indexed="13"/>
        <bgColor indexed="64"/>
      </patternFill>
    </fill>
    <fill>
      <patternFill patternType="solid">
        <fgColor theme="7"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theme="8"/>
        <bgColor indexed="64"/>
      </patternFill>
    </fill>
    <fill>
      <patternFill patternType="solid">
        <fgColor rgb="FFFFFFFF"/>
        <bgColor indexed="64"/>
      </patternFill>
    </fill>
    <fill>
      <patternFill patternType="solid">
        <fgColor theme="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13">
    <xf numFmtId="0" fontId="0" fillId="0" borderId="0"/>
    <xf numFmtId="9" fontId="10" fillId="0" borderId="0" applyFont="0" applyFill="0" applyBorder="0" applyAlignment="0" applyProtection="0"/>
    <xf numFmtId="0" fontId="11" fillId="0" borderId="0"/>
    <xf numFmtId="9" fontId="11" fillId="0" borderId="0" applyFont="0" applyFill="0" applyBorder="0" applyAlignment="0" applyProtection="0"/>
    <xf numFmtId="165" fontId="10" fillId="0" borderId="0" applyFont="0" applyFill="0" applyBorder="0" applyAlignment="0" applyProtection="0"/>
    <xf numFmtId="0" fontId="13" fillId="0" borderId="0"/>
    <xf numFmtId="43" fontId="10" fillId="0" borderId="0" applyFont="0" applyFill="0" applyBorder="0" applyAlignment="0" applyProtection="0"/>
    <xf numFmtId="0" fontId="11" fillId="0" borderId="0"/>
    <xf numFmtId="0" fontId="31" fillId="0" borderId="0" applyNumberFormat="0" applyFill="0" applyBorder="0" applyAlignment="0" applyProtection="0"/>
    <xf numFmtId="0" fontId="11" fillId="0" borderId="0"/>
    <xf numFmtId="0" fontId="34" fillId="0" borderId="0"/>
    <xf numFmtId="164" fontId="11" fillId="0" borderId="0" applyFont="0" applyFill="0" applyBorder="0" applyAlignment="0" applyProtection="0"/>
    <xf numFmtId="43" fontId="10" fillId="0" borderId="0" applyFont="0" applyFill="0" applyBorder="0" applyAlignment="0" applyProtection="0"/>
  </cellStyleXfs>
  <cellXfs count="1133">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alignment vertical="center"/>
    </xf>
    <xf numFmtId="0" fontId="8" fillId="0" borderId="0" xfId="0" applyFont="1" applyAlignment="1">
      <alignment horizontal="center" vertical="center" wrapText="1"/>
    </xf>
    <xf numFmtId="0" fontId="1" fillId="0" borderId="0" xfId="0" applyFont="1" applyAlignment="1">
      <alignment horizontal="left" vertical="center" wrapText="1"/>
    </xf>
    <xf numFmtId="0" fontId="8" fillId="0" borderId="0" xfId="0" applyFont="1" applyAlignment="1">
      <alignment horizontal="center" vertical="center"/>
    </xf>
    <xf numFmtId="0" fontId="1" fillId="0" borderId="1" xfId="0" applyFont="1" applyBorder="1"/>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0" fillId="0" borderId="0" xfId="0" applyAlignment="1">
      <alignment horizontal="center"/>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3" fontId="8" fillId="0" borderId="0" xfId="0" applyNumberFormat="1" applyFont="1" applyAlignment="1">
      <alignment horizontal="right" vertical="center"/>
    </xf>
    <xf numFmtId="0" fontId="5"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xf>
    <xf numFmtId="0" fontId="9" fillId="0" borderId="1" xfId="0" applyFont="1" applyBorder="1" applyAlignment="1">
      <alignment horizontal="center" vertical="center"/>
    </xf>
    <xf numFmtId="2" fontId="0" fillId="0" borderId="0" xfId="0" applyNumberFormat="1"/>
    <xf numFmtId="0" fontId="0" fillId="0" borderId="1" xfId="0" applyBorder="1"/>
    <xf numFmtId="9" fontId="0" fillId="0" borderId="1" xfId="0" applyNumberFormat="1" applyBorder="1"/>
    <xf numFmtId="2" fontId="0" fillId="0" borderId="1" xfId="0" applyNumberFormat="1" applyBorder="1"/>
    <xf numFmtId="0" fontId="3" fillId="0" borderId="1" xfId="0" applyFont="1" applyBorder="1" applyAlignment="1">
      <alignment horizontal="left" wrapText="1"/>
    </xf>
    <xf numFmtId="0" fontId="1" fillId="0" borderId="1" xfId="0" applyFont="1" applyBorder="1" applyAlignment="1">
      <alignment horizontal="left" vertical="center" wrapText="1" indent="1"/>
    </xf>
    <xf numFmtId="0" fontId="3" fillId="0" borderId="0" xfId="0" applyFont="1" applyAlignment="1">
      <alignment vertical="center"/>
    </xf>
    <xf numFmtId="0" fontId="3" fillId="0" borderId="0" xfId="0" applyFont="1" applyAlignment="1">
      <alignment horizontal="center" vertical="center"/>
    </xf>
    <xf numFmtId="4" fontId="1" fillId="0" borderId="1" xfId="0" applyNumberFormat="1" applyFont="1" applyBorder="1" applyAlignment="1">
      <alignment vertical="center"/>
    </xf>
    <xf numFmtId="2" fontId="1" fillId="0" borderId="1" xfId="0" applyNumberFormat="1" applyFont="1" applyBorder="1" applyAlignment="1">
      <alignment vertical="center"/>
    </xf>
    <xf numFmtId="2" fontId="8" fillId="0" borderId="1" xfId="0" applyNumberFormat="1" applyFont="1" applyBorder="1" applyAlignment="1">
      <alignment vertical="center"/>
    </xf>
    <xf numFmtId="4" fontId="8" fillId="0" borderId="1" xfId="0" applyNumberFormat="1"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indent="5"/>
    </xf>
    <xf numFmtId="3" fontId="3" fillId="0" borderId="1" xfId="0" applyNumberFormat="1" applyFont="1" applyBorder="1" applyAlignment="1">
      <alignment horizontal="right" vertical="center" indent="1"/>
    </xf>
    <xf numFmtId="3" fontId="5" fillId="0" borderId="1" xfId="0" applyNumberFormat="1" applyFont="1" applyBorder="1" applyAlignment="1">
      <alignment horizontal="right" vertical="center" indent="1"/>
    </xf>
    <xf numFmtId="1" fontId="0" fillId="0" borderId="1" xfId="0" applyNumberFormat="1" applyBorder="1"/>
    <xf numFmtId="1" fontId="0" fillId="0" borderId="1" xfId="0" applyNumberFormat="1" applyBorder="1" applyAlignment="1">
      <alignment horizontal="center"/>
    </xf>
    <xf numFmtId="0" fontId="12" fillId="2" borderId="1" xfId="5" applyFont="1" applyFill="1" applyBorder="1" applyAlignment="1">
      <alignment vertical="center"/>
    </xf>
    <xf numFmtId="9" fontId="8" fillId="0" borderId="1" xfId="1" applyFont="1" applyBorder="1" applyAlignment="1">
      <alignment vertical="center"/>
    </xf>
    <xf numFmtId="10" fontId="2" fillId="0" borderId="1" xfId="0" applyNumberFormat="1" applyFont="1" applyBorder="1"/>
    <xf numFmtId="0" fontId="14" fillId="0" borderId="0" xfId="0" applyFont="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3" fontId="14" fillId="0" borderId="0" xfId="0" applyNumberFormat="1" applyFont="1" applyAlignment="1">
      <alignment horizontal="center" vertical="center"/>
    </xf>
    <xf numFmtId="3" fontId="15" fillId="0" borderId="0" xfId="0" applyNumberFormat="1" applyFont="1" applyAlignment="1">
      <alignment horizontal="right" vertical="center"/>
    </xf>
    <xf numFmtId="0" fontId="15" fillId="0" borderId="0" xfId="0" applyFont="1" applyAlignment="1">
      <alignment horizontal="left" vertical="center" wrapText="1"/>
    </xf>
    <xf numFmtId="0" fontId="14" fillId="0" borderId="0" xfId="0" applyFont="1" applyAlignment="1">
      <alignment horizontal="left" vertical="center"/>
    </xf>
    <xf numFmtId="3" fontId="15" fillId="0" borderId="0" xfId="0" applyNumberFormat="1" applyFont="1" applyAlignment="1">
      <alignment horizontal="center" vertical="center"/>
    </xf>
    <xf numFmtId="0" fontId="14" fillId="0" borderId="0" xfId="0" applyFont="1" applyAlignment="1">
      <alignment vertical="center" wrapText="1"/>
    </xf>
    <xf numFmtId="1" fontId="14" fillId="0" borderId="0" xfId="0" applyNumberFormat="1" applyFont="1" applyAlignment="1">
      <alignment horizontal="center" vertical="center"/>
    </xf>
    <xf numFmtId="166" fontId="15" fillId="0" borderId="0" xfId="0" applyNumberFormat="1" applyFont="1" applyAlignment="1">
      <alignment horizontal="center" vertical="center"/>
    </xf>
    <xf numFmtId="0" fontId="16" fillId="0" borderId="0" xfId="0" applyFont="1" applyAlignment="1">
      <alignment horizontal="left" vertical="center" wrapText="1"/>
    </xf>
    <xf numFmtId="0" fontId="17"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top"/>
    </xf>
    <xf numFmtId="171" fontId="15" fillId="0" borderId="0" xfId="0" applyNumberFormat="1" applyFont="1" applyAlignment="1">
      <alignment horizontal="center" vertical="center"/>
    </xf>
    <xf numFmtId="9" fontId="14" fillId="0" borderId="0" xfId="0" applyNumberFormat="1" applyFont="1" applyAlignment="1">
      <alignment horizontal="center" vertical="center"/>
    </xf>
    <xf numFmtId="10" fontId="14" fillId="0" borderId="0" xfId="0" applyNumberFormat="1"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vertical="center"/>
    </xf>
    <xf numFmtId="38" fontId="14" fillId="0" borderId="0" xfId="0" applyNumberFormat="1" applyFont="1" applyAlignment="1">
      <alignment horizontal="center" vertical="center"/>
    </xf>
    <xf numFmtId="0" fontId="15" fillId="0" borderId="0" xfId="0" applyFont="1" applyAlignment="1">
      <alignment horizontal="center" wrapText="1"/>
    </xf>
    <xf numFmtId="168" fontId="15" fillId="0" borderId="0" xfId="0" applyNumberFormat="1" applyFont="1" applyAlignment="1">
      <alignment horizontal="center" vertical="center"/>
    </xf>
    <xf numFmtId="167" fontId="14" fillId="0" borderId="0" xfId="0" applyNumberFormat="1" applyFont="1" applyAlignment="1">
      <alignment horizontal="center" vertical="center"/>
    </xf>
    <xf numFmtId="167" fontId="15" fillId="0" borderId="0" xfId="0" applyNumberFormat="1" applyFont="1" applyAlignment="1">
      <alignment horizontal="center" vertical="center"/>
    </xf>
    <xf numFmtId="0" fontId="18" fillId="10" borderId="0" xfId="0" applyFont="1" applyFill="1" applyAlignment="1">
      <alignment horizontal="center" wrapText="1"/>
    </xf>
    <xf numFmtId="0" fontId="15" fillId="9" borderId="0" xfId="0" applyFont="1" applyFill="1" applyAlignment="1">
      <alignment horizontal="center" vertical="center"/>
    </xf>
    <xf numFmtId="0" fontId="15" fillId="9" borderId="0" xfId="0" applyFont="1" applyFill="1" applyAlignment="1">
      <alignment horizontal="center" vertical="center" wrapText="1"/>
    </xf>
    <xf numFmtId="0" fontId="14" fillId="9" borderId="0" xfId="0" applyFont="1" applyFill="1" applyAlignment="1">
      <alignment horizontal="center" vertical="center"/>
    </xf>
    <xf numFmtId="0" fontId="15" fillId="0" borderId="2" xfId="0" applyFont="1" applyBorder="1" applyAlignment="1">
      <alignment horizontal="center" vertical="center"/>
    </xf>
    <xf numFmtId="0" fontId="14" fillId="0" borderId="2" xfId="0" applyFont="1" applyBorder="1" applyAlignment="1">
      <alignment horizontal="left" vertical="center" wrapText="1"/>
    </xf>
    <xf numFmtId="166" fontId="15" fillId="0" borderId="2" xfId="0" applyNumberFormat="1" applyFont="1" applyBorder="1" applyAlignment="1">
      <alignment horizontal="center" vertical="center"/>
    </xf>
    <xf numFmtId="0" fontId="15" fillId="9" borderId="2" xfId="0" applyFont="1" applyFill="1" applyBorder="1" applyAlignment="1">
      <alignment horizontal="center" vertical="center"/>
    </xf>
    <xf numFmtId="0" fontId="15" fillId="9" borderId="2" xfId="0" applyFont="1" applyFill="1" applyBorder="1" applyAlignment="1">
      <alignment horizontal="center" vertical="center" wrapText="1"/>
    </xf>
    <xf numFmtId="166" fontId="15" fillId="9" borderId="2" xfId="0" applyNumberFormat="1" applyFont="1" applyFill="1" applyBorder="1" applyAlignment="1">
      <alignment horizontal="center" vertical="center"/>
    </xf>
    <xf numFmtId="0" fontId="15" fillId="0" borderId="2" xfId="0" applyFont="1" applyBorder="1" applyAlignment="1">
      <alignment horizontal="center" vertical="center" wrapText="1"/>
    </xf>
    <xf numFmtId="3" fontId="15"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left" vertical="center" wrapText="1"/>
    </xf>
    <xf numFmtId="3" fontId="15" fillId="0" borderId="2" xfId="0" applyNumberFormat="1" applyFont="1" applyBorder="1" applyAlignment="1">
      <alignment horizontal="right" vertical="center"/>
    </xf>
    <xf numFmtId="3" fontId="14" fillId="0" borderId="2" xfId="0" applyNumberFormat="1" applyFont="1" applyBorder="1" applyAlignment="1">
      <alignment horizontal="center" vertical="center"/>
    </xf>
    <xf numFmtId="168" fontId="15" fillId="0" borderId="2" xfId="0" applyNumberFormat="1" applyFont="1" applyBorder="1" applyAlignment="1">
      <alignment horizontal="center" vertical="center"/>
    </xf>
    <xf numFmtId="0" fontId="14" fillId="0" borderId="2" xfId="0" applyFont="1" applyBorder="1" applyAlignment="1">
      <alignment horizontal="center" vertical="center" wrapText="1"/>
    </xf>
    <xf numFmtId="0" fontId="15" fillId="9" borderId="2" xfId="0" applyFont="1" applyFill="1" applyBorder="1" applyAlignment="1">
      <alignment horizontal="left" vertical="center" wrapText="1"/>
    </xf>
    <xf numFmtId="3" fontId="14" fillId="9" borderId="2" xfId="0" applyNumberFormat="1" applyFont="1" applyFill="1" applyBorder="1" applyAlignment="1">
      <alignment horizontal="center" vertical="center"/>
    </xf>
    <xf numFmtId="167" fontId="15" fillId="9" borderId="2" xfId="0" applyNumberFormat="1" applyFont="1" applyFill="1" applyBorder="1" applyAlignment="1">
      <alignment horizontal="center" vertical="center"/>
    </xf>
    <xf numFmtId="0" fontId="15" fillId="9" borderId="2" xfId="0" applyFont="1" applyFill="1" applyBorder="1" applyAlignment="1">
      <alignment vertical="center" wrapText="1"/>
    </xf>
    <xf numFmtId="0" fontId="15" fillId="9" borderId="2" xfId="0" applyFont="1" applyFill="1" applyBorder="1" applyAlignment="1">
      <alignment vertical="center"/>
    </xf>
    <xf numFmtId="0" fontId="18" fillId="10" borderId="0" xfId="0" applyFont="1" applyFill="1" applyAlignment="1">
      <alignment horizontal="center" vertical="center"/>
    </xf>
    <xf numFmtId="0" fontId="18" fillId="10" borderId="0" xfId="0" applyFont="1" applyFill="1" applyAlignment="1">
      <alignment horizontal="center" vertical="center" wrapText="1"/>
    </xf>
    <xf numFmtId="167" fontId="18" fillId="10" borderId="0" xfId="0" applyNumberFormat="1" applyFont="1" applyFill="1" applyAlignment="1">
      <alignment horizontal="center" vertical="center"/>
    </xf>
    <xf numFmtId="0" fontId="14" fillId="0" borderId="0" xfId="0" applyFont="1"/>
    <xf numFmtId="0" fontId="14" fillId="0" borderId="0" xfId="0" applyFont="1" applyAlignment="1">
      <alignment vertical="center"/>
    </xf>
    <xf numFmtId="2" fontId="14" fillId="0" borderId="0" xfId="0" applyNumberFormat="1" applyFont="1" applyAlignment="1">
      <alignment vertical="center"/>
    </xf>
    <xf numFmtId="9" fontId="14" fillId="0" borderId="0" xfId="1" applyFont="1" applyBorder="1" applyAlignment="1">
      <alignment vertical="center"/>
    </xf>
    <xf numFmtId="2" fontId="14" fillId="0" borderId="0" xfId="0" applyNumberFormat="1" applyFont="1" applyAlignment="1">
      <alignment horizontal="center" vertical="center"/>
    </xf>
    <xf numFmtId="0" fontId="14" fillId="0" borderId="0" xfId="0" applyFont="1" applyAlignment="1">
      <alignment wrapText="1"/>
    </xf>
    <xf numFmtId="0" fontId="14" fillId="0" borderId="0" xfId="0" applyFont="1" applyAlignment="1">
      <alignment horizontal="center" wrapText="1"/>
    </xf>
    <xf numFmtId="0" fontId="15" fillId="9" borderId="0" xfId="0" applyFont="1" applyFill="1" applyAlignment="1">
      <alignment vertical="center"/>
    </xf>
    <xf numFmtId="166" fontId="14" fillId="9" borderId="0" xfId="0" applyNumberFormat="1" applyFont="1" applyFill="1" applyAlignment="1">
      <alignment horizontal="center" vertical="center"/>
    </xf>
    <xf numFmtId="0" fontId="14" fillId="9" borderId="2" xfId="0" applyFont="1" applyFill="1" applyBorder="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5" fillId="9" borderId="0" xfId="0" applyFont="1" applyFill="1" applyAlignment="1">
      <alignment vertical="center" wrapText="1"/>
    </xf>
    <xf numFmtId="3" fontId="14" fillId="9" borderId="0" xfId="0" applyNumberFormat="1" applyFont="1" applyFill="1" applyAlignment="1">
      <alignment horizontal="center" vertical="center"/>
    </xf>
    <xf numFmtId="0" fontId="15" fillId="9" borderId="0" xfId="0" applyFont="1" applyFill="1" applyAlignment="1">
      <alignment horizontal="left" vertical="center" wrapText="1"/>
    </xf>
    <xf numFmtId="0" fontId="18" fillId="10" borderId="0" xfId="0" applyFont="1" applyFill="1"/>
    <xf numFmtId="0" fontId="22" fillId="10" borderId="0" xfId="0" applyFont="1" applyFill="1" applyAlignment="1">
      <alignment horizontal="center" vertical="center"/>
    </xf>
    <xf numFmtId="2" fontId="15" fillId="0" borderId="0" xfId="0" applyNumberFormat="1" applyFont="1" applyAlignment="1">
      <alignment horizontal="center" vertical="center"/>
    </xf>
    <xf numFmtId="9" fontId="14" fillId="0" borderId="0" xfId="1" applyFont="1" applyBorder="1"/>
    <xf numFmtId="2" fontId="14" fillId="0" borderId="0" xfId="0" applyNumberFormat="1" applyFont="1"/>
    <xf numFmtId="0" fontId="14" fillId="0" borderId="0" xfId="0" applyFont="1" applyAlignment="1">
      <alignment horizontal="left"/>
    </xf>
    <xf numFmtId="0" fontId="18" fillId="10" borderId="0" xfId="0" applyFont="1" applyFill="1" applyAlignment="1">
      <alignment horizontal="left" vertical="center"/>
    </xf>
    <xf numFmtId="0" fontId="18" fillId="10" borderId="0" xfId="0" applyFont="1" applyFill="1" applyAlignment="1">
      <alignment horizontal="left" vertical="center" wrapText="1"/>
    </xf>
    <xf numFmtId="0" fontId="20" fillId="9" borderId="0" xfId="0" applyFont="1" applyFill="1" applyAlignment="1">
      <alignment horizontal="left" vertical="center" wrapText="1"/>
    </xf>
    <xf numFmtId="0" fontId="20" fillId="9" borderId="0" xfId="0" applyFont="1" applyFill="1" applyAlignment="1">
      <alignment horizontal="center" vertical="center" wrapText="1"/>
    </xf>
    <xf numFmtId="0" fontId="15" fillId="0" borderId="2" xfId="0" applyFont="1" applyBorder="1" applyAlignment="1">
      <alignment horizontal="left" vertical="center"/>
    </xf>
    <xf numFmtId="2" fontId="15" fillId="0" borderId="2" xfId="0" applyNumberFormat="1" applyFont="1" applyBorder="1" applyAlignment="1">
      <alignment vertical="center"/>
    </xf>
    <xf numFmtId="2" fontId="14" fillId="0" borderId="2" xfId="0" applyNumberFormat="1" applyFont="1" applyBorder="1" applyAlignment="1">
      <alignment vertical="center"/>
    </xf>
    <xf numFmtId="0" fontId="18" fillId="10" borderId="2" xfId="0" applyFont="1" applyFill="1" applyBorder="1" applyAlignment="1">
      <alignment horizontal="left" vertical="center"/>
    </xf>
    <xf numFmtId="2" fontId="18" fillId="10" borderId="2" xfId="0" applyNumberFormat="1" applyFont="1" applyFill="1" applyBorder="1" applyAlignment="1">
      <alignment vertical="center"/>
    </xf>
    <xf numFmtId="2" fontId="15" fillId="9" borderId="0" xfId="0" applyNumberFormat="1" applyFont="1" applyFill="1" applyAlignment="1">
      <alignment vertical="center"/>
    </xf>
    <xf numFmtId="0" fontId="15" fillId="9" borderId="0" xfId="0" applyFont="1" applyFill="1" applyAlignment="1">
      <alignment horizontal="left" vertical="center"/>
    </xf>
    <xf numFmtId="2" fontId="25" fillId="0" borderId="0" xfId="0" applyNumberFormat="1" applyFont="1" applyAlignment="1">
      <alignment horizontal="center"/>
    </xf>
    <xf numFmtId="0" fontId="25" fillId="0" borderId="0" xfId="0" applyFont="1" applyAlignment="1">
      <alignment horizontal="left" vertical="center"/>
    </xf>
    <xf numFmtId="0" fontId="24" fillId="4" borderId="0" xfId="0" applyFont="1" applyFill="1" applyAlignment="1">
      <alignment horizontal="center" vertical="center"/>
    </xf>
    <xf numFmtId="0" fontId="18" fillId="10" borderId="0" xfId="0" applyFont="1" applyFill="1" applyAlignment="1">
      <alignment vertical="center" wrapText="1"/>
    </xf>
    <xf numFmtId="2" fontId="18" fillId="10" borderId="0" xfId="0" applyNumberFormat="1" applyFont="1" applyFill="1" applyAlignment="1">
      <alignment horizontal="center" vertical="center"/>
    </xf>
    <xf numFmtId="2" fontId="15" fillId="9" borderId="2" xfId="0" applyNumberFormat="1" applyFont="1" applyFill="1" applyBorder="1" applyAlignment="1">
      <alignment horizontal="center" vertical="center"/>
    </xf>
    <xf numFmtId="0" fontId="18" fillId="10" borderId="0" xfId="0" applyFont="1" applyFill="1" applyAlignment="1">
      <alignment vertical="center"/>
    </xf>
    <xf numFmtId="9" fontId="20" fillId="2" borderId="0" xfId="1" applyFont="1" applyFill="1" applyBorder="1" applyAlignment="1">
      <alignment horizontal="center" vertical="center"/>
    </xf>
    <xf numFmtId="0" fontId="14" fillId="2" borderId="0" xfId="0" applyFont="1" applyFill="1" applyAlignment="1">
      <alignment vertical="center"/>
    </xf>
    <xf numFmtId="0" fontId="21" fillId="4" borderId="0" xfId="0" applyFont="1" applyFill="1" applyAlignment="1">
      <alignment vertical="center"/>
    </xf>
    <xf numFmtId="0" fontId="15" fillId="5" borderId="0" xfId="0" applyFont="1" applyFill="1" applyAlignment="1">
      <alignment horizontal="center" vertical="center"/>
    </xf>
    <xf numFmtId="0" fontId="20" fillId="8" borderId="0" xfId="0" applyFont="1" applyFill="1" applyAlignment="1">
      <alignment horizontal="left" vertical="center"/>
    </xf>
    <xf numFmtId="0" fontId="20" fillId="2" borderId="0" xfId="0" applyFont="1" applyFill="1" applyAlignment="1">
      <alignment horizontal="center" vertical="center"/>
    </xf>
    <xf numFmtId="9" fontId="14" fillId="2" borderId="0" xfId="0" applyNumberFormat="1" applyFont="1" applyFill="1" applyAlignment="1">
      <alignment horizontal="center" vertical="center"/>
    </xf>
    <xf numFmtId="0" fontId="14" fillId="2" borderId="0" xfId="0" applyFont="1" applyFill="1" applyAlignment="1">
      <alignment horizontal="center" vertical="center"/>
    </xf>
    <xf numFmtId="2" fontId="14" fillId="2" borderId="0" xfId="0" applyNumberFormat="1" applyFont="1" applyFill="1" applyAlignment="1">
      <alignment horizontal="center" vertical="center"/>
    </xf>
    <xf numFmtId="0" fontId="21" fillId="4" borderId="0" xfId="0" applyFont="1" applyFill="1" applyAlignment="1">
      <alignment horizontal="left" vertical="center"/>
    </xf>
    <xf numFmtId="0" fontId="23" fillId="2" borderId="0" xfId="0" applyFont="1" applyFill="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0" fillId="2" borderId="0" xfId="0" applyFont="1" applyFill="1" applyAlignment="1">
      <alignment horizontal="left" vertical="center"/>
    </xf>
    <xf numFmtId="0" fontId="26" fillId="2" borderId="0" xfId="0" applyFont="1" applyFill="1" applyAlignment="1">
      <alignment horizontal="left" vertical="center"/>
    </xf>
    <xf numFmtId="0" fontId="23" fillId="2" borderId="0" xfId="7" applyFont="1" applyFill="1" applyAlignment="1">
      <alignment horizontal="left" vertical="center"/>
    </xf>
    <xf numFmtId="0" fontId="20" fillId="2" borderId="0" xfId="7" applyFont="1" applyFill="1" applyAlignment="1">
      <alignment horizontal="left" vertical="center"/>
    </xf>
    <xf numFmtId="0" fontId="14" fillId="2" borderId="0" xfId="0" applyFont="1" applyFill="1" applyAlignment="1">
      <alignment horizontal="left" vertical="center"/>
    </xf>
    <xf numFmtId="9" fontId="14" fillId="2" borderId="0" xfId="0" applyNumberFormat="1" applyFont="1" applyFill="1" applyAlignment="1">
      <alignment horizontal="left" vertical="center"/>
    </xf>
    <xf numFmtId="0" fontId="26" fillId="2" borderId="0" xfId="0" applyFont="1" applyFill="1" applyAlignment="1">
      <alignment horizontal="center" vertical="center"/>
    </xf>
    <xf numFmtId="9" fontId="20" fillId="2" borderId="0" xfId="0" applyNumberFormat="1" applyFont="1" applyFill="1" applyAlignment="1">
      <alignment horizontal="center" vertical="center"/>
    </xf>
    <xf numFmtId="170" fontId="20" fillId="2" borderId="0" xfId="1" applyNumberFormat="1" applyFont="1" applyFill="1" applyBorder="1" applyAlignment="1">
      <alignment horizontal="center" vertical="center"/>
    </xf>
    <xf numFmtId="169" fontId="20" fillId="2" borderId="0" xfId="6" applyNumberFormat="1" applyFont="1" applyFill="1" applyBorder="1" applyAlignment="1">
      <alignment horizontal="center" vertical="center"/>
    </xf>
    <xf numFmtId="1" fontId="20" fillId="2" borderId="0" xfId="0" applyNumberFormat="1" applyFont="1" applyFill="1" applyAlignment="1">
      <alignment horizontal="center" vertical="center"/>
    </xf>
    <xf numFmtId="2" fontId="20" fillId="2" borderId="0" xfId="0" applyNumberFormat="1" applyFont="1" applyFill="1" applyAlignment="1">
      <alignment horizontal="center" vertical="center"/>
    </xf>
    <xf numFmtId="169" fontId="14" fillId="2" borderId="0" xfId="0" applyNumberFormat="1" applyFont="1" applyFill="1" applyAlignment="1">
      <alignment horizontal="center" vertical="center"/>
    </xf>
    <xf numFmtId="9" fontId="23" fillId="2" borderId="0" xfId="1" applyFont="1" applyFill="1" applyBorder="1" applyAlignment="1">
      <alignment horizontal="center" vertical="center"/>
    </xf>
    <xf numFmtId="10" fontId="14" fillId="2" borderId="0" xfId="0" applyNumberFormat="1" applyFont="1" applyFill="1" applyAlignment="1">
      <alignment horizontal="center" vertical="center"/>
    </xf>
    <xf numFmtId="43" fontId="23" fillId="2" borderId="0" xfId="6" applyFont="1" applyFill="1" applyBorder="1" applyAlignment="1">
      <alignment horizontal="center" vertical="center"/>
    </xf>
    <xf numFmtId="164" fontId="14" fillId="2" borderId="0" xfId="0" applyNumberFormat="1" applyFont="1" applyFill="1" applyAlignment="1">
      <alignment horizontal="center" vertical="center"/>
    </xf>
    <xf numFmtId="0" fontId="20" fillId="9" borderId="2" xfId="0" applyFont="1" applyFill="1" applyBorder="1" applyAlignment="1">
      <alignment horizontal="left" vertical="center"/>
    </xf>
    <xf numFmtId="0" fontId="15" fillId="2" borderId="0" xfId="0" applyFont="1" applyFill="1" applyAlignment="1">
      <alignment vertical="center"/>
    </xf>
    <xf numFmtId="0" fontId="23" fillId="2" borderId="0" xfId="0" applyFont="1" applyFill="1" applyAlignment="1">
      <alignment horizontal="left" vertical="center" wrapText="1"/>
    </xf>
    <xf numFmtId="0" fontId="20" fillId="9" borderId="2" xfId="0" applyFont="1" applyFill="1" applyBorder="1" applyAlignment="1">
      <alignment horizontal="left" vertical="center" wrapText="1"/>
    </xf>
    <xf numFmtId="0" fontId="22" fillId="10" borderId="0" xfId="0" applyFont="1" applyFill="1" applyAlignment="1">
      <alignment horizontal="left" vertical="center"/>
    </xf>
    <xf numFmtId="1" fontId="20" fillId="0" borderId="0" xfId="2" applyNumberFormat="1" applyFont="1" applyAlignment="1">
      <alignment horizontal="left" vertical="center"/>
    </xf>
    <xf numFmtId="1" fontId="23" fillId="0" borderId="0" xfId="2" applyNumberFormat="1" applyFont="1" applyAlignment="1">
      <alignment horizontal="left" vertical="center"/>
    </xf>
    <xf numFmtId="0" fontId="23" fillId="0" borderId="0" xfId="0" applyFont="1" applyAlignment="1">
      <alignment horizontal="center" vertical="center"/>
    </xf>
    <xf numFmtId="1" fontId="20" fillId="0" borderId="0" xfId="2" applyNumberFormat="1" applyFont="1" applyAlignment="1">
      <alignment horizontal="center" vertical="center"/>
    </xf>
    <xf numFmtId="1" fontId="21" fillId="4" borderId="0" xfId="2" applyNumberFormat="1" applyFont="1" applyFill="1" applyAlignment="1">
      <alignment horizontal="left" vertical="center"/>
    </xf>
    <xf numFmtId="1" fontId="20" fillId="9" borderId="2" xfId="2" applyNumberFormat="1" applyFont="1" applyFill="1" applyBorder="1" applyAlignment="1">
      <alignment horizontal="left" vertical="center"/>
    </xf>
    <xf numFmtId="1" fontId="18" fillId="10" borderId="0" xfId="2" applyNumberFormat="1" applyFont="1" applyFill="1" applyAlignment="1">
      <alignment horizontal="left" vertical="center"/>
    </xf>
    <xf numFmtId="17" fontId="15" fillId="0" borderId="0" xfId="0" applyNumberFormat="1" applyFont="1" applyAlignment="1">
      <alignment horizontal="center" vertical="center"/>
    </xf>
    <xf numFmtId="0" fontId="18" fillId="3" borderId="0" xfId="0" applyFont="1" applyFill="1" applyAlignment="1">
      <alignment vertical="center"/>
    </xf>
    <xf numFmtId="1" fontId="18" fillId="10" borderId="0" xfId="0" applyNumberFormat="1" applyFont="1" applyFill="1" applyAlignment="1">
      <alignment horizontal="center" vertical="center"/>
    </xf>
    <xf numFmtId="1" fontId="14" fillId="0" borderId="0" xfId="0" applyNumberFormat="1" applyFont="1" applyAlignment="1">
      <alignment vertical="center"/>
    </xf>
    <xf numFmtId="9" fontId="14" fillId="0" borderId="0" xfId="0" applyNumberFormat="1" applyFont="1" applyAlignment="1">
      <alignment vertical="center"/>
    </xf>
    <xf numFmtId="10" fontId="18" fillId="10" borderId="0" xfId="3" applyNumberFormat="1" applyFont="1" applyFill="1" applyBorder="1" applyAlignment="1">
      <alignment horizontal="center" vertical="center"/>
    </xf>
    <xf numFmtId="9" fontId="14" fillId="0" borderId="0" xfId="1" applyFont="1" applyBorder="1" applyAlignment="1">
      <alignment horizontal="center" vertical="center"/>
    </xf>
    <xf numFmtId="165" fontId="14" fillId="0" borderId="0" xfId="0" applyNumberFormat="1" applyFont="1" applyAlignment="1">
      <alignment horizontal="center" vertical="center"/>
    </xf>
    <xf numFmtId="0" fontId="21" fillId="4" borderId="0" xfId="0" applyFont="1" applyFill="1" applyAlignment="1">
      <alignment horizontal="center" vertical="center"/>
    </xf>
    <xf numFmtId="0" fontId="27" fillId="0" borderId="0" xfId="0" applyFont="1" applyAlignment="1">
      <alignment horizontal="left" vertical="center"/>
    </xf>
    <xf numFmtId="9" fontId="27" fillId="0" borderId="0" xfId="1" applyFont="1" applyBorder="1" applyAlignment="1">
      <alignment horizontal="center" vertical="center"/>
    </xf>
    <xf numFmtId="2" fontId="27" fillId="0" borderId="0" xfId="0" applyNumberFormat="1" applyFont="1" applyAlignment="1">
      <alignment horizontal="center" vertical="center"/>
    </xf>
    <xf numFmtId="165" fontId="27" fillId="0" borderId="0" xfId="0" applyNumberFormat="1" applyFont="1" applyAlignment="1">
      <alignment horizontal="center" vertical="center"/>
    </xf>
    <xf numFmtId="2" fontId="14" fillId="9" borderId="0" xfId="0" applyNumberFormat="1" applyFont="1" applyFill="1" applyAlignment="1">
      <alignment horizontal="center" vertical="center"/>
    </xf>
    <xf numFmtId="0" fontId="20" fillId="0" borderId="5" xfId="0" applyFont="1" applyBorder="1" applyAlignment="1">
      <alignment horizontal="left" vertical="center" wrapText="1"/>
    </xf>
    <xf numFmtId="2" fontId="15" fillId="0" borderId="5" xfId="0" applyNumberFormat="1" applyFont="1" applyBorder="1" applyAlignment="1">
      <alignment horizontal="center" vertical="center"/>
    </xf>
    <xf numFmtId="0" fontId="20" fillId="0" borderId="4" xfId="0" applyFont="1" applyBorder="1" applyAlignment="1">
      <alignment horizontal="left" vertical="center"/>
    </xf>
    <xf numFmtId="9" fontId="15" fillId="0" borderId="4" xfId="1" applyFont="1" applyBorder="1" applyAlignment="1">
      <alignment horizontal="center" vertical="center"/>
    </xf>
    <xf numFmtId="10" fontId="14" fillId="0" borderId="0" xfId="1" applyNumberFormat="1" applyFont="1" applyFill="1" applyBorder="1" applyAlignment="1">
      <alignment horizontal="center" vertical="center"/>
    </xf>
    <xf numFmtId="10" fontId="24" fillId="4" borderId="0" xfId="3" applyNumberFormat="1" applyFont="1" applyFill="1" applyBorder="1" applyAlignment="1">
      <alignment horizontal="center" vertical="center"/>
    </xf>
    <xf numFmtId="10" fontId="14" fillId="0" borderId="0" xfId="3" applyNumberFormat="1" applyFont="1" applyBorder="1" applyAlignment="1">
      <alignment horizontal="center" vertical="center"/>
    </xf>
    <xf numFmtId="2" fontId="20" fillId="0" borderId="0" xfId="4" applyNumberFormat="1" applyFont="1" applyFill="1" applyBorder="1" applyAlignment="1">
      <alignment horizontal="center" vertical="center"/>
    </xf>
    <xf numFmtId="10" fontId="14" fillId="0" borderId="0" xfId="3" applyNumberFormat="1" applyFont="1" applyFill="1" applyBorder="1" applyAlignment="1">
      <alignment horizontal="center" vertical="center"/>
    </xf>
    <xf numFmtId="1" fontId="15" fillId="9" borderId="2" xfId="0" applyNumberFormat="1" applyFont="1" applyFill="1" applyBorder="1" applyAlignment="1">
      <alignment horizontal="center" vertical="center"/>
    </xf>
    <xf numFmtId="0" fontId="14" fillId="9" borderId="2" xfId="0" applyFont="1" applyFill="1" applyBorder="1" applyAlignment="1">
      <alignment horizontal="center" vertical="center"/>
    </xf>
    <xf numFmtId="1" fontId="23" fillId="0" borderId="0" xfId="2" applyNumberFormat="1" applyFont="1" applyAlignment="1">
      <alignment horizontal="left" vertical="center" wrapText="1"/>
    </xf>
    <xf numFmtId="0" fontId="20" fillId="2" borderId="0" xfId="0" applyFont="1" applyFill="1" applyAlignment="1">
      <alignment vertical="center"/>
    </xf>
    <xf numFmtId="0" fontId="28" fillId="0" borderId="0" xfId="0" applyFont="1"/>
    <xf numFmtId="0" fontId="23" fillId="0" borderId="0" xfId="0" applyFont="1" applyAlignment="1">
      <alignment vertical="center"/>
    </xf>
    <xf numFmtId="43" fontId="14" fillId="0" borderId="0" xfId="6" applyFont="1" applyFill="1" applyBorder="1" applyAlignment="1">
      <alignment horizontal="center"/>
    </xf>
    <xf numFmtId="10" fontId="14" fillId="2" borderId="0" xfId="1" applyNumberFormat="1" applyFont="1" applyFill="1" applyBorder="1" applyAlignment="1">
      <alignment vertical="center"/>
    </xf>
    <xf numFmtId="10" fontId="23" fillId="0" borderId="0" xfId="0" applyNumberFormat="1" applyFont="1"/>
    <xf numFmtId="172" fontId="23" fillId="2" borderId="0" xfId="0" applyNumberFormat="1" applyFont="1" applyFill="1" applyAlignment="1">
      <alignment horizontal="center" vertical="center"/>
    </xf>
    <xf numFmtId="0" fontId="23" fillId="0" borderId="0" xfId="0" applyFont="1"/>
    <xf numFmtId="2" fontId="23" fillId="0" borderId="0" xfId="0" applyNumberFormat="1" applyFont="1" applyAlignment="1">
      <alignment vertical="center"/>
    </xf>
    <xf numFmtId="0" fontId="15" fillId="0" borderId="2" xfId="0" applyFont="1" applyBorder="1" applyAlignment="1">
      <alignment horizontal="left"/>
    </xf>
    <xf numFmtId="43" fontId="15" fillId="0" borderId="2" xfId="6" applyFont="1" applyFill="1" applyBorder="1" applyAlignment="1"/>
    <xf numFmtId="43" fontId="15" fillId="0" borderId="2" xfId="6" applyFont="1" applyFill="1" applyBorder="1" applyAlignment="1">
      <alignment horizontal="center"/>
    </xf>
    <xf numFmtId="0" fontId="15" fillId="0" borderId="0" xfId="0" applyFont="1" applyAlignment="1">
      <alignment horizontal="left"/>
    </xf>
    <xf numFmtId="0" fontId="29" fillId="0" borderId="0" xfId="0" applyFont="1"/>
    <xf numFmtId="0" fontId="2" fillId="0" borderId="5" xfId="0" applyFont="1" applyBorder="1"/>
    <xf numFmtId="0" fontId="2" fillId="0" borderId="4" xfId="0" applyFont="1" applyBorder="1"/>
    <xf numFmtId="0" fontId="30" fillId="10" borderId="0" xfId="0" applyFont="1" applyFill="1"/>
    <xf numFmtId="0" fontId="0" fillId="0" borderId="9" xfId="0" applyBorder="1"/>
    <xf numFmtId="0" fontId="0" fillId="0" borderId="10" xfId="0" applyBorder="1"/>
    <xf numFmtId="173" fontId="2" fillId="0" borderId="11" xfId="6" applyNumberFormat="1" applyFont="1" applyBorder="1"/>
    <xf numFmtId="173" fontId="2" fillId="0" borderId="12" xfId="0" applyNumberFormat="1" applyFont="1" applyBorder="1"/>
    <xf numFmtId="0" fontId="2" fillId="0" borderId="13" xfId="0" applyFont="1" applyBorder="1"/>
    <xf numFmtId="0" fontId="2" fillId="0" borderId="14" xfId="0" applyFont="1" applyBorder="1"/>
    <xf numFmtId="0" fontId="2" fillId="0" borderId="11" xfId="0" applyFont="1" applyBorder="1"/>
    <xf numFmtId="173" fontId="2" fillId="0" borderId="12" xfId="6" applyNumberFormat="1" applyFont="1" applyBorder="1"/>
    <xf numFmtId="0" fontId="2" fillId="0" borderId="15" xfId="0" applyFont="1" applyBorder="1"/>
    <xf numFmtId="0" fontId="2" fillId="0" borderId="16" xfId="0" applyFont="1" applyBorder="1"/>
    <xf numFmtId="0" fontId="2" fillId="0" borderId="17" xfId="0" applyFont="1" applyBorder="1"/>
    <xf numFmtId="173" fontId="0" fillId="0" borderId="0" xfId="6" applyNumberFormat="1" applyFont="1"/>
    <xf numFmtId="0" fontId="0" fillId="0" borderId="0" xfId="0" applyAlignment="1">
      <alignment horizontal="center" vertical="center"/>
    </xf>
    <xf numFmtId="173" fontId="0" fillId="0" borderId="0" xfId="6" applyNumberFormat="1" applyFont="1" applyAlignment="1">
      <alignment horizontal="center" vertical="center"/>
    </xf>
    <xf numFmtId="0" fontId="0" fillId="0" borderId="0" xfId="0" applyAlignment="1">
      <alignment horizontal="center" vertical="center" wrapText="1"/>
    </xf>
    <xf numFmtId="9" fontId="18" fillId="11" borderId="0" xfId="0" applyNumberFormat="1" applyFont="1" applyFill="1" applyAlignment="1">
      <alignment vertical="center"/>
    </xf>
    <xf numFmtId="0" fontId="31" fillId="0" borderId="0" xfId="8" applyAlignment="1">
      <alignment vertical="center" wrapText="1"/>
    </xf>
    <xf numFmtId="0" fontId="31" fillId="0" borderId="0" xfId="8"/>
    <xf numFmtId="173" fontId="14" fillId="0" borderId="0" xfId="6" applyNumberFormat="1" applyFont="1" applyBorder="1" applyAlignment="1">
      <alignment horizontal="center" vertical="center"/>
    </xf>
    <xf numFmtId="173" fontId="15" fillId="0" borderId="0" xfId="6" applyNumberFormat="1" applyFont="1" applyBorder="1" applyAlignment="1">
      <alignment horizontal="center" vertical="center"/>
    </xf>
    <xf numFmtId="0" fontId="14" fillId="0" borderId="0" xfId="0" quotePrefix="1" applyFont="1" applyAlignment="1">
      <alignment horizontal="center" vertical="center"/>
    </xf>
    <xf numFmtId="10" fontId="14" fillId="0" borderId="0" xfId="1" applyNumberFormat="1" applyFont="1" applyBorder="1" applyAlignment="1">
      <alignment horizontal="center" vertical="center"/>
    </xf>
    <xf numFmtId="0" fontId="0" fillId="0" borderId="0" xfId="0" applyAlignment="1">
      <alignment wrapText="1"/>
    </xf>
    <xf numFmtId="0" fontId="15" fillId="0" borderId="18" xfId="0" quotePrefix="1" applyFont="1" applyBorder="1" applyAlignment="1">
      <alignment vertical="center"/>
    </xf>
    <xf numFmtId="0" fontId="15" fillId="0" borderId="19" xfId="0" applyFont="1" applyBorder="1" applyAlignment="1">
      <alignment vertical="center"/>
    </xf>
    <xf numFmtId="0" fontId="15" fillId="0" borderId="3" xfId="0" quotePrefix="1" applyFont="1" applyBorder="1" applyAlignment="1">
      <alignment vertical="center"/>
    </xf>
    <xf numFmtId="0" fontId="15" fillId="0" borderId="20" xfId="0" applyFont="1" applyBorder="1" applyAlignment="1">
      <alignment vertical="center"/>
    </xf>
    <xf numFmtId="0" fontId="15" fillId="0" borderId="23" xfId="0" applyFont="1" applyBorder="1" applyAlignment="1">
      <alignment vertical="center"/>
    </xf>
    <xf numFmtId="0" fontId="15" fillId="0" borderId="24"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165" fontId="14" fillId="7" borderId="0" xfId="0" applyNumberFormat="1" applyFont="1" applyFill="1" applyAlignment="1">
      <alignment horizontal="center" vertical="center"/>
    </xf>
    <xf numFmtId="43" fontId="14" fillId="2" borderId="0" xfId="6" applyFont="1" applyFill="1" applyAlignment="1">
      <alignment horizontal="center" vertical="center"/>
    </xf>
    <xf numFmtId="43" fontId="32" fillId="13" borderId="0" xfId="9" applyNumberFormat="1" applyFont="1" applyFill="1" applyAlignment="1">
      <alignment horizontal="center" vertical="center"/>
    </xf>
    <xf numFmtId="43" fontId="32" fillId="14" borderId="0" xfId="9" applyNumberFormat="1" applyFont="1" applyFill="1" applyAlignment="1">
      <alignment horizontal="center" vertical="center"/>
    </xf>
    <xf numFmtId="43" fontId="32" fillId="13" borderId="0" xfId="6" applyFont="1" applyFill="1" applyAlignment="1">
      <alignment horizontal="center" vertical="center"/>
    </xf>
    <xf numFmtId="0" fontId="33" fillId="0" borderId="0" xfId="9" applyFont="1" applyAlignment="1">
      <alignment horizontal="left" vertical="center"/>
    </xf>
    <xf numFmtId="0" fontId="33" fillId="0" borderId="0" xfId="9" applyFont="1" applyAlignment="1">
      <alignment vertical="center"/>
    </xf>
    <xf numFmtId="0" fontId="33" fillId="0" borderId="0" xfId="9" applyFont="1" applyAlignment="1">
      <alignment horizontal="center" vertical="center"/>
    </xf>
    <xf numFmtId="43" fontId="33" fillId="0" borderId="0" xfId="6" applyFont="1" applyAlignment="1">
      <alignment horizontal="right" vertical="center"/>
    </xf>
    <xf numFmtId="2" fontId="33" fillId="0" borderId="0" xfId="9" applyNumberFormat="1" applyFont="1" applyAlignment="1">
      <alignment horizontal="right" vertical="center"/>
    </xf>
    <xf numFmtId="0" fontId="33" fillId="0" borderId="0" xfId="9" applyFont="1" applyAlignment="1">
      <alignment vertical="center" wrapText="1"/>
    </xf>
    <xf numFmtId="10" fontId="33" fillId="0" borderId="0" xfId="9" applyNumberFormat="1" applyFont="1" applyAlignment="1">
      <alignment horizontal="right" vertical="center"/>
    </xf>
    <xf numFmtId="0" fontId="35" fillId="0" borderId="0" xfId="9" applyFont="1" applyAlignment="1">
      <alignment vertical="center"/>
    </xf>
    <xf numFmtId="174" fontId="36" fillId="0" borderId="0" xfId="9" applyNumberFormat="1" applyFont="1" applyAlignment="1">
      <alignment horizontal="left" vertical="center"/>
    </xf>
    <xf numFmtId="10" fontId="33" fillId="6" borderId="0" xfId="9" applyNumberFormat="1" applyFont="1" applyFill="1" applyAlignment="1">
      <alignment horizontal="right" vertical="center"/>
    </xf>
    <xf numFmtId="10" fontId="36" fillId="0" borderId="0" xfId="9" applyNumberFormat="1" applyFont="1" applyAlignment="1">
      <alignment horizontal="left" vertical="center"/>
    </xf>
    <xf numFmtId="43" fontId="33" fillId="0" borderId="0" xfId="9" applyNumberFormat="1" applyFont="1" applyAlignment="1">
      <alignment horizontal="right" vertical="center"/>
    </xf>
    <xf numFmtId="43" fontId="37" fillId="0" borderId="0" xfId="6" applyFont="1" applyAlignment="1">
      <alignment horizontal="right" vertical="center"/>
    </xf>
    <xf numFmtId="3" fontId="33" fillId="0" borderId="0" xfId="9" applyNumberFormat="1" applyFont="1" applyAlignment="1">
      <alignment horizontal="right" vertical="center"/>
    </xf>
    <xf numFmtId="10" fontId="33" fillId="15" borderId="0" xfId="9" applyNumberFormat="1" applyFont="1" applyFill="1" applyAlignment="1">
      <alignment horizontal="right" vertical="center"/>
    </xf>
    <xf numFmtId="39" fontId="38" fillId="16" borderId="0" xfId="9" applyNumberFormat="1" applyFont="1" applyFill="1"/>
    <xf numFmtId="10" fontId="38" fillId="16" borderId="0" xfId="9" applyNumberFormat="1" applyFont="1" applyFill="1"/>
    <xf numFmtId="9" fontId="37" fillId="0" borderId="0" xfId="3" applyFont="1" applyAlignment="1">
      <alignment horizontal="right" vertical="center"/>
    </xf>
    <xf numFmtId="0" fontId="38" fillId="0" borderId="0" xfId="9" applyFont="1" applyAlignment="1">
      <alignment horizontal="center" vertical="center"/>
    </xf>
    <xf numFmtId="10" fontId="38" fillId="0" borderId="0" xfId="9" applyNumberFormat="1" applyFont="1" applyAlignment="1">
      <alignment horizontal="right" vertical="center"/>
    </xf>
    <xf numFmtId="3" fontId="37" fillId="0" borderId="0" xfId="9" applyNumberFormat="1" applyFont="1" applyAlignment="1">
      <alignment horizontal="right" vertical="center"/>
    </xf>
    <xf numFmtId="10" fontId="33" fillId="17" borderId="0" xfId="9" applyNumberFormat="1" applyFont="1" applyFill="1" applyAlignment="1">
      <alignment horizontal="right" vertical="center"/>
    </xf>
    <xf numFmtId="9" fontId="36" fillId="0" borderId="0" xfId="3" applyFont="1" applyAlignment="1">
      <alignment horizontal="left" vertical="center"/>
    </xf>
    <xf numFmtId="4" fontId="33" fillId="0" borderId="0" xfId="9" applyNumberFormat="1" applyFont="1" applyAlignment="1">
      <alignment horizontal="right" vertical="center"/>
    </xf>
    <xf numFmtId="10" fontId="37" fillId="0" borderId="0" xfId="3" applyNumberFormat="1" applyFont="1" applyAlignment="1">
      <alignment horizontal="right" vertical="center"/>
    </xf>
    <xf numFmtId="0" fontId="33" fillId="0" borderId="0" xfId="10" applyFont="1" applyAlignment="1">
      <alignment horizontal="left" vertical="center"/>
    </xf>
    <xf numFmtId="165" fontId="15" fillId="0" borderId="2" xfId="0" applyNumberFormat="1" applyFont="1" applyBorder="1" applyAlignment="1">
      <alignment horizontal="center" vertical="center"/>
    </xf>
    <xf numFmtId="165" fontId="14" fillId="0" borderId="0" xfId="0" applyNumberFormat="1" applyFont="1" applyAlignment="1">
      <alignment vertical="center"/>
    </xf>
    <xf numFmtId="165" fontId="14" fillId="0" borderId="0" xfId="1" applyNumberFormat="1" applyFont="1" applyBorder="1" applyAlignment="1">
      <alignment horizontal="center" vertical="center"/>
    </xf>
    <xf numFmtId="165" fontId="14" fillId="12" borderId="0" xfId="0" applyNumberFormat="1" applyFont="1" applyFill="1" applyAlignment="1">
      <alignment horizontal="center" vertical="center"/>
    </xf>
    <xf numFmtId="165" fontId="18" fillId="10" borderId="2" xfId="0" applyNumberFormat="1" applyFont="1" applyFill="1" applyBorder="1" applyAlignment="1">
      <alignment horizontal="center" vertical="center"/>
    </xf>
    <xf numFmtId="165" fontId="15" fillId="9" borderId="0" xfId="0" applyNumberFormat="1" applyFont="1" applyFill="1" applyAlignment="1">
      <alignment horizontal="center" vertical="center"/>
    </xf>
    <xf numFmtId="170" fontId="29" fillId="0" borderId="0" xfId="1" applyNumberFormat="1" applyFont="1" applyBorder="1"/>
    <xf numFmtId="165" fontId="18" fillId="10"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9" borderId="2" xfId="0" applyNumberFormat="1" applyFont="1" applyFill="1" applyBorder="1" applyAlignment="1">
      <alignment horizontal="center" vertical="center"/>
    </xf>
    <xf numFmtId="165" fontId="14" fillId="0" borderId="0" xfId="0" applyNumberFormat="1" applyFont="1" applyAlignment="1">
      <alignment horizontal="center" vertical="center" wrapText="1"/>
    </xf>
    <xf numFmtId="165" fontId="15" fillId="9" borderId="2" xfId="0" applyNumberFormat="1" applyFont="1" applyFill="1" applyBorder="1" applyAlignment="1">
      <alignment horizontal="center" vertical="center" wrapText="1"/>
    </xf>
    <xf numFmtId="165" fontId="20" fillId="0" borderId="0" xfId="2" applyNumberFormat="1" applyFont="1" applyAlignment="1">
      <alignment horizontal="center" vertical="center" wrapText="1"/>
    </xf>
    <xf numFmtId="175" fontId="23" fillId="2" borderId="0" xfId="0" applyNumberFormat="1" applyFont="1" applyFill="1" applyAlignment="1">
      <alignment horizontal="center" vertical="center"/>
    </xf>
    <xf numFmtId="165" fontId="20" fillId="9" borderId="2" xfId="0" applyNumberFormat="1" applyFont="1" applyFill="1" applyBorder="1" applyAlignment="1">
      <alignment horizontal="center" vertical="center"/>
    </xf>
    <xf numFmtId="165" fontId="23" fillId="2" borderId="0" xfId="0" applyNumberFormat="1" applyFont="1" applyFill="1" applyAlignment="1">
      <alignment horizontal="center" vertical="center"/>
    </xf>
    <xf numFmtId="165" fontId="20" fillId="9" borderId="2" xfId="0" applyNumberFormat="1" applyFont="1" applyFill="1" applyBorder="1" applyAlignment="1">
      <alignment horizontal="left" vertical="center"/>
    </xf>
    <xf numFmtId="170" fontId="20" fillId="9" borderId="2" xfId="1" applyNumberFormat="1" applyFont="1" applyFill="1" applyBorder="1" applyAlignment="1">
      <alignment horizontal="center" vertical="center"/>
    </xf>
    <xf numFmtId="170" fontId="26" fillId="9" borderId="2" xfId="0" applyNumberFormat="1" applyFont="1" applyFill="1" applyBorder="1" applyAlignment="1">
      <alignment horizontal="center" vertical="center"/>
    </xf>
    <xf numFmtId="176" fontId="14" fillId="0" borderId="0" xfId="0" applyNumberFormat="1" applyFont="1" applyAlignment="1">
      <alignment horizontal="center" vertical="center"/>
    </xf>
    <xf numFmtId="176" fontId="18" fillId="10" borderId="0" xfId="0" applyNumberFormat="1" applyFont="1" applyFill="1" applyAlignment="1">
      <alignment horizontal="center" vertical="center"/>
    </xf>
    <xf numFmtId="0" fontId="20" fillId="6" borderId="0" xfId="0" applyFont="1" applyFill="1" applyAlignment="1">
      <alignment horizontal="left" vertical="center"/>
    </xf>
    <xf numFmtId="10" fontId="20" fillId="6" borderId="0" xfId="3" applyNumberFormat="1" applyFont="1" applyFill="1" applyBorder="1" applyAlignment="1">
      <alignment horizontal="center" vertical="center"/>
    </xf>
    <xf numFmtId="0" fontId="20" fillId="6" borderId="0" xfId="0" applyFont="1" applyFill="1" applyAlignment="1">
      <alignment horizontal="center" vertical="center"/>
    </xf>
    <xf numFmtId="177" fontId="15" fillId="6" borderId="0" xfId="0" applyNumberFormat="1" applyFont="1" applyFill="1" applyAlignment="1">
      <alignment horizontal="left" vertical="center"/>
    </xf>
    <xf numFmtId="2" fontId="14" fillId="6" borderId="0" xfId="0" applyNumberFormat="1" applyFont="1" applyFill="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center" vertical="center"/>
    </xf>
    <xf numFmtId="177" fontId="14" fillId="6" borderId="0" xfId="0" applyNumberFormat="1" applyFont="1" applyFill="1" applyAlignment="1">
      <alignment horizontal="left" vertical="center"/>
    </xf>
    <xf numFmtId="2" fontId="14" fillId="6" borderId="0" xfId="0" applyNumberFormat="1" applyFont="1" applyFill="1" applyAlignment="1">
      <alignment vertical="center"/>
    </xf>
    <xf numFmtId="0" fontId="25" fillId="12" borderId="0" xfId="0" applyFont="1" applyFill="1" applyAlignment="1">
      <alignment vertical="center"/>
    </xf>
    <xf numFmtId="9" fontId="25" fillId="12" borderId="0" xfId="0" applyNumberFormat="1" applyFont="1" applyFill="1" applyAlignment="1">
      <alignment horizontal="center" vertical="center"/>
    </xf>
    <xf numFmtId="0" fontId="14" fillId="12" borderId="0" xfId="0" applyFont="1" applyFill="1" applyAlignment="1">
      <alignment vertical="center"/>
    </xf>
    <xf numFmtId="10" fontId="25" fillId="0" borderId="0" xfId="0" applyNumberFormat="1" applyFont="1" applyAlignment="1">
      <alignment horizontal="center" vertical="center"/>
    </xf>
    <xf numFmtId="0" fontId="14" fillId="12" borderId="0" xfId="0" applyFont="1" applyFill="1"/>
    <xf numFmtId="0" fontId="14" fillId="12" borderId="0" xfId="0" applyFont="1" applyFill="1" applyAlignment="1">
      <alignment wrapText="1"/>
    </xf>
    <xf numFmtId="0" fontId="15" fillId="12" borderId="0" xfId="0" applyFont="1" applyFill="1" applyAlignment="1">
      <alignment vertical="center"/>
    </xf>
    <xf numFmtId="165" fontId="23" fillId="7" borderId="0" xfId="0" applyNumberFormat="1" applyFont="1" applyFill="1" applyAlignment="1">
      <alignment horizontal="center" vertical="center"/>
    </xf>
    <xf numFmtId="0" fontId="25" fillId="0" borderId="0" xfId="0" applyFont="1"/>
    <xf numFmtId="10" fontId="14" fillId="0" borderId="0" xfId="1" applyNumberFormat="1" applyFont="1" applyAlignment="1">
      <alignment vertical="center"/>
    </xf>
    <xf numFmtId="0" fontId="25" fillId="12" borderId="0" xfId="0" applyFont="1" applyFill="1" applyAlignment="1">
      <alignment horizontal="center" vertical="center"/>
    </xf>
    <xf numFmtId="10" fontId="33" fillId="7" borderId="0" xfId="9" applyNumberFormat="1" applyFont="1" applyFill="1" applyAlignment="1">
      <alignment horizontal="right" vertical="center"/>
    </xf>
    <xf numFmtId="178" fontId="14" fillId="12" borderId="0" xfId="0" applyNumberFormat="1" applyFont="1" applyFill="1" applyAlignment="1">
      <alignment vertical="center"/>
    </xf>
    <xf numFmtId="165" fontId="20" fillId="9" borderId="5" xfId="0" applyNumberFormat="1" applyFont="1" applyFill="1" applyBorder="1" applyAlignment="1">
      <alignment horizontal="left" vertical="center"/>
    </xf>
    <xf numFmtId="14" fontId="26" fillId="2" borderId="0" xfId="0" applyNumberFormat="1" applyFont="1" applyFill="1" applyAlignment="1">
      <alignment horizontal="center" vertical="center"/>
    </xf>
    <xf numFmtId="165" fontId="23" fillId="12" borderId="0" xfId="0" applyNumberFormat="1" applyFont="1" applyFill="1" applyAlignment="1">
      <alignment horizontal="left" vertical="center"/>
    </xf>
    <xf numFmtId="10" fontId="20" fillId="7" borderId="0" xfId="1" applyNumberFormat="1" applyFont="1" applyFill="1" applyAlignment="1">
      <alignment horizontal="left" vertical="center"/>
    </xf>
    <xf numFmtId="165" fontId="14" fillId="2" borderId="0" xfId="0" applyNumberFormat="1" applyFont="1" applyFill="1" applyAlignment="1">
      <alignment horizontal="center" vertical="center"/>
    </xf>
    <xf numFmtId="165" fontId="20" fillId="12" borderId="0" xfId="0" applyNumberFormat="1" applyFont="1" applyFill="1" applyAlignment="1">
      <alignment horizontal="left" vertical="center"/>
    </xf>
    <xf numFmtId="0" fontId="20" fillId="7" borderId="0" xfId="0" applyFont="1" applyFill="1" applyAlignment="1">
      <alignment horizontal="left" vertical="center"/>
    </xf>
    <xf numFmtId="43" fontId="20" fillId="7" borderId="0" xfId="6" applyFont="1" applyFill="1" applyAlignment="1">
      <alignment horizontal="left" vertical="center"/>
    </xf>
    <xf numFmtId="10" fontId="18" fillId="10" borderId="5" xfId="0" applyNumberFormat="1" applyFont="1" applyFill="1" applyBorder="1" applyAlignment="1">
      <alignment vertical="center"/>
    </xf>
    <xf numFmtId="172" fontId="18" fillId="10" borderId="0" xfId="0" applyNumberFormat="1" applyFont="1" applyFill="1" applyAlignment="1">
      <alignment vertical="center"/>
    </xf>
    <xf numFmtId="176" fontId="14" fillId="12" borderId="0" xfId="0" applyNumberFormat="1" applyFont="1" applyFill="1" applyAlignment="1">
      <alignment horizontal="center" vertical="center"/>
    </xf>
    <xf numFmtId="17" fontId="14" fillId="0" borderId="0" xfId="0" applyNumberFormat="1" applyFont="1"/>
    <xf numFmtId="43" fontId="14" fillId="12" borderId="0" xfId="6" applyFont="1" applyFill="1" applyAlignment="1">
      <alignment vertical="center"/>
    </xf>
    <xf numFmtId="170" fontId="14" fillId="0" borderId="0" xfId="0" applyNumberFormat="1" applyFont="1" applyAlignment="1">
      <alignment vertical="center"/>
    </xf>
    <xf numFmtId="1" fontId="25" fillId="0" borderId="0" xfId="0" applyNumberFormat="1" applyFont="1" applyAlignment="1">
      <alignment horizontal="center" vertical="center"/>
    </xf>
    <xf numFmtId="10" fontId="25" fillId="0" borderId="0" xfId="0" applyNumberFormat="1" applyFont="1" applyAlignment="1">
      <alignment vertical="center"/>
    </xf>
    <xf numFmtId="14" fontId="14" fillId="12" borderId="0" xfId="0" applyNumberFormat="1" applyFont="1" applyFill="1" applyAlignment="1">
      <alignment vertical="center"/>
    </xf>
    <xf numFmtId="43" fontId="14" fillId="12" borderId="0" xfId="6" applyFont="1" applyFill="1" applyAlignment="1">
      <alignment wrapText="1"/>
    </xf>
    <xf numFmtId="0" fontId="15" fillId="0" borderId="0" xfId="0" applyFont="1"/>
    <xf numFmtId="0" fontId="15" fillId="0" borderId="1" xfId="0" applyFont="1" applyBorder="1" applyAlignment="1">
      <alignment vertical="center"/>
    </xf>
    <xf numFmtId="0" fontId="14" fillId="0" borderId="1" xfId="0" applyFont="1" applyBorder="1" applyAlignment="1">
      <alignment vertical="center"/>
    </xf>
    <xf numFmtId="165" fontId="14"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14" fontId="14" fillId="2" borderId="0" xfId="0" applyNumberFormat="1" applyFont="1" applyFill="1" applyAlignment="1">
      <alignment vertical="center"/>
    </xf>
    <xf numFmtId="43" fontId="14" fillId="2" borderId="0" xfId="6" applyFont="1" applyFill="1" applyAlignment="1">
      <alignment vertical="center"/>
    </xf>
    <xf numFmtId="172" fontId="23" fillId="7" borderId="0" xfId="0" applyNumberFormat="1" applyFont="1" applyFill="1" applyAlignment="1">
      <alignment horizontal="center" vertical="center"/>
    </xf>
    <xf numFmtId="10" fontId="14" fillId="0" borderId="0" xfId="1" applyNumberFormat="1" applyFont="1" applyAlignment="1">
      <alignment horizontal="center" vertical="center"/>
    </xf>
    <xf numFmtId="0" fontId="15" fillId="0" borderId="1" xfId="0" applyFont="1" applyBorder="1" applyAlignment="1">
      <alignment horizontal="center"/>
    </xf>
    <xf numFmtId="165" fontId="14" fillId="0" borderId="1" xfId="0" applyNumberFormat="1" applyFont="1" applyBorder="1" applyAlignment="1">
      <alignment horizontal="center"/>
    </xf>
    <xf numFmtId="165" fontId="15" fillId="0" borderId="1" xfId="0" applyNumberFormat="1" applyFont="1" applyBorder="1" applyAlignment="1">
      <alignment horizontal="center"/>
    </xf>
    <xf numFmtId="0" fontId="39" fillId="12" borderId="0" xfId="0" applyFont="1" applyFill="1" applyAlignment="1">
      <alignment vertical="center"/>
    </xf>
    <xf numFmtId="43" fontId="39" fillId="12" borderId="0" xfId="6" applyFont="1" applyFill="1" applyAlignment="1">
      <alignment vertical="center"/>
    </xf>
    <xf numFmtId="0" fontId="14" fillId="12" borderId="0" xfId="0" applyFont="1" applyFill="1" applyAlignment="1">
      <alignment horizontal="right" vertical="center"/>
    </xf>
    <xf numFmtId="0" fontId="23" fillId="12" borderId="0" xfId="0" applyFont="1" applyFill="1" applyAlignment="1">
      <alignment vertical="center"/>
    </xf>
    <xf numFmtId="179" fontId="18" fillId="10" borderId="0" xfId="0" applyNumberFormat="1" applyFont="1" applyFill="1" applyAlignment="1">
      <alignment horizontal="center" vertical="center" wrapText="1"/>
    </xf>
    <xf numFmtId="167" fontId="14" fillId="12" borderId="0" xfId="0" applyNumberFormat="1" applyFont="1" applyFill="1" applyAlignment="1">
      <alignment vertical="center"/>
    </xf>
    <xf numFmtId="166" fontId="14" fillId="12" borderId="0" xfId="0" applyNumberFormat="1" applyFont="1" applyFill="1" applyAlignment="1">
      <alignment vertical="center"/>
    </xf>
    <xf numFmtId="166" fontId="14" fillId="12" borderId="0" xfId="0" applyNumberFormat="1" applyFont="1" applyFill="1" applyAlignment="1">
      <alignment horizontal="center" vertical="center"/>
    </xf>
    <xf numFmtId="166" fontId="14" fillId="12" borderId="0" xfId="0" applyNumberFormat="1" applyFont="1" applyFill="1" applyAlignment="1">
      <alignment horizontal="center" vertical="center" wrapText="1"/>
    </xf>
    <xf numFmtId="166" fontId="14" fillId="7" borderId="0" xfId="0" applyNumberFormat="1" applyFont="1" applyFill="1" applyAlignment="1">
      <alignment horizontal="center" vertical="center"/>
    </xf>
    <xf numFmtId="166" fontId="15" fillId="9" borderId="0" xfId="0" applyNumberFormat="1" applyFont="1" applyFill="1" applyAlignment="1">
      <alignment horizontal="center" vertical="center"/>
    </xf>
    <xf numFmtId="166" fontId="14" fillId="0" borderId="0" xfId="6" applyNumberFormat="1" applyFont="1" applyAlignment="1">
      <alignment vertical="center"/>
    </xf>
    <xf numFmtId="166" fontId="14" fillId="0" borderId="0" xfId="0" applyNumberFormat="1" applyFont="1"/>
    <xf numFmtId="0" fontId="12" fillId="0" borderId="0" xfId="0" applyFont="1"/>
    <xf numFmtId="0" fontId="11" fillId="0" borderId="1" xfId="0" applyFont="1" applyBorder="1" applyAlignment="1">
      <alignment horizontal="center"/>
    </xf>
    <xf numFmtId="0" fontId="11" fillId="0" borderId="1" xfId="0" applyFont="1" applyBorder="1"/>
    <xf numFmtId="0" fontId="12" fillId="0" borderId="1" xfId="0" applyFont="1" applyBorder="1" applyAlignment="1">
      <alignment horizontal="center"/>
    </xf>
    <xf numFmtId="43" fontId="11" fillId="0" borderId="1" xfId="6" applyFont="1" applyBorder="1"/>
    <xf numFmtId="0" fontId="11" fillId="0" borderId="1" xfId="0" applyFont="1" applyBorder="1" applyAlignment="1">
      <alignment wrapText="1"/>
    </xf>
    <xf numFmtId="0" fontId="12" fillId="0" borderId="1" xfId="0" applyFont="1" applyBorder="1"/>
    <xf numFmtId="164" fontId="12" fillId="0" borderId="1" xfId="0" applyNumberFormat="1" applyFont="1" applyBorder="1"/>
    <xf numFmtId="0" fontId="14" fillId="0" borderId="0" xfId="0" applyFont="1" applyAlignment="1">
      <alignment horizontal="center"/>
    </xf>
    <xf numFmtId="9" fontId="14" fillId="0" borderId="0" xfId="1" applyFont="1" applyAlignment="1">
      <alignment horizontal="center" vertical="center"/>
    </xf>
    <xf numFmtId="14" fontId="14" fillId="0" borderId="0" xfId="0" applyNumberFormat="1" applyFont="1" applyAlignment="1">
      <alignment horizontal="center"/>
    </xf>
    <xf numFmtId="0" fontId="39" fillId="0" borderId="0" xfId="0" applyFont="1" applyAlignment="1">
      <alignment horizontal="center" vertical="center"/>
    </xf>
    <xf numFmtId="0" fontId="39" fillId="0" borderId="0" xfId="0" applyFont="1" applyAlignment="1">
      <alignment vertical="center"/>
    </xf>
    <xf numFmtId="0" fontId="31" fillId="0" borderId="0" xfId="8" applyAlignment="1">
      <alignment horizontal="center" vertical="center" wrapText="1"/>
    </xf>
    <xf numFmtId="3" fontId="14" fillId="0" borderId="0" xfId="0" applyNumberFormat="1" applyFont="1" applyAlignment="1">
      <alignment horizontal="center" vertical="center" wrapText="1"/>
    </xf>
    <xf numFmtId="4" fontId="14" fillId="0" borderId="0" xfId="0" applyNumberFormat="1" applyFont="1" applyAlignment="1">
      <alignment horizontal="center" vertical="center" wrapText="1"/>
    </xf>
    <xf numFmtId="9" fontId="14" fillId="0" borderId="1" xfId="0" applyNumberFormat="1" applyFont="1" applyBorder="1" applyAlignment="1">
      <alignment vertical="center"/>
    </xf>
    <xf numFmtId="0" fontId="31" fillId="0" borderId="1" xfId="8" applyBorder="1" applyAlignment="1">
      <alignment vertical="center" wrapText="1"/>
    </xf>
    <xf numFmtId="0" fontId="15" fillId="0" borderId="2" xfId="0" applyFont="1" applyBorder="1" applyAlignment="1">
      <alignment vertical="center" wrapText="1"/>
    </xf>
    <xf numFmtId="0" fontId="20" fillId="0" borderId="0" xfId="0" applyFont="1" applyAlignment="1">
      <alignment vertical="center"/>
    </xf>
    <xf numFmtId="0" fontId="14" fillId="18" borderId="1" xfId="0" applyFont="1" applyFill="1" applyBorder="1" applyAlignment="1">
      <alignment vertical="center"/>
    </xf>
    <xf numFmtId="9" fontId="15" fillId="18" borderId="1" xfId="0" applyNumberFormat="1" applyFont="1" applyFill="1" applyBorder="1" applyAlignment="1">
      <alignment vertical="center"/>
    </xf>
    <xf numFmtId="0" fontId="15" fillId="18" borderId="1" xfId="0" applyFont="1" applyFill="1" applyBorder="1" applyAlignment="1">
      <alignment vertical="center"/>
    </xf>
    <xf numFmtId="0" fontId="14" fillId="18" borderId="1" xfId="0" applyFont="1" applyFill="1" applyBorder="1" applyAlignment="1">
      <alignment vertical="center" wrapText="1"/>
    </xf>
    <xf numFmtId="0" fontId="14" fillId="7" borderId="0" xfId="0" applyFont="1" applyFill="1" applyAlignment="1">
      <alignment vertical="center" wrapText="1"/>
    </xf>
    <xf numFmtId="3" fontId="14" fillId="0" borderId="0" xfId="0" applyNumberFormat="1" applyFont="1" applyAlignment="1">
      <alignment horizontal="center"/>
    </xf>
    <xf numFmtId="3" fontId="14" fillId="0" borderId="0" xfId="0" applyNumberFormat="1" applyFont="1" applyAlignment="1">
      <alignment vertical="center"/>
    </xf>
    <xf numFmtId="3" fontId="15" fillId="0" borderId="2" xfId="0" applyNumberFormat="1" applyFont="1" applyBorder="1" applyAlignment="1">
      <alignment horizontal="center" vertical="center" wrapText="1"/>
    </xf>
    <xf numFmtId="3" fontId="14" fillId="12" borderId="0" xfId="0" applyNumberFormat="1" applyFont="1" applyFill="1" applyAlignment="1">
      <alignment horizontal="center" vertical="center"/>
    </xf>
    <xf numFmtId="3" fontId="14" fillId="0" borderId="4" xfId="0" applyNumberFormat="1" applyFont="1" applyBorder="1" applyAlignment="1">
      <alignment horizontal="center"/>
    </xf>
    <xf numFmtId="0" fontId="14" fillId="9" borderId="0" xfId="0" applyFont="1" applyFill="1" applyAlignment="1">
      <alignment horizontal="center" vertical="center" wrapText="1"/>
    </xf>
    <xf numFmtId="0" fontId="15" fillId="0" borderId="4" xfId="0" applyFont="1" applyBorder="1" applyAlignment="1">
      <alignment horizontal="center" vertical="center"/>
    </xf>
    <xf numFmtId="0" fontId="14" fillId="0" borderId="4" xfId="0" applyFont="1" applyBorder="1" applyAlignment="1">
      <alignment vertical="center" wrapText="1"/>
    </xf>
    <xf numFmtId="0" fontId="14" fillId="0" borderId="4" xfId="0" applyFont="1" applyBorder="1" applyAlignment="1">
      <alignment horizontal="center" vertical="center" wrapText="1"/>
    </xf>
    <xf numFmtId="9" fontId="14" fillId="0" borderId="4" xfId="1" applyFont="1" applyBorder="1" applyAlignment="1">
      <alignment horizontal="center" vertical="center"/>
    </xf>
    <xf numFmtId="3" fontId="14" fillId="0" borderId="4" xfId="0" applyNumberFormat="1" applyFont="1" applyBorder="1" applyAlignment="1">
      <alignment horizontal="center" vertical="center"/>
    </xf>
    <xf numFmtId="0" fontId="11" fillId="0" borderId="0" xfId="9"/>
    <xf numFmtId="0" fontId="11" fillId="0" borderId="0" xfId="9" applyAlignment="1">
      <alignment horizontal="center"/>
    </xf>
    <xf numFmtId="0" fontId="12" fillId="0" borderId="1" xfId="9" applyFont="1" applyBorder="1"/>
    <xf numFmtId="0" fontId="11" fillId="0" borderId="1" xfId="9" applyBorder="1"/>
    <xf numFmtId="169" fontId="45" fillId="0" borderId="1" xfId="11" applyNumberFormat="1" applyFont="1" applyFill="1" applyBorder="1" applyAlignment="1" applyProtection="1">
      <alignment horizontal="center"/>
    </xf>
    <xf numFmtId="164" fontId="0" fillId="0" borderId="1" xfId="11" applyFont="1" applyBorder="1"/>
    <xf numFmtId="0" fontId="11" fillId="0" borderId="1" xfId="9" applyBorder="1" applyAlignment="1">
      <alignment horizontal="center"/>
    </xf>
    <xf numFmtId="169" fontId="0" fillId="0" borderId="23" xfId="11" applyNumberFormat="1" applyFont="1" applyBorder="1" applyAlignment="1"/>
    <xf numFmtId="169" fontId="0" fillId="0" borderId="1" xfId="11" applyNumberFormat="1" applyFont="1" applyBorder="1" applyAlignment="1"/>
    <xf numFmtId="169" fontId="46" fillId="0" borderId="23" xfId="11" applyNumberFormat="1" applyFont="1" applyBorder="1" applyAlignment="1"/>
    <xf numFmtId="169" fontId="46" fillId="0" borderId="1" xfId="11" applyNumberFormat="1" applyFont="1" applyBorder="1" applyAlignment="1"/>
    <xf numFmtId="0" fontId="11" fillId="0" borderId="4" xfId="9" applyBorder="1" applyAlignment="1">
      <alignment horizontal="center"/>
    </xf>
    <xf numFmtId="0" fontId="12" fillId="0" borderId="0" xfId="9" applyFont="1" applyAlignment="1">
      <alignment horizontal="right"/>
    </xf>
    <xf numFmtId="0" fontId="12" fillId="0" borderId="23" xfId="9" applyFont="1" applyBorder="1" applyAlignment="1">
      <alignment horizontal="center"/>
    </xf>
    <xf numFmtId="0" fontId="12" fillId="0" borderId="1" xfId="9" applyFont="1" applyBorder="1" applyAlignment="1">
      <alignment horizontal="center"/>
    </xf>
    <xf numFmtId="0" fontId="11" fillId="0" borderId="24" xfId="9" applyBorder="1" applyAlignment="1">
      <alignment horizontal="center"/>
    </xf>
    <xf numFmtId="0" fontId="11" fillId="0" borderId="3" xfId="9" applyBorder="1" applyAlignment="1">
      <alignment horizontal="center"/>
    </xf>
    <xf numFmtId="0" fontId="49" fillId="0" borderId="18" xfId="9" applyFont="1" applyBorder="1"/>
    <xf numFmtId="0" fontId="11" fillId="0" borderId="29" xfId="9" applyBorder="1"/>
    <xf numFmtId="0" fontId="11" fillId="0" borderId="20" xfId="9" applyBorder="1"/>
    <xf numFmtId="164" fontId="49" fillId="0" borderId="31" xfId="11" applyFont="1" applyBorder="1"/>
    <xf numFmtId="164" fontId="49" fillId="0" borderId="20" xfId="11" applyFont="1" applyFill="1" applyBorder="1"/>
    <xf numFmtId="164" fontId="0" fillId="0" borderId="0" xfId="11" applyFont="1"/>
    <xf numFmtId="164" fontId="49" fillId="7" borderId="20" xfId="11" applyFont="1" applyFill="1" applyBorder="1"/>
    <xf numFmtId="164" fontId="49" fillId="0" borderId="3" xfId="11" applyFont="1" applyBorder="1"/>
    <xf numFmtId="164" fontId="49" fillId="0" borderId="20" xfId="11" applyFont="1" applyBorder="1"/>
    <xf numFmtId="0" fontId="49" fillId="0" borderId="3" xfId="9" applyFont="1" applyBorder="1"/>
    <xf numFmtId="164" fontId="49" fillId="0" borderId="31" xfId="11" applyFont="1" applyBorder="1" applyAlignment="1">
      <alignment wrapText="1"/>
    </xf>
    <xf numFmtId="0" fontId="11" fillId="0" borderId="3" xfId="9" applyBorder="1" applyAlignment="1">
      <alignment horizontal="right"/>
    </xf>
    <xf numFmtId="0" fontId="11" fillId="0" borderId="0" xfId="9" applyAlignment="1">
      <alignment horizontal="left"/>
    </xf>
    <xf numFmtId="0" fontId="11" fillId="0" borderId="3" xfId="9" applyBorder="1"/>
    <xf numFmtId="0" fontId="11" fillId="0" borderId="21" xfId="9" applyBorder="1"/>
    <xf numFmtId="164" fontId="11" fillId="0" borderId="30" xfId="11" applyFont="1" applyBorder="1"/>
    <xf numFmtId="164" fontId="11" fillId="0" borderId="20" xfId="11" applyFont="1" applyBorder="1"/>
    <xf numFmtId="0" fontId="11" fillId="0" borderId="23" xfId="9" applyBorder="1" applyAlignment="1">
      <alignment horizontal="center"/>
    </xf>
    <xf numFmtId="0" fontId="12" fillId="0" borderId="23" xfId="9" applyFont="1" applyBorder="1"/>
    <xf numFmtId="164" fontId="12" fillId="0" borderId="1" xfId="11" applyFont="1" applyBorder="1"/>
    <xf numFmtId="164" fontId="12" fillId="0" borderId="24" xfId="11" applyFont="1" applyBorder="1"/>
    <xf numFmtId="164" fontId="11" fillId="0" borderId="0" xfId="9" applyNumberFormat="1" applyAlignment="1">
      <alignment horizontal="center"/>
    </xf>
    <xf numFmtId="0" fontId="12" fillId="0" borderId="0" xfId="9" applyFont="1"/>
    <xf numFmtId="164" fontId="12" fillId="0" borderId="0" xfId="11" applyFont="1" applyBorder="1"/>
    <xf numFmtId="164" fontId="11" fillId="0" borderId="0" xfId="11" applyFont="1"/>
    <xf numFmtId="0" fontId="12" fillId="0" borderId="0" xfId="9" applyFont="1" applyAlignment="1">
      <alignment horizontal="left"/>
    </xf>
    <xf numFmtId="164" fontId="11" fillId="0" borderId="0" xfId="9" applyNumberFormat="1"/>
    <xf numFmtId="0" fontId="12" fillId="0" borderId="18" xfId="9" applyFont="1" applyBorder="1" applyAlignment="1">
      <alignment horizontal="center"/>
    </xf>
    <xf numFmtId="0" fontId="12" fillId="0" borderId="18" xfId="9" applyFont="1" applyBorder="1"/>
    <xf numFmtId="0" fontId="12" fillId="0" borderId="29" xfId="9" applyFont="1" applyBorder="1" applyAlignment="1">
      <alignment horizontal="center"/>
    </xf>
    <xf numFmtId="0" fontId="12" fillId="0" borderId="21" xfId="9" applyFont="1" applyBorder="1" applyAlignment="1">
      <alignment horizontal="center"/>
    </xf>
    <xf numFmtId="0" fontId="12" fillId="0" borderId="21" xfId="9" applyFont="1" applyBorder="1"/>
    <xf numFmtId="0" fontId="12" fillId="0" borderId="30" xfId="9" applyFont="1" applyBorder="1" applyAlignment="1">
      <alignment horizontal="center"/>
    </xf>
    <xf numFmtId="0" fontId="11" fillId="0" borderId="30" xfId="9" applyBorder="1"/>
    <xf numFmtId="0" fontId="11" fillId="0" borderId="31" xfId="9" applyBorder="1" applyAlignment="1">
      <alignment horizontal="center"/>
    </xf>
    <xf numFmtId="0" fontId="11" fillId="0" borderId="31" xfId="9" applyBorder="1"/>
    <xf numFmtId="0" fontId="11" fillId="0" borderId="3" xfId="9" applyBorder="1" applyAlignment="1">
      <alignment horizontal="center" vertical="center"/>
    </xf>
    <xf numFmtId="0" fontId="11" fillId="0" borderId="3" xfId="9" applyBorder="1" applyAlignment="1">
      <alignment vertical="center"/>
    </xf>
    <xf numFmtId="164" fontId="11" fillId="0" borderId="31" xfId="11" applyFont="1" applyBorder="1" applyAlignment="1">
      <alignment vertical="center"/>
    </xf>
    <xf numFmtId="10" fontId="11" fillId="0" borderId="31" xfId="3" applyNumberFormat="1" applyFont="1" applyBorder="1" applyAlignment="1">
      <alignment horizontal="center" vertical="center" wrapText="1"/>
    </xf>
    <xf numFmtId="10" fontId="11" fillId="0" borderId="31" xfId="3" applyNumberFormat="1" applyFont="1" applyBorder="1" applyAlignment="1">
      <alignment horizontal="center" vertical="center"/>
    </xf>
    <xf numFmtId="10" fontId="0" fillId="0" borderId="0" xfId="3" applyNumberFormat="1" applyFont="1"/>
    <xf numFmtId="0" fontId="11" fillId="0" borderId="3" xfId="9" applyBorder="1" applyAlignment="1">
      <alignment vertical="center" wrapText="1"/>
    </xf>
    <xf numFmtId="164" fontId="11" fillId="0" borderId="31" xfId="11" applyFont="1" applyBorder="1"/>
    <xf numFmtId="9" fontId="12" fillId="0" borderId="1" xfId="3" applyFont="1" applyBorder="1" applyAlignment="1">
      <alignment horizontal="center"/>
    </xf>
    <xf numFmtId="164" fontId="11" fillId="0" borderId="1" xfId="11" applyFont="1" applyBorder="1"/>
    <xf numFmtId="0" fontId="11" fillId="0" borderId="1" xfId="9" applyBorder="1" applyAlignment="1">
      <alignment wrapText="1"/>
    </xf>
    <xf numFmtId="164" fontId="12" fillId="0" borderId="1" xfId="9" applyNumberFormat="1" applyFont="1" applyBorder="1"/>
    <xf numFmtId="164" fontId="50" fillId="0" borderId="1" xfId="11" applyFont="1" applyFill="1" applyBorder="1" applyAlignment="1">
      <alignment horizontal="center"/>
    </xf>
    <xf numFmtId="164" fontId="54" fillId="0" borderId="1" xfId="11" applyFont="1" applyFill="1" applyBorder="1" applyAlignment="1">
      <alignment horizontal="center"/>
    </xf>
    <xf numFmtId="164" fontId="51" fillId="0" borderId="31" xfId="11" applyFont="1" applyFill="1" applyBorder="1"/>
    <xf numFmtId="164" fontId="51" fillId="0" borderId="30" xfId="11" applyFont="1" applyFill="1" applyBorder="1"/>
    <xf numFmtId="164" fontId="50" fillId="0" borderId="1" xfId="11" applyFont="1" applyFill="1" applyBorder="1"/>
    <xf numFmtId="164" fontId="51" fillId="0" borderId="3" xfId="11" applyFont="1" applyFill="1" applyBorder="1"/>
    <xf numFmtId="164" fontId="50" fillId="0" borderId="31" xfId="11" applyFont="1" applyFill="1" applyBorder="1"/>
    <xf numFmtId="169" fontId="50" fillId="0" borderId="1" xfId="11" applyNumberFormat="1" applyFont="1" applyFill="1" applyBorder="1"/>
    <xf numFmtId="164" fontId="50" fillId="0" borderId="0" xfId="11" applyFont="1" applyFill="1" applyBorder="1"/>
    <xf numFmtId="169" fontId="50" fillId="0" borderId="0" xfId="11" applyNumberFormat="1" applyFont="1" applyFill="1" applyBorder="1"/>
    <xf numFmtId="10" fontId="51" fillId="0" borderId="0" xfId="3" applyNumberFormat="1" applyFont="1" applyFill="1"/>
    <xf numFmtId="164" fontId="51" fillId="0" borderId="1" xfId="11" applyFont="1" applyFill="1" applyBorder="1"/>
    <xf numFmtId="164" fontId="57" fillId="0" borderId="1" xfId="11" applyFont="1" applyFill="1" applyBorder="1"/>
    <xf numFmtId="169" fontId="51" fillId="0" borderId="1" xfId="11" applyNumberFormat="1" applyFont="1" applyFill="1" applyBorder="1"/>
    <xf numFmtId="0" fontId="59" fillId="0" borderId="1" xfId="11" applyNumberFormat="1" applyFont="1" applyFill="1" applyBorder="1" applyAlignment="1">
      <alignment horizontal="center"/>
    </xf>
    <xf numFmtId="164" fontId="44" fillId="0" borderId="1" xfId="11" applyFont="1" applyFill="1" applyBorder="1" applyAlignment="1" applyProtection="1">
      <alignment horizontal="left"/>
    </xf>
    <xf numFmtId="0" fontId="12" fillId="0" borderId="1" xfId="11" applyNumberFormat="1" applyFont="1" applyFill="1" applyBorder="1"/>
    <xf numFmtId="164" fontId="12" fillId="0" borderId="1" xfId="11" applyFont="1" applyFill="1" applyBorder="1"/>
    <xf numFmtId="0" fontId="11" fillId="0" borderId="1" xfId="11" applyNumberFormat="1" applyFont="1" applyFill="1" applyBorder="1"/>
    <xf numFmtId="164" fontId="11" fillId="0" borderId="1" xfId="11" applyFont="1" applyFill="1" applyBorder="1"/>
    <xf numFmtId="164" fontId="0" fillId="0" borderId="1" xfId="11" applyFont="1" applyFill="1" applyBorder="1"/>
    <xf numFmtId="0" fontId="11" fillId="0" borderId="1" xfId="11" applyNumberFormat="1" applyFont="1" applyBorder="1"/>
    <xf numFmtId="0" fontId="11" fillId="19" borderId="1" xfId="11" applyNumberFormat="1" applyFont="1" applyFill="1" applyBorder="1"/>
    <xf numFmtId="164" fontId="11" fillId="19" borderId="1" xfId="11" applyFont="1" applyFill="1" applyBorder="1"/>
    <xf numFmtId="164" fontId="0" fillId="0" borderId="0" xfId="11" applyFont="1" applyAlignment="1">
      <alignment horizontal="center"/>
    </xf>
    <xf numFmtId="164" fontId="0" fillId="0" borderId="0" xfId="11" applyFont="1" applyAlignment="1">
      <alignment horizontal="left" indent="1"/>
    </xf>
    <xf numFmtId="164" fontId="11" fillId="0" borderId="0" xfId="11" applyFont="1" applyAlignment="1">
      <alignment horizontal="center"/>
    </xf>
    <xf numFmtId="164" fontId="60" fillId="0" borderId="0" xfId="11" applyFont="1" applyFill="1" applyBorder="1" applyAlignment="1">
      <alignment horizontal="center"/>
    </xf>
    <xf numFmtId="164" fontId="50" fillId="7" borderId="1" xfId="11" applyFont="1" applyFill="1" applyBorder="1" applyAlignment="1">
      <alignment horizontal="center"/>
    </xf>
    <xf numFmtId="169" fontId="12" fillId="0" borderId="1" xfId="11" applyNumberFormat="1" applyFont="1" applyFill="1" applyBorder="1"/>
    <xf numFmtId="164" fontId="11" fillId="20" borderId="1" xfId="11" applyFont="1" applyFill="1" applyBorder="1"/>
    <xf numFmtId="164" fontId="11" fillId="7" borderId="1" xfId="11" applyFont="1" applyFill="1" applyBorder="1"/>
    <xf numFmtId="164" fontId="61" fillId="0" borderId="1" xfId="11" applyFont="1" applyBorder="1"/>
    <xf numFmtId="164" fontId="0" fillId="20" borderId="1" xfId="11" applyFont="1" applyFill="1" applyBorder="1"/>
    <xf numFmtId="9" fontId="12" fillId="0" borderId="1" xfId="11" applyNumberFormat="1" applyFont="1" applyBorder="1"/>
    <xf numFmtId="169" fontId="11" fillId="0" borderId="1" xfId="11" applyNumberFormat="1" applyFont="1" applyBorder="1"/>
    <xf numFmtId="164" fontId="51" fillId="0" borderId="1" xfId="11" applyFont="1" applyFill="1" applyBorder="1" applyAlignment="1">
      <alignment horizontal="center"/>
    </xf>
    <xf numFmtId="164" fontId="0" fillId="0" borderId="31" xfId="11" applyFont="1" applyFill="1" applyBorder="1"/>
    <xf numFmtId="164" fontId="11" fillId="0" borderId="20" xfId="11" applyFont="1" applyFill="1" applyBorder="1"/>
    <xf numFmtId="164" fontId="0" fillId="0" borderId="20" xfId="11" applyFont="1" applyFill="1" applyBorder="1"/>
    <xf numFmtId="164" fontId="0" fillId="0" borderId="20" xfId="11" applyFont="1" applyBorder="1"/>
    <xf numFmtId="164" fontId="11" fillId="0" borderId="31" xfId="11" applyFont="1" applyFill="1" applyBorder="1"/>
    <xf numFmtId="164" fontId="12" fillId="0" borderId="31" xfId="11" applyFont="1" applyFill="1" applyBorder="1"/>
    <xf numFmtId="164" fontId="0" fillId="0" borderId="30" xfId="11" applyFont="1" applyFill="1" applyBorder="1"/>
    <xf numFmtId="164" fontId="11" fillId="0" borderId="22" xfId="11" applyFont="1" applyFill="1" applyBorder="1"/>
    <xf numFmtId="164" fontId="11" fillId="0" borderId="22" xfId="11" applyFont="1" applyBorder="1"/>
    <xf numFmtId="164" fontId="0" fillId="0" borderId="2" xfId="11" applyFont="1" applyFill="1" applyBorder="1"/>
    <xf numFmtId="164" fontId="0" fillId="0" borderId="0" xfId="11" applyFont="1" applyFill="1"/>
    <xf numFmtId="164" fontId="0" fillId="20" borderId="0" xfId="11" applyFont="1" applyFill="1"/>
    <xf numFmtId="164" fontId="12" fillId="0" borderId="0" xfId="11" applyFont="1" applyFill="1"/>
    <xf numFmtId="10" fontId="11" fillId="0" borderId="1" xfId="3" applyNumberFormat="1" applyFont="1" applyFill="1" applyBorder="1"/>
    <xf numFmtId="164" fontId="46" fillId="0" borderId="1" xfId="11" applyFont="1" applyFill="1" applyBorder="1"/>
    <xf numFmtId="164" fontId="12" fillId="0" borderId="0" xfId="11" applyFont="1"/>
    <xf numFmtId="180" fontId="12" fillId="0" borderId="0" xfId="11" applyNumberFormat="1" applyFont="1"/>
    <xf numFmtId="169" fontId="0" fillId="0" borderId="0" xfId="11" applyNumberFormat="1" applyFont="1"/>
    <xf numFmtId="164" fontId="60" fillId="0" borderId="1" xfId="11" applyFont="1" applyFill="1" applyBorder="1" applyAlignment="1">
      <alignment horizontal="center"/>
    </xf>
    <xf numFmtId="164" fontId="44" fillId="0" borderId="1" xfId="11" applyFont="1" applyFill="1" applyBorder="1" applyAlignment="1" applyProtection="1">
      <alignment horizontal="center"/>
    </xf>
    <xf numFmtId="10" fontId="12" fillId="0" borderId="1" xfId="3" applyNumberFormat="1" applyFont="1" applyFill="1" applyBorder="1"/>
    <xf numFmtId="169" fontId="11" fillId="0" borderId="1" xfId="11" applyNumberFormat="1" applyFont="1" applyFill="1" applyBorder="1"/>
    <xf numFmtId="10" fontId="12" fillId="0" borderId="1" xfId="3" applyNumberFormat="1" applyFont="1" applyBorder="1"/>
    <xf numFmtId="181" fontId="11" fillId="0" borderId="1" xfId="11" applyNumberFormat="1" applyFont="1" applyBorder="1"/>
    <xf numFmtId="169" fontId="12" fillId="0" borderId="1" xfId="11" applyNumberFormat="1" applyFont="1" applyBorder="1"/>
    <xf numFmtId="10" fontId="11" fillId="0" borderId="1" xfId="3" applyNumberFormat="1" applyFont="1" applyBorder="1"/>
    <xf numFmtId="164" fontId="11" fillId="0" borderId="1" xfId="11" applyFont="1" applyBorder="1" applyAlignment="1">
      <alignment horizontal="center"/>
    </xf>
    <xf numFmtId="164" fontId="11" fillId="0" borderId="1" xfId="11" applyFont="1" applyBorder="1" applyAlignment="1">
      <alignment horizontal="right"/>
    </xf>
    <xf numFmtId="9" fontId="11" fillId="0" borderId="1" xfId="3" applyFont="1" applyBorder="1"/>
    <xf numFmtId="9" fontId="46" fillId="0" borderId="1" xfId="3" applyFont="1" applyBorder="1"/>
    <xf numFmtId="173" fontId="0" fillId="0" borderId="50" xfId="11" applyNumberFormat="1" applyFont="1" applyBorder="1" applyAlignment="1">
      <alignment horizontal="right"/>
    </xf>
    <xf numFmtId="173" fontId="2" fillId="0" borderId="1" xfId="11" applyNumberFormat="1" applyFont="1" applyBorder="1" applyAlignment="1">
      <alignment horizontal="right"/>
    </xf>
    <xf numFmtId="173" fontId="2" fillId="0" borderId="1" xfId="11" applyNumberFormat="1" applyFont="1" applyBorder="1" applyAlignment="1">
      <alignment horizontal="center" vertical="center" wrapText="1"/>
    </xf>
    <xf numFmtId="43" fontId="10" fillId="7" borderId="1" xfId="12" applyFont="1" applyFill="1" applyBorder="1" applyAlignment="1">
      <alignment horizontal="center" vertical="center"/>
    </xf>
    <xf numFmtId="173" fontId="0" fillId="0" borderId="1" xfId="11" applyNumberFormat="1" applyFont="1" applyBorder="1" applyAlignment="1">
      <alignment horizontal="right"/>
    </xf>
    <xf numFmtId="43" fontId="10" fillId="0" borderId="1" xfId="12" applyFont="1" applyFill="1" applyBorder="1" applyAlignment="1">
      <alignment horizontal="center" vertical="center"/>
    </xf>
    <xf numFmtId="173" fontId="0" fillId="0" borderId="1" xfId="11" applyNumberFormat="1" applyFont="1" applyBorder="1" applyAlignment="1">
      <alignment horizontal="right" vertical="center"/>
    </xf>
    <xf numFmtId="173" fontId="0" fillId="0" borderId="1" xfId="11" applyNumberFormat="1" applyFont="1" applyBorder="1" applyAlignment="1">
      <alignment vertical="center"/>
    </xf>
    <xf numFmtId="173" fontId="0" fillId="0" borderId="1" xfId="11" applyNumberFormat="1" applyFont="1" applyBorder="1" applyAlignment="1">
      <alignment horizontal="right" vertical="top"/>
    </xf>
    <xf numFmtId="173" fontId="2" fillId="0" borderId="1" xfId="11" applyNumberFormat="1" applyFont="1" applyBorder="1" applyAlignment="1">
      <alignment horizontal="right" vertical="center"/>
    </xf>
    <xf numFmtId="164" fontId="0" fillId="0" borderId="1" xfId="11" applyFont="1" applyBorder="1" applyAlignment="1">
      <alignment horizontal="center"/>
    </xf>
    <xf numFmtId="164" fontId="0" fillId="0" borderId="1" xfId="11" applyFont="1" applyBorder="1" applyAlignment="1">
      <alignment horizontal="right"/>
    </xf>
    <xf numFmtId="164" fontId="2" fillId="0" borderId="1" xfId="11" applyFont="1" applyBorder="1" applyAlignment="1">
      <alignment horizontal="right"/>
    </xf>
    <xf numFmtId="173" fontId="0" fillId="0" borderId="0" xfId="11" applyNumberFormat="1" applyFont="1" applyBorder="1" applyAlignment="1">
      <alignment horizontal="right"/>
    </xf>
    <xf numFmtId="173" fontId="0" fillId="0" borderId="16" xfId="11" applyNumberFormat="1" applyFont="1" applyBorder="1" applyAlignment="1">
      <alignment horizontal="right"/>
    </xf>
    <xf numFmtId="43" fontId="0" fillId="0" borderId="0" xfId="12" applyFont="1"/>
    <xf numFmtId="43" fontId="2" fillId="0" borderId="1" xfId="12" applyFont="1" applyBorder="1" applyAlignment="1">
      <alignment horizontal="center" vertical="center" wrapText="1"/>
    </xf>
    <xf numFmtId="43" fontId="0" fillId="0" borderId="1" xfId="12" applyFont="1" applyBorder="1"/>
    <xf numFmtId="43" fontId="2" fillId="0" borderId="1" xfId="12" applyFont="1" applyBorder="1"/>
    <xf numFmtId="9" fontId="15" fillId="0" borderId="0" xfId="0" applyNumberFormat="1" applyFont="1" applyAlignment="1">
      <alignment horizontal="center" vertical="center"/>
    </xf>
    <xf numFmtId="10" fontId="25" fillId="0" borderId="0" xfId="1" applyNumberFormat="1" applyFont="1" applyAlignment="1">
      <alignment vertical="center"/>
    </xf>
    <xf numFmtId="165" fontId="14" fillId="7" borderId="1" xfId="0" applyNumberFormat="1" applyFont="1" applyFill="1" applyBorder="1" applyAlignment="1">
      <alignment horizontal="center" vertical="center"/>
    </xf>
    <xf numFmtId="17" fontId="15" fillId="12" borderId="0" xfId="0" applyNumberFormat="1" applyFont="1" applyFill="1" applyAlignment="1">
      <alignment horizontal="center" vertical="center"/>
    </xf>
    <xf numFmtId="0" fontId="15" fillId="12" borderId="0" xfId="0" applyFont="1" applyFill="1" applyAlignment="1">
      <alignment horizontal="center" vertical="center"/>
    </xf>
    <xf numFmtId="10" fontId="15" fillId="12" borderId="0" xfId="0" applyNumberFormat="1" applyFont="1" applyFill="1" applyAlignment="1">
      <alignment horizontal="center" vertical="center"/>
    </xf>
    <xf numFmtId="10" fontId="33" fillId="7" borderId="0" xfId="3" applyNumberFormat="1" applyFont="1" applyFill="1" applyAlignment="1">
      <alignment horizontal="right" vertical="center"/>
    </xf>
    <xf numFmtId="0" fontId="15" fillId="12" borderId="0" xfId="0" applyFont="1" applyFill="1" applyAlignment="1">
      <alignment horizontal="left" vertical="center"/>
    </xf>
    <xf numFmtId="0" fontId="14" fillId="12" borderId="0" xfId="0" applyFont="1" applyFill="1" applyAlignment="1">
      <alignment horizontal="left" vertical="center"/>
    </xf>
    <xf numFmtId="0" fontId="14" fillId="12" borderId="1" xfId="0" applyFont="1" applyFill="1" applyBorder="1" applyAlignment="1">
      <alignment vertical="center"/>
    </xf>
    <xf numFmtId="10" fontId="0" fillId="0" borderId="1" xfId="0" applyNumberFormat="1" applyBorder="1"/>
    <xf numFmtId="0" fontId="29" fillId="0" borderId="0" xfId="0" applyFont="1" applyAlignment="1">
      <alignment horizontal="left" vertical="center"/>
    </xf>
    <xf numFmtId="2" fontId="29" fillId="0" borderId="0" xfId="0" applyNumberFormat="1" applyFont="1" applyAlignment="1">
      <alignment vertical="center"/>
    </xf>
    <xf numFmtId="165" fontId="29" fillId="0" borderId="0" xfId="0" applyNumberFormat="1" applyFont="1" applyAlignment="1">
      <alignment horizontal="center" vertical="center"/>
    </xf>
    <xf numFmtId="0" fontId="29" fillId="0" borderId="0" xfId="0" applyFont="1" applyAlignment="1">
      <alignment vertical="center"/>
    </xf>
    <xf numFmtId="10" fontId="0" fillId="0" borderId="1" xfId="1" applyNumberFormat="1" applyFont="1" applyBorder="1"/>
    <xf numFmtId="0" fontId="0" fillId="7" borderId="1" xfId="0" applyFill="1" applyBorder="1"/>
    <xf numFmtId="43" fontId="14" fillId="12" borderId="0" xfId="0" applyNumberFormat="1" applyFont="1" applyFill="1" applyAlignment="1">
      <alignment vertical="center"/>
    </xf>
    <xf numFmtId="43" fontId="25" fillId="12" borderId="0" xfId="6" applyFont="1" applyFill="1" applyAlignment="1">
      <alignment vertical="center"/>
    </xf>
    <xf numFmtId="43" fontId="14" fillId="0" borderId="1" xfId="6" applyFont="1" applyBorder="1" applyAlignment="1">
      <alignment vertical="center"/>
    </xf>
    <xf numFmtId="43" fontId="15" fillId="18" borderId="1" xfId="6" applyFont="1" applyFill="1" applyBorder="1" applyAlignment="1">
      <alignment vertical="center"/>
    </xf>
    <xf numFmtId="184" fontId="14" fillId="0" borderId="1" xfId="6" applyNumberFormat="1" applyFont="1" applyBorder="1" applyAlignment="1">
      <alignment vertical="center"/>
    </xf>
    <xf numFmtId="184" fontId="15" fillId="18" borderId="1" xfId="6" applyNumberFormat="1" applyFont="1" applyFill="1" applyBorder="1" applyAlignment="1">
      <alignment vertical="center"/>
    </xf>
    <xf numFmtId="0" fontId="75" fillId="18" borderId="1" xfId="0" applyFont="1" applyFill="1" applyBorder="1" applyAlignment="1">
      <alignment wrapText="1"/>
    </xf>
    <xf numFmtId="173" fontId="0" fillId="0" borderId="0" xfId="0" applyNumberFormat="1"/>
    <xf numFmtId="0" fontId="31" fillId="7" borderId="1" xfId="8" applyFill="1" applyBorder="1" applyAlignment="1">
      <alignment vertical="center" wrapText="1"/>
    </xf>
    <xf numFmtId="43" fontId="76" fillId="0" borderId="0" xfId="0" applyNumberFormat="1" applyFont="1"/>
    <xf numFmtId="10" fontId="14" fillId="0" borderId="1" xfId="0" applyNumberFormat="1" applyFont="1" applyBorder="1" applyAlignment="1">
      <alignment vertical="center"/>
    </xf>
    <xf numFmtId="10" fontId="15" fillId="18" borderId="1" xfId="0" applyNumberFormat="1" applyFont="1" applyFill="1" applyBorder="1" applyAlignment="1">
      <alignment vertical="center"/>
    </xf>
    <xf numFmtId="2" fontId="14" fillId="7" borderId="1" xfId="0" applyNumberFormat="1" applyFont="1" applyFill="1" applyBorder="1" applyAlignment="1">
      <alignment vertical="center"/>
    </xf>
    <xf numFmtId="166" fontId="25" fillId="12" borderId="0" xfId="0" applyNumberFormat="1" applyFont="1" applyFill="1" applyAlignment="1">
      <alignment vertical="center"/>
    </xf>
    <xf numFmtId="166" fontId="15" fillId="12" borderId="0" xfId="0" applyNumberFormat="1" applyFont="1" applyFill="1" applyAlignment="1">
      <alignment vertical="center"/>
    </xf>
    <xf numFmtId="185" fontId="0" fillId="0" borderId="0" xfId="0" applyNumberFormat="1"/>
    <xf numFmtId="43" fontId="0" fillId="0" borderId="0" xfId="6" applyFont="1"/>
    <xf numFmtId="43" fontId="0" fillId="0" borderId="0" xfId="0" applyNumberFormat="1"/>
    <xf numFmtId="0" fontId="0" fillId="0" borderId="1" xfId="0" applyBorder="1" applyAlignment="1">
      <alignment horizontal="center"/>
    </xf>
    <xf numFmtId="0" fontId="2" fillId="0" borderId="1" xfId="0" applyFont="1" applyBorder="1"/>
    <xf numFmtId="0" fontId="0" fillId="0" borderId="0" xfId="0" applyAlignment="1">
      <alignment vertical="center"/>
    </xf>
    <xf numFmtId="0" fontId="74" fillId="0" borderId="0" xfId="0" applyFont="1"/>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173" fontId="0" fillId="0" borderId="1" xfId="12" applyNumberFormat="1" applyFont="1" applyBorder="1" applyAlignment="1">
      <alignment vertical="center" wrapText="1"/>
    </xf>
    <xf numFmtId="43" fontId="0" fillId="0" borderId="1" xfId="12" applyFont="1" applyBorder="1" applyAlignment="1">
      <alignment vertical="center" wrapText="1"/>
    </xf>
    <xf numFmtId="43" fontId="0" fillId="0" borderId="1" xfId="12" applyFont="1" applyFill="1" applyBorder="1" applyAlignment="1">
      <alignment vertical="center" wrapText="1"/>
    </xf>
    <xf numFmtId="0" fontId="12" fillId="0" borderId="0" xfId="0" applyFont="1" applyAlignment="1">
      <alignment horizontal="center"/>
    </xf>
    <xf numFmtId="0" fontId="11" fillId="0" borderId="0" xfId="0" applyFont="1" applyAlignment="1">
      <alignment horizontal="center"/>
    </xf>
    <xf numFmtId="0" fontId="43" fillId="0" borderId="0" xfId="0" applyFont="1"/>
    <xf numFmtId="0" fontId="43" fillId="0" borderId="1" xfId="0" applyFont="1" applyBorder="1"/>
    <xf numFmtId="0" fontId="44" fillId="0" borderId="1" xfId="0" applyFont="1" applyBorder="1" applyAlignment="1">
      <alignment horizontal="center"/>
    </xf>
    <xf numFmtId="9" fontId="45" fillId="0" borderId="1" xfId="0" applyNumberFormat="1" applyFont="1" applyBorder="1" applyAlignment="1">
      <alignment horizontal="center"/>
    </xf>
    <xf numFmtId="0" fontId="11" fillId="7" borderId="1" xfId="0" applyFont="1" applyFill="1" applyBorder="1"/>
    <xf numFmtId="0" fontId="46" fillId="0" borderId="0" xfId="0" applyFont="1"/>
    <xf numFmtId="0" fontId="47" fillId="0" borderId="0" xfId="0" applyFont="1"/>
    <xf numFmtId="0" fontId="47" fillId="0" borderId="0" xfId="0" applyFont="1" applyAlignment="1">
      <alignment horizontal="right"/>
    </xf>
    <xf numFmtId="0" fontId="48" fillId="0" borderId="0" xfId="0" applyFont="1"/>
    <xf numFmtId="0" fontId="46" fillId="0" borderId="1" xfId="0" applyFont="1" applyBorder="1"/>
    <xf numFmtId="0" fontId="43" fillId="0" borderId="0" xfId="0" applyFont="1" applyAlignment="1">
      <alignment horizontal="center"/>
    </xf>
    <xf numFmtId="0" fontId="11" fillId="0" borderId="0" xfId="0" applyFont="1"/>
    <xf numFmtId="0" fontId="11" fillId="0" borderId="4" xfId="0" applyFont="1" applyBorder="1" applyAlignment="1">
      <alignment horizontal="center"/>
    </xf>
    <xf numFmtId="0" fontId="12" fillId="0" borderId="0" xfId="0" applyFont="1" applyAlignment="1">
      <alignment horizontal="right"/>
    </xf>
    <xf numFmtId="0" fontId="12" fillId="0" borderId="23" xfId="0" applyFont="1" applyBorder="1" applyAlignment="1">
      <alignment horizontal="center"/>
    </xf>
    <xf numFmtId="0" fontId="11" fillId="0" borderId="24" xfId="0" applyFont="1" applyBorder="1" applyAlignment="1">
      <alignment horizontal="center"/>
    </xf>
    <xf numFmtId="0" fontId="11" fillId="0" borderId="3" xfId="0" applyFont="1" applyBorder="1" applyAlignment="1">
      <alignment horizontal="center"/>
    </xf>
    <xf numFmtId="0" fontId="49" fillId="0" borderId="18" xfId="0" applyFont="1" applyBorder="1"/>
    <xf numFmtId="0" fontId="11" fillId="0" borderId="29" xfId="0" applyFont="1" applyBorder="1"/>
    <xf numFmtId="0" fontId="11" fillId="0" borderId="20" xfId="0" applyFont="1" applyBorder="1"/>
    <xf numFmtId="0" fontId="49" fillId="0" borderId="3" xfId="0" applyFont="1" applyBorder="1"/>
    <xf numFmtId="0" fontId="11" fillId="0" borderId="3" xfId="0" applyFont="1" applyBorder="1" applyAlignment="1">
      <alignment horizontal="right"/>
    </xf>
    <xf numFmtId="0" fontId="0" fillId="0" borderId="0" xfId="0" applyAlignment="1">
      <alignment horizontal="left"/>
    </xf>
    <xf numFmtId="0" fontId="11" fillId="0" borderId="3" xfId="0" applyFont="1" applyBorder="1"/>
    <xf numFmtId="0" fontId="11" fillId="0" borderId="21" xfId="0" applyFont="1" applyBorder="1"/>
    <xf numFmtId="0" fontId="11" fillId="0" borderId="23" xfId="0" applyFont="1" applyBorder="1" applyAlignment="1">
      <alignment horizontal="center"/>
    </xf>
    <xf numFmtId="0" fontId="12" fillId="0" borderId="23" xfId="0" applyFont="1" applyBorder="1"/>
    <xf numFmtId="164" fontId="0" fillId="0" borderId="0" xfId="0" applyNumberFormat="1" applyAlignment="1">
      <alignment horizontal="center"/>
    </xf>
    <xf numFmtId="0" fontId="12" fillId="0" borderId="0" xfId="0" applyFont="1" applyAlignment="1">
      <alignment horizontal="left"/>
    </xf>
    <xf numFmtId="164" fontId="11" fillId="0" borderId="0" xfId="0" applyNumberFormat="1" applyFont="1"/>
    <xf numFmtId="0" fontId="12" fillId="0" borderId="18" xfId="0" applyFont="1" applyBorder="1" applyAlignment="1">
      <alignment horizontal="center"/>
    </xf>
    <xf numFmtId="0" fontId="12" fillId="0" borderId="18" xfId="0" applyFont="1" applyBorder="1"/>
    <xf numFmtId="0" fontId="12" fillId="0" borderId="29" xfId="0" applyFont="1" applyBorder="1" applyAlignment="1">
      <alignment horizontal="center"/>
    </xf>
    <xf numFmtId="0" fontId="12" fillId="0" borderId="21" xfId="0" applyFont="1" applyBorder="1" applyAlignment="1">
      <alignment horizontal="center"/>
    </xf>
    <xf numFmtId="0" fontId="12" fillId="0" borderId="21" xfId="0" applyFont="1" applyBorder="1"/>
    <xf numFmtId="0" fontId="12" fillId="0" borderId="30" xfId="0" applyFont="1" applyBorder="1" applyAlignment="1">
      <alignment horizontal="center"/>
    </xf>
    <xf numFmtId="0" fontId="11" fillId="0" borderId="30" xfId="0" applyFont="1" applyBorder="1"/>
    <xf numFmtId="0" fontId="11" fillId="0" borderId="31" xfId="0" applyFont="1" applyBorder="1" applyAlignment="1">
      <alignment horizontal="center"/>
    </xf>
    <xf numFmtId="0" fontId="11" fillId="0" borderId="31" xfId="0" applyFont="1" applyBorder="1"/>
    <xf numFmtId="0" fontId="11" fillId="0" borderId="3"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vertical="center" wrapText="1"/>
    </xf>
    <xf numFmtId="0" fontId="50" fillId="0" borderId="0" xfId="0" applyFont="1" applyAlignment="1">
      <alignment horizontal="center"/>
    </xf>
    <xf numFmtId="0" fontId="51" fillId="0" borderId="0" xfId="0" applyFont="1"/>
    <xf numFmtId="0" fontId="51" fillId="0" borderId="0" xfId="0" applyFont="1" applyAlignment="1">
      <alignment horizontal="right"/>
    </xf>
    <xf numFmtId="0" fontId="52" fillId="0" borderId="18" xfId="0" applyFont="1" applyBorder="1"/>
    <xf numFmtId="0" fontId="53" fillId="0" borderId="21" xfId="0" applyFont="1" applyBorder="1"/>
    <xf numFmtId="0" fontId="53" fillId="0" borderId="4" xfId="0" applyFont="1" applyBorder="1"/>
    <xf numFmtId="0" fontId="51" fillId="0" borderId="3" xfId="0" applyFont="1" applyBorder="1"/>
    <xf numFmtId="0" fontId="55" fillId="0" borderId="3" xfId="0" applyFont="1" applyBorder="1"/>
    <xf numFmtId="0" fontId="50" fillId="0" borderId="3" xfId="0" applyFont="1" applyBorder="1"/>
    <xf numFmtId="0" fontId="50" fillId="0" borderId="21" xfId="0" applyFont="1" applyBorder="1"/>
    <xf numFmtId="0" fontId="50" fillId="0" borderId="0" xfId="0" applyFont="1"/>
    <xf numFmtId="0" fontId="52" fillId="0" borderId="0" xfId="0" applyFont="1"/>
    <xf numFmtId="0" fontId="56" fillId="0" borderId="0" xfId="0" applyFont="1"/>
    <xf numFmtId="164" fontId="51" fillId="0" borderId="0" xfId="0" applyNumberFormat="1" applyFont="1"/>
    <xf numFmtId="0" fontId="58" fillId="0" borderId="0" xfId="0" applyFont="1"/>
    <xf numFmtId="0" fontId="58" fillId="0" borderId="0" xfId="0" applyFont="1" applyAlignment="1">
      <alignment horizontal="right"/>
    </xf>
    <xf numFmtId="169" fontId="0" fillId="0" borderId="0" xfId="0" applyNumberFormat="1"/>
    <xf numFmtId="0" fontId="44" fillId="0" borderId="0" xfId="0" applyFont="1" applyAlignment="1">
      <alignment horizontal="center"/>
    </xf>
    <xf numFmtId="169" fontId="0" fillId="0" borderId="1" xfId="0" applyNumberFormat="1" applyBorder="1"/>
    <xf numFmtId="0" fontId="11" fillId="0" borderId="1" xfId="0" applyFont="1" applyBorder="1" applyAlignment="1">
      <alignment horizontal="center" wrapText="1"/>
    </xf>
    <xf numFmtId="0" fontId="0" fillId="0" borderId="1" xfId="0" applyBorder="1" applyAlignment="1">
      <alignment horizontal="right"/>
    </xf>
    <xf numFmtId="0" fontId="0" fillId="0" borderId="20" xfId="0" applyBorder="1"/>
    <xf numFmtId="0" fontId="0" fillId="0" borderId="29" xfId="0" applyBorder="1"/>
    <xf numFmtId="0" fontId="0" fillId="0" borderId="19" xfId="0" applyBorder="1"/>
    <xf numFmtId="0" fontId="0" fillId="0" borderId="31" xfId="0" applyBorder="1"/>
    <xf numFmtId="10" fontId="0" fillId="0" borderId="31" xfId="0" applyNumberFormat="1" applyBorder="1"/>
    <xf numFmtId="10" fontId="11" fillId="0" borderId="31" xfId="0" applyNumberFormat="1" applyFont="1" applyBorder="1"/>
    <xf numFmtId="0" fontId="0" fillId="0" borderId="2" xfId="0" applyBorder="1"/>
    <xf numFmtId="0" fontId="11" fillId="20" borderId="0" xfId="0" applyFont="1" applyFill="1"/>
    <xf numFmtId="0" fontId="0" fillId="20" borderId="0" xfId="0" applyFill="1"/>
    <xf numFmtId="169" fontId="12" fillId="0" borderId="0" xfId="0" applyNumberFormat="1" applyFont="1"/>
    <xf numFmtId="1" fontId="12" fillId="0" borderId="0" xfId="0" applyNumberFormat="1" applyFont="1"/>
    <xf numFmtId="164" fontId="12" fillId="0" borderId="0" xfId="0" applyNumberFormat="1" applyFont="1"/>
    <xf numFmtId="180" fontId="0" fillId="0" borderId="0" xfId="0" applyNumberFormat="1"/>
    <xf numFmtId="169" fontId="62" fillId="0" borderId="0" xfId="0" applyNumberFormat="1" applyFont="1"/>
    <xf numFmtId="9" fontId="11" fillId="0" borderId="0" xfId="0" applyNumberFormat="1" applyFont="1"/>
    <xf numFmtId="10" fontId="11" fillId="0" borderId="0" xfId="0" applyNumberFormat="1" applyFont="1"/>
    <xf numFmtId="10" fontId="11" fillId="0" borderId="1" xfId="0" applyNumberFormat="1" applyFont="1" applyBorder="1"/>
    <xf numFmtId="9" fontId="11" fillId="0" borderId="1" xfId="0" applyNumberFormat="1" applyFont="1" applyBorder="1"/>
    <xf numFmtId="9" fontId="12" fillId="0" borderId="1" xfId="0" applyNumberFormat="1" applyFont="1" applyBorder="1"/>
    <xf numFmtId="0" fontId="46" fillId="0" borderId="31" xfId="0" applyFont="1" applyBorder="1"/>
    <xf numFmtId="164" fontId="11" fillId="0" borderId="1" xfId="0" applyNumberFormat="1" applyFont="1" applyBorder="1"/>
    <xf numFmtId="0" fontId="77" fillId="0" borderId="0" xfId="0" applyFont="1"/>
    <xf numFmtId="0" fontId="11" fillId="7" borderId="0" xfId="0" applyFont="1" applyFill="1"/>
    <xf numFmtId="169" fontId="11" fillId="0" borderId="0" xfId="0" applyNumberFormat="1" applyFont="1"/>
    <xf numFmtId="1" fontId="11" fillId="0" borderId="0" xfId="0" applyNumberFormat="1" applyFont="1"/>
    <xf numFmtId="180" fontId="0" fillId="0" borderId="0" xfId="11" applyNumberFormat="1" applyFont="1"/>
    <xf numFmtId="164" fontId="0" fillId="0" borderId="0" xfId="0" applyNumberFormat="1"/>
    <xf numFmtId="0" fontId="60" fillId="0" borderId="3" xfId="0" applyFont="1" applyBorder="1" applyAlignment="1">
      <alignment horizontal="center"/>
    </xf>
    <xf numFmtId="0" fontId="60" fillId="0" borderId="0" xfId="0" applyFont="1" applyAlignment="1">
      <alignment horizontal="center"/>
    </xf>
    <xf numFmtId="10" fontId="0" fillId="0" borderId="0" xfId="0" applyNumberFormat="1"/>
    <xf numFmtId="0" fontId="11" fillId="0" borderId="1" xfId="0" applyFont="1" applyBorder="1" applyAlignment="1">
      <alignment horizontal="right"/>
    </xf>
    <xf numFmtId="0" fontId="12" fillId="0" borderId="1" xfId="0" applyFont="1" applyBorder="1" applyAlignment="1">
      <alignment horizontal="center" wrapText="1"/>
    </xf>
    <xf numFmtId="0" fontId="12" fillId="7" borderId="1" xfId="0" applyFont="1" applyFill="1" applyBorder="1"/>
    <xf numFmtId="169" fontId="11" fillId="0" borderId="1" xfId="0" applyNumberFormat="1" applyFont="1" applyBorder="1"/>
    <xf numFmtId="0" fontId="0" fillId="0" borderId="32" xfId="0" applyBorder="1"/>
    <xf numFmtId="0" fontId="0" fillId="0" borderId="33" xfId="0" applyBorder="1"/>
    <xf numFmtId="0" fontId="0" fillId="0" borderId="33" xfId="0" applyBorder="1" applyAlignment="1">
      <alignment horizontal="center"/>
    </xf>
    <xf numFmtId="0" fontId="12" fillId="0" borderId="36" xfId="0" applyFont="1" applyBorder="1" applyAlignment="1">
      <alignment horizontal="center"/>
    </xf>
    <xf numFmtId="0" fontId="12" fillId="0" borderId="37" xfId="0" applyFont="1" applyBorder="1" applyAlignment="1">
      <alignment horizontal="center"/>
    </xf>
    <xf numFmtId="0" fontId="12" fillId="0" borderId="15" xfId="0" applyFont="1" applyBorder="1" applyAlignment="1">
      <alignment horizontal="left"/>
    </xf>
    <xf numFmtId="0" fontId="12" fillId="0" borderId="16" xfId="0" applyFont="1" applyBorder="1" applyAlignment="1">
      <alignment horizontal="left"/>
    </xf>
    <xf numFmtId="0" fontId="12" fillId="0" borderId="38" xfId="0" applyFont="1" applyBorder="1" applyAlignment="1">
      <alignment horizontal="center"/>
    </xf>
    <xf numFmtId="0" fontId="12" fillId="0" borderId="39" xfId="0" applyFont="1" applyBorder="1" applyAlignment="1">
      <alignment horizontal="center"/>
    </xf>
    <xf numFmtId="0" fontId="0" fillId="0" borderId="40" xfId="0" applyBorder="1"/>
    <xf numFmtId="0" fontId="0" fillId="0" borderId="30" xfId="0" applyBorder="1"/>
    <xf numFmtId="0" fontId="0" fillId="0" borderId="30" xfId="0" applyBorder="1" applyAlignment="1">
      <alignment horizontal="center"/>
    </xf>
    <xf numFmtId="0" fontId="12" fillId="0" borderId="40" xfId="0" applyFont="1" applyBorder="1" applyAlignment="1">
      <alignment horizontal="center"/>
    </xf>
    <xf numFmtId="0" fontId="12" fillId="0" borderId="30" xfId="0" applyFont="1" applyBorder="1"/>
    <xf numFmtId="0" fontId="11" fillId="0" borderId="30" xfId="0" applyFont="1" applyBorder="1" applyAlignment="1">
      <alignment horizontal="center"/>
    </xf>
    <xf numFmtId="0" fontId="12" fillId="0" borderId="41" xfId="0" applyFont="1" applyBorder="1" applyAlignment="1">
      <alignment horizontal="center"/>
    </xf>
    <xf numFmtId="182" fontId="12" fillId="0" borderId="1" xfId="0" applyNumberFormat="1" applyFont="1" applyBorder="1" applyAlignment="1">
      <alignment horizontal="center"/>
    </xf>
    <xf numFmtId="2" fontId="12" fillId="0" borderId="1" xfId="0" applyNumberFormat="1" applyFont="1" applyBorder="1" applyAlignment="1">
      <alignment horizontal="center"/>
    </xf>
    <xf numFmtId="0" fontId="12" fillId="0" borderId="42" xfId="0" applyFont="1" applyBorder="1" applyAlignment="1">
      <alignment horizontal="center"/>
    </xf>
    <xf numFmtId="0" fontId="0" fillId="0" borderId="31" xfId="0" applyBorder="1" applyAlignment="1">
      <alignment horizontal="center"/>
    </xf>
    <xf numFmtId="0" fontId="0" fillId="0" borderId="44" xfId="0" applyBorder="1"/>
    <xf numFmtId="2" fontId="12" fillId="0" borderId="44" xfId="0" applyNumberFormat="1" applyFont="1" applyBorder="1" applyAlignment="1">
      <alignment horizontal="center"/>
    </xf>
    <xf numFmtId="0" fontId="0" fillId="0" borderId="40" xfId="0" applyBorder="1" applyAlignment="1">
      <alignment horizontal="center"/>
    </xf>
    <xf numFmtId="183" fontId="11" fillId="0" borderId="0" xfId="0" applyNumberFormat="1" applyFont="1" applyAlignment="1">
      <alignment horizontal="center"/>
    </xf>
    <xf numFmtId="183" fontId="12" fillId="0" borderId="1" xfId="0" applyNumberFormat="1" applyFont="1" applyBorder="1" applyAlignment="1">
      <alignment horizontal="center"/>
    </xf>
    <xf numFmtId="0" fontId="12" fillId="0" borderId="46" xfId="0" applyFont="1" applyBorder="1" applyAlignment="1">
      <alignment horizontal="center"/>
    </xf>
    <xf numFmtId="0" fontId="12" fillId="0" borderId="29" xfId="0" applyFont="1" applyBorder="1"/>
    <xf numFmtId="0" fontId="12" fillId="0" borderId="44" xfId="0" applyFont="1" applyBorder="1"/>
    <xf numFmtId="0" fontId="12" fillId="0" borderId="44" xfId="0" applyFont="1" applyBorder="1" applyAlignment="1">
      <alignment horizontal="center"/>
    </xf>
    <xf numFmtId="0" fontId="12" fillId="0" borderId="47" xfId="0" applyFont="1" applyBorder="1"/>
    <xf numFmtId="0" fontId="12" fillId="0" borderId="48" xfId="0" applyFont="1" applyBorder="1"/>
    <xf numFmtId="0" fontId="0" fillId="0" borderId="42" xfId="0" applyBorder="1"/>
    <xf numFmtId="0" fontId="0" fillId="0" borderId="49" xfId="0" applyBorder="1"/>
    <xf numFmtId="0" fontId="0" fillId="0" borderId="50" xfId="0" applyBorder="1"/>
    <xf numFmtId="0" fontId="12" fillId="0" borderId="31" xfId="0" applyFont="1" applyBorder="1"/>
    <xf numFmtId="0" fontId="12" fillId="0" borderId="51" xfId="0" applyFont="1" applyBorder="1"/>
    <xf numFmtId="0" fontId="0" fillId="0" borderId="47" xfId="0" applyBorder="1"/>
    <xf numFmtId="0" fontId="11" fillId="0" borderId="48" xfId="0" applyFont="1" applyBorder="1"/>
    <xf numFmtId="0" fontId="12" fillId="0" borderId="42" xfId="0" applyFont="1" applyBorder="1"/>
    <xf numFmtId="0" fontId="67" fillId="0" borderId="51" xfId="0" applyFont="1" applyBorder="1"/>
    <xf numFmtId="0" fontId="67" fillId="0" borderId="44" xfId="0" applyFont="1" applyBorder="1"/>
    <xf numFmtId="2" fontId="67" fillId="0" borderId="44" xfId="0" applyNumberFormat="1" applyFont="1" applyBorder="1"/>
    <xf numFmtId="0" fontId="0" fillId="0" borderId="48" xfId="0" applyBorder="1"/>
    <xf numFmtId="2" fontId="11" fillId="0" borderId="48" xfId="0" applyNumberFormat="1" applyFont="1" applyBorder="1"/>
    <xf numFmtId="0" fontId="11" fillId="0" borderId="0" xfId="0" applyFont="1" applyAlignment="1">
      <alignment horizontal="right"/>
    </xf>
    <xf numFmtId="4" fontId="0" fillId="0" borderId="0" xfId="0" applyNumberFormat="1"/>
    <xf numFmtId="0" fontId="0" fillId="0" borderId="49" xfId="0" applyBorder="1" applyAlignment="1">
      <alignment horizontal="center"/>
    </xf>
    <xf numFmtId="0" fontId="0" fillId="0" borderId="50" xfId="0" applyBorder="1" applyAlignment="1">
      <alignment horizontal="center"/>
    </xf>
    <xf numFmtId="0" fontId="2" fillId="0" borderId="41" xfId="0" applyFont="1" applyBorder="1"/>
    <xf numFmtId="0" fontId="2" fillId="0" borderId="1" xfId="0" applyFont="1" applyBorder="1" applyAlignment="1">
      <alignment horizontal="center"/>
    </xf>
    <xf numFmtId="0" fontId="2" fillId="0" borderId="4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0" fillId="0" borderId="41" xfId="0" applyBorder="1" applyAlignment="1">
      <alignment horizontal="center"/>
    </xf>
    <xf numFmtId="43" fontId="0" fillId="7" borderId="1" xfId="0" applyNumberFormat="1" applyFill="1" applyBorder="1" applyAlignment="1">
      <alignment horizontal="center"/>
    </xf>
    <xf numFmtId="43" fontId="0" fillId="0" borderId="1" xfId="0" applyNumberFormat="1" applyBorder="1" applyAlignment="1">
      <alignment horizontal="center"/>
    </xf>
    <xf numFmtId="0" fontId="0" fillId="0" borderId="1" xfId="0" applyBorder="1" applyAlignment="1">
      <alignment horizontal="left"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43" fontId="11" fillId="0" borderId="1" xfId="0" applyNumberFormat="1" applyFont="1" applyBorder="1" applyAlignment="1">
      <alignment horizontal="center"/>
    </xf>
    <xf numFmtId="0" fontId="0" fillId="0" borderId="41" xfId="0" applyBorder="1" applyAlignment="1">
      <alignment horizontal="center" vertical="top"/>
    </xf>
    <xf numFmtId="0" fontId="0" fillId="0" borderId="1" xfId="0" applyBorder="1" applyAlignment="1">
      <alignment vertical="top"/>
    </xf>
    <xf numFmtId="43"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vertical="center"/>
    </xf>
    <xf numFmtId="0" fontId="2" fillId="0" borderId="1" xfId="0" applyFont="1" applyBorder="1" applyAlignment="1">
      <alignment horizontal="left" vertical="center"/>
    </xf>
    <xf numFmtId="43" fontId="0" fillId="7" borderId="1" xfId="0" applyNumberFormat="1" applyFill="1" applyBorder="1" applyAlignment="1">
      <alignment horizontal="center" vertical="center"/>
    </xf>
    <xf numFmtId="0" fontId="0" fillId="22" borderId="41" xfId="0" applyFill="1" applyBorder="1" applyAlignment="1">
      <alignment horizontal="center"/>
    </xf>
    <xf numFmtId="0" fontId="2" fillId="22" borderId="1" xfId="0" applyFont="1" applyFill="1" applyBorder="1"/>
    <xf numFmtId="43" fontId="0" fillId="22" borderId="1" xfId="0" applyNumberFormat="1" applyFill="1" applyBorder="1" applyAlignment="1">
      <alignment horizontal="center" vertical="center"/>
    </xf>
    <xf numFmtId="0" fontId="0" fillId="22" borderId="1" xfId="0" applyFill="1" applyBorder="1" applyAlignment="1">
      <alignment horizontal="center"/>
    </xf>
    <xf numFmtId="173" fontId="2" fillId="22" borderId="1" xfId="0" applyNumberFormat="1" applyFont="1" applyFill="1" applyBorder="1"/>
    <xf numFmtId="43" fontId="2" fillId="0" borderId="1" xfId="0" applyNumberFormat="1" applyFont="1" applyBorder="1"/>
    <xf numFmtId="0" fontId="2" fillId="0" borderId="41" xfId="0" applyFont="1" applyBorder="1" applyAlignment="1">
      <alignment horizontal="center"/>
    </xf>
    <xf numFmtId="0" fontId="0" fillId="0" borderId="9" xfId="0" applyBorder="1" applyAlignment="1">
      <alignment horizontal="center"/>
    </xf>
    <xf numFmtId="0" fontId="68" fillId="0" borderId="0" xfId="0" applyFont="1"/>
    <xf numFmtId="0" fontId="0" fillId="0" borderId="15" xfId="0" applyBorder="1" applyAlignment="1">
      <alignment horizontal="center"/>
    </xf>
    <xf numFmtId="0" fontId="0" fillId="0" borderId="16" xfId="0" applyBorder="1"/>
    <xf numFmtId="0" fontId="0" fillId="0" borderId="16" xfId="0" applyBorder="1" applyAlignment="1">
      <alignment horizontal="center"/>
    </xf>
    <xf numFmtId="0" fontId="65" fillId="0" borderId="9" xfId="0" applyFont="1" applyBorder="1" applyAlignment="1">
      <alignment horizontal="center"/>
    </xf>
    <xf numFmtId="0" fontId="65" fillId="0" borderId="0" xfId="0" applyFont="1" applyAlignment="1">
      <alignment horizontal="center"/>
    </xf>
    <xf numFmtId="0" fontId="65" fillId="0" borderId="10"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67" fillId="6" borderId="53" xfId="0" applyFont="1" applyFill="1" applyBorder="1" applyAlignment="1">
      <alignment horizontal="center" vertical="center"/>
    </xf>
    <xf numFmtId="0" fontId="67" fillId="6" borderId="33" xfId="0" applyFont="1" applyFill="1" applyBorder="1" applyAlignment="1">
      <alignment vertical="center"/>
    </xf>
    <xf numFmtId="0" fontId="67" fillId="6" borderId="50" xfId="0" applyFont="1" applyFill="1" applyBorder="1" applyAlignment="1">
      <alignment horizontal="center"/>
    </xf>
    <xf numFmtId="0" fontId="67" fillId="6" borderId="55" xfId="0" applyFont="1" applyFill="1" applyBorder="1"/>
    <xf numFmtId="0" fontId="67" fillId="6" borderId="39" xfId="0" applyFont="1" applyFill="1" applyBorder="1" applyAlignment="1">
      <alignment horizontal="center" vertical="center"/>
    </xf>
    <xf numFmtId="0" fontId="67" fillId="6" borderId="25" xfId="0" applyFont="1" applyFill="1" applyBorder="1" applyAlignment="1">
      <alignment horizontal="center" vertical="center"/>
    </xf>
    <xf numFmtId="0" fontId="67" fillId="6" borderId="48" xfId="0" applyFont="1" applyFill="1" applyBorder="1" applyAlignment="1">
      <alignment vertical="center"/>
    </xf>
    <xf numFmtId="0" fontId="67" fillId="6" borderId="57" xfId="0" applyFont="1" applyFill="1" applyBorder="1" applyAlignment="1">
      <alignment horizontal="center"/>
    </xf>
    <xf numFmtId="0" fontId="67" fillId="6" borderId="58" xfId="0" applyFont="1" applyFill="1" applyBorder="1"/>
    <xf numFmtId="0" fontId="12" fillId="0" borderId="49" xfId="0" applyFont="1" applyBorder="1" applyAlignment="1">
      <alignment horizontal="center"/>
    </xf>
    <xf numFmtId="0" fontId="12" fillId="0" borderId="50" xfId="0" applyFont="1" applyBorder="1" applyAlignment="1">
      <alignment horizontal="center"/>
    </xf>
    <xf numFmtId="0" fontId="12" fillId="0" borderId="50" xfId="0" applyFont="1" applyBorder="1"/>
    <xf numFmtId="0" fontId="12" fillId="0" borderId="55" xfId="0" applyFont="1" applyBorder="1"/>
    <xf numFmtId="0" fontId="0" fillId="0" borderId="60" xfId="0" applyBorder="1"/>
    <xf numFmtId="0" fontId="0" fillId="7" borderId="1" xfId="0" applyFill="1" applyBorder="1" applyAlignment="1">
      <alignment horizontal="center"/>
    </xf>
    <xf numFmtId="0" fontId="12" fillId="0" borderId="64" xfId="0" applyFont="1" applyBorder="1" applyAlignment="1">
      <alignment horizontal="center"/>
    </xf>
    <xf numFmtId="0" fontId="12" fillId="0" borderId="57" xfId="0" applyFont="1" applyBorder="1" applyAlignment="1">
      <alignment horizontal="center"/>
    </xf>
    <xf numFmtId="0" fontId="11" fillId="0" borderId="57" xfId="0" applyFont="1" applyBorder="1"/>
    <xf numFmtId="0" fontId="11" fillId="0" borderId="57" xfId="0" applyFont="1" applyBorder="1" applyAlignment="1">
      <alignment horizontal="center"/>
    </xf>
    <xf numFmtId="0" fontId="0" fillId="0" borderId="57" xfId="0" applyBorder="1" applyAlignment="1">
      <alignment horizontal="center"/>
    </xf>
    <xf numFmtId="0" fontId="0" fillId="0" borderId="58" xfId="0" applyBorder="1"/>
    <xf numFmtId="0" fontId="12" fillId="23" borderId="39" xfId="0" applyFont="1" applyFill="1" applyBorder="1" applyAlignment="1">
      <alignment horizontal="center"/>
    </xf>
    <xf numFmtId="0" fontId="0" fillId="23" borderId="48" xfId="0" applyFill="1" applyBorder="1" applyAlignment="1">
      <alignment horizontal="center"/>
    </xf>
    <xf numFmtId="0" fontId="12" fillId="23" borderId="48" xfId="0" applyFont="1" applyFill="1" applyBorder="1" applyAlignment="1">
      <alignment horizontal="center"/>
    </xf>
    <xf numFmtId="0" fontId="0" fillId="23" borderId="65" xfId="0" applyFill="1" applyBorder="1"/>
    <xf numFmtId="0" fontId="12" fillId="0" borderId="47" xfId="0" applyFont="1" applyBorder="1" applyAlignment="1">
      <alignment horizontal="center"/>
    </xf>
    <xf numFmtId="0" fontId="0" fillId="0" borderId="48" xfId="0" applyBorder="1" applyAlignment="1">
      <alignment horizontal="center"/>
    </xf>
    <xf numFmtId="0" fontId="0" fillId="0" borderId="65" xfId="0" applyBorder="1"/>
    <xf numFmtId="0" fontId="12" fillId="0" borderId="24" xfId="0" applyFont="1" applyBorder="1" applyAlignment="1">
      <alignment horizontal="center"/>
    </xf>
    <xf numFmtId="0" fontId="11" fillId="0" borderId="60" xfId="0" applyFont="1" applyBorder="1"/>
    <xf numFmtId="0" fontId="12" fillId="7" borderId="24" xfId="0" applyFont="1" applyFill="1" applyBorder="1" applyAlignment="1">
      <alignment horizontal="center"/>
    </xf>
    <xf numFmtId="0" fontId="11" fillId="0" borderId="1" xfId="0" applyFont="1" applyBorder="1" applyAlignment="1">
      <alignment horizontal="center" vertical="center"/>
    </xf>
    <xf numFmtId="0" fontId="12" fillId="0" borderId="19" xfId="0" applyFont="1" applyBorder="1" applyAlignment="1">
      <alignment horizontal="center"/>
    </xf>
    <xf numFmtId="0" fontId="11" fillId="0" borderId="29" xfId="0" applyFont="1" applyBorder="1" applyAlignment="1">
      <alignment horizontal="center"/>
    </xf>
    <xf numFmtId="0" fontId="11" fillId="0" borderId="29" xfId="0" applyFont="1" applyBorder="1" applyAlignment="1">
      <alignment horizontal="center" vertical="center"/>
    </xf>
    <xf numFmtId="0" fontId="0" fillId="0" borderId="29" xfId="0" applyBorder="1" applyAlignment="1">
      <alignment horizontal="center"/>
    </xf>
    <xf numFmtId="0" fontId="0" fillId="0" borderId="61" xfId="0" applyBorder="1"/>
    <xf numFmtId="0" fontId="12" fillId="23" borderId="28" xfId="0" applyFont="1" applyFill="1" applyBorder="1" applyAlignment="1">
      <alignment horizontal="center"/>
    </xf>
    <xf numFmtId="0" fontId="12" fillId="23" borderId="43" xfId="0" applyFont="1" applyFill="1" applyBorder="1" applyAlignment="1">
      <alignment horizontal="center"/>
    </xf>
    <xf numFmtId="0" fontId="12" fillId="23" borderId="44" xfId="0" applyFont="1" applyFill="1" applyBorder="1" applyAlignment="1">
      <alignment horizontal="center"/>
    </xf>
    <xf numFmtId="0" fontId="12" fillId="23" borderId="66" xfId="0" applyFont="1" applyFill="1" applyBorder="1" applyAlignment="1">
      <alignment horizontal="center"/>
    </xf>
    <xf numFmtId="0" fontId="12" fillId="23" borderId="25" xfId="0" applyFont="1" applyFill="1" applyBorder="1" applyAlignment="1">
      <alignment horizontal="center"/>
    </xf>
    <xf numFmtId="0" fontId="12" fillId="23" borderId="26" xfId="0" applyFont="1" applyFill="1" applyBorder="1"/>
    <xf numFmtId="0" fontId="12" fillId="0" borderId="22" xfId="0" applyFont="1" applyBorder="1" applyAlignment="1">
      <alignment horizontal="center"/>
    </xf>
    <xf numFmtId="0" fontId="0" fillId="0" borderId="63" xfId="0" applyBorder="1"/>
    <xf numFmtId="0" fontId="0" fillId="0" borderId="55" xfId="0" applyBorder="1"/>
    <xf numFmtId="0" fontId="12" fillId="23" borderId="67" xfId="0" applyFont="1" applyFill="1" applyBorder="1"/>
    <xf numFmtId="0" fontId="11" fillId="0" borderId="63" xfId="0" applyFont="1" applyBorder="1"/>
    <xf numFmtId="0" fontId="12" fillId="23" borderId="20" xfId="0" applyFont="1" applyFill="1" applyBorder="1" applyAlignment="1">
      <alignment horizontal="center"/>
    </xf>
    <xf numFmtId="0" fontId="0" fillId="23" borderId="1" xfId="0" applyFill="1" applyBorder="1" applyAlignment="1">
      <alignment horizontal="center"/>
    </xf>
    <xf numFmtId="0" fontId="12" fillId="23" borderId="1" xfId="0" applyFont="1" applyFill="1" applyBorder="1" applyAlignment="1">
      <alignment horizontal="center"/>
    </xf>
    <xf numFmtId="0" fontId="0" fillId="23" borderId="60" xfId="0" applyFill="1" applyBorder="1"/>
    <xf numFmtId="0" fontId="0" fillId="0" borderId="62" xfId="0" applyBorder="1"/>
    <xf numFmtId="0" fontId="12" fillId="23" borderId="51" xfId="0" applyFont="1" applyFill="1" applyBorder="1" applyAlignment="1">
      <alignment horizontal="center"/>
    </xf>
    <xf numFmtId="0" fontId="0" fillId="23" borderId="44" xfId="0" applyFill="1" applyBorder="1" applyAlignment="1">
      <alignment horizontal="center"/>
    </xf>
    <xf numFmtId="0" fontId="0" fillId="23" borderId="67" xfId="0" applyFill="1" applyBorder="1"/>
    <xf numFmtId="0" fontId="11" fillId="7" borderId="30" xfId="0" applyFont="1" applyFill="1" applyBorder="1"/>
    <xf numFmtId="0" fontId="12" fillId="23" borderId="53" xfId="0" applyFont="1" applyFill="1" applyBorder="1" applyAlignment="1">
      <alignment horizontal="center"/>
    </xf>
    <xf numFmtId="0" fontId="12" fillId="23" borderId="33" xfId="0" applyFont="1" applyFill="1" applyBorder="1" applyAlignment="1">
      <alignment horizontal="center"/>
    </xf>
    <xf numFmtId="0" fontId="12" fillId="23" borderId="59" xfId="0" applyFont="1" applyFill="1" applyBorder="1"/>
    <xf numFmtId="0" fontId="12" fillId="0" borderId="63" xfId="0" applyFont="1" applyBorder="1"/>
    <xf numFmtId="0" fontId="12" fillId="0" borderId="30" xfId="0" applyFont="1" applyBorder="1" applyAlignment="1">
      <alignment horizontal="left"/>
    </xf>
    <xf numFmtId="0" fontId="12" fillId="0" borderId="1" xfId="0" applyFont="1" applyBorder="1" applyAlignment="1">
      <alignment horizontal="left"/>
    </xf>
    <xf numFmtId="0" fontId="12" fillId="0" borderId="60" xfId="0" applyFont="1" applyBorder="1"/>
    <xf numFmtId="0" fontId="12" fillId="0" borderId="29" xfId="0" applyFont="1" applyBorder="1" applyAlignment="1">
      <alignment horizontal="left"/>
    </xf>
    <xf numFmtId="0" fontId="12" fillId="0" borderId="61" xfId="0" applyFont="1" applyBorder="1"/>
    <xf numFmtId="0" fontId="12" fillId="15" borderId="0" xfId="0" applyFont="1" applyFill="1" applyAlignment="1">
      <alignment horizontal="center"/>
    </xf>
    <xf numFmtId="0" fontId="12" fillId="15" borderId="19" xfId="0" applyFont="1" applyFill="1" applyBorder="1" applyAlignment="1">
      <alignment horizontal="center"/>
    </xf>
    <xf numFmtId="0" fontId="12" fillId="15" borderId="29" xfId="0" applyFont="1" applyFill="1" applyBorder="1" applyAlignment="1">
      <alignment horizontal="center"/>
    </xf>
    <xf numFmtId="0" fontId="12" fillId="15" borderId="61" xfId="0" applyFont="1" applyFill="1" applyBorder="1"/>
    <xf numFmtId="0" fontId="12" fillId="0" borderId="48" xfId="0" applyFont="1" applyBorder="1" applyAlignment="1">
      <alignment horizontal="center"/>
    </xf>
    <xf numFmtId="0" fontId="11" fillId="0" borderId="48" xfId="0" applyFont="1" applyBorder="1" applyAlignment="1">
      <alignment horizontal="center"/>
    </xf>
    <xf numFmtId="0" fontId="67" fillId="23" borderId="39" xfId="0" applyFont="1" applyFill="1" applyBorder="1" applyAlignment="1">
      <alignment horizontal="center"/>
    </xf>
    <xf numFmtId="0" fontId="71" fillId="23" borderId="48" xfId="0" applyFont="1" applyFill="1" applyBorder="1" applyAlignment="1">
      <alignment horizontal="center"/>
    </xf>
    <xf numFmtId="1" fontId="71" fillId="23" borderId="48" xfId="0" applyNumberFormat="1" applyFont="1" applyFill="1" applyBorder="1" applyAlignment="1">
      <alignment horizontal="center"/>
    </xf>
    <xf numFmtId="0" fontId="71" fillId="23" borderId="65" xfId="0" applyFont="1" applyFill="1" applyBorder="1"/>
    <xf numFmtId="0" fontId="0" fillId="0" borderId="57" xfId="0" applyBorder="1"/>
    <xf numFmtId="9" fontId="0" fillId="0" borderId="0" xfId="0" applyNumberFormat="1"/>
    <xf numFmtId="0" fontId="67" fillId="0" borderId="51" xfId="0" applyFont="1" applyBorder="1" applyAlignment="1">
      <alignment horizontal="center"/>
    </xf>
    <xf numFmtId="0" fontId="67" fillId="0" borderId="44" xfId="0" applyFont="1" applyBorder="1" applyAlignment="1">
      <alignment horizontal="center"/>
    </xf>
    <xf numFmtId="0" fontId="67" fillId="0" borderId="66" xfId="0" applyFont="1" applyBorder="1" applyAlignment="1">
      <alignment horizontal="center"/>
    </xf>
    <xf numFmtId="0" fontId="67" fillId="0" borderId="67" xfId="0" applyFont="1" applyBorder="1" applyAlignment="1">
      <alignment horizontal="center"/>
    </xf>
    <xf numFmtId="0" fontId="71" fillId="0" borderId="40" xfId="0" applyFont="1" applyBorder="1" applyAlignment="1">
      <alignment horizontal="center"/>
    </xf>
    <xf numFmtId="0" fontId="71" fillId="0" borderId="30" xfId="0" applyFont="1" applyBorder="1"/>
    <xf numFmtId="0" fontId="71" fillId="0" borderId="21" xfId="0" applyFont="1" applyBorder="1"/>
    <xf numFmtId="0" fontId="71" fillId="0" borderId="63" xfId="0" applyFont="1" applyBorder="1"/>
    <xf numFmtId="0" fontId="67" fillId="0" borderId="40" xfId="0" applyFont="1" applyBorder="1" applyAlignment="1">
      <alignment horizontal="center"/>
    </xf>
    <xf numFmtId="0" fontId="71" fillId="0" borderId="30" xfId="0" applyFont="1" applyBorder="1" applyAlignment="1">
      <alignment horizontal="center"/>
    </xf>
    <xf numFmtId="0" fontId="71" fillId="0" borderId="41" xfId="0" applyFont="1" applyBorder="1" applyAlignment="1">
      <alignment horizontal="center"/>
    </xf>
    <xf numFmtId="0" fontId="71" fillId="0" borderId="1" xfId="0" applyFont="1" applyBorder="1"/>
    <xf numFmtId="0" fontId="71" fillId="0" borderId="23" xfId="0" applyFont="1" applyBorder="1"/>
    <xf numFmtId="0" fontId="71" fillId="0" borderId="60" xfId="0" applyFont="1" applyBorder="1"/>
    <xf numFmtId="0" fontId="71" fillId="0" borderId="1" xfId="0" applyFont="1" applyBorder="1" applyAlignment="1">
      <alignment horizontal="center"/>
    </xf>
    <xf numFmtId="0" fontId="67" fillId="0" borderId="1" xfId="0" applyFont="1" applyBorder="1"/>
    <xf numFmtId="0" fontId="67" fillId="0" borderId="23" xfId="0" applyFont="1" applyBorder="1"/>
    <xf numFmtId="1" fontId="67" fillId="0" borderId="1" xfId="0" applyNumberFormat="1" applyFont="1" applyBorder="1"/>
    <xf numFmtId="1" fontId="67" fillId="0" borderId="23" xfId="0" applyNumberFormat="1" applyFont="1" applyBorder="1"/>
    <xf numFmtId="1" fontId="71" fillId="0" borderId="1" xfId="0" applyNumberFormat="1" applyFont="1" applyBorder="1"/>
    <xf numFmtId="0" fontId="71" fillId="0" borderId="64" xfId="0" applyFont="1" applyBorder="1" applyAlignment="1">
      <alignment horizontal="center"/>
    </xf>
    <xf numFmtId="0" fontId="71" fillId="0" borderId="57" xfId="0" applyFont="1" applyBorder="1"/>
    <xf numFmtId="0" fontId="71" fillId="0" borderId="68" xfId="0" applyFont="1" applyBorder="1"/>
    <xf numFmtId="0" fontId="71" fillId="0" borderId="58" xfId="0" applyFont="1" applyBorder="1"/>
    <xf numFmtId="0" fontId="0" fillId="0" borderId="27" xfId="0" applyBorder="1" applyAlignment="1">
      <alignment horizontal="center"/>
    </xf>
    <xf numFmtId="0" fontId="65" fillId="0" borderId="25" xfId="0" applyFont="1" applyBorder="1"/>
    <xf numFmtId="0" fontId="0" fillId="0" borderId="25" xfId="0" applyBorder="1"/>
    <xf numFmtId="1" fontId="71" fillId="0" borderId="25" xfId="0" applyNumberFormat="1" applyFont="1" applyBorder="1"/>
    <xf numFmtId="1" fontId="71" fillId="0" borderId="26" xfId="0" applyNumberFormat="1" applyFont="1" applyBorder="1"/>
    <xf numFmtId="0" fontId="0" fillId="0" borderId="26" xfId="0" applyBorder="1"/>
    <xf numFmtId="16" fontId="0" fillId="0" borderId="1" xfId="0" applyNumberFormat="1" applyBorder="1" applyAlignment="1">
      <alignment vertical="center" wrapText="1"/>
    </xf>
    <xf numFmtId="0" fontId="0" fillId="0" borderId="1" xfId="0" applyBorder="1" applyAlignment="1">
      <alignment wrapText="1"/>
    </xf>
    <xf numFmtId="0" fontId="51" fillId="0" borderId="1" xfId="0" applyFont="1" applyBorder="1"/>
    <xf numFmtId="0" fontId="50" fillId="0" borderId="1" xfId="0" applyFont="1" applyBorder="1"/>
    <xf numFmtId="0" fontId="52" fillId="0" borderId="1" xfId="0" applyFont="1" applyBorder="1"/>
    <xf numFmtId="43" fontId="51" fillId="0" borderId="0" xfId="0" applyNumberFormat="1" applyFont="1"/>
    <xf numFmtId="0" fontId="51" fillId="0" borderId="1" xfId="0" applyFont="1" applyBorder="1" applyAlignment="1">
      <alignment horizontal="center"/>
    </xf>
    <xf numFmtId="164" fontId="51" fillId="0" borderId="1" xfId="0" applyNumberFormat="1" applyFont="1" applyBorder="1"/>
    <xf numFmtId="164" fontId="50" fillId="0" borderId="0" xfId="0" applyNumberFormat="1" applyFont="1"/>
    <xf numFmtId="0" fontId="57" fillId="0" borderId="0" xfId="0" applyFont="1"/>
    <xf numFmtId="165" fontId="20" fillId="12" borderId="0" xfId="2" applyNumberFormat="1" applyFont="1" applyFill="1" applyAlignment="1">
      <alignment horizontal="center" vertical="center" wrapText="1"/>
    </xf>
    <xf numFmtId="165" fontId="14" fillId="7" borderId="0" xfId="0" applyNumberFormat="1" applyFont="1" applyFill="1" applyAlignment="1">
      <alignment horizontal="center" vertical="center" wrapText="1"/>
    </xf>
    <xf numFmtId="0" fontId="14" fillId="12" borderId="29" xfId="0" applyFont="1" applyFill="1" applyBorder="1" applyAlignment="1">
      <alignment vertical="center"/>
    </xf>
    <xf numFmtId="43" fontId="0" fillId="0" borderId="29" xfId="6" applyFont="1" applyBorder="1"/>
    <xf numFmtId="0" fontId="2" fillId="24" borderId="1" xfId="0" applyFont="1" applyFill="1" applyBorder="1"/>
    <xf numFmtId="0" fontId="78" fillId="10" borderId="25" xfId="0" applyFont="1" applyFill="1" applyBorder="1" applyAlignment="1">
      <alignment vertical="center"/>
    </xf>
    <xf numFmtId="0" fontId="78" fillId="10" borderId="26" xfId="0" applyFont="1" applyFill="1" applyBorder="1" applyAlignment="1">
      <alignment horizontal="center" vertical="center"/>
    </xf>
    <xf numFmtId="0" fontId="78" fillId="10" borderId="26" xfId="0" applyFont="1" applyFill="1" applyBorder="1" applyAlignment="1">
      <alignment horizontal="center" vertical="center" wrapText="1"/>
    </xf>
    <xf numFmtId="0" fontId="17" fillId="25" borderId="38" xfId="0" applyFont="1" applyFill="1" applyBorder="1" applyAlignment="1">
      <alignment vertical="center"/>
    </xf>
    <xf numFmtId="0" fontId="17" fillId="25" borderId="17" xfId="0" applyFont="1" applyFill="1" applyBorder="1" applyAlignment="1">
      <alignment horizontal="center" vertical="center"/>
    </xf>
    <xf numFmtId="0" fontId="17" fillId="25" borderId="17" xfId="0" applyFont="1" applyFill="1" applyBorder="1" applyAlignment="1">
      <alignment horizontal="center" vertical="center" wrapText="1"/>
    </xf>
    <xf numFmtId="0" fontId="17" fillId="25" borderId="17" xfId="0" quotePrefix="1" applyFont="1" applyFill="1" applyBorder="1" applyAlignment="1">
      <alignment horizontal="center" vertical="center" wrapText="1"/>
    </xf>
    <xf numFmtId="3" fontId="17" fillId="25" borderId="17" xfId="0" applyNumberFormat="1" applyFont="1" applyFill="1" applyBorder="1" applyAlignment="1">
      <alignment horizontal="center" vertical="center"/>
    </xf>
    <xf numFmtId="0" fontId="31" fillId="0" borderId="17" xfId="8" applyBorder="1" applyAlignment="1">
      <alignment vertical="center" wrapText="1"/>
    </xf>
    <xf numFmtId="2" fontId="17" fillId="25" borderId="17" xfId="0" applyNumberFormat="1" applyFont="1" applyFill="1" applyBorder="1" applyAlignment="1">
      <alignment horizontal="center" vertical="center"/>
    </xf>
    <xf numFmtId="0" fontId="17" fillId="25" borderId="17" xfId="0" quotePrefix="1" applyFont="1" applyFill="1" applyBorder="1" applyAlignment="1">
      <alignment horizontal="center" vertical="center"/>
    </xf>
    <xf numFmtId="0" fontId="31" fillId="25" borderId="17" xfId="8" applyFill="1" applyBorder="1" applyAlignment="1">
      <alignment vertical="center" wrapText="1"/>
    </xf>
    <xf numFmtId="10" fontId="11" fillId="0" borderId="0" xfId="1" applyNumberFormat="1" applyFont="1"/>
    <xf numFmtId="10" fontId="11" fillId="0" borderId="0" xfId="9" applyNumberFormat="1"/>
    <xf numFmtId="0" fontId="11" fillId="7" borderId="0" xfId="9" applyFill="1"/>
    <xf numFmtId="182" fontId="11" fillId="0" borderId="0" xfId="9" applyNumberFormat="1"/>
    <xf numFmtId="9" fontId="11" fillId="0" borderId="0" xfId="1" applyFont="1"/>
    <xf numFmtId="0" fontId="79" fillId="0" borderId="0" xfId="0" applyFont="1" applyAlignment="1">
      <alignment horizontal="justify" vertical="center"/>
    </xf>
    <xf numFmtId="0" fontId="79" fillId="0" borderId="0" xfId="0" applyFont="1" applyAlignment="1">
      <alignment horizontal="left" vertical="center"/>
    </xf>
    <xf numFmtId="0" fontId="80" fillId="0" borderId="0" xfId="0" applyFont="1" applyAlignment="1">
      <alignment horizontal="justify" vertical="center"/>
    </xf>
    <xf numFmtId="0" fontId="81" fillId="0" borderId="0" xfId="0" applyFont="1" applyAlignment="1">
      <alignment horizontal="justify" vertical="center"/>
    </xf>
    <xf numFmtId="0" fontId="82" fillId="0" borderId="0" xfId="0" applyFont="1" applyAlignment="1">
      <alignment horizontal="justify" vertical="center"/>
    </xf>
    <xf numFmtId="0" fontId="15" fillId="26" borderId="30" xfId="0" applyFont="1" applyFill="1" applyBorder="1" applyAlignment="1">
      <alignment horizontal="center" vertical="center"/>
    </xf>
    <xf numFmtId="0" fontId="0" fillId="12" borderId="1" xfId="0" applyFill="1" applyBorder="1"/>
    <xf numFmtId="166" fontId="23" fillId="12" borderId="0" xfId="0" applyNumberFormat="1" applyFont="1" applyFill="1" applyAlignment="1">
      <alignment vertical="center"/>
    </xf>
    <xf numFmtId="0" fontId="0" fillId="12" borderId="1" xfId="0" applyFill="1" applyBorder="1" applyAlignment="1">
      <alignment wrapText="1"/>
    </xf>
    <xf numFmtId="0" fontId="0" fillId="12" borderId="23" xfId="0" applyFill="1" applyBorder="1" applyAlignment="1">
      <alignment horizontal="left"/>
    </xf>
    <xf numFmtId="0" fontId="0" fillId="12" borderId="2" xfId="0" applyFill="1" applyBorder="1" applyAlignment="1">
      <alignment horizontal="left"/>
    </xf>
    <xf numFmtId="0" fontId="0" fillId="12" borderId="24" xfId="0" applyFill="1" applyBorder="1" applyAlignment="1">
      <alignment horizontal="left"/>
    </xf>
    <xf numFmtId="9" fontId="14" fillId="0" borderId="0" xfId="0" applyNumberFormat="1" applyFont="1"/>
    <xf numFmtId="43" fontId="14" fillId="0" borderId="0" xfId="6" applyFont="1" applyAlignment="1">
      <alignment horizontal="center" vertical="center"/>
    </xf>
    <xf numFmtId="43" fontId="14" fillId="0" borderId="0" xfId="0" applyNumberFormat="1" applyFont="1" applyAlignment="1">
      <alignment horizontal="center" vertical="center"/>
    </xf>
    <xf numFmtId="4" fontId="14" fillId="0" borderId="0" xfId="0" applyNumberFormat="1" applyFont="1" applyAlignment="1">
      <alignment horizontal="center" vertical="center"/>
    </xf>
    <xf numFmtId="9" fontId="14" fillId="7" borderId="0" xfId="0" applyNumberFormat="1" applyFont="1" applyFill="1" applyAlignment="1">
      <alignment vertical="center"/>
    </xf>
    <xf numFmtId="0" fontId="2" fillId="0" borderId="0" xfId="0" applyFont="1" applyAlignment="1">
      <alignment horizontal="center"/>
    </xf>
    <xf numFmtId="9" fontId="14" fillId="2" borderId="0" xfId="0" applyNumberFormat="1" applyFont="1" applyFill="1" applyAlignment="1">
      <alignment vertical="center"/>
    </xf>
    <xf numFmtId="0" fontId="21" fillId="12" borderId="0" xfId="0" applyFont="1" applyFill="1" applyAlignment="1">
      <alignment horizontal="left" vertical="center"/>
    </xf>
    <xf numFmtId="10" fontId="14" fillId="12" borderId="0" xfId="3" applyNumberFormat="1" applyFont="1" applyFill="1" applyBorder="1" applyAlignment="1">
      <alignment horizontal="center" vertical="center"/>
    </xf>
    <xf numFmtId="0" fontId="14" fillId="12" borderId="0" xfId="0" applyFont="1" applyFill="1" applyAlignment="1">
      <alignment horizontal="center" vertical="center"/>
    </xf>
    <xf numFmtId="43" fontId="2" fillId="0" borderId="0" xfId="12" applyFont="1" applyBorder="1" applyAlignment="1">
      <alignment horizontal="center" vertical="center" wrapText="1"/>
    </xf>
    <xf numFmtId="173" fontId="0" fillId="0" borderId="0" xfId="12" applyNumberFormat="1" applyFont="1" applyBorder="1" applyAlignment="1">
      <alignment vertical="center" wrapText="1"/>
    </xf>
    <xf numFmtId="43" fontId="0" fillId="0" borderId="0" xfId="12" applyFont="1" applyBorder="1" applyAlignment="1">
      <alignment vertical="center" wrapText="1"/>
    </xf>
    <xf numFmtId="43" fontId="0" fillId="0" borderId="0" xfId="12" applyFont="1" applyFill="1" applyBorder="1" applyAlignment="1">
      <alignment vertical="center" wrapText="1"/>
    </xf>
    <xf numFmtId="43" fontId="2" fillId="0" borderId="0" xfId="12" applyFont="1" applyBorder="1"/>
    <xf numFmtId="173" fontId="0" fillId="0" borderId="0" xfId="0" applyNumberFormat="1" applyAlignment="1">
      <alignment vertical="center"/>
    </xf>
    <xf numFmtId="173" fontId="2" fillId="0" borderId="1" xfId="12" applyNumberFormat="1" applyFont="1" applyBorder="1"/>
    <xf numFmtId="0" fontId="31" fillId="7" borderId="1" xfId="8" applyFill="1" applyBorder="1" applyAlignment="1">
      <alignment vertical="center"/>
    </xf>
    <xf numFmtId="183" fontId="11" fillId="0" borderId="0" xfId="9" applyNumberFormat="1"/>
    <xf numFmtId="165" fontId="11" fillId="0" borderId="0" xfId="9" applyNumberFormat="1"/>
    <xf numFmtId="10" fontId="0" fillId="0" borderId="0" xfId="1" applyNumberFormat="1" applyFont="1"/>
    <xf numFmtId="0" fontId="14" fillId="0" borderId="1" xfId="0" applyFont="1" applyBorder="1" applyAlignment="1">
      <alignmen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9" fillId="4" borderId="0" xfId="0" applyFont="1" applyFill="1" applyAlignment="1">
      <alignment horizontal="center" vertical="center"/>
    </xf>
    <xf numFmtId="0" fontId="15" fillId="9" borderId="0" xfId="0" applyFont="1" applyFill="1" applyAlignment="1">
      <alignment horizontal="center" vertical="center" wrapText="1"/>
    </xf>
    <xf numFmtId="0" fontId="15" fillId="9" borderId="0" xfId="0" applyFont="1" applyFill="1" applyAlignment="1">
      <alignment horizontal="center" vertical="center"/>
    </xf>
    <xf numFmtId="0" fontId="14" fillId="9" borderId="0" xfId="0" applyFont="1" applyFill="1" applyAlignment="1">
      <alignment horizontal="center" vertical="center"/>
    </xf>
    <xf numFmtId="168"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wrapText="1"/>
    </xf>
    <xf numFmtId="0" fontId="15" fillId="0" borderId="2" xfId="0" applyFont="1" applyBorder="1" applyAlignment="1">
      <alignment horizontal="center" vertical="center" wrapText="1"/>
    </xf>
    <xf numFmtId="0" fontId="0" fillId="12" borderId="23" xfId="0" applyFill="1" applyBorder="1" applyAlignment="1">
      <alignment horizontal="left"/>
    </xf>
    <xf numFmtId="0" fontId="0" fillId="12" borderId="2" xfId="0" applyFill="1" applyBorder="1" applyAlignment="1">
      <alignment horizontal="left"/>
    </xf>
    <xf numFmtId="0" fontId="0" fillId="12" borderId="24" xfId="0" applyFill="1" applyBorder="1" applyAlignment="1">
      <alignment horizontal="left"/>
    </xf>
    <xf numFmtId="0" fontId="14" fillId="12" borderId="1" xfId="0" applyFont="1" applyFill="1" applyBorder="1" applyAlignment="1">
      <alignment horizontal="left" vertical="center"/>
    </xf>
    <xf numFmtId="0" fontId="14" fillId="12" borderId="1" xfId="0" applyFont="1" applyFill="1" applyBorder="1" applyAlignment="1">
      <alignment horizontal="left" vertical="center" wrapText="1"/>
    </xf>
    <xf numFmtId="0" fontId="0" fillId="12" borderId="1" xfId="0" applyFill="1" applyBorder="1" applyAlignment="1">
      <alignment horizontal="left"/>
    </xf>
    <xf numFmtId="0" fontId="0" fillId="7" borderId="1" xfId="0" applyFill="1" applyBorder="1" applyAlignment="1">
      <alignment horizontal="left"/>
    </xf>
    <xf numFmtId="0" fontId="2" fillId="24" borderId="1" xfId="0" applyFont="1" applyFill="1" applyBorder="1" applyAlignment="1">
      <alignment horizontal="left"/>
    </xf>
    <xf numFmtId="0" fontId="14" fillId="12" borderId="1" xfId="0" applyFont="1" applyFill="1" applyBorder="1" applyAlignment="1">
      <alignment vertical="center"/>
    </xf>
    <xf numFmtId="0" fontId="0" fillId="0" borderId="1" xfId="0" applyBorder="1" applyAlignment="1">
      <alignment horizontal="left" vertical="center" wrapText="1"/>
    </xf>
    <xf numFmtId="0" fontId="14" fillId="7" borderId="1" xfId="0" applyFont="1" applyFill="1" applyBorder="1" applyAlignment="1">
      <alignment horizontal="left" vertical="center"/>
    </xf>
    <xf numFmtId="0" fontId="2" fillId="26" borderId="30" xfId="0" applyFont="1" applyFill="1" applyBorder="1" applyAlignment="1">
      <alignment horizontal="center"/>
    </xf>
    <xf numFmtId="0" fontId="2" fillId="26" borderId="30" xfId="0" applyFont="1" applyFill="1" applyBorder="1" applyAlignment="1">
      <alignment horizontal="center" wrapText="1"/>
    </xf>
    <xf numFmtId="0" fontId="0" fillId="7" borderId="23" xfId="0" applyFill="1" applyBorder="1" applyAlignment="1">
      <alignment horizontal="left"/>
    </xf>
    <xf numFmtId="0" fontId="0" fillId="7" borderId="2" xfId="0" applyFill="1" applyBorder="1" applyAlignment="1">
      <alignment horizontal="left"/>
    </xf>
    <xf numFmtId="0" fontId="0" fillId="12" borderId="1" xfId="0" applyFill="1" applyBorder="1" applyAlignment="1">
      <alignment horizontal="left" wrapText="1"/>
    </xf>
    <xf numFmtId="0" fontId="30" fillId="10" borderId="21" xfId="0" applyFont="1" applyFill="1" applyBorder="1" applyAlignment="1">
      <alignment horizontal="center"/>
    </xf>
    <xf numFmtId="0" fontId="30" fillId="10" borderId="4" xfId="0" applyFont="1" applyFill="1" applyBorder="1" applyAlignment="1">
      <alignment horizontal="center"/>
    </xf>
    <xf numFmtId="0" fontId="21" fillId="4" borderId="0" xfId="0" applyFont="1" applyFill="1" applyAlignment="1">
      <alignment horizontal="center" vertical="center"/>
    </xf>
    <xf numFmtId="0" fontId="14" fillId="0" borderId="0" xfId="0" applyFont="1" applyAlignment="1">
      <alignment vertical="center"/>
    </xf>
    <xf numFmtId="0" fontId="15" fillId="0" borderId="0" xfId="0" applyFont="1" applyAlignment="1">
      <alignment vertical="center" wrapText="1"/>
    </xf>
    <xf numFmtId="0" fontId="15" fillId="9" borderId="0" xfId="0" applyFont="1" applyFill="1" applyAlignment="1">
      <alignment vertical="center" wrapText="1"/>
    </xf>
    <xf numFmtId="0" fontId="14" fillId="9" borderId="0" xfId="0" applyFont="1" applyFill="1" applyAlignment="1">
      <alignment vertical="center"/>
    </xf>
    <xf numFmtId="0" fontId="18" fillId="10" borderId="0" xfId="0" applyFont="1" applyFill="1" applyAlignment="1">
      <alignment horizontal="center" vertical="center"/>
    </xf>
    <xf numFmtId="0" fontId="18" fillId="10" borderId="0" xfId="0" applyFont="1" applyFill="1"/>
    <xf numFmtId="0" fontId="14" fillId="0" borderId="0" xfId="0" applyFont="1" applyAlignment="1">
      <alignment horizontal="center" vertical="center" wrapText="1"/>
    </xf>
    <xf numFmtId="0" fontId="14" fillId="9" borderId="0" xfId="0" applyFont="1" applyFill="1" applyAlignment="1">
      <alignment vertical="center" wrapText="1"/>
    </xf>
    <xf numFmtId="0" fontId="30" fillId="10" borderId="6" xfId="0" applyFont="1" applyFill="1" applyBorder="1" applyAlignment="1">
      <alignment horizontal="center"/>
    </xf>
    <xf numFmtId="0" fontId="30" fillId="10" borderId="7" xfId="0" applyFont="1" applyFill="1" applyBorder="1" applyAlignment="1">
      <alignment horizontal="center"/>
    </xf>
    <xf numFmtId="0" fontId="30" fillId="10" borderId="8" xfId="0" applyFont="1" applyFill="1" applyBorder="1" applyAlignment="1">
      <alignment horizontal="center"/>
    </xf>
    <xf numFmtId="0" fontId="0" fillId="0" borderId="0" xfId="0" applyAlignment="1">
      <alignment horizontal="center"/>
    </xf>
    <xf numFmtId="10" fontId="27" fillId="9" borderId="0" xfId="1" applyNumberFormat="1" applyFont="1" applyFill="1" applyBorder="1" applyAlignment="1">
      <alignment horizontal="center"/>
    </xf>
    <xf numFmtId="0" fontId="26" fillId="2" borderId="0" xfId="0" applyFont="1" applyFill="1" applyAlignment="1">
      <alignment horizontal="right" vertical="center"/>
    </xf>
    <xf numFmtId="0" fontId="20" fillId="2" borderId="0" xfId="0" applyFont="1" applyFill="1" applyAlignment="1">
      <alignment horizontal="center" vertical="center"/>
    </xf>
    <xf numFmtId="2" fontId="18" fillId="10" borderId="0" xfId="2" applyNumberFormat="1" applyFont="1" applyFill="1" applyAlignment="1">
      <alignment horizontal="center" vertical="center" wrapText="1"/>
    </xf>
    <xf numFmtId="10" fontId="18" fillId="10" borderId="0" xfId="3" applyNumberFormat="1"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4" fillId="0" borderId="1"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vertical="center"/>
    </xf>
    <xf numFmtId="0" fontId="15" fillId="0" borderId="23"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pplyAlignment="1">
      <alignment horizontal="center"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40" fillId="0" borderId="0" xfId="0" applyFont="1" applyAlignment="1">
      <alignment horizontal="center" vertical="center" wrapText="1"/>
    </xf>
    <xf numFmtId="2" fontId="46" fillId="0" borderId="23" xfId="0" applyNumberFormat="1" applyFont="1" applyBorder="1" applyAlignment="1">
      <alignment horizontal="center"/>
    </xf>
    <xf numFmtId="2" fontId="46" fillId="0" borderId="24" xfId="0" applyNumberFormat="1" applyFont="1" applyBorder="1" applyAlignment="1">
      <alignment horizontal="center"/>
    </xf>
    <xf numFmtId="0" fontId="12" fillId="0" borderId="0" xfId="0" applyFont="1" applyAlignment="1">
      <alignment horizontal="center"/>
    </xf>
    <xf numFmtId="0" fontId="42" fillId="0" borderId="0" xfId="0" applyFont="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10" fontId="0" fillId="0" borderId="1" xfId="3" applyNumberFormat="1" applyFont="1" applyBorder="1" applyAlignment="1">
      <alignment horizontal="center"/>
    </xf>
    <xf numFmtId="2" fontId="0" fillId="0" borderId="23" xfId="0" applyNumberFormat="1" applyBorder="1" applyAlignment="1">
      <alignment horizontal="center"/>
    </xf>
    <xf numFmtId="2" fontId="0" fillId="0" borderId="24" xfId="0" applyNumberFormat="1" applyBorder="1" applyAlignment="1">
      <alignment horizontal="center"/>
    </xf>
    <xf numFmtId="2" fontId="46" fillId="0" borderId="1" xfId="0" applyNumberFormat="1" applyFont="1" applyBorder="1" applyAlignment="1">
      <alignment horizontal="center"/>
    </xf>
    <xf numFmtId="0" fontId="46" fillId="0" borderId="1" xfId="0" applyFont="1" applyBorder="1" applyAlignment="1">
      <alignment horizontal="center"/>
    </xf>
    <xf numFmtId="10" fontId="46" fillId="0" borderId="1" xfId="3" applyNumberFormat="1" applyFont="1" applyBorder="1" applyAlignment="1">
      <alignment horizontal="center"/>
    </xf>
    <xf numFmtId="186" fontId="0" fillId="7" borderId="23" xfId="0" applyNumberFormat="1" applyFill="1" applyBorder="1" applyAlignment="1">
      <alignment horizontal="center"/>
    </xf>
    <xf numFmtId="186" fontId="0" fillId="7" borderId="24" xfId="0" applyNumberFormat="1" applyFill="1" applyBorder="1" applyAlignment="1">
      <alignment horizontal="center"/>
    </xf>
    <xf numFmtId="0" fontId="43" fillId="0" borderId="0" xfId="0" applyFont="1" applyAlignment="1">
      <alignment horizontal="center"/>
    </xf>
    <xf numFmtId="0" fontId="12" fillId="0" borderId="0" xfId="0" applyFont="1" applyAlignment="1">
      <alignment horizontal="center" wrapText="1"/>
    </xf>
    <xf numFmtId="0" fontId="43" fillId="0" borderId="0" xfId="9" applyFont="1" applyAlignment="1">
      <alignment horizontal="center"/>
    </xf>
    <xf numFmtId="0" fontId="12" fillId="0" borderId="0" xfId="9" applyFont="1" applyAlignment="1">
      <alignment horizontal="center" wrapText="1"/>
    </xf>
    <xf numFmtId="0" fontId="50" fillId="0" borderId="0" xfId="0" applyFont="1" applyAlignment="1">
      <alignment horizontal="center"/>
    </xf>
    <xf numFmtId="0" fontId="52" fillId="0" borderId="0" xfId="0" applyFont="1" applyAlignment="1">
      <alignment horizontal="center"/>
    </xf>
    <xf numFmtId="164" fontId="12" fillId="0" borderId="0" xfId="11" applyFont="1" applyFill="1" applyBorder="1" applyAlignment="1">
      <alignment horizontal="center"/>
    </xf>
    <xf numFmtId="164" fontId="60" fillId="0" borderId="0" xfId="11" applyFont="1" applyFill="1" applyBorder="1" applyAlignment="1">
      <alignment horizontal="center"/>
    </xf>
    <xf numFmtId="0" fontId="11" fillId="0" borderId="0" xfId="0" applyFont="1" applyAlignment="1">
      <alignment horizontal="center"/>
    </xf>
    <xf numFmtId="164" fontId="60" fillId="0" borderId="21" xfId="11" applyFont="1" applyFill="1" applyBorder="1" applyAlignment="1">
      <alignment horizontal="center"/>
    </xf>
    <xf numFmtId="164" fontId="60" fillId="0" borderId="4" xfId="11" applyFont="1" applyFill="1" applyBorder="1" applyAlignment="1">
      <alignment horizontal="center"/>
    </xf>
    <xf numFmtId="0" fontId="60" fillId="0" borderId="3" xfId="0" applyFont="1" applyBorder="1" applyAlignment="1">
      <alignment horizontal="center"/>
    </xf>
    <xf numFmtId="0" fontId="60" fillId="0" borderId="0" xfId="0" applyFont="1" applyAlignment="1">
      <alignment horizontal="center"/>
    </xf>
    <xf numFmtId="0" fontId="43" fillId="0" borderId="21" xfId="0" applyFont="1" applyBorder="1" applyAlignment="1">
      <alignment horizontal="center"/>
    </xf>
    <xf numFmtId="0" fontId="43" fillId="0" borderId="4" xfId="0" applyFont="1" applyBorder="1" applyAlignment="1">
      <alignment horizontal="center"/>
    </xf>
    <xf numFmtId="0" fontId="47" fillId="0" borderId="27" xfId="0" applyFont="1" applyBorder="1" applyAlignment="1">
      <alignment horizontal="center"/>
    </xf>
    <xf numFmtId="0" fontId="47" fillId="0" borderId="43" xfId="0" applyFont="1" applyBorder="1" applyAlignment="1">
      <alignment horizontal="center"/>
    </xf>
    <xf numFmtId="0" fontId="66" fillId="21" borderId="27" xfId="0" applyFont="1" applyFill="1" applyBorder="1" applyAlignment="1">
      <alignment horizontal="left" vertical="center"/>
    </xf>
    <xf numFmtId="0" fontId="66" fillId="21" borderId="28" xfId="0" applyFont="1" applyFill="1" applyBorder="1" applyAlignment="1">
      <alignment horizontal="left" vertical="center"/>
    </xf>
    <xf numFmtId="0" fontId="65" fillId="7" borderId="6" xfId="0" applyFont="1" applyFill="1" applyBorder="1" applyAlignment="1">
      <alignment horizontal="center"/>
    </xf>
    <xf numFmtId="0" fontId="65" fillId="7" borderId="7" xfId="0" applyFont="1" applyFill="1" applyBorder="1" applyAlignment="1">
      <alignment horizontal="center"/>
    </xf>
    <xf numFmtId="0" fontId="65" fillId="7" borderId="53" xfId="0" applyFont="1" applyFill="1" applyBorder="1" applyAlignment="1">
      <alignment horizontal="center"/>
    </xf>
    <xf numFmtId="0" fontId="66" fillId="21" borderId="15" xfId="0" applyFont="1" applyFill="1" applyBorder="1" applyAlignment="1">
      <alignment horizontal="left" vertical="center"/>
    </xf>
    <xf numFmtId="0" fontId="66" fillId="21" borderId="16" xfId="0" applyFont="1" applyFill="1" applyBorder="1" applyAlignment="1">
      <alignment horizontal="left" vertical="center"/>
    </xf>
    <xf numFmtId="0" fontId="12" fillId="0" borderId="34" xfId="0" applyFont="1" applyBorder="1" applyAlignment="1">
      <alignment horizontal="left"/>
    </xf>
    <xf numFmtId="0" fontId="12" fillId="0" borderId="52" xfId="0" applyFont="1" applyBorder="1" applyAlignment="1">
      <alignment horizontal="left"/>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45" xfId="0" applyFont="1" applyBorder="1" applyAlignment="1">
      <alignment horizontal="left"/>
    </xf>
    <xf numFmtId="0" fontId="12" fillId="0" borderId="24" xfId="0" applyFont="1" applyBorder="1" applyAlignment="1">
      <alignment horizontal="left"/>
    </xf>
    <xf numFmtId="0" fontId="12" fillId="23" borderId="27" xfId="0" applyFont="1" applyFill="1" applyBorder="1" applyAlignment="1">
      <alignment horizontal="center"/>
    </xf>
    <xf numFmtId="0" fontId="12" fillId="23" borderId="28" xfId="0" applyFont="1" applyFill="1" applyBorder="1" applyAlignment="1">
      <alignment horizontal="center"/>
    </xf>
    <xf numFmtId="0" fontId="12" fillId="23" borderId="43" xfId="0" applyFont="1" applyFill="1" applyBorder="1" applyAlignment="1">
      <alignment horizontal="center"/>
    </xf>
    <xf numFmtId="0" fontId="41" fillId="7" borderId="34" xfId="0" applyFont="1" applyFill="1" applyBorder="1" applyAlignment="1">
      <alignment horizontal="center"/>
    </xf>
    <xf numFmtId="0" fontId="41" fillId="7" borderId="35" xfId="0" applyFont="1" applyFill="1" applyBorder="1" applyAlignment="1">
      <alignment horizontal="center"/>
    </xf>
    <xf numFmtId="0" fontId="41" fillId="7" borderId="52" xfId="0" applyFont="1" applyFill="1" applyBorder="1" applyAlignment="1">
      <alignment horizontal="center"/>
    </xf>
    <xf numFmtId="0" fontId="65" fillId="23" borderId="27" xfId="0" applyFont="1" applyFill="1" applyBorder="1" applyAlignment="1">
      <alignment horizontal="center"/>
    </xf>
    <xf numFmtId="0" fontId="65" fillId="23" borderId="28" xfId="0" applyFont="1" applyFill="1" applyBorder="1" applyAlignment="1">
      <alignment horizontal="center"/>
    </xf>
    <xf numFmtId="0" fontId="65" fillId="23" borderId="26" xfId="0" applyFont="1" applyFill="1" applyBorder="1" applyAlignment="1">
      <alignment horizontal="center"/>
    </xf>
    <xf numFmtId="0" fontId="67" fillId="6" borderId="32" xfId="0" applyFont="1" applyFill="1" applyBorder="1" applyAlignment="1">
      <alignment horizontal="center" vertical="center"/>
    </xf>
    <xf numFmtId="0" fontId="67" fillId="6" borderId="47" xfId="0" applyFont="1" applyFill="1" applyBorder="1" applyAlignment="1">
      <alignment horizontal="center" vertical="center"/>
    </xf>
    <xf numFmtId="0" fontId="67" fillId="6" borderId="54" xfId="0" applyFont="1" applyFill="1" applyBorder="1" applyAlignment="1">
      <alignment horizontal="center" vertical="center"/>
    </xf>
    <xf numFmtId="0" fontId="67" fillId="6" borderId="56" xfId="0" applyFont="1" applyFill="1" applyBorder="1" applyAlignment="1">
      <alignment horizontal="center" vertical="center"/>
    </xf>
    <xf numFmtId="0" fontId="67" fillId="6" borderId="27" xfId="0" applyFont="1" applyFill="1" applyBorder="1" applyAlignment="1">
      <alignment horizontal="center" vertical="center"/>
    </xf>
    <xf numFmtId="0" fontId="67" fillId="6" borderId="26" xfId="0" applyFont="1" applyFill="1" applyBorder="1" applyAlignment="1">
      <alignment horizontal="center" vertical="center"/>
    </xf>
    <xf numFmtId="0" fontId="60" fillId="7" borderId="32" xfId="0" applyFont="1" applyFill="1" applyBorder="1" applyAlignment="1">
      <alignment horizontal="left"/>
    </xf>
    <xf numFmtId="0" fontId="60" fillId="7" borderId="53" xfId="0" applyFont="1" applyFill="1" applyBorder="1" applyAlignment="1">
      <alignment horizontal="left"/>
    </xf>
    <xf numFmtId="0" fontId="60" fillId="7" borderId="33" xfId="0" applyFont="1" applyFill="1" applyBorder="1" applyAlignment="1">
      <alignment horizontal="left"/>
    </xf>
    <xf numFmtId="0" fontId="60" fillId="7" borderId="59" xfId="0" applyFont="1" applyFill="1" applyBorder="1" applyAlignment="1">
      <alignment horizontal="left"/>
    </xf>
    <xf numFmtId="0" fontId="11" fillId="0" borderId="61"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2" fillId="23" borderId="15" xfId="0" applyFont="1" applyFill="1" applyBorder="1" applyAlignment="1">
      <alignment horizontal="center"/>
    </xf>
    <xf numFmtId="0" fontId="12" fillId="23" borderId="16" xfId="0" applyFont="1" applyFill="1" applyBorder="1" applyAlignment="1">
      <alignment horizontal="center"/>
    </xf>
    <xf numFmtId="0" fontId="12" fillId="23" borderId="39" xfId="0" applyFont="1" applyFill="1" applyBorder="1" applyAlignment="1">
      <alignment horizontal="center"/>
    </xf>
    <xf numFmtId="0" fontId="60" fillId="7" borderId="51" xfId="0" applyFont="1" applyFill="1" applyBorder="1" applyAlignment="1">
      <alignment horizontal="left"/>
    </xf>
    <xf numFmtId="0" fontId="60" fillId="7" borderId="43" xfId="0" applyFont="1" applyFill="1" applyBorder="1" applyAlignment="1">
      <alignment horizontal="left"/>
    </xf>
    <xf numFmtId="0" fontId="60" fillId="7" borderId="44" xfId="0" applyFont="1" applyFill="1" applyBorder="1" applyAlignment="1">
      <alignment horizontal="left"/>
    </xf>
    <xf numFmtId="0" fontId="60" fillId="7" borderId="67" xfId="0" applyFont="1" applyFill="1" applyBorder="1" applyAlignment="1">
      <alignment horizontal="left"/>
    </xf>
    <xf numFmtId="0" fontId="12" fillId="15" borderId="27" xfId="0" applyFont="1" applyFill="1" applyBorder="1" applyAlignment="1">
      <alignment horizontal="center"/>
    </xf>
    <xf numFmtId="0" fontId="12" fillId="15" borderId="28" xfId="0" applyFont="1" applyFill="1" applyBorder="1" applyAlignment="1">
      <alignment horizontal="center"/>
    </xf>
    <xf numFmtId="0" fontId="12" fillId="15" borderId="26" xfId="0" applyFont="1" applyFill="1" applyBorder="1" applyAlignment="1">
      <alignment horizontal="center"/>
    </xf>
    <xf numFmtId="0" fontId="67" fillId="23" borderId="15" xfId="0" applyFont="1" applyFill="1" applyBorder="1" applyAlignment="1">
      <alignment horizontal="center"/>
    </xf>
    <xf numFmtId="0" fontId="67" fillId="23" borderId="16" xfId="0" applyFont="1" applyFill="1" applyBorder="1" applyAlignment="1">
      <alignment horizontal="center"/>
    </xf>
    <xf numFmtId="0" fontId="67" fillId="23" borderId="39" xfId="0" applyFont="1" applyFill="1" applyBorder="1" applyAlignment="1">
      <alignment horizontal="center"/>
    </xf>
    <xf numFmtId="0" fontId="12" fillId="23" borderId="6" xfId="0" applyFont="1" applyFill="1" applyBorder="1" applyAlignment="1">
      <alignment horizontal="center"/>
    </xf>
    <xf numFmtId="0" fontId="12" fillId="23" borderId="7" xfId="0" applyFont="1" applyFill="1" applyBorder="1" applyAlignment="1">
      <alignment horizontal="center"/>
    </xf>
    <xf numFmtId="0" fontId="12" fillId="23" borderId="53" xfId="0" applyFont="1" applyFill="1" applyBorder="1" applyAlignment="1">
      <alignment horizontal="center"/>
    </xf>
    <xf numFmtId="0" fontId="41" fillId="7" borderId="6" xfId="0" applyFont="1" applyFill="1" applyBorder="1" applyAlignment="1">
      <alignment horizontal="center"/>
    </xf>
    <xf numFmtId="0" fontId="41" fillId="7" borderId="7" xfId="0" applyFont="1" applyFill="1" applyBorder="1" applyAlignment="1">
      <alignment horizontal="center"/>
    </xf>
    <xf numFmtId="0" fontId="71" fillId="0" borderId="27" xfId="0" applyFont="1" applyBorder="1" applyAlignment="1">
      <alignment horizontal="center"/>
    </xf>
    <xf numFmtId="0" fontId="71" fillId="0" borderId="28" xfId="0" applyFont="1" applyBorder="1" applyAlignment="1">
      <alignment horizontal="center"/>
    </xf>
    <xf numFmtId="0" fontId="71" fillId="0" borderId="26" xfId="0" applyFont="1" applyBorder="1" applyAlignment="1">
      <alignment horizontal="center"/>
    </xf>
    <xf numFmtId="0" fontId="2" fillId="0" borderId="0" xfId="0" applyFont="1" applyAlignment="1">
      <alignment horizontal="center"/>
    </xf>
    <xf numFmtId="0" fontId="0" fillId="7" borderId="30" xfId="0" applyFill="1" applyBorder="1" applyAlignment="1">
      <alignment horizontal="center"/>
    </xf>
    <xf numFmtId="0" fontId="12" fillId="7" borderId="1" xfId="0" applyFont="1" applyFill="1" applyBorder="1" applyAlignment="1">
      <alignment horizontal="center"/>
    </xf>
    <xf numFmtId="173" fontId="0" fillId="0" borderId="29" xfId="11" applyNumberFormat="1" applyFont="1" applyBorder="1" applyAlignment="1">
      <alignment horizontal="right" vertical="center"/>
    </xf>
    <xf numFmtId="173" fontId="0" fillId="0" borderId="30" xfId="11" applyNumberFormat="1" applyFont="1" applyBorder="1" applyAlignment="1">
      <alignment horizontal="right" vertical="center"/>
    </xf>
    <xf numFmtId="0" fontId="0" fillId="0" borderId="29" xfId="0" applyBorder="1" applyAlignment="1">
      <alignment horizontal="center" vertical="center"/>
    </xf>
    <xf numFmtId="0" fontId="0" fillId="0" borderId="30" xfId="0" applyBorder="1" applyAlignment="1">
      <alignment horizontal="center" vertical="center"/>
    </xf>
    <xf numFmtId="43" fontId="0" fillId="0" borderId="29" xfId="0" applyNumberFormat="1" applyBorder="1" applyAlignment="1">
      <alignment horizontal="center" vertical="center"/>
    </xf>
    <xf numFmtId="43" fontId="0" fillId="0" borderId="30" xfId="0" applyNumberFormat="1"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46" xfId="0" applyBorder="1" applyAlignment="1">
      <alignment horizontal="center" vertical="center"/>
    </xf>
    <xf numFmtId="0" fontId="0" fillId="0" borderId="40" xfId="0" applyBorder="1" applyAlignment="1">
      <alignment horizontal="center" vertical="center"/>
    </xf>
    <xf numFmtId="173" fontId="0" fillId="0" borderId="31" xfId="11" applyNumberFormat="1" applyFont="1" applyBorder="1" applyAlignment="1">
      <alignment horizontal="right" vertical="center"/>
    </xf>
    <xf numFmtId="0" fontId="0" fillId="0" borderId="31" xfId="0" applyBorder="1" applyAlignment="1">
      <alignment horizontal="center" vertical="center"/>
    </xf>
    <xf numFmtId="43" fontId="0" fillId="0" borderId="31" xfId="0" applyNumberFormat="1" applyBorder="1" applyAlignment="1">
      <alignment horizontal="center" vertical="center"/>
    </xf>
    <xf numFmtId="0" fontId="0" fillId="0" borderId="31" xfId="0" applyBorder="1" applyAlignment="1">
      <alignment horizontal="left" vertical="center"/>
    </xf>
    <xf numFmtId="0" fontId="0" fillId="0" borderId="42" xfId="0" applyBorder="1" applyAlignment="1">
      <alignment horizontal="center" vertical="center"/>
    </xf>
    <xf numFmtId="0" fontId="0" fillId="0" borderId="46" xfId="0" applyBorder="1" applyAlignment="1">
      <alignment horizontal="center"/>
    </xf>
    <xf numFmtId="0" fontId="0" fillId="0" borderId="40" xfId="0" applyBorder="1" applyAlignment="1">
      <alignment horizontal="center"/>
    </xf>
    <xf numFmtId="0" fontId="0" fillId="0" borderId="42" xfId="0" applyBorder="1" applyAlignment="1">
      <alignment horizontal="center"/>
    </xf>
  </cellXfs>
  <cellStyles count="13">
    <cellStyle name="Comma" xfId="6" builtinId="3"/>
    <cellStyle name="Comma 2" xfId="11" xr:uid="{53B75464-3F0A-4972-A90C-37E6D54C4BB0}"/>
    <cellStyle name="Comma 2 2" xfId="12" xr:uid="{9475B2DF-3925-4391-A16A-C4AC2F847708}"/>
    <cellStyle name="Comma 5" xfId="4" xr:uid="{00000000-0005-0000-0000-000001000000}"/>
    <cellStyle name="Hyperlink" xfId="8" builtinId="8"/>
    <cellStyle name="Normal" xfId="0" builtinId="0"/>
    <cellStyle name="Normal 10" xfId="9" xr:uid="{3E5A5A53-1C02-4514-9D9C-E3C00E0CA9CC}"/>
    <cellStyle name="Normal 2 2 9 9" xfId="10" xr:uid="{CE096C29-780D-4255-AC44-94DC4F7EC81D}"/>
    <cellStyle name="Normal_Ajit Projections-Hotel" xfId="5" xr:uid="{00000000-0005-0000-0000-000004000000}"/>
    <cellStyle name="Normal_QC sheet and key workings - 19oct4" xfId="7" xr:uid="{00000000-0005-0000-0000-000005000000}"/>
    <cellStyle name="Normal_temp" xfId="2" xr:uid="{00000000-0005-0000-0000-000006000000}"/>
    <cellStyle name="Percent" xfId="1" builtinId="5"/>
    <cellStyle name="Percent 4" xfId="3" xr:uid="{00000000-0005-0000-0000-000008000000}"/>
  </cellStyles>
  <dxfs count="0"/>
  <tableStyles count="0" defaultTableStyle="TableStyleMedium9"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L'!$B$51</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L'!$F$5:$N$5</c:f>
              <c:numCache>
                <c:formatCode>General</c:formatCode>
                <c:ptCount val="9"/>
                <c:pt idx="0">
                  <c:v>2027</c:v>
                </c:pt>
                <c:pt idx="1">
                  <c:v>2028</c:v>
                </c:pt>
                <c:pt idx="2">
                  <c:v>2029</c:v>
                </c:pt>
                <c:pt idx="3">
                  <c:v>2030</c:v>
                </c:pt>
                <c:pt idx="4">
                  <c:v>2031</c:v>
                </c:pt>
                <c:pt idx="5">
                  <c:v>2032</c:v>
                </c:pt>
                <c:pt idx="6">
                  <c:v>2033</c:v>
                </c:pt>
                <c:pt idx="7">
                  <c:v>2034</c:v>
                </c:pt>
                <c:pt idx="8">
                  <c:v>2035</c:v>
                </c:pt>
              </c:numCache>
            </c:numRef>
          </c:cat>
          <c:val>
            <c:numRef>
              <c:f>'P &amp; L'!$F$51:$N$51</c:f>
              <c:numCache>
                <c:formatCode>0.0%</c:formatCode>
                <c:ptCount val="9"/>
                <c:pt idx="0">
                  <c:v>0.39659726666666656</c:v>
                </c:pt>
                <c:pt idx="1">
                  <c:v>0.39659726666666661</c:v>
                </c:pt>
                <c:pt idx="2">
                  <c:v>0.42467303333333301</c:v>
                </c:pt>
                <c:pt idx="3">
                  <c:v>0.42467303333333317</c:v>
                </c:pt>
                <c:pt idx="4">
                  <c:v>0.42467303333333306</c:v>
                </c:pt>
                <c:pt idx="5">
                  <c:v>0.42467303333333334</c:v>
                </c:pt>
                <c:pt idx="6">
                  <c:v>0.42467303333333328</c:v>
                </c:pt>
                <c:pt idx="7">
                  <c:v>0.42467303333333328</c:v>
                </c:pt>
                <c:pt idx="8">
                  <c:v>0.42467303333333334</c:v>
                </c:pt>
              </c:numCache>
            </c:numRef>
          </c:val>
          <c:extLst>
            <c:ext xmlns:c16="http://schemas.microsoft.com/office/drawing/2014/chart" uri="{C3380CC4-5D6E-409C-BE32-E72D297353CC}">
              <c16:uniqueId val="{00000001-8777-4B76-87F4-033BC0CE2C98}"/>
            </c:ext>
          </c:extLst>
        </c:ser>
        <c:dLbls>
          <c:dLblPos val="outEnd"/>
          <c:showLegendKey val="0"/>
          <c:showVal val="1"/>
          <c:showCatName val="0"/>
          <c:showSerName val="0"/>
          <c:showPercent val="0"/>
          <c:showBubbleSize val="0"/>
        </c:dLbls>
        <c:gapWidth val="219"/>
        <c:overlap val="-27"/>
        <c:axId val="338632664"/>
        <c:axId val="338628832"/>
      </c:barChart>
      <c:catAx>
        <c:axId val="33863266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628832"/>
        <c:crosses val="autoZero"/>
        <c:auto val="1"/>
        <c:lblAlgn val="ctr"/>
        <c:lblOffset val="100"/>
        <c:noMultiLvlLbl val="0"/>
      </c:catAx>
      <c:valAx>
        <c:axId val="33862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a:t>
                </a:r>
                <a:r>
                  <a:rPr lang="en-IN" b="1" i="1" baseline="0"/>
                  <a:t> %</a:t>
                </a:r>
                <a:endParaRPr lang="en-IN" b="1" i="1"/>
              </a:p>
            </c:rich>
          </c:tx>
          <c:layout>
            <c:manualLayout>
              <c:xMode val="edge"/>
              <c:yMode val="edge"/>
              <c:x val="1.2705974984736572E-2"/>
              <c:y val="0.37652012248468941"/>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632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L'!$B$53</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L'!$F$5:$N$5</c:f>
              <c:numCache>
                <c:formatCode>General</c:formatCode>
                <c:ptCount val="9"/>
                <c:pt idx="0">
                  <c:v>2027</c:v>
                </c:pt>
                <c:pt idx="1">
                  <c:v>2028</c:v>
                </c:pt>
                <c:pt idx="2">
                  <c:v>2029</c:v>
                </c:pt>
                <c:pt idx="3">
                  <c:v>2030</c:v>
                </c:pt>
                <c:pt idx="4">
                  <c:v>2031</c:v>
                </c:pt>
                <c:pt idx="5">
                  <c:v>2032</c:v>
                </c:pt>
                <c:pt idx="6">
                  <c:v>2033</c:v>
                </c:pt>
                <c:pt idx="7">
                  <c:v>2034</c:v>
                </c:pt>
                <c:pt idx="8">
                  <c:v>2035</c:v>
                </c:pt>
              </c:numCache>
            </c:numRef>
          </c:cat>
          <c:val>
            <c:numRef>
              <c:f>'P &amp; L'!$F$53:$N$53</c:f>
              <c:numCache>
                <c:formatCode>0.0%</c:formatCode>
                <c:ptCount val="9"/>
                <c:pt idx="0">
                  <c:v>0.34421433070193069</c:v>
                </c:pt>
                <c:pt idx="1">
                  <c:v>0.35294482002938671</c:v>
                </c:pt>
                <c:pt idx="2">
                  <c:v>0.38771858115362517</c:v>
                </c:pt>
                <c:pt idx="3">
                  <c:v>0.38947831697170665</c:v>
                </c:pt>
                <c:pt idx="4">
                  <c:v>0.39115425584606972</c:v>
                </c:pt>
                <c:pt idx="5">
                  <c:v>0.39275038810736823</c:v>
                </c:pt>
                <c:pt idx="6">
                  <c:v>0.39427051407050939</c:v>
                </c:pt>
                <c:pt idx="7">
                  <c:v>0.39571825308302483</c:v>
                </c:pt>
                <c:pt idx="8">
                  <c:v>0.39709705214256341</c:v>
                </c:pt>
              </c:numCache>
            </c:numRef>
          </c:val>
          <c:extLst>
            <c:ext xmlns:c16="http://schemas.microsoft.com/office/drawing/2014/chart" uri="{C3380CC4-5D6E-409C-BE32-E72D297353CC}">
              <c16:uniqueId val="{00000001-A5DD-4640-8CF8-CAA88EBE970F}"/>
            </c:ext>
          </c:extLst>
        </c:ser>
        <c:dLbls>
          <c:dLblPos val="outEnd"/>
          <c:showLegendKey val="0"/>
          <c:showVal val="1"/>
          <c:showCatName val="0"/>
          <c:showSerName val="0"/>
          <c:showPercent val="0"/>
          <c:showBubbleSize val="0"/>
        </c:dLbls>
        <c:gapWidth val="219"/>
        <c:overlap val="-27"/>
        <c:axId val="338778552"/>
        <c:axId val="338778936"/>
      </c:barChart>
      <c:catAx>
        <c:axId val="33877855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032275346305454"/>
              <c:y val="0.8920622547599610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778936"/>
        <c:crosses val="autoZero"/>
        <c:auto val="1"/>
        <c:lblAlgn val="ctr"/>
        <c:lblOffset val="100"/>
        <c:noMultiLvlLbl val="0"/>
      </c:catAx>
      <c:valAx>
        <c:axId val="33877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2541641397193166E-2"/>
              <c:y val="0.36788568095654711"/>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778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L'!$B$55</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L'!$F$5:$N$5</c:f>
              <c:numCache>
                <c:formatCode>General</c:formatCode>
                <c:ptCount val="9"/>
                <c:pt idx="0">
                  <c:v>2027</c:v>
                </c:pt>
                <c:pt idx="1">
                  <c:v>2028</c:v>
                </c:pt>
                <c:pt idx="2">
                  <c:v>2029</c:v>
                </c:pt>
                <c:pt idx="3">
                  <c:v>2030</c:v>
                </c:pt>
                <c:pt idx="4">
                  <c:v>2031</c:v>
                </c:pt>
                <c:pt idx="5">
                  <c:v>2032</c:v>
                </c:pt>
                <c:pt idx="6">
                  <c:v>2033</c:v>
                </c:pt>
                <c:pt idx="7">
                  <c:v>2034</c:v>
                </c:pt>
                <c:pt idx="8">
                  <c:v>2035</c:v>
                </c:pt>
              </c:numCache>
            </c:numRef>
          </c:cat>
          <c:val>
            <c:numRef>
              <c:f>'P &amp; L'!$F$55:$N$55</c:f>
              <c:numCache>
                <c:formatCode>0.0%</c:formatCode>
                <c:ptCount val="9"/>
                <c:pt idx="0">
                  <c:v>0.19350653359292808</c:v>
                </c:pt>
                <c:pt idx="1">
                  <c:v>0.21830172869692788</c:v>
                </c:pt>
                <c:pt idx="2">
                  <c:v>0.2644746846843995</c:v>
                </c:pt>
                <c:pt idx="3">
                  <c:v>0.28201199499456203</c:v>
                </c:pt>
                <c:pt idx="4">
                  <c:v>0.30079891813756959</c:v>
                </c:pt>
                <c:pt idx="5">
                  <c:v>0.32035438524131737</c:v>
                </c:pt>
                <c:pt idx="6">
                  <c:v>0.33913974408185221</c:v>
                </c:pt>
                <c:pt idx="7">
                  <c:v>0.35796598372091393</c:v>
                </c:pt>
                <c:pt idx="8">
                  <c:v>0.3761319599373662</c:v>
                </c:pt>
              </c:numCache>
            </c:numRef>
          </c:val>
          <c:extLst>
            <c:ext xmlns:c16="http://schemas.microsoft.com/office/drawing/2014/chart" uri="{C3380CC4-5D6E-409C-BE32-E72D297353CC}">
              <c16:uniqueId val="{00000001-2AF1-4B22-8EAE-3D14FA2DB6F3}"/>
            </c:ext>
          </c:extLst>
        </c:ser>
        <c:dLbls>
          <c:dLblPos val="outEnd"/>
          <c:showLegendKey val="0"/>
          <c:showVal val="1"/>
          <c:showCatName val="0"/>
          <c:showSerName val="0"/>
          <c:showPercent val="0"/>
          <c:showBubbleSize val="0"/>
        </c:dLbls>
        <c:gapWidth val="219"/>
        <c:overlap val="-27"/>
        <c:axId val="338830032"/>
        <c:axId val="338834520"/>
      </c:barChart>
      <c:catAx>
        <c:axId val="33883003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834520"/>
        <c:crosses val="autoZero"/>
        <c:auto val="1"/>
        <c:lblAlgn val="ctr"/>
        <c:lblOffset val="100"/>
        <c:noMultiLvlLbl val="0"/>
      </c:catAx>
      <c:valAx>
        <c:axId val="338834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2497558301847523E-2"/>
              <c:y val="0.372303762029746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83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L'!$B$57</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L'!$G$5:$N$5</c:f>
              <c:numCache>
                <c:formatCode>General</c:formatCode>
                <c:ptCount val="8"/>
                <c:pt idx="0">
                  <c:v>2028</c:v>
                </c:pt>
                <c:pt idx="1">
                  <c:v>2029</c:v>
                </c:pt>
                <c:pt idx="2">
                  <c:v>2030</c:v>
                </c:pt>
                <c:pt idx="3">
                  <c:v>2031</c:v>
                </c:pt>
                <c:pt idx="4">
                  <c:v>2032</c:v>
                </c:pt>
                <c:pt idx="5">
                  <c:v>2033</c:v>
                </c:pt>
                <c:pt idx="6">
                  <c:v>2034</c:v>
                </c:pt>
                <c:pt idx="7">
                  <c:v>2035</c:v>
                </c:pt>
              </c:numCache>
            </c:numRef>
          </c:cat>
          <c:val>
            <c:numRef>
              <c:f>'P &amp; L'!$G$57:$N$57</c:f>
              <c:numCache>
                <c:formatCode>0.0%</c:formatCode>
                <c:ptCount val="8"/>
                <c:pt idx="0">
                  <c:v>0.60000000000000009</c:v>
                </c:pt>
                <c:pt idx="1">
                  <c:v>0.18124999999999991</c:v>
                </c:pt>
                <c:pt idx="2">
                  <c:v>5.0000000000000266E-2</c:v>
                </c:pt>
                <c:pt idx="3">
                  <c:v>4.9999999999999822E-2</c:v>
                </c:pt>
                <c:pt idx="4">
                  <c:v>5.0000000000000488E-2</c:v>
                </c:pt>
                <c:pt idx="5">
                  <c:v>5.0000000000000044E-2</c:v>
                </c:pt>
                <c:pt idx="6">
                  <c:v>5.0000000000000044E-2</c:v>
                </c:pt>
                <c:pt idx="7">
                  <c:v>5.0000000000000044E-2</c:v>
                </c:pt>
              </c:numCache>
            </c:numRef>
          </c:val>
          <c:extLst>
            <c:ext xmlns:c16="http://schemas.microsoft.com/office/drawing/2014/chart" uri="{C3380CC4-5D6E-409C-BE32-E72D297353CC}">
              <c16:uniqueId val="{00000001-428E-4086-90B4-B802920288EF}"/>
            </c:ext>
          </c:extLst>
        </c:ser>
        <c:dLbls>
          <c:dLblPos val="outEnd"/>
          <c:showLegendKey val="0"/>
          <c:showVal val="1"/>
          <c:showCatName val="0"/>
          <c:showSerName val="0"/>
          <c:showPercent val="0"/>
          <c:showBubbleSize val="0"/>
        </c:dLbls>
        <c:gapWidth val="219"/>
        <c:overlap val="-27"/>
        <c:axId val="336979240"/>
        <c:axId val="336979632"/>
      </c:barChart>
      <c:catAx>
        <c:axId val="336979240"/>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597525815554316"/>
              <c:y val="0.91239268157736431"/>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79632"/>
        <c:crosses val="autoZero"/>
        <c:auto val="1"/>
        <c:lblAlgn val="ctr"/>
        <c:lblOffset val="100"/>
        <c:noMultiLvlLbl val="0"/>
      </c:catAx>
      <c:valAx>
        <c:axId val="336979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Rate</a:t>
                </a:r>
                <a:r>
                  <a:rPr lang="en-IN" b="1" i="1" baseline="0"/>
                  <a:t> %</a:t>
                </a:r>
                <a:endParaRPr lang="en-IN" b="1" i="1"/>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79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DSCR!$C$4:$M$4</c15:sqref>
                  </c15:fullRef>
                </c:ext>
              </c:extLst>
              <c:f>DSCR!$E$4:$M$4</c:f>
              <c:numCache>
                <c:formatCode>"FY"\ 0</c:formatCode>
                <c:ptCount val="9"/>
                <c:pt idx="0">
                  <c:v>2027</c:v>
                </c:pt>
                <c:pt idx="1">
                  <c:v>2028</c:v>
                </c:pt>
                <c:pt idx="2">
                  <c:v>2029</c:v>
                </c:pt>
                <c:pt idx="3">
                  <c:v>2030</c:v>
                </c:pt>
                <c:pt idx="4">
                  <c:v>2031</c:v>
                </c:pt>
                <c:pt idx="5">
                  <c:v>2032</c:v>
                </c:pt>
                <c:pt idx="6">
                  <c:v>2033</c:v>
                </c:pt>
                <c:pt idx="7">
                  <c:v>2034</c:v>
                </c:pt>
                <c:pt idx="8">
                  <c:v>2035</c:v>
                </c:pt>
              </c:numCache>
            </c:numRef>
          </c:cat>
          <c:val>
            <c:numRef>
              <c:extLst>
                <c:ext xmlns:c15="http://schemas.microsoft.com/office/drawing/2012/chart" uri="{02D57815-91ED-43cb-92C2-25804820EDAC}">
                  <c15:fullRef>
                    <c15:sqref>DSCR!$C$16:$M$16</c15:sqref>
                  </c15:fullRef>
                </c:ext>
              </c:extLst>
              <c:f>DSCR!$E$16:$M$16</c:f>
              <c:numCache>
                <c:formatCode>0.0</c:formatCode>
                <c:ptCount val="9"/>
                <c:pt idx="0">
                  <c:v>4.1437951646987248</c:v>
                </c:pt>
                <c:pt idx="1">
                  <c:v>2.5430847206668057</c:v>
                </c:pt>
                <c:pt idx="2">
                  <c:v>2.8202057289800271</c:v>
                </c:pt>
                <c:pt idx="3">
                  <c:v>2.7483355743007127</c:v>
                </c:pt>
                <c:pt idx="4">
                  <c:v>2.7379696205357216</c:v>
                </c:pt>
                <c:pt idx="5">
                  <c:v>3.0917808357804883</c:v>
                </c:pt>
                <c:pt idx="6">
                  <c:v>3.1246435816538622</c:v>
                </c:pt>
                <c:pt idx="7">
                  <c:v>3.5814876789139021</c:v>
                </c:pt>
                <c:pt idx="8">
                  <c:v>3.5777067454850542</c:v>
                </c:pt>
              </c:numCache>
            </c:numRef>
          </c:val>
          <c:extLst>
            <c:ext xmlns:c16="http://schemas.microsoft.com/office/drawing/2014/chart" uri="{C3380CC4-5D6E-409C-BE32-E72D297353CC}">
              <c16:uniqueId val="{00000001-758A-44FB-93D0-045CB0A5F037}"/>
            </c:ext>
          </c:extLst>
        </c:ser>
        <c:dLbls>
          <c:dLblPos val="outEnd"/>
          <c:showLegendKey val="0"/>
          <c:showVal val="1"/>
          <c:showCatName val="0"/>
          <c:showSerName val="0"/>
          <c:showPercent val="0"/>
          <c:showBubbleSize val="0"/>
        </c:dLbls>
        <c:gapWidth val="219"/>
        <c:overlap val="-27"/>
        <c:axId val="419706848"/>
        <c:axId val="419707632"/>
      </c:barChart>
      <c:catAx>
        <c:axId val="419706848"/>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707632"/>
        <c:crosses val="autoZero"/>
        <c:auto val="1"/>
        <c:lblAlgn val="ctr"/>
        <c:lblOffset val="100"/>
        <c:noMultiLvlLbl val="0"/>
      </c:catAx>
      <c:valAx>
        <c:axId val="419707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DSCR</a:t>
                </a:r>
              </a:p>
            </c:rich>
          </c:tx>
          <c:layout>
            <c:manualLayout>
              <c:xMode val="edge"/>
              <c:yMode val="edge"/>
              <c:x val="1.8348620907699696E-2"/>
              <c:y val="0.37500923495674154"/>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70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280987</xdr:colOff>
      <xdr:row>60</xdr:row>
      <xdr:rowOff>104774</xdr:rowOff>
    </xdr:from>
    <xdr:to>
      <xdr:col>11</xdr:col>
      <xdr:colOff>0</xdr:colOff>
      <xdr:row>75</xdr:row>
      <xdr:rowOff>95249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319086</xdr:colOff>
      <xdr:row>77</xdr:row>
      <xdr:rowOff>38099</xdr:rowOff>
    </xdr:from>
    <xdr:to>
      <xdr:col>11</xdr:col>
      <xdr:colOff>0</xdr:colOff>
      <xdr:row>92</xdr:row>
      <xdr:rowOff>28574</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319087</xdr:colOff>
      <xdr:row>93</xdr:row>
      <xdr:rowOff>114300</xdr:rowOff>
    </xdr:from>
    <xdr:to>
      <xdr:col>11</xdr:col>
      <xdr:colOff>0</xdr:colOff>
      <xdr:row>108</xdr:row>
      <xdr:rowOff>114300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312736</xdr:colOff>
      <xdr:row>110</xdr:row>
      <xdr:rowOff>66674</xdr:rowOff>
    </xdr:from>
    <xdr:to>
      <xdr:col>10</xdr:col>
      <xdr:colOff>812800</xdr:colOff>
      <xdr:row>125</xdr:row>
      <xdr:rowOff>171450</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444500</xdr:colOff>
      <xdr:row>18</xdr:row>
      <xdr:rowOff>0</xdr:rowOff>
    </xdr:from>
    <xdr:to>
      <xdr:col>10</xdr:col>
      <xdr:colOff>225426</xdr:colOff>
      <xdr:row>35</xdr:row>
      <xdr:rowOff>161925</xdr:rowOff>
    </xdr:to>
    <xdr:graphicFrame macro="">
      <xdr:nvGraphicFramePr>
        <xdr:cNvPr id="2" name="Chart 1">
          <a:extLst>
            <a:ext uri="{FF2B5EF4-FFF2-40B4-BE49-F238E27FC236}">
              <a16:creationId xmlns:a16="http://schemas.microsoft.com/office/drawing/2014/main" id="{42B9D07C-9348-4758-8E92-24D214092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eesh%20Mallick\OneDrive%20-%20JC%20Bhalla%20&amp;%20Co\Desktop\Other%20assignments\TEV_Texfil%20Private%20Limited\Client%20Data\Data%2028-10-2024\Texfil-%20Financial%20Projections%20%2028.10.2024.xls" TargetMode="External"/><Relationship Id="rId1" Type="http://schemas.openxmlformats.org/officeDocument/2006/relationships/externalLinkPath" Target="/Users/Aneesh%20Mallick/OneDrive%20-%20JC%20Bhalla%20&amp;%20Co/Desktop/Other%20assignments/TEV_Texfil%20Private%20Limited/Client%20Data/Data%2028-10-2024/Texfil-%20Financial%20Projections%20%2028.10.202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neesh%20Mallick\OneDrive%20-%20JC%20Bhalla%20&amp;%20Co\Desktop\Other%20assignments\TEV_Texfil%20Private%20Limited\Client%20Data\Data%2019-11-2024\Texfil-%20Financial%20Projections%20%2019.11.2024.xls" TargetMode="External"/><Relationship Id="rId1" Type="http://schemas.openxmlformats.org/officeDocument/2006/relationships/externalLinkPath" Target="/Users/Aneesh%20Mallick/OneDrive%20-%20JC%20Bhalla%20&amp;%20Co/Desktop/Other%20assignments/TEV_Texfil%20Private%20Limited/Client%20Data/Data%2019-11-2024/Texfil-%20Financial%20Projections%20%2019.1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xfil"/>
      <sheetName val="SNAPSHOTS"/>
      <sheetName val="Project Cost "/>
      <sheetName val="Profitability"/>
      <sheetName val="Balance Sheet"/>
      <sheetName val="Cash Flow"/>
      <sheetName val="Depriciation"/>
      <sheetName val="term loans repayments"/>
      <sheetName val="DSCR"/>
      <sheetName val="payback"/>
      <sheetName val="IRR"/>
      <sheetName val="WC Requirement"/>
      <sheetName val="Cost &amp; Sales assumptions"/>
      <sheetName val="Costing"/>
      <sheetName val="CP"/>
      <sheetName val="Depoly plant"/>
      <sheetName val="summery"/>
      <sheetName val="Quotations received"/>
    </sheetNames>
    <sheetDataSet>
      <sheetData sheetId="0" refreshError="1"/>
      <sheetData sheetId="1" refreshError="1"/>
      <sheetData sheetId="2">
        <row r="8">
          <cell r="D8">
            <v>1200</v>
          </cell>
        </row>
      </sheetData>
      <sheetData sheetId="3">
        <row r="5">
          <cell r="C5" t="str">
            <v>2025-26</v>
          </cell>
          <cell r="D5" t="str">
            <v>2026-27</v>
          </cell>
          <cell r="E5" t="str">
            <v>2027-28</v>
          </cell>
          <cell r="F5" t="str">
            <v>2028-29</v>
          </cell>
        </row>
        <row r="9">
          <cell r="C9">
            <v>0</v>
          </cell>
          <cell r="D9">
            <v>148.83750000000001</v>
          </cell>
          <cell r="E9">
            <v>238.14</v>
          </cell>
          <cell r="F9">
            <v>281.30287499999997</v>
          </cell>
        </row>
        <row r="20">
          <cell r="C20">
            <v>0</v>
          </cell>
          <cell r="D20">
            <v>58.802932833750035</v>
          </cell>
          <cell r="E20">
            <v>94.084692533999998</v>
          </cell>
          <cell r="F20">
            <v>119.03533693694993</v>
          </cell>
        </row>
        <row r="28">
          <cell r="C28">
            <v>0</v>
          </cell>
          <cell r="D28">
            <v>35.437682833750038</v>
          </cell>
          <cell r="E28">
            <v>66.427692534000002</v>
          </cell>
          <cell r="F28">
            <v>95.716336936949929</v>
          </cell>
        </row>
        <row r="30">
          <cell r="C30">
            <v>0</v>
          </cell>
          <cell r="D30">
            <v>25.455596333139326</v>
          </cell>
          <cell r="E30">
            <v>47.71634010102288</v>
          </cell>
          <cell r="F30">
            <v>68.754959148549872</v>
          </cell>
        </row>
        <row r="31">
          <cell r="C31">
            <v>0</v>
          </cell>
          <cell r="D31">
            <v>33.734846333139323</v>
          </cell>
          <cell r="E31">
            <v>58.755340101022881</v>
          </cell>
          <cell r="F31">
            <v>79.793959148549874</v>
          </cell>
        </row>
      </sheetData>
      <sheetData sheetId="4">
        <row r="9">
          <cell r="B9">
            <v>25</v>
          </cell>
        </row>
      </sheetData>
      <sheetData sheetId="5">
        <row r="22">
          <cell r="D22">
            <v>0</v>
          </cell>
        </row>
      </sheetData>
      <sheetData sheetId="6">
        <row r="17">
          <cell r="E17">
            <v>0</v>
          </cell>
        </row>
      </sheetData>
      <sheetData sheetId="7">
        <row r="25">
          <cell r="E25">
            <v>0</v>
          </cell>
        </row>
      </sheetData>
      <sheetData sheetId="8">
        <row r="7">
          <cell r="C7" t="str">
            <v>2025-26</v>
          </cell>
        </row>
        <row r="22">
          <cell r="C22">
            <v>3.2818791995899428</v>
          </cell>
        </row>
      </sheetData>
      <sheetData sheetId="9">
        <row r="10">
          <cell r="C10">
            <v>-100</v>
          </cell>
        </row>
        <row r="19">
          <cell r="D19" t="str">
            <v>3 YEARS</v>
          </cell>
          <cell r="E19">
            <v>0.77011521223507673</v>
          </cell>
          <cell r="F19" t="str">
            <v>MONTHS</v>
          </cell>
        </row>
      </sheetData>
      <sheetData sheetId="10">
        <row r="6">
          <cell r="D6" t="str">
            <v>2025-26</v>
          </cell>
        </row>
        <row r="15">
          <cell r="D15">
            <v>0.21635485557590051</v>
          </cell>
        </row>
      </sheetData>
      <sheetData sheetId="11" refreshError="1"/>
      <sheetData sheetId="12">
        <row r="9">
          <cell r="C9">
            <v>35.223666666666659</v>
          </cell>
        </row>
        <row r="26">
          <cell r="D26">
            <v>0.7</v>
          </cell>
          <cell r="E26">
            <v>0.8</v>
          </cell>
          <cell r="F26">
            <v>0.9</v>
          </cell>
        </row>
        <row r="27">
          <cell r="C27">
            <v>0</v>
          </cell>
          <cell r="D27">
            <v>270</v>
          </cell>
          <cell r="E27">
            <v>360</v>
          </cell>
        </row>
      </sheetData>
      <sheetData sheetId="13">
        <row r="22">
          <cell r="G22">
            <v>35.223666666666659</v>
          </cell>
        </row>
      </sheetData>
      <sheetData sheetId="14">
        <row r="151">
          <cell r="G151">
            <v>4961.9199399999998</v>
          </cell>
        </row>
      </sheetData>
      <sheetData sheetId="15">
        <row r="261">
          <cell r="K261">
            <v>17608.196</v>
          </cell>
        </row>
      </sheetData>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xfil"/>
      <sheetName val="SNAPSHOTS"/>
      <sheetName val="Project Cost "/>
      <sheetName val="Profitability"/>
      <sheetName val="Balance Sheet"/>
      <sheetName val="Cash Flow"/>
      <sheetName val="Depriciation"/>
      <sheetName val="term loans repayments"/>
      <sheetName val="DSCR"/>
      <sheetName val="payback"/>
      <sheetName val="IRR"/>
      <sheetName val="WC Requirement"/>
      <sheetName val="Cost &amp; Sales assumptions"/>
      <sheetName val="Costing"/>
      <sheetName val="CP"/>
      <sheetName val="Depoly plant"/>
      <sheetName val="summery"/>
      <sheetName val="Quotations received"/>
    </sheetNames>
    <sheetDataSet>
      <sheetData sheetId="0" refreshError="1"/>
      <sheetData sheetId="1" refreshError="1"/>
      <sheetData sheetId="2">
        <row r="8">
          <cell r="D8">
            <v>1200</v>
          </cell>
        </row>
        <row r="10">
          <cell r="D10">
            <v>3500</v>
          </cell>
        </row>
        <row r="12">
          <cell r="D12">
            <v>14500</v>
          </cell>
        </row>
        <row r="14">
          <cell r="D14">
            <v>4700</v>
          </cell>
        </row>
        <row r="16">
          <cell r="D16">
            <v>1600</v>
          </cell>
        </row>
        <row r="18">
          <cell r="D18">
            <v>1600</v>
          </cell>
        </row>
        <row r="20">
          <cell r="D20">
            <v>350</v>
          </cell>
        </row>
        <row r="22">
          <cell r="D22">
            <v>800</v>
          </cell>
        </row>
        <row r="24">
          <cell r="D24">
            <v>1000</v>
          </cell>
        </row>
        <row r="26">
          <cell r="D26">
            <v>750</v>
          </cell>
        </row>
        <row r="29">
          <cell r="D29">
            <v>30000</v>
          </cell>
        </row>
        <row r="39">
          <cell r="C39">
            <v>30000</v>
          </cell>
        </row>
      </sheetData>
      <sheetData sheetId="3">
        <row r="7">
          <cell r="D7">
            <v>175.62825000000001</v>
          </cell>
        </row>
        <row r="13">
          <cell r="D13">
            <v>52.200412031250011</v>
          </cell>
        </row>
        <row r="14">
          <cell r="D14">
            <v>24.51084229125</v>
          </cell>
        </row>
        <row r="22">
          <cell r="C22">
            <v>0</v>
          </cell>
          <cell r="D22">
            <v>14.374999999999998</v>
          </cell>
          <cell r="E22">
            <v>18.055</v>
          </cell>
          <cell r="F22">
            <v>16.329999999999998</v>
          </cell>
          <cell r="G22">
            <v>14.317499999999999</v>
          </cell>
          <cell r="H22">
            <v>11.845000000000001</v>
          </cell>
          <cell r="I22">
            <v>9.0850000000000009</v>
          </cell>
          <cell r="J22">
            <v>6.1524999999999999</v>
          </cell>
          <cell r="K22">
            <v>2.9324999999999997</v>
          </cell>
          <cell r="L22">
            <v>0.22999999999999998</v>
          </cell>
        </row>
        <row r="25">
          <cell r="C25">
            <v>0</v>
          </cell>
          <cell r="D25">
            <v>7.8280000000000012</v>
          </cell>
          <cell r="E25">
            <v>10.437333333333333</v>
          </cell>
          <cell r="F25">
            <v>10.437333333333333</v>
          </cell>
          <cell r="G25">
            <v>10.437333333333333</v>
          </cell>
          <cell r="H25">
            <v>10.437333333333333</v>
          </cell>
          <cell r="I25">
            <v>10.437333333333333</v>
          </cell>
          <cell r="J25">
            <v>10.437333333333333</v>
          </cell>
          <cell r="K25">
            <v>10.437333333333333</v>
          </cell>
          <cell r="L25">
            <v>10.437333333333333</v>
          </cell>
        </row>
        <row r="30">
          <cell r="C30">
            <v>0</v>
          </cell>
          <cell r="D30">
            <v>25.447596291061799</v>
          </cell>
          <cell r="E30">
            <v>47.783608769698859</v>
          </cell>
          <cell r="F30">
            <v>68.908015140423373</v>
          </cell>
          <cell r="G30">
            <v>77.409754181444626</v>
          </cell>
          <cell r="H30">
            <v>86.959273824516799</v>
          </cell>
          <cell r="I30">
            <v>97.443390339742734</v>
          </cell>
          <cell r="J30">
            <v>108.53934772072986</v>
          </cell>
          <cell r="K30">
            <v>120.59299070076639</v>
          </cell>
          <cell r="L30">
            <v>133.54131290980467</v>
          </cell>
        </row>
        <row r="31">
          <cell r="C31">
            <v>0</v>
          </cell>
          <cell r="D31">
            <v>33.275596291061802</v>
          </cell>
          <cell r="E31">
            <v>58.220942103032193</v>
          </cell>
          <cell r="F31">
            <v>79.345348473756701</v>
          </cell>
          <cell r="G31">
            <v>87.847087514777954</v>
          </cell>
          <cell r="H31">
            <v>97.396607157850127</v>
          </cell>
          <cell r="I31">
            <v>107.88072367307606</v>
          </cell>
          <cell r="J31">
            <v>118.97668105406319</v>
          </cell>
          <cell r="K31">
            <v>131.03032403409972</v>
          </cell>
          <cell r="L31">
            <v>143.978646243138</v>
          </cell>
        </row>
      </sheetData>
      <sheetData sheetId="4">
        <row r="9">
          <cell r="B9">
            <v>25</v>
          </cell>
          <cell r="C9">
            <v>75</v>
          </cell>
          <cell r="D9">
            <v>100</v>
          </cell>
          <cell r="E9">
            <v>100</v>
          </cell>
          <cell r="F9">
            <v>100</v>
          </cell>
          <cell r="G9">
            <v>100</v>
          </cell>
          <cell r="H9">
            <v>100</v>
          </cell>
          <cell r="I9">
            <v>100</v>
          </cell>
          <cell r="J9">
            <v>100</v>
          </cell>
          <cell r="K9">
            <v>100</v>
          </cell>
          <cell r="L9">
            <v>100</v>
          </cell>
        </row>
        <row r="11">
          <cell r="B11">
            <v>0</v>
          </cell>
          <cell r="C11">
            <v>100</v>
          </cell>
          <cell r="D11">
            <v>200</v>
          </cell>
          <cell r="E11">
            <v>185</v>
          </cell>
          <cell r="F11">
            <v>165</v>
          </cell>
          <cell r="G11">
            <v>140</v>
          </cell>
          <cell r="H11">
            <v>110</v>
          </cell>
          <cell r="I11">
            <v>80</v>
          </cell>
          <cell r="J11">
            <v>45</v>
          </cell>
          <cell r="K11">
            <v>10</v>
          </cell>
          <cell r="L11">
            <v>0</v>
          </cell>
        </row>
        <row r="12">
          <cell r="B12">
            <v>25</v>
          </cell>
          <cell r="C12">
            <v>25</v>
          </cell>
          <cell r="D12">
            <v>0</v>
          </cell>
          <cell r="E12">
            <v>0</v>
          </cell>
          <cell r="F12">
            <v>0</v>
          </cell>
          <cell r="G12">
            <v>0</v>
          </cell>
          <cell r="H12">
            <v>0</v>
          </cell>
          <cell r="I12">
            <v>0</v>
          </cell>
          <cell r="J12">
            <v>0</v>
          </cell>
          <cell r="K12">
            <v>0</v>
          </cell>
          <cell r="L12">
            <v>0</v>
          </cell>
        </row>
        <row r="13">
          <cell r="B13">
            <v>0</v>
          </cell>
          <cell r="C13">
            <v>0</v>
          </cell>
          <cell r="D13">
            <v>22.5</v>
          </cell>
          <cell r="E13">
            <v>30</v>
          </cell>
          <cell r="F13">
            <v>37.5</v>
          </cell>
          <cell r="G13">
            <v>37.5</v>
          </cell>
          <cell r="H13">
            <v>37.5</v>
          </cell>
          <cell r="I13">
            <v>37.5</v>
          </cell>
          <cell r="J13">
            <v>37.5</v>
          </cell>
          <cell r="K13">
            <v>37.5</v>
          </cell>
          <cell r="L13">
            <v>37.5</v>
          </cell>
        </row>
        <row r="14">
          <cell r="B14">
            <v>3</v>
          </cell>
          <cell r="C14">
            <v>3</v>
          </cell>
          <cell r="D14">
            <v>3</v>
          </cell>
          <cell r="E14">
            <v>3</v>
          </cell>
          <cell r="F14">
            <v>3</v>
          </cell>
          <cell r="G14">
            <v>3</v>
          </cell>
          <cell r="H14">
            <v>3</v>
          </cell>
          <cell r="I14">
            <v>3</v>
          </cell>
          <cell r="J14">
            <v>3</v>
          </cell>
          <cell r="K14">
            <v>3</v>
          </cell>
          <cell r="L14">
            <v>3</v>
          </cell>
        </row>
        <row r="18">
          <cell r="B18">
            <v>50</v>
          </cell>
          <cell r="C18">
            <v>200</v>
          </cell>
          <cell r="D18">
            <v>292.5</v>
          </cell>
          <cell r="E18">
            <v>292.5</v>
          </cell>
          <cell r="F18">
            <v>292.5</v>
          </cell>
          <cell r="G18">
            <v>292.5</v>
          </cell>
          <cell r="H18">
            <v>292.5</v>
          </cell>
          <cell r="I18">
            <v>292.5</v>
          </cell>
          <cell r="J18">
            <v>292.5</v>
          </cell>
          <cell r="K18">
            <v>292.5</v>
          </cell>
          <cell r="L18">
            <v>292.5</v>
          </cell>
        </row>
        <row r="21">
          <cell r="D21">
            <v>30</v>
          </cell>
          <cell r="E21">
            <v>70</v>
          </cell>
          <cell r="F21">
            <v>120</v>
          </cell>
          <cell r="G21">
            <v>180</v>
          </cell>
          <cell r="H21">
            <v>250</v>
          </cell>
          <cell r="I21">
            <v>330</v>
          </cell>
          <cell r="J21">
            <v>410</v>
          </cell>
          <cell r="K21">
            <v>510</v>
          </cell>
          <cell r="L21">
            <v>630</v>
          </cell>
        </row>
        <row r="22">
          <cell r="B22">
            <v>0</v>
          </cell>
          <cell r="C22">
            <v>0</v>
          </cell>
          <cell r="D22">
            <v>30</v>
          </cell>
          <cell r="E22">
            <v>40</v>
          </cell>
          <cell r="F22">
            <v>50</v>
          </cell>
          <cell r="G22">
            <v>50</v>
          </cell>
          <cell r="H22">
            <v>50</v>
          </cell>
          <cell r="I22">
            <v>50</v>
          </cell>
          <cell r="J22">
            <v>50</v>
          </cell>
          <cell r="K22">
            <v>50</v>
          </cell>
          <cell r="L22">
            <v>50</v>
          </cell>
        </row>
        <row r="24">
          <cell r="B24">
            <v>0</v>
          </cell>
          <cell r="C24">
            <v>2</v>
          </cell>
          <cell r="D24">
            <v>2</v>
          </cell>
          <cell r="E24">
            <v>2</v>
          </cell>
          <cell r="F24">
            <v>2</v>
          </cell>
          <cell r="G24">
            <v>2</v>
          </cell>
          <cell r="H24">
            <v>2</v>
          </cell>
          <cell r="I24">
            <v>2</v>
          </cell>
          <cell r="J24">
            <v>2</v>
          </cell>
          <cell r="K24">
            <v>2</v>
          </cell>
          <cell r="L24">
            <v>2</v>
          </cell>
        </row>
      </sheetData>
      <sheetData sheetId="5">
        <row r="22">
          <cell r="D22">
            <v>0</v>
          </cell>
          <cell r="E22">
            <v>0</v>
          </cell>
          <cell r="F22">
            <v>15</v>
          </cell>
          <cell r="G22">
            <v>20</v>
          </cell>
          <cell r="H22">
            <v>25</v>
          </cell>
          <cell r="I22">
            <v>30</v>
          </cell>
          <cell r="J22">
            <v>30</v>
          </cell>
          <cell r="K22">
            <v>35</v>
          </cell>
          <cell r="L22">
            <v>35</v>
          </cell>
          <cell r="M22">
            <v>10</v>
          </cell>
        </row>
        <row r="28">
          <cell r="C28">
            <v>3</v>
          </cell>
          <cell r="D28">
            <v>1</v>
          </cell>
          <cell r="E28">
            <v>4.2755962910617882</v>
          </cell>
          <cell r="F28">
            <v>4.9965383940939887</v>
          </cell>
          <cell r="G28">
            <v>11.84188686785069</v>
          </cell>
          <cell r="H28">
            <v>14.688974382628643</v>
          </cell>
          <cell r="I28">
            <v>12.085581540478771</v>
          </cell>
          <cell r="J28">
            <v>9.9663052135548327</v>
          </cell>
          <cell r="K28">
            <v>13.942986267618039</v>
          </cell>
          <cell r="L28">
            <v>9.9733103017177598</v>
          </cell>
          <cell r="M28">
            <v>23.951956544855761</v>
          </cell>
        </row>
        <row r="43">
          <cell r="E43">
            <v>30</v>
          </cell>
          <cell r="F43">
            <v>40</v>
          </cell>
          <cell r="G43">
            <v>50</v>
          </cell>
          <cell r="H43">
            <v>60</v>
          </cell>
          <cell r="I43">
            <v>70</v>
          </cell>
          <cell r="J43">
            <v>80</v>
          </cell>
          <cell r="K43">
            <v>80</v>
          </cell>
          <cell r="L43">
            <v>100</v>
          </cell>
          <cell r="M43">
            <v>120</v>
          </cell>
        </row>
        <row r="47">
          <cell r="D47">
            <v>0</v>
          </cell>
          <cell r="E47">
            <v>1.05</v>
          </cell>
          <cell r="F47">
            <v>3.5</v>
          </cell>
          <cell r="G47">
            <v>6.65</v>
          </cell>
          <cell r="H47">
            <v>10.5</v>
          </cell>
          <cell r="I47">
            <v>15.05</v>
          </cell>
          <cell r="J47">
            <v>20.3</v>
          </cell>
          <cell r="K47">
            <v>25.900000000000002</v>
          </cell>
          <cell r="L47">
            <v>32.200000000000003</v>
          </cell>
          <cell r="M47">
            <v>39.900000000000006</v>
          </cell>
        </row>
      </sheetData>
      <sheetData sheetId="6">
        <row r="18">
          <cell r="E18">
            <v>0</v>
          </cell>
          <cell r="F18">
            <v>7.8280000000000012</v>
          </cell>
          <cell r="G18">
            <v>10.437333333333333</v>
          </cell>
          <cell r="H18">
            <v>10.437333333333333</v>
          </cell>
          <cell r="I18">
            <v>10.437333333333333</v>
          </cell>
          <cell r="J18">
            <v>10.437333333333333</v>
          </cell>
          <cell r="K18">
            <v>10.437333333333333</v>
          </cell>
          <cell r="L18">
            <v>10.437333333333333</v>
          </cell>
          <cell r="M18">
            <v>10.437333333333333</v>
          </cell>
          <cell r="N18">
            <v>10.437333333333333</v>
          </cell>
        </row>
        <row r="20">
          <cell r="E20">
            <v>200</v>
          </cell>
          <cell r="F20">
            <v>292.5</v>
          </cell>
          <cell r="G20">
            <v>292.5</v>
          </cell>
          <cell r="H20">
            <v>292.5</v>
          </cell>
          <cell r="I20">
            <v>292.5</v>
          </cell>
          <cell r="J20">
            <v>292.5</v>
          </cell>
          <cell r="K20">
            <v>292.5</v>
          </cell>
          <cell r="L20">
            <v>292.5</v>
          </cell>
          <cell r="M20">
            <v>292.5</v>
          </cell>
          <cell r="N20">
            <v>292.5</v>
          </cell>
        </row>
        <row r="24">
          <cell r="E24">
            <v>0</v>
          </cell>
          <cell r="F24">
            <v>7.8280000000000012</v>
          </cell>
          <cell r="G24">
            <v>18.265333333333334</v>
          </cell>
          <cell r="H24">
            <v>28.702666666666666</v>
          </cell>
          <cell r="I24">
            <v>39.14</v>
          </cell>
          <cell r="J24">
            <v>49.577333333333335</v>
          </cell>
          <cell r="K24">
            <v>60.01466666666667</v>
          </cell>
          <cell r="L24">
            <v>70.451999999999998</v>
          </cell>
          <cell r="M24">
            <v>80.889333333333326</v>
          </cell>
          <cell r="N24">
            <v>91.326666666666654</v>
          </cell>
        </row>
      </sheetData>
      <sheetData sheetId="7">
        <row r="25">
          <cell r="E25">
            <v>0</v>
          </cell>
          <cell r="F25">
            <v>0</v>
          </cell>
          <cell r="G25">
            <v>0</v>
          </cell>
          <cell r="H25">
            <v>15</v>
          </cell>
          <cell r="I25">
            <v>20</v>
          </cell>
          <cell r="J25">
            <v>25</v>
          </cell>
          <cell r="K25">
            <v>30</v>
          </cell>
          <cell r="L25">
            <v>30</v>
          </cell>
          <cell r="M25">
            <v>35</v>
          </cell>
          <cell r="N25">
            <v>35</v>
          </cell>
          <cell r="O25">
            <v>10</v>
          </cell>
        </row>
        <row r="26">
          <cell r="E26">
            <v>0</v>
          </cell>
          <cell r="F26">
            <v>100</v>
          </cell>
          <cell r="G26">
            <v>200</v>
          </cell>
          <cell r="H26">
            <v>185</v>
          </cell>
          <cell r="I26">
            <v>165</v>
          </cell>
          <cell r="J26">
            <v>140</v>
          </cell>
          <cell r="K26">
            <v>110</v>
          </cell>
          <cell r="L26">
            <v>80</v>
          </cell>
          <cell r="M26">
            <v>45</v>
          </cell>
          <cell r="N26">
            <v>10</v>
          </cell>
          <cell r="O26">
            <v>0</v>
          </cell>
        </row>
        <row r="27">
          <cell r="F27">
            <v>0</v>
          </cell>
        </row>
        <row r="35">
          <cell r="F35">
            <v>0</v>
          </cell>
          <cell r="G35">
            <v>25</v>
          </cell>
          <cell r="H35">
            <v>0</v>
          </cell>
          <cell r="I35">
            <v>0</v>
          </cell>
          <cell r="J35">
            <v>0</v>
          </cell>
          <cell r="K35">
            <v>0</v>
          </cell>
          <cell r="L35">
            <v>0</v>
          </cell>
          <cell r="M35">
            <v>0</v>
          </cell>
          <cell r="N35">
            <v>0</v>
          </cell>
          <cell r="O35">
            <v>0</v>
          </cell>
        </row>
        <row r="36">
          <cell r="E36">
            <v>25</v>
          </cell>
          <cell r="F36">
            <v>25</v>
          </cell>
          <cell r="G36">
            <v>0</v>
          </cell>
          <cell r="H36">
            <v>0</v>
          </cell>
          <cell r="I36">
            <v>0</v>
          </cell>
          <cell r="J36">
            <v>0</v>
          </cell>
          <cell r="K36">
            <v>0</v>
          </cell>
          <cell r="L36">
            <v>0</v>
          </cell>
          <cell r="M36">
            <v>0</v>
          </cell>
          <cell r="N36">
            <v>0</v>
          </cell>
          <cell r="O36">
            <v>0</v>
          </cell>
        </row>
        <row r="39">
          <cell r="G39">
            <v>14.374999999999998</v>
          </cell>
          <cell r="H39">
            <v>18.055</v>
          </cell>
          <cell r="I39">
            <v>16.329999999999998</v>
          </cell>
          <cell r="J39">
            <v>14.317499999999999</v>
          </cell>
          <cell r="K39">
            <v>11.845000000000001</v>
          </cell>
          <cell r="L39">
            <v>9.0850000000000009</v>
          </cell>
          <cell r="M39">
            <v>6.1524999999999999</v>
          </cell>
          <cell r="N39">
            <v>2.9324999999999997</v>
          </cell>
          <cell r="O39">
            <v>0.22999999999999998</v>
          </cell>
        </row>
        <row r="44">
          <cell r="F44">
            <v>0</v>
          </cell>
          <cell r="G44">
            <v>22.5</v>
          </cell>
          <cell r="H44">
            <v>30</v>
          </cell>
          <cell r="I44">
            <v>37.5</v>
          </cell>
          <cell r="J44">
            <v>37.5</v>
          </cell>
          <cell r="K44">
            <v>37.5</v>
          </cell>
          <cell r="L44">
            <v>37.5</v>
          </cell>
          <cell r="M44">
            <v>37.5</v>
          </cell>
          <cell r="N44">
            <v>37.5</v>
          </cell>
          <cell r="O44">
            <v>37.5</v>
          </cell>
        </row>
        <row r="48">
          <cell r="F48">
            <v>0</v>
          </cell>
          <cell r="G48">
            <v>2.4489999999999998</v>
          </cell>
          <cell r="H48">
            <v>2.9319999999999999</v>
          </cell>
          <cell r="I48">
            <v>3.415</v>
          </cell>
          <cell r="J48">
            <v>3.415</v>
          </cell>
          <cell r="K48">
            <v>3.415</v>
          </cell>
          <cell r="L48">
            <v>3.415</v>
          </cell>
          <cell r="M48">
            <v>3.415</v>
          </cell>
          <cell r="N48">
            <v>3.415</v>
          </cell>
          <cell r="O48">
            <v>3.415</v>
          </cell>
        </row>
      </sheetData>
      <sheetData sheetId="8">
        <row r="7">
          <cell r="C7" t="str">
            <v>2025-26</v>
          </cell>
          <cell r="D7" t="str">
            <v>2026-27</v>
          </cell>
          <cell r="E7" t="str">
            <v>2027-28</v>
          </cell>
          <cell r="F7" t="str">
            <v>2028-29</v>
          </cell>
          <cell r="G7" t="str">
            <v>2029-30</v>
          </cell>
          <cell r="H7" t="str">
            <v>2030-31</v>
          </cell>
          <cell r="I7" t="str">
            <v>2031-32</v>
          </cell>
          <cell r="J7" t="str">
            <v>2032-33</v>
          </cell>
          <cell r="K7" t="str">
            <v>2033-34</v>
          </cell>
          <cell r="L7" t="str">
            <v>2034-35</v>
          </cell>
        </row>
      </sheetData>
      <sheetData sheetId="9">
        <row r="10">
          <cell r="C10">
            <v>-100</v>
          </cell>
        </row>
      </sheetData>
      <sheetData sheetId="10">
        <row r="6">
          <cell r="D6" t="str">
            <v>2025-26</v>
          </cell>
          <cell r="E6" t="str">
            <v>2026-27</v>
          </cell>
          <cell r="F6" t="str">
            <v>2027-28</v>
          </cell>
          <cell r="G6" t="str">
            <v>2028-29</v>
          </cell>
          <cell r="H6" t="str">
            <v>2029-30</v>
          </cell>
          <cell r="I6" t="str">
            <v>2030-31</v>
          </cell>
          <cell r="J6" t="str">
            <v>2031-32</v>
          </cell>
          <cell r="K6" t="str">
            <v>2032-33</v>
          </cell>
          <cell r="L6" t="str">
            <v>2033-34</v>
          </cell>
          <cell r="M6" t="str">
            <v>2034-35</v>
          </cell>
        </row>
      </sheetData>
      <sheetData sheetId="11" refreshError="1"/>
      <sheetData sheetId="12">
        <row r="9">
          <cell r="C9">
            <v>35.072083333333339</v>
          </cell>
          <cell r="D9">
            <v>36.825687500000008</v>
          </cell>
          <cell r="E9">
            <v>38.666971875000009</v>
          </cell>
          <cell r="F9">
            <v>40.600320468750013</v>
          </cell>
          <cell r="G9">
            <v>42.630336492187517</v>
          </cell>
          <cell r="H9">
            <v>44.761853316796895</v>
          </cell>
          <cell r="I9">
            <v>46.999945982636739</v>
          </cell>
          <cell r="J9">
            <v>49.349943281768574</v>
          </cell>
          <cell r="K9">
            <v>51.817440445857002</v>
          </cell>
          <cell r="L9">
            <v>54.408312468149852</v>
          </cell>
        </row>
        <row r="10">
          <cell r="C10">
            <v>13.46819</v>
          </cell>
          <cell r="D10">
            <v>14.1415995</v>
          </cell>
          <cell r="E10">
            <v>14.848679475000001</v>
          </cell>
          <cell r="F10">
            <v>15.591113448750001</v>
          </cell>
          <cell r="G10">
            <v>16.3706691211875</v>
          </cell>
          <cell r="H10">
            <v>17.189202577246878</v>
          </cell>
          <cell r="I10">
            <v>18.048662706109223</v>
          </cell>
          <cell r="J10">
            <v>18.951095841414684</v>
          </cell>
          <cell r="K10">
            <v>19.898650633485421</v>
          </cell>
          <cell r="L10">
            <v>20.893583165159693</v>
          </cell>
        </row>
        <row r="11">
          <cell r="C11">
            <v>5.5</v>
          </cell>
          <cell r="D11">
            <v>5.7750000000000004</v>
          </cell>
          <cell r="E11">
            <v>6.0637500000000006</v>
          </cell>
          <cell r="F11">
            <v>6.3669375000000006</v>
          </cell>
          <cell r="G11">
            <v>6.6852843750000011</v>
          </cell>
          <cell r="H11">
            <v>7.0195485937500015</v>
          </cell>
          <cell r="I11">
            <v>7.3705260234375016</v>
          </cell>
          <cell r="J11">
            <v>7.7390523246093768</v>
          </cell>
          <cell r="K11">
            <v>8.1260049408398451</v>
          </cell>
          <cell r="L11">
            <v>8.5323051878818372</v>
          </cell>
        </row>
        <row r="14">
          <cell r="C14">
            <v>0</v>
          </cell>
        </row>
        <row r="15">
          <cell r="C15">
            <v>3.0000000000000004</v>
          </cell>
          <cell r="D15">
            <v>3.1500000000000008</v>
          </cell>
          <cell r="E15">
            <v>3.307500000000001</v>
          </cell>
          <cell r="F15">
            <v>3.472875000000001</v>
          </cell>
          <cell r="G15">
            <v>3.6465187500000011</v>
          </cell>
          <cell r="H15">
            <v>3.8288446875000015</v>
          </cell>
          <cell r="I15">
            <v>4.0202869218750017</v>
          </cell>
          <cell r="J15">
            <v>4.2213012679687516</v>
          </cell>
          <cell r="K15">
            <v>4.4323663313671897</v>
          </cell>
          <cell r="L15">
            <v>4.6539846479355491</v>
          </cell>
        </row>
        <row r="16">
          <cell r="C16">
            <v>0.5</v>
          </cell>
          <cell r="D16">
            <v>0.52500000000000002</v>
          </cell>
          <cell r="E16">
            <v>0.55125000000000002</v>
          </cell>
          <cell r="F16">
            <v>0.57881250000000006</v>
          </cell>
          <cell r="G16">
            <v>0.60775312500000012</v>
          </cell>
          <cell r="H16">
            <v>0.63814078125000018</v>
          </cell>
          <cell r="I16">
            <v>0.67004782031250021</v>
          </cell>
          <cell r="J16">
            <v>0.70355021132812523</v>
          </cell>
          <cell r="K16">
            <v>0.73872772189453151</v>
          </cell>
          <cell r="L16">
            <v>0.77566410798925811</v>
          </cell>
        </row>
        <row r="17">
          <cell r="C17">
            <v>0.4</v>
          </cell>
          <cell r="D17">
            <v>0.42000000000000004</v>
          </cell>
          <cell r="E17">
            <v>0.44100000000000006</v>
          </cell>
          <cell r="F17">
            <v>0.46305000000000007</v>
          </cell>
          <cell r="G17">
            <v>0.48620250000000009</v>
          </cell>
          <cell r="H17">
            <v>0.51051262500000016</v>
          </cell>
          <cell r="I17">
            <v>0.53603825625000023</v>
          </cell>
          <cell r="J17">
            <v>0.56284016906250023</v>
          </cell>
          <cell r="K17">
            <v>0.59098217751562532</v>
          </cell>
          <cell r="L17">
            <v>0.62053128639140664</v>
          </cell>
        </row>
        <row r="18">
          <cell r="C18">
            <v>0.4</v>
          </cell>
          <cell r="D18">
            <v>0.42000000000000004</v>
          </cell>
          <cell r="E18">
            <v>0.44100000000000006</v>
          </cell>
          <cell r="F18">
            <v>0.46305000000000007</v>
          </cell>
          <cell r="G18">
            <v>0.48620250000000009</v>
          </cell>
          <cell r="H18">
            <v>0.51051262500000016</v>
          </cell>
          <cell r="I18">
            <v>0.53603825625000023</v>
          </cell>
          <cell r="J18">
            <v>0.56284016906250023</v>
          </cell>
          <cell r="K18">
            <v>0.59098217751562532</v>
          </cell>
          <cell r="L18">
            <v>0.62053128639140664</v>
          </cell>
        </row>
        <row r="19">
          <cell r="C19">
            <v>2</v>
          </cell>
          <cell r="D19">
            <v>2.1</v>
          </cell>
          <cell r="E19">
            <v>2.2050000000000001</v>
          </cell>
          <cell r="F19">
            <v>2.3152500000000003</v>
          </cell>
          <cell r="G19">
            <v>2.4310125000000005</v>
          </cell>
          <cell r="H19">
            <v>2.5525631250000003</v>
          </cell>
          <cell r="I19">
            <v>2.6801912812500008</v>
          </cell>
          <cell r="J19">
            <v>2.8142008453125009</v>
          </cell>
          <cell r="K19">
            <v>2.9549108875781265</v>
          </cell>
          <cell r="L19">
            <v>3.1026564319570329</v>
          </cell>
        </row>
        <row r="27">
          <cell r="D27">
            <v>270</v>
          </cell>
        </row>
        <row r="30">
          <cell r="C30">
            <v>100</v>
          </cell>
          <cell r="D30">
            <v>105</v>
          </cell>
          <cell r="E30">
            <v>110.25</v>
          </cell>
          <cell r="F30">
            <v>115.7625</v>
          </cell>
          <cell r="G30">
            <v>121.55062500000001</v>
          </cell>
          <cell r="H30">
            <v>127.62815625000002</v>
          </cell>
          <cell r="I30">
            <v>134.00956406250003</v>
          </cell>
          <cell r="J30">
            <v>140.71004226562505</v>
          </cell>
          <cell r="K30">
            <v>147.74554437890632</v>
          </cell>
          <cell r="L30">
            <v>155.13282159785163</v>
          </cell>
        </row>
        <row r="32">
          <cell r="C32">
            <v>0</v>
          </cell>
          <cell r="D32">
            <v>14175</v>
          </cell>
          <cell r="E32">
            <v>21600</v>
          </cell>
          <cell r="F32">
            <v>24300</v>
          </cell>
          <cell r="G32">
            <v>24300</v>
          </cell>
          <cell r="H32">
            <v>24300</v>
          </cell>
          <cell r="I32">
            <v>24300</v>
          </cell>
          <cell r="J32">
            <v>24300</v>
          </cell>
          <cell r="K32">
            <v>24300</v>
          </cell>
          <cell r="L32">
            <v>24300</v>
          </cell>
        </row>
        <row r="33">
          <cell r="C33">
            <v>0</v>
          </cell>
          <cell r="D33">
            <v>14175</v>
          </cell>
          <cell r="E33">
            <v>21600</v>
          </cell>
          <cell r="F33">
            <v>24300</v>
          </cell>
          <cell r="G33">
            <v>24300</v>
          </cell>
          <cell r="H33">
            <v>24300</v>
          </cell>
          <cell r="I33">
            <v>24300</v>
          </cell>
          <cell r="J33">
            <v>24300</v>
          </cell>
          <cell r="K33">
            <v>24300</v>
          </cell>
          <cell r="L33">
            <v>24300</v>
          </cell>
        </row>
      </sheetData>
      <sheetData sheetId="13">
        <row r="22">
          <cell r="G22">
            <v>35.072083333333339</v>
          </cell>
        </row>
        <row r="56">
          <cell r="G56">
            <v>5.5</v>
          </cell>
        </row>
        <row r="58">
          <cell r="G58">
            <v>18.96819</v>
          </cell>
        </row>
        <row r="74">
          <cell r="G74">
            <v>0.4</v>
          </cell>
        </row>
        <row r="76">
          <cell r="G76">
            <v>0.5</v>
          </cell>
        </row>
        <row r="77">
          <cell r="G77">
            <v>3.9000000000000004</v>
          </cell>
        </row>
      </sheetData>
      <sheetData sheetId="14" refreshError="1"/>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Aneesh Mallick" id="{7C608152-5D6A-416F-BA3A-C759C4678E33}" userId="S::aneeshmallick@inmacs.in::09b3744b-89c6-4090-9661-2dee1f28c4e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4-10-23T04:45:15.69" personId="{7C608152-5D6A-416F-BA3A-C759C4678E33}" id="{AF1F2FD4-44C8-4014-8299-318466772B1A}">
    <text>RM, WIP &amp; FG</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arbios.com/en/strategic-update-2023/" TargetMode="External"/><Relationship Id="rId2" Type="http://schemas.openxmlformats.org/officeDocument/2006/relationships/hyperlink" Target="https://www.selenis.com/news/selenis-syre-form-a-strategic-partnership-to-establish-a-textile-to-textile-recycling-plant-in-north-carolina" TargetMode="External"/><Relationship Id="rId1" Type="http://schemas.openxmlformats.org/officeDocument/2006/relationships/hyperlink" Target="https://www.indianchemicalnews.com/petro-chemical/ester-industries-and-loop-industries-jv-project-to-set-up-rs-1385-crore-rdmt-and-rmeg-plant-22871" TargetMode="External"/><Relationship Id="rId6" Type="http://schemas.openxmlformats.org/officeDocument/2006/relationships/printerSettings" Target="../printerSettings/printerSettings4.bin"/><Relationship Id="rId5" Type="http://schemas.openxmlformats.org/officeDocument/2006/relationships/hyperlink" Target="https://www.indiamart.com/proddetail/mono-ethylene-glycol-2384861491.html?srsltid=AfmBOorLEucvIYpus47e9rrbGPt4_9qT_n7lv3N-R7uA7QzYw2-biTBj" TargetMode="External"/><Relationship Id="rId4" Type="http://schemas.openxmlformats.org/officeDocument/2006/relationships/hyperlink" Target="https://www.indiamart.com/proddetail/activated-carbon-pellets-2245966697.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vickyplast.com/pvc-plasticizers.html" TargetMode="External"/><Relationship Id="rId7" Type="http://schemas.openxmlformats.org/officeDocument/2006/relationships/hyperlink" Target="https://www.exportersindia.com/product-detail/pvc-flex-banner-2714338.htm" TargetMode="External"/><Relationship Id="rId2" Type="http://schemas.openxmlformats.org/officeDocument/2006/relationships/hyperlink" Target="https://www.metawaresindia.com/pvc-chemicals.html" TargetMode="External"/><Relationship Id="rId1" Type="http://schemas.openxmlformats.org/officeDocument/2006/relationships/printerSettings" Target="../printerSettings/printerSettings9.bin"/><Relationship Id="rId6" Type="http://schemas.openxmlformats.org/officeDocument/2006/relationships/hyperlink" Target="https://www.vickyplast.com/calcium-carbonates.html" TargetMode="External"/><Relationship Id="rId5" Type="http://schemas.openxmlformats.org/officeDocument/2006/relationships/hyperlink" Target="https://www.exportersindia.com/indian-suppliers/pvc-resin.htm" TargetMode="External"/><Relationship Id="rId4" Type="http://schemas.openxmlformats.org/officeDocument/2006/relationships/hyperlink" Target="https://www.pranerafabrics.com/plain-polyester-fabric-3040614.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pib.gov.in/PressReleasePage.aspx?PRID=1935893" TargetMode="External"/><Relationship Id="rId2" Type="http://schemas.openxmlformats.org/officeDocument/2006/relationships/hyperlink" Target="https://www.google.com/maps/place/29%C2%B037'25.6%22N+77%C2%B059'36.7%22E/@29.6228603,77.9793391,1059m/data=!3m1!1e3!4m4!3m3!8m2!3d29.6237778!4d77.9935278?entry=ttu" TargetMode="External"/><Relationship Id="rId1" Type="http://schemas.openxmlformats.org/officeDocument/2006/relationships/hyperlink" Target="https://www.downtoearth.org.in/blog/energy/budget-kick-keep-these-factors-in-mind-while-setting-up-a-bio-cng-plant-87471" TargetMode="External"/><Relationship Id="rId5" Type="http://schemas.openxmlformats.org/officeDocument/2006/relationships/printerSettings" Target="../printerSettings/printerSettings11.bin"/><Relationship Id="rId4" Type="http://schemas.openxmlformats.org/officeDocument/2006/relationships/hyperlink" Target="https://gobardhan.co.in/"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2:M204"/>
  <sheetViews>
    <sheetView showGridLines="0" zoomScaleNormal="100" workbookViewId="0">
      <selection activeCell="G1" sqref="G1"/>
    </sheetView>
  </sheetViews>
  <sheetFormatPr defaultColWidth="13" defaultRowHeight="14.5" x14ac:dyDescent="0.35"/>
  <cols>
    <col min="1" max="1" width="4.453125" style="44" customWidth="1"/>
    <col min="2" max="2" width="9.54296875" style="44" customWidth="1"/>
    <col min="3" max="3" width="47.453125" style="45" customWidth="1"/>
    <col min="4" max="4" width="13.7265625" style="44" customWidth="1"/>
    <col min="5" max="5" width="13.453125" style="44" customWidth="1"/>
    <col min="6" max="6" width="20.26953125" style="44" customWidth="1"/>
    <col min="7" max="7" width="21" style="44" customWidth="1"/>
    <col min="8" max="8" width="19.453125" style="44" customWidth="1"/>
    <col min="9" max="9" width="16" style="44" bestFit="1" customWidth="1"/>
    <col min="10" max="12" width="13" style="44"/>
    <col min="13" max="13" width="22.453125" style="44" customWidth="1"/>
    <col min="14" max="16384" width="13" style="44"/>
  </cols>
  <sheetData>
    <row r="2" spans="2:9" ht="20.25" customHeight="1" x14ac:dyDescent="0.35">
      <c r="B2" s="964" t="s">
        <v>6</v>
      </c>
      <c r="C2" s="964"/>
      <c r="D2" s="964"/>
      <c r="E2" s="964"/>
      <c r="F2" s="964"/>
      <c r="G2" s="964"/>
    </row>
    <row r="3" spans="2:9" s="66" customFormat="1" ht="21" customHeight="1" x14ac:dyDescent="0.35">
      <c r="B3" s="70" t="s">
        <v>0</v>
      </c>
      <c r="C3" s="70" t="s">
        <v>1</v>
      </c>
      <c r="D3" s="70" t="s">
        <v>2</v>
      </c>
      <c r="E3" s="70" t="s">
        <v>3</v>
      </c>
      <c r="F3" s="70" t="s">
        <v>4</v>
      </c>
      <c r="G3" s="70" t="s">
        <v>542</v>
      </c>
    </row>
    <row r="4" spans="2:9" ht="18.75" customHeight="1" x14ac:dyDescent="0.35">
      <c r="B4" s="71" t="s">
        <v>67</v>
      </c>
      <c r="C4" s="965" t="s">
        <v>334</v>
      </c>
      <c r="D4" s="967"/>
      <c r="E4" s="967"/>
      <c r="F4" s="967"/>
      <c r="G4" s="967"/>
    </row>
    <row r="5" spans="2:9" x14ac:dyDescent="0.35">
      <c r="B5" s="44">
        <v>1</v>
      </c>
      <c r="C5" s="45" t="s">
        <v>543</v>
      </c>
    </row>
    <row r="6" spans="2:9" ht="14.15" customHeight="1" x14ac:dyDescent="0.35">
      <c r="D6" s="48"/>
      <c r="F6" s="48"/>
      <c r="G6" s="63"/>
    </row>
    <row r="7" spans="2:9" ht="14.15" customHeight="1" x14ac:dyDescent="0.35">
      <c r="D7" s="48"/>
      <c r="F7" s="48"/>
      <c r="G7" s="63"/>
    </row>
    <row r="8" spans="2:9" x14ac:dyDescent="0.35">
      <c r="D8" s="48"/>
      <c r="F8" s="48"/>
      <c r="G8" s="63"/>
    </row>
    <row r="9" spans="2:9" s="47" customFormat="1" ht="22.5" customHeight="1" x14ac:dyDescent="0.35">
      <c r="B9" s="74"/>
      <c r="C9" s="75" t="s">
        <v>547</v>
      </c>
      <c r="D9" s="74"/>
      <c r="E9" s="74"/>
      <c r="F9" s="74"/>
      <c r="G9" s="76">
        <v>5000000</v>
      </c>
      <c r="I9" s="49"/>
    </row>
    <row r="10" spans="2:9" ht="22.5" customHeight="1" x14ac:dyDescent="0.35">
      <c r="B10" s="71" t="s">
        <v>68</v>
      </c>
      <c r="C10" s="965" t="s">
        <v>92</v>
      </c>
      <c r="D10" s="966"/>
      <c r="E10" s="966"/>
      <c r="F10" s="966"/>
      <c r="G10" s="966"/>
    </row>
    <row r="11" spans="2:9" ht="22.5" customHeight="1" x14ac:dyDescent="0.35">
      <c r="B11" s="47">
        <v>1</v>
      </c>
      <c r="C11" s="50" t="s">
        <v>93</v>
      </c>
      <c r="F11" s="48"/>
      <c r="G11" s="63"/>
    </row>
    <row r="12" spans="2:9" ht="22.5" customHeight="1" x14ac:dyDescent="0.35">
      <c r="B12" s="44" t="s">
        <v>72</v>
      </c>
      <c r="C12" s="45" t="s">
        <v>268</v>
      </c>
      <c r="D12" s="48">
        <v>225</v>
      </c>
      <c r="E12" s="44" t="s">
        <v>276</v>
      </c>
      <c r="F12" s="48">
        <v>1400</v>
      </c>
      <c r="G12" s="63">
        <f>D12*F12</f>
        <v>315000</v>
      </c>
      <c r="H12" s="238"/>
    </row>
    <row r="13" spans="2:9" ht="22.5" customHeight="1" x14ac:dyDescent="0.35">
      <c r="B13" s="44" t="s">
        <v>73</v>
      </c>
      <c r="C13" s="45" t="s">
        <v>501</v>
      </c>
      <c r="D13" s="48">
        <v>320</v>
      </c>
      <c r="E13" s="44" t="s">
        <v>276</v>
      </c>
      <c r="F13" s="48">
        <v>6700</v>
      </c>
      <c r="G13" s="63">
        <f t="shared" ref="G13:G22" si="0">D13*F13</f>
        <v>2144000</v>
      </c>
      <c r="H13" s="238"/>
    </row>
    <row r="14" spans="2:9" ht="22.5" customHeight="1" x14ac:dyDescent="0.35">
      <c r="B14" s="44" t="s">
        <v>74</v>
      </c>
      <c r="C14" s="45" t="s">
        <v>266</v>
      </c>
      <c r="D14" s="48">
        <v>16</v>
      </c>
      <c r="E14" s="44" t="s">
        <v>276</v>
      </c>
      <c r="F14" s="48">
        <v>7500</v>
      </c>
      <c r="G14" s="63">
        <f t="shared" si="0"/>
        <v>120000</v>
      </c>
      <c r="H14" s="238"/>
    </row>
    <row r="15" spans="2:9" ht="22.5" customHeight="1" x14ac:dyDescent="0.35">
      <c r="B15" s="44" t="s">
        <v>81</v>
      </c>
      <c r="C15" s="45" t="s">
        <v>267</v>
      </c>
      <c r="D15" s="48">
        <v>3</v>
      </c>
      <c r="E15" s="44" t="s">
        <v>136</v>
      </c>
      <c r="F15" s="48">
        <v>225000</v>
      </c>
      <c r="G15" s="63">
        <f t="shared" si="0"/>
        <v>675000</v>
      </c>
      <c r="H15" s="238"/>
    </row>
    <row r="16" spans="2:9" ht="22.5" customHeight="1" x14ac:dyDescent="0.35">
      <c r="B16" s="44" t="s">
        <v>82</v>
      </c>
      <c r="C16" s="45" t="s">
        <v>573</v>
      </c>
      <c r="D16" s="48">
        <v>700</v>
      </c>
      <c r="E16" s="44" t="s">
        <v>160</v>
      </c>
      <c r="F16" s="48">
        <v>6700</v>
      </c>
      <c r="G16" s="63">
        <f t="shared" si="0"/>
        <v>4690000</v>
      </c>
      <c r="H16" s="238"/>
    </row>
    <row r="17" spans="2:10" ht="35.15" customHeight="1" x14ac:dyDescent="0.35">
      <c r="B17" s="44" t="s">
        <v>83</v>
      </c>
      <c r="C17" s="45" t="s">
        <v>574</v>
      </c>
      <c r="D17" s="48">
        <v>5000</v>
      </c>
      <c r="E17" s="44" t="s">
        <v>276</v>
      </c>
      <c r="F17" s="48">
        <v>1100</v>
      </c>
      <c r="G17" s="63">
        <f t="shared" si="0"/>
        <v>5500000</v>
      </c>
      <c r="H17" s="238"/>
    </row>
    <row r="18" spans="2:10" ht="22.5" customHeight="1" x14ac:dyDescent="0.35">
      <c r="B18" s="44" t="s">
        <v>84</v>
      </c>
      <c r="C18" s="45" t="s">
        <v>527</v>
      </c>
      <c r="D18" s="48">
        <v>350</v>
      </c>
      <c r="E18" s="44" t="s">
        <v>276</v>
      </c>
      <c r="F18" s="48">
        <v>2800</v>
      </c>
      <c r="G18" s="63">
        <f t="shared" si="0"/>
        <v>980000</v>
      </c>
      <c r="H18" s="238"/>
      <c r="I18" s="44" t="s">
        <v>679</v>
      </c>
      <c r="J18" s="44">
        <v>16</v>
      </c>
    </row>
    <row r="19" spans="2:10" ht="22.5" customHeight="1" x14ac:dyDescent="0.35">
      <c r="B19" s="44" t="s">
        <v>85</v>
      </c>
      <c r="C19" s="45" t="s">
        <v>510</v>
      </c>
      <c r="D19" s="48">
        <v>600</v>
      </c>
      <c r="E19" s="44" t="s">
        <v>277</v>
      </c>
      <c r="F19" s="48">
        <v>5000</v>
      </c>
      <c r="G19" s="63">
        <f>D19*F19</f>
        <v>3000000</v>
      </c>
      <c r="H19" s="238"/>
      <c r="J19" s="54">
        <f>(4/3)*(22/7)*16^3</f>
        <v>17164.190476190473</v>
      </c>
    </row>
    <row r="20" spans="2:10" ht="22.5" customHeight="1" x14ac:dyDescent="0.35">
      <c r="B20" s="44" t="s">
        <v>67</v>
      </c>
      <c r="C20" s="45" t="s">
        <v>468</v>
      </c>
      <c r="D20" s="48">
        <v>610</v>
      </c>
      <c r="E20" s="44" t="s">
        <v>276</v>
      </c>
      <c r="F20" s="48">
        <v>6700</v>
      </c>
      <c r="G20" s="63">
        <f t="shared" si="0"/>
        <v>4087000</v>
      </c>
      <c r="H20" s="238"/>
      <c r="J20" s="240" t="s">
        <v>680</v>
      </c>
    </row>
    <row r="21" spans="2:10" ht="22.5" customHeight="1" x14ac:dyDescent="0.35">
      <c r="B21" s="44" t="s">
        <v>86</v>
      </c>
      <c r="C21" s="45" t="s">
        <v>497</v>
      </c>
      <c r="D21" s="48">
        <v>7234</v>
      </c>
      <c r="E21" s="44" t="s">
        <v>277</v>
      </c>
      <c r="F21" s="48">
        <v>2450</v>
      </c>
      <c r="G21" s="63">
        <f t="shared" si="0"/>
        <v>17723300</v>
      </c>
      <c r="H21" s="238"/>
      <c r="J21" s="100">
        <f>(3.14)*16^2*9</f>
        <v>7234.56</v>
      </c>
    </row>
    <row r="22" spans="2:10" ht="22.5" customHeight="1" x14ac:dyDescent="0.35">
      <c r="B22" s="44" t="s">
        <v>269</v>
      </c>
      <c r="C22" s="45" t="s">
        <v>497</v>
      </c>
      <c r="D22" s="48">
        <v>7234</v>
      </c>
      <c r="E22" s="44" t="s">
        <v>277</v>
      </c>
      <c r="F22" s="48">
        <v>2450</v>
      </c>
      <c r="G22" s="63">
        <f t="shared" si="0"/>
        <v>17723300</v>
      </c>
      <c r="H22" s="238"/>
      <c r="J22" s="44">
        <f>3.14*32*32*9/4</f>
        <v>7234.56</v>
      </c>
    </row>
    <row r="23" spans="2:10" ht="22.5" customHeight="1" x14ac:dyDescent="0.35">
      <c r="B23" s="44" t="s">
        <v>264</v>
      </c>
      <c r="C23" s="45" t="s">
        <v>467</v>
      </c>
      <c r="D23" s="48">
        <v>100</v>
      </c>
      <c r="E23" s="44" t="s">
        <v>277</v>
      </c>
      <c r="F23" s="48">
        <v>5000</v>
      </c>
      <c r="G23" s="63">
        <f t="shared" ref="G23:G31" si="1">(D23*F23)</f>
        <v>500000</v>
      </c>
      <c r="H23" s="238"/>
    </row>
    <row r="24" spans="2:10" ht="22.5" customHeight="1" x14ac:dyDescent="0.35">
      <c r="B24" s="44" t="s">
        <v>270</v>
      </c>
      <c r="C24" s="45" t="s">
        <v>329</v>
      </c>
      <c r="D24" s="48">
        <v>24</v>
      </c>
      <c r="E24" s="44" t="s">
        <v>276</v>
      </c>
      <c r="F24" s="48">
        <v>10000</v>
      </c>
      <c r="G24" s="63">
        <f t="shared" si="1"/>
        <v>240000</v>
      </c>
      <c r="H24" s="238"/>
    </row>
    <row r="25" spans="2:10" ht="22.5" customHeight="1" x14ac:dyDescent="0.35">
      <c r="B25" s="44" t="s">
        <v>271</v>
      </c>
      <c r="C25" s="45" t="s">
        <v>469</v>
      </c>
      <c r="D25" s="48">
        <v>600</v>
      </c>
      <c r="E25" s="44" t="s">
        <v>276</v>
      </c>
      <c r="F25" s="48">
        <v>6700</v>
      </c>
      <c r="G25" s="63">
        <f t="shared" si="1"/>
        <v>4020000</v>
      </c>
      <c r="H25" s="238"/>
    </row>
    <row r="26" spans="2:10" ht="22.5" customHeight="1" x14ac:dyDescent="0.35">
      <c r="B26" s="44" t="s">
        <v>272</v>
      </c>
      <c r="C26" s="45" t="s">
        <v>470</v>
      </c>
      <c r="D26" s="48">
        <v>400</v>
      </c>
      <c r="E26" s="44" t="s">
        <v>471</v>
      </c>
      <c r="F26" s="48">
        <v>5000</v>
      </c>
      <c r="G26" s="63">
        <f>(D26*F26)</f>
        <v>2000000</v>
      </c>
      <c r="H26" s="238"/>
    </row>
    <row r="27" spans="2:10" ht="22.5" customHeight="1" x14ac:dyDescent="0.35">
      <c r="B27" s="44" t="s">
        <v>273</v>
      </c>
      <c r="C27" s="51" t="s">
        <v>532</v>
      </c>
      <c r="D27" s="44">
        <v>552</v>
      </c>
      <c r="E27" s="44" t="s">
        <v>276</v>
      </c>
      <c r="F27" s="48">
        <v>1000</v>
      </c>
      <c r="G27" s="63">
        <f>(D27*F27)</f>
        <v>552000</v>
      </c>
      <c r="H27" s="238"/>
    </row>
    <row r="28" spans="2:10" ht="29" x14ac:dyDescent="0.35">
      <c r="B28" s="44" t="s">
        <v>274</v>
      </c>
      <c r="C28" s="45" t="s">
        <v>528</v>
      </c>
      <c r="D28" s="48">
        <v>91</v>
      </c>
      <c r="E28" s="44" t="s">
        <v>276</v>
      </c>
      <c r="F28" s="48">
        <v>9000</v>
      </c>
      <c r="G28" s="63">
        <f>(D28*F28)</f>
        <v>819000</v>
      </c>
      <c r="H28" s="238"/>
    </row>
    <row r="29" spans="2:10" ht="22.5" customHeight="1" x14ac:dyDescent="0.35">
      <c r="B29" s="44" t="s">
        <v>275</v>
      </c>
      <c r="C29" s="45" t="s">
        <v>529</v>
      </c>
      <c r="D29" s="48">
        <v>225</v>
      </c>
      <c r="E29" s="44" t="s">
        <v>276</v>
      </c>
      <c r="F29" s="48">
        <v>15000</v>
      </c>
      <c r="G29" s="63">
        <f>(D29*F29)</f>
        <v>3375000</v>
      </c>
      <c r="H29" s="238"/>
    </row>
    <row r="30" spans="2:10" ht="22.5" customHeight="1" x14ac:dyDescent="0.35">
      <c r="B30" s="44" t="s">
        <v>472</v>
      </c>
      <c r="C30" s="51" t="s">
        <v>531</v>
      </c>
      <c r="D30" s="44">
        <v>165</v>
      </c>
      <c r="E30" s="44" t="s">
        <v>276</v>
      </c>
      <c r="F30" s="48">
        <v>10000</v>
      </c>
      <c r="G30" s="63">
        <f>(D30*F30)</f>
        <v>1650000</v>
      </c>
      <c r="H30" s="238"/>
    </row>
    <row r="31" spans="2:10" ht="22.5" customHeight="1" x14ac:dyDescent="0.35">
      <c r="B31" s="44" t="s">
        <v>530</v>
      </c>
      <c r="C31" s="45" t="s">
        <v>533</v>
      </c>
      <c r="D31" s="48">
        <v>20</v>
      </c>
      <c r="E31" s="44" t="s">
        <v>276</v>
      </c>
      <c r="F31" s="48">
        <v>6500</v>
      </c>
      <c r="G31" s="63">
        <f t="shared" si="1"/>
        <v>130000</v>
      </c>
      <c r="H31" s="238"/>
    </row>
    <row r="32" spans="2:10" s="47" customFormat="1" ht="22.5" customHeight="1" x14ac:dyDescent="0.35">
      <c r="B32" s="74"/>
      <c r="C32" s="80" t="s">
        <v>91</v>
      </c>
      <c r="D32" s="81"/>
      <c r="E32" s="82"/>
      <c r="F32" s="81"/>
      <c r="G32" s="76">
        <f>SUM(G11:G31)</f>
        <v>70243600</v>
      </c>
      <c r="H32" s="239"/>
    </row>
    <row r="33" spans="2:9" s="47" customFormat="1" ht="22.5" customHeight="1" x14ac:dyDescent="0.35">
      <c r="B33" s="47">
        <v>2</v>
      </c>
      <c r="C33" s="50" t="s">
        <v>278</v>
      </c>
      <c r="F33" s="52"/>
      <c r="G33" s="48"/>
    </row>
    <row r="34" spans="2:9" s="47" customFormat="1" ht="22.5" customHeight="1" x14ac:dyDescent="0.35">
      <c r="B34" s="44" t="s">
        <v>72</v>
      </c>
      <c r="C34" s="53" t="s">
        <v>466</v>
      </c>
      <c r="D34" s="54">
        <v>519</v>
      </c>
      <c r="E34" s="44" t="s">
        <v>276</v>
      </c>
      <c r="F34" s="48">
        <v>1000</v>
      </c>
      <c r="G34" s="63">
        <f t="shared" ref="G34:G41" si="2">(D34*F34)</f>
        <v>519000</v>
      </c>
      <c r="H34" s="238"/>
    </row>
    <row r="35" spans="2:9" s="47" customFormat="1" ht="22.5" customHeight="1" x14ac:dyDescent="0.35">
      <c r="B35" s="44" t="s">
        <v>73</v>
      </c>
      <c r="C35" s="53" t="s">
        <v>461</v>
      </c>
      <c r="D35" s="54">
        <v>150</v>
      </c>
      <c r="E35" s="44" t="s">
        <v>276</v>
      </c>
      <c r="F35" s="48">
        <v>1000</v>
      </c>
      <c r="G35" s="63">
        <f t="shared" si="2"/>
        <v>150000</v>
      </c>
      <c r="H35" s="238"/>
    </row>
    <row r="36" spans="2:9" s="47" customFormat="1" ht="22.5" customHeight="1" x14ac:dyDescent="0.35">
      <c r="B36" s="44" t="s">
        <v>74</v>
      </c>
      <c r="C36" s="53" t="s">
        <v>462</v>
      </c>
      <c r="D36" s="54">
        <v>76</v>
      </c>
      <c r="E36" s="44" t="s">
        <v>276</v>
      </c>
      <c r="F36" s="48">
        <v>1000</v>
      </c>
      <c r="G36" s="63">
        <f t="shared" si="2"/>
        <v>76000</v>
      </c>
      <c r="H36" s="238"/>
    </row>
    <row r="37" spans="2:9" s="47" customFormat="1" ht="22.5" customHeight="1" x14ac:dyDescent="0.35">
      <c r="B37" s="44" t="s">
        <v>81</v>
      </c>
      <c r="C37" s="53" t="s">
        <v>463</v>
      </c>
      <c r="D37" s="54">
        <v>100</v>
      </c>
      <c r="E37" s="44" t="s">
        <v>276</v>
      </c>
      <c r="F37" s="48">
        <v>1000</v>
      </c>
      <c r="G37" s="63">
        <f t="shared" si="2"/>
        <v>100000</v>
      </c>
      <c r="H37" s="238"/>
    </row>
    <row r="38" spans="2:9" s="47" customFormat="1" ht="22.5" customHeight="1" x14ac:dyDescent="0.35">
      <c r="B38" s="44" t="s">
        <v>82</v>
      </c>
      <c r="C38" s="53" t="s">
        <v>464</v>
      </c>
      <c r="D38" s="54">
        <v>238</v>
      </c>
      <c r="E38" s="44" t="s">
        <v>276</v>
      </c>
      <c r="F38" s="48">
        <v>4000</v>
      </c>
      <c r="G38" s="63">
        <f t="shared" si="2"/>
        <v>952000</v>
      </c>
      <c r="H38" s="238"/>
    </row>
    <row r="39" spans="2:9" s="47" customFormat="1" ht="22.5" customHeight="1" x14ac:dyDescent="0.35">
      <c r="B39" s="44" t="s">
        <v>83</v>
      </c>
      <c r="C39" s="53" t="s">
        <v>279</v>
      </c>
      <c r="D39" s="54">
        <v>12</v>
      </c>
      <c r="E39" s="44" t="s">
        <v>276</v>
      </c>
      <c r="F39" s="48">
        <v>1500</v>
      </c>
      <c r="G39" s="63">
        <f t="shared" si="2"/>
        <v>18000</v>
      </c>
      <c r="H39" s="238"/>
    </row>
    <row r="40" spans="2:9" s="47" customFormat="1" ht="22.5" customHeight="1" x14ac:dyDescent="0.35">
      <c r="B40" s="44" t="s">
        <v>84</v>
      </c>
      <c r="C40" s="53" t="s">
        <v>465</v>
      </c>
      <c r="D40" s="54">
        <v>36</v>
      </c>
      <c r="E40" s="44" t="s">
        <v>276</v>
      </c>
      <c r="F40" s="48">
        <v>3500</v>
      </c>
      <c r="G40" s="63">
        <f t="shared" si="2"/>
        <v>126000</v>
      </c>
      <c r="H40" s="238"/>
    </row>
    <row r="41" spans="2:9" s="47" customFormat="1" ht="22.5" customHeight="1" x14ac:dyDescent="0.35">
      <c r="B41" s="44" t="s">
        <v>85</v>
      </c>
      <c r="C41" s="53" t="s">
        <v>330</v>
      </c>
      <c r="D41" s="54">
        <v>1</v>
      </c>
      <c r="E41" s="44" t="s">
        <v>164</v>
      </c>
      <c r="F41" s="48">
        <v>100000</v>
      </c>
      <c r="G41" s="63">
        <f t="shared" si="2"/>
        <v>100000</v>
      </c>
      <c r="H41" s="238"/>
    </row>
    <row r="42" spans="2:9" s="47" customFormat="1" ht="22.5" customHeight="1" x14ac:dyDescent="0.35">
      <c r="B42" s="82"/>
      <c r="C42" s="80" t="s">
        <v>5</v>
      </c>
      <c r="D42" s="81"/>
      <c r="E42" s="74"/>
      <c r="F42" s="81"/>
      <c r="G42" s="76">
        <f>SUM(G34:G41)</f>
        <v>2041000</v>
      </c>
      <c r="H42" s="239"/>
    </row>
    <row r="43" spans="2:9" ht="22.5" customHeight="1" x14ac:dyDescent="0.35">
      <c r="B43" s="47">
        <v>3</v>
      </c>
      <c r="C43" s="50" t="s">
        <v>94</v>
      </c>
      <c r="F43" s="48"/>
      <c r="G43" s="63"/>
    </row>
    <row r="44" spans="2:9" ht="22.5" customHeight="1" x14ac:dyDescent="0.35">
      <c r="C44" s="53"/>
      <c r="F44" s="48"/>
      <c r="G44" s="63"/>
    </row>
    <row r="45" spans="2:9" ht="22.5" customHeight="1" x14ac:dyDescent="0.35">
      <c r="B45" s="44" t="s">
        <v>72</v>
      </c>
      <c r="C45" s="53" t="s">
        <v>172</v>
      </c>
      <c r="D45" s="44">
        <v>1</v>
      </c>
      <c r="E45" s="44" t="s">
        <v>161</v>
      </c>
      <c r="F45" s="48">
        <v>287400</v>
      </c>
      <c r="G45" s="63">
        <f>(D45*F45)</f>
        <v>287400</v>
      </c>
      <c r="H45" s="238"/>
    </row>
    <row r="46" spans="2:9" ht="22.5" customHeight="1" x14ac:dyDescent="0.35">
      <c r="B46" s="44" t="s">
        <v>73</v>
      </c>
      <c r="C46" s="53" t="s">
        <v>305</v>
      </c>
      <c r="D46" s="44">
        <v>2000</v>
      </c>
      <c r="E46" s="44" t="s">
        <v>162</v>
      </c>
      <c r="F46" s="48">
        <v>6</v>
      </c>
      <c r="G46" s="63">
        <f>(D46*F46)</f>
        <v>12000</v>
      </c>
      <c r="H46" s="238"/>
      <c r="I46" s="44">
        <f>F49*12%</f>
        <v>8710080</v>
      </c>
    </row>
    <row r="47" spans="2:9" s="47" customFormat="1" ht="22.5" customHeight="1" x14ac:dyDescent="0.35">
      <c r="B47" s="74"/>
      <c r="C47" s="80" t="s">
        <v>5</v>
      </c>
      <c r="D47" s="74"/>
      <c r="E47" s="74"/>
      <c r="F47" s="81"/>
      <c r="G47" s="76">
        <f>SUM(G44:G46)</f>
        <v>299400</v>
      </c>
      <c r="H47" s="239"/>
      <c r="I47" s="239">
        <v>8710080</v>
      </c>
    </row>
    <row r="48" spans="2:9" ht="22.5" customHeight="1" x14ac:dyDescent="0.35">
      <c r="B48" s="47">
        <v>4</v>
      </c>
      <c r="C48" s="50" t="s">
        <v>265</v>
      </c>
    </row>
    <row r="49" spans="2:9" ht="22.5" customHeight="1" x14ac:dyDescent="0.35">
      <c r="B49" s="44" t="s">
        <v>72</v>
      </c>
      <c r="C49" s="45" t="s">
        <v>445</v>
      </c>
      <c r="D49" s="44">
        <v>12</v>
      </c>
      <c r="E49" s="44" t="s">
        <v>8</v>
      </c>
      <c r="F49" s="48">
        <f>(G32+G42+G47)</f>
        <v>72584000</v>
      </c>
      <c r="G49" s="63">
        <f>(D49*F49)/100</f>
        <v>8710080</v>
      </c>
      <c r="H49" s="238"/>
    </row>
    <row r="50" spans="2:9" s="47" customFormat="1" ht="22.5" customHeight="1" x14ac:dyDescent="0.35">
      <c r="B50" s="74"/>
      <c r="C50" s="83" t="s">
        <v>186</v>
      </c>
      <c r="D50" s="74"/>
      <c r="E50" s="74"/>
      <c r="F50" s="81"/>
      <c r="G50" s="76">
        <f>(G32+G42+G47+G49)</f>
        <v>81294080</v>
      </c>
      <c r="H50" s="239"/>
      <c r="I50" s="55"/>
    </row>
    <row r="51" spans="2:9" ht="22.5" customHeight="1" x14ac:dyDescent="0.35">
      <c r="B51" s="71" t="s">
        <v>70</v>
      </c>
      <c r="C51" s="965" t="s">
        <v>95</v>
      </c>
      <c r="D51" s="965"/>
      <c r="E51" s="965"/>
      <c r="F51" s="965"/>
      <c r="G51" s="965"/>
    </row>
    <row r="52" spans="2:9" ht="22.5" customHeight="1" x14ac:dyDescent="0.35">
      <c r="B52" s="47">
        <v>1</v>
      </c>
      <c r="C52" s="56" t="s">
        <v>491</v>
      </c>
      <c r="D52" s="58"/>
      <c r="E52" s="49"/>
      <c r="G52" s="52"/>
    </row>
    <row r="53" spans="2:9" ht="22.5" customHeight="1" x14ac:dyDescent="0.35">
      <c r="B53" s="44" t="s">
        <v>72</v>
      </c>
      <c r="C53" s="57" t="s">
        <v>335</v>
      </c>
      <c r="D53" s="44">
        <v>1</v>
      </c>
      <c r="E53" s="44" t="s">
        <v>161</v>
      </c>
      <c r="F53" s="48">
        <v>825000</v>
      </c>
      <c r="G53" s="63">
        <f>(D53*F53)</f>
        <v>825000</v>
      </c>
      <c r="H53" s="238"/>
    </row>
    <row r="54" spans="2:9" ht="18.75" customHeight="1" x14ac:dyDescent="0.35">
      <c r="C54" s="57"/>
      <c r="F54" s="48"/>
      <c r="G54" s="63"/>
    </row>
    <row r="55" spans="2:9" s="47" customFormat="1" ht="22.5" customHeight="1" x14ac:dyDescent="0.35">
      <c r="B55" s="74"/>
      <c r="C55" s="80" t="s">
        <v>5</v>
      </c>
      <c r="D55" s="74"/>
      <c r="E55" s="84"/>
      <c r="F55" s="81"/>
      <c r="G55" s="76">
        <f>SUM(G53:G54)</f>
        <v>825000</v>
      </c>
    </row>
    <row r="56" spans="2:9" s="47" customFormat="1" ht="22.5" customHeight="1" x14ac:dyDescent="0.35">
      <c r="B56" s="47">
        <v>2</v>
      </c>
      <c r="C56" s="50" t="s">
        <v>535</v>
      </c>
      <c r="E56" s="44"/>
      <c r="F56" s="48"/>
      <c r="G56" s="63"/>
    </row>
    <row r="57" spans="2:9" s="47" customFormat="1" ht="22.5" customHeight="1" x14ac:dyDescent="0.35">
      <c r="B57" s="44" t="s">
        <v>72</v>
      </c>
      <c r="C57" s="53" t="s">
        <v>460</v>
      </c>
      <c r="D57" s="44">
        <v>1</v>
      </c>
      <c r="E57" s="44" t="s">
        <v>161</v>
      </c>
      <c r="F57" s="48">
        <v>1175000</v>
      </c>
      <c r="G57" s="63">
        <f>F57</f>
        <v>1175000</v>
      </c>
      <c r="H57" s="239"/>
    </row>
    <row r="58" spans="2:9" s="47" customFormat="1" ht="22.5" customHeight="1" x14ac:dyDescent="0.35">
      <c r="B58" s="44" t="s">
        <v>73</v>
      </c>
      <c r="C58" s="53" t="s">
        <v>459</v>
      </c>
      <c r="D58" s="44">
        <v>1</v>
      </c>
      <c r="E58" s="44" t="s">
        <v>161</v>
      </c>
      <c r="F58" s="48">
        <v>1060000</v>
      </c>
      <c r="G58" s="63">
        <f>(D58*F58)</f>
        <v>1060000</v>
      </c>
      <c r="H58" s="239"/>
    </row>
    <row r="59" spans="2:9" s="47" customFormat="1" ht="22.5" customHeight="1" x14ac:dyDescent="0.35">
      <c r="B59" s="44" t="s">
        <v>74</v>
      </c>
      <c r="C59" s="53" t="s">
        <v>473</v>
      </c>
      <c r="D59" s="44">
        <v>2</v>
      </c>
      <c r="E59" s="44" t="s">
        <v>161</v>
      </c>
      <c r="F59" s="48">
        <v>2435000</v>
      </c>
      <c r="G59" s="63">
        <f>F59*D59</f>
        <v>4870000</v>
      </c>
      <c r="H59" s="239"/>
    </row>
    <row r="60" spans="2:9" s="47" customFormat="1" ht="22.5" customHeight="1" x14ac:dyDescent="0.35">
      <c r="B60" s="74"/>
      <c r="C60" s="80" t="s">
        <v>5</v>
      </c>
      <c r="D60" s="74"/>
      <c r="E60" s="84"/>
      <c r="F60" s="81"/>
      <c r="G60" s="76">
        <f>SUM(G57:G59)</f>
        <v>7105000</v>
      </c>
      <c r="H60" s="239"/>
    </row>
    <row r="61" spans="2:9" s="47" customFormat="1" ht="22.5" customHeight="1" x14ac:dyDescent="0.35">
      <c r="B61" s="46">
        <v>3</v>
      </c>
      <c r="C61" s="963" t="s">
        <v>322</v>
      </c>
      <c r="D61" s="963"/>
      <c r="E61" s="46"/>
      <c r="F61" s="48"/>
      <c r="G61" s="48"/>
    </row>
    <row r="62" spans="2:9" s="47" customFormat="1" ht="19.5" customHeight="1" x14ac:dyDescent="0.35">
      <c r="B62" s="44" t="s">
        <v>72</v>
      </c>
      <c r="C62" s="53" t="s">
        <v>498</v>
      </c>
      <c r="D62" s="44" t="s">
        <v>492</v>
      </c>
      <c r="E62" s="44" t="s">
        <v>336</v>
      </c>
      <c r="F62" s="48" t="s">
        <v>323</v>
      </c>
      <c r="G62" s="48" t="s">
        <v>323</v>
      </c>
    </row>
    <row r="63" spans="2:9" s="47" customFormat="1" ht="22.5" customHeight="1" x14ac:dyDescent="0.35">
      <c r="B63" s="44" t="s">
        <v>73</v>
      </c>
      <c r="C63" s="53" t="s">
        <v>280</v>
      </c>
      <c r="D63" s="44">
        <v>2</v>
      </c>
      <c r="E63" s="44" t="s">
        <v>161</v>
      </c>
      <c r="F63" s="48" t="s">
        <v>323</v>
      </c>
      <c r="G63" s="48" t="s">
        <v>323</v>
      </c>
    </row>
    <row r="64" spans="2:9" s="47" customFormat="1" ht="22.5" customHeight="1" x14ac:dyDescent="0.35">
      <c r="B64" s="44" t="s">
        <v>74</v>
      </c>
      <c r="C64" s="53" t="s">
        <v>281</v>
      </c>
      <c r="D64" s="44">
        <v>2</v>
      </c>
      <c r="E64" s="44" t="s">
        <v>161</v>
      </c>
      <c r="F64" s="48" t="s">
        <v>323</v>
      </c>
      <c r="G64" s="48" t="s">
        <v>323</v>
      </c>
    </row>
    <row r="65" spans="2:9" s="47" customFormat="1" ht="22.5" customHeight="1" x14ac:dyDescent="0.35">
      <c r="B65" s="44" t="s">
        <v>81</v>
      </c>
      <c r="C65" s="53" t="s">
        <v>457</v>
      </c>
      <c r="D65" s="44">
        <v>2</v>
      </c>
      <c r="E65" s="44" t="s">
        <v>161</v>
      </c>
      <c r="F65" s="48" t="s">
        <v>323</v>
      </c>
      <c r="G65" s="48" t="s">
        <v>323</v>
      </c>
    </row>
    <row r="66" spans="2:9" s="47" customFormat="1" ht="22.5" customHeight="1" x14ac:dyDescent="0.35">
      <c r="B66" s="44" t="s">
        <v>82</v>
      </c>
      <c r="C66" s="53" t="s">
        <v>283</v>
      </c>
      <c r="D66" s="44">
        <v>4</v>
      </c>
      <c r="E66" s="44" t="s">
        <v>161</v>
      </c>
      <c r="F66" s="48" t="s">
        <v>323</v>
      </c>
      <c r="G66" s="48" t="s">
        <v>323</v>
      </c>
    </row>
    <row r="67" spans="2:9" s="47" customFormat="1" ht="22.5" customHeight="1" x14ac:dyDescent="0.35">
      <c r="B67" s="74"/>
      <c r="C67" s="80" t="s">
        <v>5</v>
      </c>
      <c r="D67" s="80">
        <v>2</v>
      </c>
      <c r="E67" s="74" t="s">
        <v>502</v>
      </c>
      <c r="F67" s="76">
        <v>3514000</v>
      </c>
      <c r="G67" s="76">
        <f>F67*D67</f>
        <v>7028000</v>
      </c>
      <c r="H67" s="239"/>
      <c r="I67" s="239"/>
    </row>
    <row r="68" spans="2:9" s="47" customFormat="1" ht="22.5" customHeight="1" x14ac:dyDescent="0.35">
      <c r="B68" s="46">
        <v>4</v>
      </c>
      <c r="C68" s="50" t="s">
        <v>353</v>
      </c>
      <c r="D68" s="46"/>
      <c r="F68" s="48"/>
      <c r="G68" s="55"/>
    </row>
    <row r="69" spans="2:9" s="47" customFormat="1" ht="22.5" customHeight="1" x14ac:dyDescent="0.35">
      <c r="B69" s="44" t="s">
        <v>72</v>
      </c>
      <c r="C69" s="53" t="s">
        <v>354</v>
      </c>
      <c r="D69" s="44">
        <v>3</v>
      </c>
      <c r="E69" s="44" t="s">
        <v>161</v>
      </c>
      <c r="F69" s="48" t="s">
        <v>323</v>
      </c>
      <c r="G69" s="48" t="s">
        <v>323</v>
      </c>
    </row>
    <row r="70" spans="2:9" s="47" customFormat="1" ht="22.5" customHeight="1" x14ac:dyDescent="0.35">
      <c r="B70" s="44" t="s">
        <v>73</v>
      </c>
      <c r="C70" s="53" t="s">
        <v>355</v>
      </c>
      <c r="D70" s="44">
        <v>1</v>
      </c>
      <c r="E70" s="44" t="s">
        <v>161</v>
      </c>
      <c r="F70" s="48" t="s">
        <v>323</v>
      </c>
      <c r="G70" s="48" t="s">
        <v>323</v>
      </c>
    </row>
    <row r="71" spans="2:9" s="47" customFormat="1" ht="22.5" customHeight="1" x14ac:dyDescent="0.35">
      <c r="B71" s="44" t="s">
        <v>74</v>
      </c>
      <c r="C71" s="53" t="s">
        <v>356</v>
      </c>
      <c r="D71" s="44">
        <v>1</v>
      </c>
      <c r="E71" s="44" t="s">
        <v>161</v>
      </c>
      <c r="F71" s="48" t="s">
        <v>323</v>
      </c>
      <c r="G71" s="48" t="s">
        <v>323</v>
      </c>
    </row>
    <row r="72" spans="2:9" s="47" customFormat="1" ht="22.5" customHeight="1" x14ac:dyDescent="0.35">
      <c r="B72" s="82"/>
      <c r="C72" s="80" t="s">
        <v>5</v>
      </c>
      <c r="D72" s="80"/>
      <c r="E72" s="82"/>
      <c r="F72" s="85"/>
      <c r="G72" s="76">
        <v>7525000</v>
      </c>
      <c r="H72" s="239"/>
    </row>
    <row r="73" spans="2:9" ht="22.5" customHeight="1" x14ac:dyDescent="0.35">
      <c r="B73" s="47">
        <v>5</v>
      </c>
      <c r="C73" s="962" t="s">
        <v>320</v>
      </c>
      <c r="D73" s="962"/>
      <c r="F73" s="48"/>
      <c r="G73" s="48"/>
      <c r="I73" s="47"/>
    </row>
    <row r="74" spans="2:9" ht="22.5" customHeight="1" x14ac:dyDescent="0.35">
      <c r="B74" s="44" t="s">
        <v>72</v>
      </c>
      <c r="C74" s="53" t="s">
        <v>279</v>
      </c>
      <c r="D74" s="46">
        <v>2</v>
      </c>
      <c r="E74" s="44" t="s">
        <v>161</v>
      </c>
      <c r="F74" s="48" t="s">
        <v>323</v>
      </c>
      <c r="G74" s="48" t="s">
        <v>323</v>
      </c>
      <c r="I74" s="47"/>
    </row>
    <row r="75" spans="2:9" ht="22.5" customHeight="1" x14ac:dyDescent="0.35">
      <c r="B75" s="44" t="s">
        <v>73</v>
      </c>
      <c r="C75" s="53" t="s">
        <v>337</v>
      </c>
      <c r="D75" s="46">
        <v>12</v>
      </c>
      <c r="E75" s="44" t="s">
        <v>161</v>
      </c>
      <c r="F75" s="48" t="s">
        <v>323</v>
      </c>
      <c r="G75" s="48" t="s">
        <v>323</v>
      </c>
      <c r="I75" s="47"/>
    </row>
    <row r="76" spans="2:9" ht="22.5" customHeight="1" x14ac:dyDescent="0.35">
      <c r="B76" s="44" t="s">
        <v>81</v>
      </c>
      <c r="C76" s="53" t="s">
        <v>458</v>
      </c>
      <c r="D76" s="46">
        <v>2</v>
      </c>
      <c r="E76" s="44" t="s">
        <v>161</v>
      </c>
      <c r="F76" s="48" t="s">
        <v>323</v>
      </c>
      <c r="G76" s="48" t="s">
        <v>323</v>
      </c>
      <c r="I76" s="47"/>
    </row>
    <row r="77" spans="2:9" ht="22.5" customHeight="1" x14ac:dyDescent="0.35">
      <c r="B77" s="44" t="s">
        <v>82</v>
      </c>
      <c r="C77" s="53" t="s">
        <v>287</v>
      </c>
      <c r="D77" s="46">
        <v>4</v>
      </c>
      <c r="E77" s="44" t="s">
        <v>161</v>
      </c>
      <c r="F77" s="48" t="s">
        <v>323</v>
      </c>
      <c r="G77" s="48" t="s">
        <v>323</v>
      </c>
      <c r="I77" s="47"/>
    </row>
    <row r="78" spans="2:9" ht="22.5" customHeight="1" x14ac:dyDescent="0.35">
      <c r="B78" s="44" t="s">
        <v>83</v>
      </c>
      <c r="C78" s="53" t="s">
        <v>283</v>
      </c>
      <c r="D78" s="46">
        <v>4</v>
      </c>
      <c r="E78" s="44" t="s">
        <v>161</v>
      </c>
      <c r="F78" s="48" t="s">
        <v>323</v>
      </c>
      <c r="G78" s="48" t="s">
        <v>323</v>
      </c>
      <c r="I78" s="47"/>
    </row>
    <row r="79" spans="2:9" ht="22.5" customHeight="1" x14ac:dyDescent="0.35">
      <c r="B79" s="44" t="s">
        <v>84</v>
      </c>
      <c r="C79" s="53" t="s">
        <v>291</v>
      </c>
      <c r="D79" s="46">
        <v>8</v>
      </c>
      <c r="E79" s="44" t="s">
        <v>161</v>
      </c>
      <c r="F79" s="48" t="s">
        <v>323</v>
      </c>
      <c r="G79" s="48" t="s">
        <v>323</v>
      </c>
      <c r="I79" s="47"/>
    </row>
    <row r="80" spans="2:9" ht="22.5" customHeight="1" x14ac:dyDescent="0.35">
      <c r="B80" s="44" t="s">
        <v>85</v>
      </c>
      <c r="C80" s="53" t="s">
        <v>292</v>
      </c>
      <c r="D80" s="46">
        <v>2</v>
      </c>
      <c r="E80" s="44" t="s">
        <v>161</v>
      </c>
      <c r="F80" s="48" t="s">
        <v>323</v>
      </c>
      <c r="G80" s="48" t="s">
        <v>323</v>
      </c>
    </row>
    <row r="81" spans="2:9" ht="22.5" customHeight="1" x14ac:dyDescent="0.35">
      <c r="B81" s="44" t="s">
        <v>67</v>
      </c>
      <c r="C81" s="53" t="s">
        <v>293</v>
      </c>
      <c r="D81" s="46">
        <v>2</v>
      </c>
      <c r="E81" s="44" t="s">
        <v>161</v>
      </c>
      <c r="F81" s="48" t="s">
        <v>323</v>
      </c>
      <c r="G81" s="48" t="s">
        <v>323</v>
      </c>
    </row>
    <row r="82" spans="2:9" ht="22.5" customHeight="1" x14ac:dyDescent="0.35">
      <c r="B82" s="44" t="s">
        <v>86</v>
      </c>
      <c r="C82" s="53" t="s">
        <v>294</v>
      </c>
      <c r="D82" s="46">
        <v>4</v>
      </c>
      <c r="E82" s="44" t="s">
        <v>161</v>
      </c>
      <c r="F82" s="48" t="s">
        <v>323</v>
      </c>
      <c r="G82" s="48" t="s">
        <v>323</v>
      </c>
    </row>
    <row r="83" spans="2:9" ht="22.5" customHeight="1" x14ac:dyDescent="0.35">
      <c r="B83" s="44" t="s">
        <v>269</v>
      </c>
      <c r="C83" s="53" t="s">
        <v>295</v>
      </c>
      <c r="D83" s="46">
        <v>2</v>
      </c>
      <c r="E83" s="44" t="s">
        <v>161</v>
      </c>
      <c r="F83" s="48" t="s">
        <v>323</v>
      </c>
      <c r="G83" s="48" t="s">
        <v>323</v>
      </c>
    </row>
    <row r="84" spans="2:9" s="47" customFormat="1" ht="22.5" customHeight="1" x14ac:dyDescent="0.35">
      <c r="B84" s="82"/>
      <c r="C84" s="80" t="s">
        <v>5</v>
      </c>
      <c r="D84" s="74">
        <v>2</v>
      </c>
      <c r="E84" s="74" t="s">
        <v>161</v>
      </c>
      <c r="F84" s="76">
        <v>18000000</v>
      </c>
      <c r="G84" s="76">
        <f>F84*D84</f>
        <v>36000000</v>
      </c>
      <c r="H84" s="239"/>
      <c r="I84" s="239"/>
    </row>
    <row r="85" spans="2:9" s="47" customFormat="1" ht="22.5" customHeight="1" x14ac:dyDescent="0.35">
      <c r="B85" s="47">
        <v>6</v>
      </c>
      <c r="C85" s="962" t="s">
        <v>338</v>
      </c>
      <c r="D85" s="962"/>
      <c r="E85" s="44"/>
      <c r="F85" s="48"/>
      <c r="G85" s="48"/>
    </row>
    <row r="86" spans="2:9" s="47" customFormat="1" ht="22.5" customHeight="1" x14ac:dyDescent="0.35">
      <c r="B86" s="44" t="s">
        <v>72</v>
      </c>
      <c r="C86" s="53" t="s">
        <v>288</v>
      </c>
      <c r="D86" s="969">
        <v>2</v>
      </c>
      <c r="E86" s="44" t="s">
        <v>161</v>
      </c>
      <c r="F86" s="968">
        <v>4550000</v>
      </c>
      <c r="G86" s="968">
        <f>F86 *D86</f>
        <v>9100000</v>
      </c>
    </row>
    <row r="87" spans="2:9" s="47" customFormat="1" ht="22.5" customHeight="1" x14ac:dyDescent="0.35">
      <c r="B87" s="44" t="s">
        <v>73</v>
      </c>
      <c r="C87" s="53" t="s">
        <v>289</v>
      </c>
      <c r="D87" s="969"/>
      <c r="E87" s="44" t="s">
        <v>161</v>
      </c>
      <c r="F87" s="968"/>
      <c r="G87" s="968"/>
    </row>
    <row r="88" spans="2:9" s="47" customFormat="1" ht="22.5" customHeight="1" x14ac:dyDescent="0.35">
      <c r="B88" s="44" t="s">
        <v>74</v>
      </c>
      <c r="C88" s="53" t="s">
        <v>290</v>
      </c>
      <c r="D88" s="969"/>
      <c r="E88" s="44" t="s">
        <v>161</v>
      </c>
      <c r="F88" s="968"/>
      <c r="G88" s="968"/>
      <c r="H88" s="239"/>
      <c r="I88" s="239"/>
    </row>
    <row r="89" spans="2:9" s="47" customFormat="1" ht="22.5" customHeight="1" x14ac:dyDescent="0.35">
      <c r="B89" s="44" t="s">
        <v>81</v>
      </c>
      <c r="C89" s="53" t="s">
        <v>504</v>
      </c>
      <c r="D89" s="969"/>
      <c r="E89" s="44" t="s">
        <v>161</v>
      </c>
      <c r="F89" s="968"/>
      <c r="G89" s="968"/>
    </row>
    <row r="90" spans="2:9" s="47" customFormat="1" x14ac:dyDescent="0.35">
      <c r="B90" s="44" t="s">
        <v>82</v>
      </c>
      <c r="C90" s="53" t="s">
        <v>505</v>
      </c>
      <c r="D90" s="969"/>
      <c r="E90" s="44" t="s">
        <v>161</v>
      </c>
      <c r="F90" s="968"/>
      <c r="G90" s="968"/>
    </row>
    <row r="91" spans="2:9" s="47" customFormat="1" ht="22.5" customHeight="1" x14ac:dyDescent="0.35">
      <c r="B91" s="44"/>
      <c r="C91" s="53"/>
      <c r="D91" s="44"/>
      <c r="E91" s="44"/>
      <c r="F91" s="67"/>
      <c r="G91" s="67"/>
    </row>
    <row r="92" spans="2:9" s="47" customFormat="1" ht="22.5" customHeight="1" x14ac:dyDescent="0.35">
      <c r="B92" s="74"/>
      <c r="C92" s="80" t="s">
        <v>5</v>
      </c>
      <c r="D92" s="80"/>
      <c r="E92" s="74"/>
      <c r="F92" s="86"/>
      <c r="G92" s="76">
        <f>G86+G91</f>
        <v>9100000</v>
      </c>
      <c r="H92" s="239"/>
    </row>
    <row r="93" spans="2:9" s="47" customFormat="1" ht="22.5" customHeight="1" x14ac:dyDescent="0.35">
      <c r="B93" s="47">
        <v>7</v>
      </c>
      <c r="C93" s="962" t="s">
        <v>321</v>
      </c>
      <c r="D93" s="962"/>
      <c r="E93" s="44"/>
      <c r="F93" s="48"/>
      <c r="G93" s="48"/>
    </row>
    <row r="94" spans="2:9" s="47" customFormat="1" ht="22.5" customHeight="1" x14ac:dyDescent="0.35">
      <c r="B94" s="44" t="s">
        <v>72</v>
      </c>
      <c r="C94" s="53" t="s">
        <v>340</v>
      </c>
      <c r="D94" s="44">
        <v>1</v>
      </c>
      <c r="E94" s="44" t="s">
        <v>161</v>
      </c>
      <c r="F94" s="48" t="s">
        <v>323</v>
      </c>
      <c r="G94" s="48" t="s">
        <v>323</v>
      </c>
    </row>
    <row r="95" spans="2:9" s="47" customFormat="1" ht="22.5" customHeight="1" x14ac:dyDescent="0.35">
      <c r="B95" s="44" t="s">
        <v>73</v>
      </c>
      <c r="C95" s="53" t="s">
        <v>286</v>
      </c>
      <c r="D95" s="44">
        <v>1</v>
      </c>
      <c r="E95" s="44" t="s">
        <v>161</v>
      </c>
      <c r="F95" s="48" t="s">
        <v>323</v>
      </c>
      <c r="G95" s="48" t="s">
        <v>323</v>
      </c>
    </row>
    <row r="96" spans="2:9" s="47" customFormat="1" ht="22.5" customHeight="1" x14ac:dyDescent="0.35">
      <c r="B96" s="44" t="s">
        <v>74</v>
      </c>
      <c r="C96" s="53" t="s">
        <v>282</v>
      </c>
      <c r="D96" s="44">
        <v>1</v>
      </c>
      <c r="E96" s="44" t="s">
        <v>161</v>
      </c>
      <c r="F96" s="48" t="s">
        <v>323</v>
      </c>
      <c r="G96" s="48" t="s">
        <v>323</v>
      </c>
    </row>
    <row r="97" spans="2:9" s="47" customFormat="1" ht="22.5" customHeight="1" x14ac:dyDescent="0.35">
      <c r="B97" s="44" t="s">
        <v>81</v>
      </c>
      <c r="C97" s="53" t="s">
        <v>287</v>
      </c>
      <c r="D97" s="44">
        <v>1</v>
      </c>
      <c r="E97" s="44" t="s">
        <v>161</v>
      </c>
      <c r="F97" s="48" t="s">
        <v>323</v>
      </c>
      <c r="G97" s="48" t="s">
        <v>323</v>
      </c>
    </row>
    <row r="98" spans="2:9" s="47" customFormat="1" ht="22.5" customHeight="1" x14ac:dyDescent="0.35">
      <c r="B98" s="44" t="s">
        <v>82</v>
      </c>
      <c r="C98" s="53" t="s">
        <v>283</v>
      </c>
      <c r="D98" s="44">
        <v>2</v>
      </c>
      <c r="E98" s="44" t="s">
        <v>161</v>
      </c>
      <c r="F98" s="48" t="s">
        <v>323</v>
      </c>
      <c r="G98" s="48" t="s">
        <v>323</v>
      </c>
    </row>
    <row r="99" spans="2:9" s="47" customFormat="1" ht="22.5" customHeight="1" x14ac:dyDescent="0.35">
      <c r="B99" s="44" t="s">
        <v>83</v>
      </c>
      <c r="C99" s="53" t="s">
        <v>284</v>
      </c>
      <c r="D99" s="44">
        <v>1</v>
      </c>
      <c r="E99" s="44" t="s">
        <v>161</v>
      </c>
      <c r="F99" s="48" t="s">
        <v>323</v>
      </c>
      <c r="G99" s="48" t="s">
        <v>323</v>
      </c>
    </row>
    <row r="100" spans="2:9" s="47" customFormat="1" ht="22.5" customHeight="1" x14ac:dyDescent="0.35">
      <c r="B100" s="44" t="s">
        <v>84</v>
      </c>
      <c r="C100" s="53" t="s">
        <v>285</v>
      </c>
      <c r="D100" s="44">
        <v>2</v>
      </c>
      <c r="E100" s="44" t="s">
        <v>161</v>
      </c>
      <c r="F100" s="48" t="s">
        <v>323</v>
      </c>
      <c r="G100" s="48" t="s">
        <v>323</v>
      </c>
    </row>
    <row r="101" spans="2:9" s="47" customFormat="1" ht="22.5" customHeight="1" x14ac:dyDescent="0.35">
      <c r="B101" s="74"/>
      <c r="C101" s="80" t="s">
        <v>5</v>
      </c>
      <c r="D101" s="80">
        <v>2</v>
      </c>
      <c r="E101" s="74" t="s">
        <v>161</v>
      </c>
      <c r="F101" s="76">
        <v>3550000</v>
      </c>
      <c r="G101" s="76">
        <f>F101*D101</f>
        <v>7100000</v>
      </c>
      <c r="H101" s="239"/>
      <c r="I101" s="239"/>
    </row>
    <row r="102" spans="2:9" s="47" customFormat="1" ht="34.5" customHeight="1" x14ac:dyDescent="0.35">
      <c r="B102" s="47">
        <v>8</v>
      </c>
      <c r="C102" s="963" t="s">
        <v>511</v>
      </c>
      <c r="D102" s="963"/>
      <c r="E102" s="45"/>
      <c r="F102" s="52"/>
      <c r="G102" s="55"/>
    </row>
    <row r="103" spans="2:9" s="47" customFormat="1" ht="22.5" customHeight="1" x14ac:dyDescent="0.35">
      <c r="B103" s="44" t="s">
        <v>72</v>
      </c>
      <c r="C103" s="45" t="s">
        <v>474</v>
      </c>
      <c r="D103" s="58">
        <v>1</v>
      </c>
      <c r="E103" s="58" t="s">
        <v>161</v>
      </c>
      <c r="F103" s="48" t="s">
        <v>476</v>
      </c>
      <c r="G103" s="48" t="s">
        <v>476</v>
      </c>
    </row>
    <row r="104" spans="2:9" s="47" customFormat="1" ht="22.5" customHeight="1" x14ac:dyDescent="0.35">
      <c r="B104" s="44" t="s">
        <v>73</v>
      </c>
      <c r="C104" s="45" t="s">
        <v>475</v>
      </c>
      <c r="D104" s="58" t="s">
        <v>339</v>
      </c>
      <c r="E104" s="58" t="s">
        <v>244</v>
      </c>
      <c r="F104" s="48" t="s">
        <v>476</v>
      </c>
      <c r="G104" s="48" t="s">
        <v>476</v>
      </c>
    </row>
    <row r="105" spans="2:9" s="47" customFormat="1" ht="22.5" customHeight="1" x14ac:dyDescent="0.35">
      <c r="B105" s="74"/>
      <c r="C105" s="80" t="s">
        <v>5</v>
      </c>
      <c r="D105" s="87"/>
      <c r="E105" s="75"/>
      <c r="F105" s="81"/>
      <c r="G105" s="76">
        <v>6550000</v>
      </c>
      <c r="H105" s="239"/>
    </row>
    <row r="106" spans="2:9" ht="30" customHeight="1" x14ac:dyDescent="0.35">
      <c r="B106" s="47">
        <v>9</v>
      </c>
      <c r="C106" s="963" t="s">
        <v>512</v>
      </c>
      <c r="D106" s="963"/>
      <c r="F106" s="48"/>
      <c r="G106" s="48"/>
    </row>
    <row r="107" spans="2:9" ht="18" customHeight="1" x14ac:dyDescent="0.35">
      <c r="B107" s="44" t="s">
        <v>72</v>
      </c>
      <c r="C107" s="53" t="s">
        <v>341</v>
      </c>
      <c r="D107" s="44">
        <v>1</v>
      </c>
      <c r="E107" s="44" t="s">
        <v>161</v>
      </c>
      <c r="F107" s="48" t="s">
        <v>323</v>
      </c>
      <c r="G107" s="48" t="s">
        <v>323</v>
      </c>
    </row>
    <row r="108" spans="2:9" ht="36" customHeight="1" x14ac:dyDescent="0.35">
      <c r="B108" s="44" t="s">
        <v>73</v>
      </c>
      <c r="C108" s="53" t="s">
        <v>513</v>
      </c>
      <c r="D108" s="44">
        <v>1</v>
      </c>
      <c r="E108" s="44" t="s">
        <v>161</v>
      </c>
      <c r="F108" s="48" t="s">
        <v>323</v>
      </c>
      <c r="G108" s="48" t="s">
        <v>323</v>
      </c>
    </row>
    <row r="109" spans="2:9" ht="62.25" customHeight="1" x14ac:dyDescent="0.35">
      <c r="B109" s="44" t="s">
        <v>74</v>
      </c>
      <c r="C109" s="53" t="s">
        <v>514</v>
      </c>
      <c r="D109" s="44">
        <v>1</v>
      </c>
      <c r="E109" s="44" t="s">
        <v>161</v>
      </c>
      <c r="F109" s="48" t="s">
        <v>323</v>
      </c>
      <c r="G109" s="48" t="s">
        <v>323</v>
      </c>
    </row>
    <row r="110" spans="2:9" ht="18" customHeight="1" x14ac:dyDescent="0.35">
      <c r="B110" s="44" t="s">
        <v>81</v>
      </c>
      <c r="C110" s="53" t="s">
        <v>342</v>
      </c>
      <c r="D110" s="44">
        <v>1</v>
      </c>
      <c r="E110" s="44" t="s">
        <v>161</v>
      </c>
      <c r="F110" s="48" t="s">
        <v>323</v>
      </c>
      <c r="G110" s="48" t="s">
        <v>323</v>
      </c>
    </row>
    <row r="111" spans="2:9" ht="18" customHeight="1" x14ac:dyDescent="0.35">
      <c r="B111" s="44" t="s">
        <v>82</v>
      </c>
      <c r="C111" s="53" t="s">
        <v>343</v>
      </c>
      <c r="D111" s="44">
        <v>1</v>
      </c>
      <c r="E111" s="44" t="s">
        <v>161</v>
      </c>
      <c r="F111" s="48" t="s">
        <v>323</v>
      </c>
      <c r="G111" s="48" t="s">
        <v>323</v>
      </c>
    </row>
    <row r="112" spans="2:9" ht="18" customHeight="1" x14ac:dyDescent="0.35">
      <c r="B112" s="44" t="s">
        <v>83</v>
      </c>
      <c r="C112" s="53" t="s">
        <v>344</v>
      </c>
      <c r="D112" s="44">
        <v>1</v>
      </c>
      <c r="E112" s="44" t="s">
        <v>161</v>
      </c>
      <c r="F112" s="48" t="s">
        <v>323</v>
      </c>
      <c r="G112" s="48" t="s">
        <v>323</v>
      </c>
    </row>
    <row r="113" spans="2:9" ht="18" customHeight="1" x14ac:dyDescent="0.35">
      <c r="C113" s="51"/>
      <c r="F113" s="48"/>
      <c r="G113" s="48"/>
    </row>
    <row r="114" spans="2:9" ht="22.5" customHeight="1" x14ac:dyDescent="0.35">
      <c r="B114" s="82"/>
      <c r="C114" s="80" t="s">
        <v>5</v>
      </c>
      <c r="D114" s="74"/>
      <c r="E114" s="74"/>
      <c r="F114" s="81"/>
      <c r="G114" s="76">
        <v>24000000</v>
      </c>
      <c r="H114" s="238"/>
    </row>
    <row r="115" spans="2:9" ht="29.25" customHeight="1" x14ac:dyDescent="0.35">
      <c r="B115" s="47">
        <v>10</v>
      </c>
      <c r="C115" s="963" t="s">
        <v>493</v>
      </c>
      <c r="D115" s="963"/>
      <c r="E115" s="47"/>
      <c r="F115" s="52"/>
      <c r="G115" s="55"/>
    </row>
    <row r="116" spans="2:9" ht="22.5" customHeight="1" x14ac:dyDescent="0.35">
      <c r="B116" s="44" t="s">
        <v>72</v>
      </c>
      <c r="C116" s="51" t="s">
        <v>494</v>
      </c>
      <c r="D116" s="44">
        <v>1</v>
      </c>
      <c r="E116" s="44" t="s">
        <v>161</v>
      </c>
      <c r="F116" s="48" t="s">
        <v>323</v>
      </c>
      <c r="G116" s="48" t="s">
        <v>323</v>
      </c>
    </row>
    <row r="117" spans="2:9" ht="22.5" customHeight="1" x14ac:dyDescent="0.35">
      <c r="B117" s="44" t="s">
        <v>73</v>
      </c>
      <c r="C117" s="45" t="s">
        <v>515</v>
      </c>
      <c r="D117" s="44">
        <v>1</v>
      </c>
      <c r="E117" s="44" t="s">
        <v>161</v>
      </c>
      <c r="F117" s="48" t="s">
        <v>323</v>
      </c>
      <c r="G117" s="48" t="s">
        <v>323</v>
      </c>
    </row>
    <row r="118" spans="2:9" ht="22.5" customHeight="1" x14ac:dyDescent="0.35">
      <c r="B118" s="82"/>
      <c r="C118" s="80" t="s">
        <v>5</v>
      </c>
      <c r="D118" s="74"/>
      <c r="E118" s="74"/>
      <c r="F118" s="81"/>
      <c r="G118" s="76">
        <v>8550000</v>
      </c>
      <c r="H118" s="238"/>
    </row>
    <row r="119" spans="2:9" ht="27" customHeight="1" x14ac:dyDescent="0.35">
      <c r="B119" s="47">
        <v>11</v>
      </c>
      <c r="C119" s="963" t="s">
        <v>536</v>
      </c>
      <c r="D119" s="963"/>
      <c r="E119" s="47"/>
      <c r="F119" s="52"/>
      <c r="G119" s="55"/>
    </row>
    <row r="120" spans="2:9" ht="29" x14ac:dyDescent="0.35">
      <c r="B120" s="44" t="s">
        <v>72</v>
      </c>
      <c r="C120" s="53" t="s">
        <v>534</v>
      </c>
      <c r="D120" s="44">
        <v>1</v>
      </c>
      <c r="E120" s="44" t="s">
        <v>161</v>
      </c>
      <c r="F120" s="52" t="s">
        <v>323</v>
      </c>
      <c r="G120" s="55" t="s">
        <v>323</v>
      </c>
    </row>
    <row r="121" spans="2:9" x14ac:dyDescent="0.35">
      <c r="B121" s="44" t="s">
        <v>73</v>
      </c>
      <c r="C121" s="53" t="s">
        <v>495</v>
      </c>
      <c r="D121" s="44">
        <v>1</v>
      </c>
      <c r="E121" s="44" t="s">
        <v>161</v>
      </c>
      <c r="F121" s="52" t="s">
        <v>323</v>
      </c>
      <c r="G121" s="55" t="s">
        <v>323</v>
      </c>
    </row>
    <row r="122" spans="2:9" ht="22.5" customHeight="1" x14ac:dyDescent="0.35">
      <c r="B122" s="44" t="s">
        <v>74</v>
      </c>
      <c r="C122" s="45" t="s">
        <v>345</v>
      </c>
      <c r="D122" s="44">
        <v>1</v>
      </c>
      <c r="E122" s="44" t="s">
        <v>161</v>
      </c>
      <c r="F122" s="52" t="s">
        <v>323</v>
      </c>
      <c r="G122" s="55" t="s">
        <v>323</v>
      </c>
    </row>
    <row r="123" spans="2:9" ht="22.5" customHeight="1" x14ac:dyDescent="0.35">
      <c r="B123" s="44" t="s">
        <v>81</v>
      </c>
      <c r="C123" s="45" t="s">
        <v>351</v>
      </c>
      <c r="D123" s="44">
        <v>1</v>
      </c>
      <c r="E123" s="44" t="s">
        <v>161</v>
      </c>
      <c r="F123" s="52" t="s">
        <v>323</v>
      </c>
      <c r="G123" s="55" t="s">
        <v>323</v>
      </c>
    </row>
    <row r="124" spans="2:9" ht="22.5" customHeight="1" x14ac:dyDescent="0.35">
      <c r="B124" s="82"/>
      <c r="C124" s="80" t="s">
        <v>5</v>
      </c>
      <c r="D124" s="74">
        <v>1</v>
      </c>
      <c r="E124" s="74"/>
      <c r="F124" s="76">
        <v>14500000</v>
      </c>
      <c r="G124" s="76">
        <f>F124*D124</f>
        <v>14500000</v>
      </c>
      <c r="H124" s="238"/>
      <c r="I124" s="238"/>
    </row>
    <row r="125" spans="2:9" ht="22.5" customHeight="1" x14ac:dyDescent="0.35">
      <c r="B125" s="47">
        <v>12</v>
      </c>
      <c r="C125" s="963" t="s">
        <v>477</v>
      </c>
      <c r="D125" s="963"/>
      <c r="E125" s="47"/>
      <c r="F125" s="52"/>
      <c r="G125" s="55"/>
    </row>
    <row r="126" spans="2:9" ht="22.5" customHeight="1" x14ac:dyDescent="0.35">
      <c r="B126" s="44" t="s">
        <v>72</v>
      </c>
      <c r="C126" s="45" t="s">
        <v>478</v>
      </c>
      <c r="D126" s="44">
        <v>1</v>
      </c>
      <c r="E126" s="44" t="s">
        <v>161</v>
      </c>
      <c r="F126" s="52" t="s">
        <v>323</v>
      </c>
      <c r="G126" s="55" t="s">
        <v>323</v>
      </c>
    </row>
    <row r="127" spans="2:9" ht="22.5" customHeight="1" x14ac:dyDescent="0.35">
      <c r="B127" s="82"/>
      <c r="C127" s="80" t="s">
        <v>5</v>
      </c>
      <c r="D127" s="74"/>
      <c r="E127" s="74"/>
      <c r="F127" s="81"/>
      <c r="G127" s="76">
        <v>950000</v>
      </c>
      <c r="H127" s="238"/>
    </row>
    <row r="128" spans="2:9" ht="22.5" customHeight="1" x14ac:dyDescent="0.35">
      <c r="B128" s="47">
        <v>13</v>
      </c>
      <c r="C128" s="963" t="s">
        <v>299</v>
      </c>
      <c r="D128" s="963"/>
      <c r="F128" s="48"/>
      <c r="G128" s="48"/>
    </row>
    <row r="129" spans="2:8" ht="22.5" customHeight="1" x14ac:dyDescent="0.35">
      <c r="B129" s="44" t="s">
        <v>72</v>
      </c>
      <c r="C129" s="53" t="s">
        <v>500</v>
      </c>
      <c r="D129" s="44">
        <v>5</v>
      </c>
      <c r="E129" s="44" t="s">
        <v>161</v>
      </c>
      <c r="F129" s="48">
        <v>1850000</v>
      </c>
      <c r="G129" s="63">
        <f>(D129*F129)</f>
        <v>9250000</v>
      </c>
      <c r="H129" s="238"/>
    </row>
    <row r="130" spans="2:8" s="47" customFormat="1" ht="22.5" customHeight="1" x14ac:dyDescent="0.35">
      <c r="B130" s="74"/>
      <c r="C130" s="80" t="s">
        <v>5</v>
      </c>
      <c r="D130" s="74"/>
      <c r="E130" s="74"/>
      <c r="F130" s="85"/>
      <c r="G130" s="76">
        <f>SUM(G129:G129)</f>
        <v>9250000</v>
      </c>
      <c r="H130" s="239"/>
    </row>
    <row r="131" spans="2:8" s="47" customFormat="1" ht="29.25" customHeight="1" x14ac:dyDescent="0.35">
      <c r="B131" s="47">
        <v>14</v>
      </c>
      <c r="C131" s="963" t="s">
        <v>479</v>
      </c>
      <c r="D131" s="963"/>
      <c r="E131" s="44"/>
      <c r="F131" s="48"/>
      <c r="G131" s="48"/>
    </row>
    <row r="132" spans="2:8" s="47" customFormat="1" ht="22.5" customHeight="1" x14ac:dyDescent="0.35">
      <c r="B132" s="44" t="s">
        <v>72</v>
      </c>
      <c r="C132" s="45" t="s">
        <v>297</v>
      </c>
      <c r="D132" s="44">
        <v>1</v>
      </c>
      <c r="E132" s="44" t="s">
        <v>161</v>
      </c>
      <c r="F132" s="48" t="s">
        <v>323</v>
      </c>
      <c r="G132" s="48" t="s">
        <v>323</v>
      </c>
    </row>
    <row r="133" spans="2:8" s="47" customFormat="1" x14ac:dyDescent="0.35">
      <c r="B133" s="44" t="s">
        <v>73</v>
      </c>
      <c r="C133" s="45" t="s">
        <v>348</v>
      </c>
      <c r="D133" s="44">
        <v>1</v>
      </c>
      <c r="E133" s="44" t="s">
        <v>161</v>
      </c>
      <c r="F133" s="48" t="s">
        <v>323</v>
      </c>
      <c r="G133" s="48" t="s">
        <v>323</v>
      </c>
    </row>
    <row r="134" spans="2:8" s="47" customFormat="1" ht="29" x14ac:dyDescent="0.35">
      <c r="B134" s="44" t="s">
        <v>74</v>
      </c>
      <c r="C134" s="45" t="s">
        <v>346</v>
      </c>
      <c r="D134" s="44">
        <v>1</v>
      </c>
      <c r="E134" s="44" t="s">
        <v>161</v>
      </c>
      <c r="F134" s="48" t="s">
        <v>323</v>
      </c>
      <c r="G134" s="48" t="s">
        <v>323</v>
      </c>
    </row>
    <row r="135" spans="2:8" s="47" customFormat="1" ht="22.5" customHeight="1" x14ac:dyDescent="0.35">
      <c r="B135" s="82"/>
      <c r="C135" s="80" t="s">
        <v>5</v>
      </c>
      <c r="D135" s="74"/>
      <c r="E135" s="74"/>
      <c r="F135" s="85"/>
      <c r="G135" s="76">
        <v>8165000</v>
      </c>
      <c r="H135" s="239"/>
    </row>
    <row r="136" spans="2:8" s="47" customFormat="1" ht="22.5" customHeight="1" x14ac:dyDescent="0.35">
      <c r="B136" s="47">
        <v>15</v>
      </c>
      <c r="C136" s="963" t="s">
        <v>347</v>
      </c>
      <c r="D136" s="963"/>
      <c r="F136" s="48"/>
      <c r="G136" s="55"/>
    </row>
    <row r="137" spans="2:8" s="47" customFormat="1" ht="22.5" customHeight="1" x14ac:dyDescent="0.35">
      <c r="B137" s="44" t="s">
        <v>72</v>
      </c>
      <c r="C137" s="45" t="s">
        <v>480</v>
      </c>
      <c r="D137" s="44">
        <v>1</v>
      </c>
      <c r="E137" s="44" t="s">
        <v>161</v>
      </c>
      <c r="F137" s="48" t="s">
        <v>323</v>
      </c>
      <c r="G137" s="48" t="s">
        <v>323</v>
      </c>
    </row>
    <row r="138" spans="2:8" s="47" customFormat="1" ht="22.5" customHeight="1" x14ac:dyDescent="0.35">
      <c r="B138" s="44" t="s">
        <v>73</v>
      </c>
      <c r="C138" s="45" t="s">
        <v>481</v>
      </c>
      <c r="D138" s="44">
        <v>1</v>
      </c>
      <c r="E138" s="44" t="s">
        <v>161</v>
      </c>
      <c r="F138" s="48" t="s">
        <v>323</v>
      </c>
      <c r="G138" s="48" t="s">
        <v>323</v>
      </c>
    </row>
    <row r="139" spans="2:8" s="47" customFormat="1" ht="22.5" customHeight="1" x14ac:dyDescent="0.35">
      <c r="B139" s="44" t="s">
        <v>74</v>
      </c>
      <c r="C139" s="45" t="s">
        <v>482</v>
      </c>
      <c r="D139" s="44">
        <v>1</v>
      </c>
      <c r="E139" s="44" t="s">
        <v>161</v>
      </c>
      <c r="F139" s="48" t="s">
        <v>323</v>
      </c>
      <c r="G139" s="48" t="s">
        <v>323</v>
      </c>
    </row>
    <row r="140" spans="2:8" s="47" customFormat="1" ht="22.5" customHeight="1" x14ac:dyDescent="0.35">
      <c r="B140" s="44" t="s">
        <v>81</v>
      </c>
      <c r="C140" s="45" t="s">
        <v>483</v>
      </c>
      <c r="D140" s="44">
        <v>1</v>
      </c>
      <c r="E140" s="44" t="s">
        <v>161</v>
      </c>
      <c r="F140" s="48" t="s">
        <v>323</v>
      </c>
      <c r="G140" s="48" t="s">
        <v>323</v>
      </c>
    </row>
    <row r="141" spans="2:8" s="47" customFormat="1" ht="22.5" customHeight="1" x14ac:dyDescent="0.35">
      <c r="B141" s="44" t="s">
        <v>82</v>
      </c>
      <c r="C141" s="45" t="s">
        <v>484</v>
      </c>
      <c r="D141" s="44">
        <v>1</v>
      </c>
      <c r="E141" s="44" t="s">
        <v>161</v>
      </c>
      <c r="F141" s="48" t="s">
        <v>323</v>
      </c>
      <c r="G141" s="48" t="s">
        <v>323</v>
      </c>
    </row>
    <row r="142" spans="2:8" s="47" customFormat="1" ht="22.5" customHeight="1" x14ac:dyDescent="0.35">
      <c r="B142" s="82"/>
      <c r="C142" s="80"/>
      <c r="D142" s="82"/>
      <c r="E142" s="82"/>
      <c r="F142" s="85"/>
      <c r="G142" s="76">
        <v>7821000</v>
      </c>
      <c r="H142" s="239"/>
    </row>
    <row r="143" spans="2:8" ht="22.5" customHeight="1" x14ac:dyDescent="0.35">
      <c r="B143" s="47">
        <v>16</v>
      </c>
      <c r="C143" s="969" t="s">
        <v>296</v>
      </c>
      <c r="D143" s="969"/>
      <c r="F143" s="48"/>
      <c r="G143" s="48"/>
    </row>
    <row r="144" spans="2:8" ht="22.5" customHeight="1" x14ac:dyDescent="0.35">
      <c r="B144" s="44" t="s">
        <v>72</v>
      </c>
      <c r="C144" s="45" t="s">
        <v>349</v>
      </c>
      <c r="D144" s="44">
        <v>1</v>
      </c>
      <c r="E144" s="44" t="s">
        <v>161</v>
      </c>
      <c r="F144" s="48" t="s">
        <v>323</v>
      </c>
      <c r="G144" s="48" t="s">
        <v>323</v>
      </c>
    </row>
    <row r="145" spans="2:13" ht="22.5" customHeight="1" x14ac:dyDescent="0.35">
      <c r="B145" s="44" t="s">
        <v>74</v>
      </c>
      <c r="C145" s="45" t="s">
        <v>350</v>
      </c>
      <c r="D145" s="44">
        <v>1</v>
      </c>
      <c r="E145" s="44" t="s">
        <v>161</v>
      </c>
      <c r="F145" s="48" t="s">
        <v>323</v>
      </c>
      <c r="G145" s="48" t="s">
        <v>323</v>
      </c>
    </row>
    <row r="146" spans="2:13" ht="23.25" customHeight="1" x14ac:dyDescent="0.35">
      <c r="B146" s="44" t="s">
        <v>81</v>
      </c>
      <c r="C146" s="45" t="s">
        <v>579</v>
      </c>
      <c r="D146" s="44">
        <v>1</v>
      </c>
      <c r="E146" s="44" t="s">
        <v>161</v>
      </c>
      <c r="F146" s="48" t="s">
        <v>323</v>
      </c>
      <c r="G146" s="48" t="s">
        <v>323</v>
      </c>
    </row>
    <row r="147" spans="2:13" ht="23.25" customHeight="1" x14ac:dyDescent="0.35">
      <c r="B147" s="44" t="s">
        <v>82</v>
      </c>
      <c r="C147" s="45" t="s">
        <v>503</v>
      </c>
      <c r="D147" s="44">
        <v>1</v>
      </c>
      <c r="E147" s="44" t="s">
        <v>161</v>
      </c>
      <c r="F147" s="48" t="s">
        <v>323</v>
      </c>
      <c r="G147" s="48" t="s">
        <v>323</v>
      </c>
    </row>
    <row r="148" spans="2:13" ht="22.5" customHeight="1" x14ac:dyDescent="0.35">
      <c r="B148" s="44" t="s">
        <v>83</v>
      </c>
      <c r="C148" s="45" t="s">
        <v>298</v>
      </c>
      <c r="D148" s="44">
        <v>20</v>
      </c>
      <c r="E148" s="44" t="s">
        <v>161</v>
      </c>
      <c r="F148" s="48" t="s">
        <v>323</v>
      </c>
      <c r="G148" s="48" t="s">
        <v>323</v>
      </c>
    </row>
    <row r="149" spans="2:13" s="47" customFormat="1" ht="22.5" customHeight="1" x14ac:dyDescent="0.35">
      <c r="B149" s="74"/>
      <c r="C149" s="80" t="s">
        <v>5</v>
      </c>
      <c r="D149" s="74"/>
      <c r="E149" s="74"/>
      <c r="F149" s="81"/>
      <c r="G149" s="76">
        <v>8520000</v>
      </c>
      <c r="H149" s="239"/>
    </row>
    <row r="150" spans="2:13" ht="22.5" customHeight="1" x14ac:dyDescent="0.35">
      <c r="B150" s="47">
        <v>17</v>
      </c>
      <c r="C150" s="962" t="s">
        <v>96</v>
      </c>
      <c r="D150" s="962"/>
      <c r="F150" s="48"/>
      <c r="G150" s="48"/>
    </row>
    <row r="151" spans="2:13" ht="22.5" customHeight="1" x14ac:dyDescent="0.35">
      <c r="B151" s="44" t="s">
        <v>72</v>
      </c>
      <c r="C151" s="53" t="s">
        <v>185</v>
      </c>
      <c r="D151" s="44">
        <v>2</v>
      </c>
      <c r="E151" s="44" t="s">
        <v>161</v>
      </c>
      <c r="F151" s="48">
        <v>3100000</v>
      </c>
      <c r="G151" s="63">
        <f>(D151*F151)</f>
        <v>6200000</v>
      </c>
      <c r="H151" s="238"/>
    </row>
    <row r="152" spans="2:13" ht="22.5" customHeight="1" x14ac:dyDescent="0.35">
      <c r="B152" s="44" t="s">
        <v>73</v>
      </c>
      <c r="C152" s="53" t="s">
        <v>259</v>
      </c>
      <c r="D152" s="44">
        <v>1</v>
      </c>
      <c r="E152" s="44" t="s">
        <v>161</v>
      </c>
      <c r="F152" s="48">
        <v>7150000</v>
      </c>
      <c r="G152" s="63">
        <f>(D152*F152)</f>
        <v>7150000</v>
      </c>
      <c r="H152" s="238"/>
    </row>
    <row r="153" spans="2:13" ht="22.5" customHeight="1" x14ac:dyDescent="0.35">
      <c r="B153" s="44" t="s">
        <v>74</v>
      </c>
      <c r="C153" s="53" t="s">
        <v>576</v>
      </c>
      <c r="D153" s="44">
        <v>1</v>
      </c>
      <c r="E153" s="44" t="s">
        <v>161</v>
      </c>
      <c r="F153" s="48">
        <v>5150000</v>
      </c>
      <c r="G153" s="63">
        <f>(D153*F153)</f>
        <v>5150000</v>
      </c>
      <c r="H153" s="238"/>
    </row>
    <row r="154" spans="2:13" s="47" customFormat="1" ht="22.5" customHeight="1" x14ac:dyDescent="0.35">
      <c r="B154" s="74"/>
      <c r="C154" s="80" t="s">
        <v>5</v>
      </c>
      <c r="D154" s="74"/>
      <c r="E154" s="74"/>
      <c r="F154" s="81"/>
      <c r="G154" s="76">
        <f>SUM(G151:G153)</f>
        <v>18500000</v>
      </c>
      <c r="H154" s="239"/>
    </row>
    <row r="155" spans="2:13" ht="22.5" customHeight="1" x14ac:dyDescent="0.35">
      <c r="B155" s="47">
        <v>18</v>
      </c>
      <c r="C155" s="962" t="s">
        <v>303</v>
      </c>
      <c r="D155" s="962"/>
      <c r="F155" s="48"/>
    </row>
    <row r="156" spans="2:13" ht="58" x14ac:dyDescent="0.35">
      <c r="B156" s="44" t="s">
        <v>72</v>
      </c>
      <c r="C156" s="45" t="s">
        <v>352</v>
      </c>
      <c r="D156" s="58">
        <v>1</v>
      </c>
      <c r="E156" s="44" t="s">
        <v>161</v>
      </c>
      <c r="F156" s="48">
        <v>1050000</v>
      </c>
      <c r="G156" s="63">
        <f>F156*D156</f>
        <v>1050000</v>
      </c>
      <c r="H156" s="238"/>
    </row>
    <row r="157" spans="2:13" ht="22.5" customHeight="1" x14ac:dyDescent="0.35">
      <c r="B157" s="44" t="s">
        <v>74</v>
      </c>
      <c r="C157" s="45" t="s">
        <v>302</v>
      </c>
      <c r="D157" s="44">
        <v>1</v>
      </c>
      <c r="E157" s="44" t="s">
        <v>161</v>
      </c>
      <c r="F157" s="48">
        <v>700000</v>
      </c>
      <c r="G157" s="63">
        <f>(D157*F157)</f>
        <v>700000</v>
      </c>
      <c r="H157" s="238"/>
    </row>
    <row r="158" spans="2:13" ht="22.5" customHeight="1" x14ac:dyDescent="0.35">
      <c r="B158" s="44" t="s">
        <v>73</v>
      </c>
      <c r="C158" s="45" t="s">
        <v>301</v>
      </c>
      <c r="D158" s="44">
        <v>1</v>
      </c>
      <c r="E158" s="44" t="s">
        <v>164</v>
      </c>
      <c r="F158" s="48">
        <v>2580000</v>
      </c>
      <c r="G158" s="63">
        <f>(D158*F158)</f>
        <v>2580000</v>
      </c>
      <c r="H158" s="238"/>
    </row>
    <row r="159" spans="2:13" ht="22.5" customHeight="1" x14ac:dyDescent="0.35">
      <c r="B159" s="44" t="s">
        <v>81</v>
      </c>
      <c r="C159" s="45" t="s">
        <v>575</v>
      </c>
      <c r="D159" s="44">
        <v>1</v>
      </c>
      <c r="E159" s="44" t="s">
        <v>161</v>
      </c>
      <c r="F159" s="48">
        <v>4100000</v>
      </c>
      <c r="G159" s="63">
        <f>F159</f>
        <v>4100000</v>
      </c>
      <c r="H159" s="238"/>
    </row>
    <row r="160" spans="2:13" s="47" customFormat="1" ht="22.5" customHeight="1" x14ac:dyDescent="0.35">
      <c r="B160" s="74"/>
      <c r="C160" s="80" t="s">
        <v>5</v>
      </c>
      <c r="D160" s="74"/>
      <c r="E160" s="74"/>
      <c r="F160" s="81"/>
      <c r="G160" s="76">
        <f>SUM(G156:G159)</f>
        <v>8430000</v>
      </c>
      <c r="H160" s="239"/>
      <c r="M160" s="60"/>
    </row>
    <row r="161" spans="2:9" s="47" customFormat="1" ht="22.5" customHeight="1" x14ac:dyDescent="0.35">
      <c r="B161" s="47">
        <v>19</v>
      </c>
      <c r="C161" s="53" t="s">
        <v>300</v>
      </c>
      <c r="D161" s="44"/>
      <c r="E161" s="44"/>
      <c r="G161" s="55">
        <v>2742000</v>
      </c>
      <c r="H161" s="239"/>
    </row>
    <row r="162" spans="2:9" s="47" customFormat="1" ht="22.5" customHeight="1" x14ac:dyDescent="0.35">
      <c r="B162" s="74"/>
      <c r="C162" s="971" t="s">
        <v>163</v>
      </c>
      <c r="D162" s="971"/>
      <c r="E162" s="82"/>
      <c r="F162" s="74"/>
      <c r="G162" s="76">
        <f>G55+G60+G67+G72+G84+G92+G101+G105+G114+G118+G124+G127+G130+G135+G142+G149+G154+G160+G161</f>
        <v>192661000</v>
      </c>
      <c r="H162" s="239"/>
    </row>
    <row r="163" spans="2:9" ht="22.5" customHeight="1" x14ac:dyDescent="0.35">
      <c r="B163" s="47">
        <v>20</v>
      </c>
      <c r="C163" s="53" t="s">
        <v>263</v>
      </c>
      <c r="D163" s="44">
        <v>12</v>
      </c>
      <c r="E163" s="61" t="s">
        <v>8</v>
      </c>
      <c r="F163" s="48"/>
      <c r="G163" s="63">
        <f>G162*D163/100</f>
        <v>23119320</v>
      </c>
      <c r="H163" s="238"/>
    </row>
    <row r="164" spans="2:9" s="47" customFormat="1" ht="22.5" customHeight="1" x14ac:dyDescent="0.35">
      <c r="B164" s="74"/>
      <c r="C164" s="83" t="s">
        <v>165</v>
      </c>
      <c r="D164" s="74"/>
      <c r="E164" s="74"/>
      <c r="F164" s="74"/>
      <c r="G164" s="76">
        <f>SUM(G162:G163)</f>
        <v>215780320</v>
      </c>
      <c r="H164" s="239"/>
    </row>
    <row r="165" spans="2:9" ht="22.5" customHeight="1" x14ac:dyDescent="0.35">
      <c r="B165" s="71" t="s">
        <v>75</v>
      </c>
      <c r="C165" s="965" t="s">
        <v>97</v>
      </c>
      <c r="D165" s="965"/>
      <c r="E165" s="965"/>
      <c r="F165" s="965"/>
      <c r="G165" s="965"/>
    </row>
    <row r="166" spans="2:9" ht="22.5" customHeight="1" x14ac:dyDescent="0.35">
      <c r="B166" s="44">
        <v>1</v>
      </c>
      <c r="C166" s="962" t="s">
        <v>100</v>
      </c>
      <c r="D166" s="962"/>
    </row>
    <row r="167" spans="2:9" ht="22.5" customHeight="1" x14ac:dyDescent="0.35">
      <c r="B167" s="44" t="s">
        <v>72</v>
      </c>
      <c r="C167" s="53" t="s">
        <v>166</v>
      </c>
      <c r="D167" s="44">
        <v>2</v>
      </c>
      <c r="E167" s="44" t="s">
        <v>136</v>
      </c>
      <c r="F167" s="48">
        <v>45000</v>
      </c>
      <c r="G167" s="63">
        <f t="shared" ref="G167:G173" si="3">(D167*F167)</f>
        <v>90000</v>
      </c>
    </row>
    <row r="168" spans="2:9" ht="22.5" customHeight="1" x14ac:dyDescent="0.35">
      <c r="B168" s="44" t="s">
        <v>73</v>
      </c>
      <c r="C168" s="53" t="s">
        <v>173</v>
      </c>
      <c r="D168" s="44">
        <v>1</v>
      </c>
      <c r="E168" s="44" t="s">
        <v>136</v>
      </c>
      <c r="F168" s="48">
        <v>25000</v>
      </c>
      <c r="G168" s="63">
        <f t="shared" si="3"/>
        <v>25000</v>
      </c>
    </row>
    <row r="169" spans="2:9" ht="22.5" customHeight="1" x14ac:dyDescent="0.35">
      <c r="B169" s="44" t="s">
        <v>74</v>
      </c>
      <c r="C169" s="53" t="s">
        <v>101</v>
      </c>
      <c r="D169" s="44">
        <v>2</v>
      </c>
      <c r="E169" s="44" t="s">
        <v>136</v>
      </c>
      <c r="F169" s="48">
        <v>47000</v>
      </c>
      <c r="G169" s="63">
        <f t="shared" si="3"/>
        <v>94000</v>
      </c>
    </row>
    <row r="170" spans="2:9" ht="22.5" customHeight="1" x14ac:dyDescent="0.35">
      <c r="B170" s="44" t="s">
        <v>81</v>
      </c>
      <c r="C170" s="53" t="s">
        <v>262</v>
      </c>
      <c r="D170" s="44">
        <v>1</v>
      </c>
      <c r="E170" s="44" t="s">
        <v>161</v>
      </c>
      <c r="F170" s="48">
        <v>120000</v>
      </c>
      <c r="G170" s="63">
        <f t="shared" si="3"/>
        <v>120000</v>
      </c>
    </row>
    <row r="171" spans="2:9" ht="22.5" customHeight="1" x14ac:dyDescent="0.35">
      <c r="B171" s="44" t="s">
        <v>82</v>
      </c>
      <c r="C171" s="53" t="s">
        <v>167</v>
      </c>
      <c r="D171" s="44">
        <v>2</v>
      </c>
      <c r="E171" s="44" t="s">
        <v>161</v>
      </c>
      <c r="F171" s="48">
        <v>50000</v>
      </c>
      <c r="G171" s="63">
        <f t="shared" si="3"/>
        <v>100000</v>
      </c>
    </row>
    <row r="172" spans="2:9" ht="22.5" customHeight="1" x14ac:dyDescent="0.35">
      <c r="B172" s="44" t="s">
        <v>83</v>
      </c>
      <c r="C172" s="53" t="s">
        <v>168</v>
      </c>
      <c r="D172" s="44">
        <v>1</v>
      </c>
      <c r="E172" s="44" t="s">
        <v>161</v>
      </c>
      <c r="F172" s="48">
        <v>125000</v>
      </c>
      <c r="G172" s="63">
        <f t="shared" si="3"/>
        <v>125000</v>
      </c>
      <c r="I172" s="63">
        <f>G175</f>
        <v>297674400</v>
      </c>
    </row>
    <row r="173" spans="2:9" ht="22.5" customHeight="1" x14ac:dyDescent="0.35">
      <c r="B173" s="44" t="s">
        <v>84</v>
      </c>
      <c r="C173" s="53" t="s">
        <v>169</v>
      </c>
      <c r="D173" s="44">
        <v>1</v>
      </c>
      <c r="E173" s="44" t="s">
        <v>161</v>
      </c>
      <c r="F173" s="48">
        <v>46000</v>
      </c>
      <c r="G173" s="63">
        <f t="shared" si="3"/>
        <v>46000</v>
      </c>
      <c r="I173" s="63">
        <f>G174</f>
        <v>600000</v>
      </c>
    </row>
    <row r="174" spans="2:9" s="47" customFormat="1" ht="22.5" customHeight="1" x14ac:dyDescent="0.35">
      <c r="B174" s="74"/>
      <c r="C174" s="83" t="s">
        <v>174</v>
      </c>
      <c r="D174" s="74"/>
      <c r="E174" s="74"/>
      <c r="F174" s="74"/>
      <c r="G174" s="76">
        <f>SUM(G167:G173)</f>
        <v>600000</v>
      </c>
      <c r="H174" s="47">
        <v>633000</v>
      </c>
      <c r="I174" s="55">
        <f>7100000+7100000*12%</f>
        <v>7952000</v>
      </c>
    </row>
    <row r="175" spans="2:9" s="47" customFormat="1" ht="22.5" customHeight="1" x14ac:dyDescent="0.35">
      <c r="B175" s="77"/>
      <c r="C175" s="88" t="s">
        <v>171</v>
      </c>
      <c r="D175" s="77"/>
      <c r="E175" s="77"/>
      <c r="F175" s="77"/>
      <c r="G175" s="79">
        <f>G50+G164+G174</f>
        <v>297674400</v>
      </c>
      <c r="I175" s="55">
        <f>I172-I173-I174</f>
        <v>289122400</v>
      </c>
    </row>
    <row r="176" spans="2:9" ht="22.5" customHeight="1" x14ac:dyDescent="0.35">
      <c r="B176" s="71" t="s">
        <v>77</v>
      </c>
      <c r="C176" s="965" t="s">
        <v>98</v>
      </c>
      <c r="D176" s="965"/>
      <c r="E176" s="965"/>
      <c r="F176" s="965"/>
      <c r="G176" s="965"/>
    </row>
    <row r="177" spans="2:9" ht="22.5" customHeight="1" x14ac:dyDescent="0.35">
      <c r="B177" s="44">
        <v>1</v>
      </c>
      <c r="C177" s="962" t="s">
        <v>102</v>
      </c>
      <c r="D177" s="962"/>
    </row>
    <row r="178" spans="2:9" ht="22.5" customHeight="1" x14ac:dyDescent="0.35">
      <c r="B178" s="44" t="s">
        <v>72</v>
      </c>
      <c r="C178" s="53" t="s">
        <v>578</v>
      </c>
      <c r="D178" s="62">
        <v>5.0000000000000001E-3</v>
      </c>
      <c r="E178" s="44" t="s">
        <v>8</v>
      </c>
      <c r="F178" s="48">
        <v>220000000</v>
      </c>
      <c r="G178" s="68">
        <f>F178*D178</f>
        <v>1100000</v>
      </c>
      <c r="I178" s="238"/>
    </row>
    <row r="179" spans="2:9" ht="22.5" customHeight="1" x14ac:dyDescent="0.35">
      <c r="B179" s="59" t="s">
        <v>73</v>
      </c>
      <c r="C179" s="53" t="s">
        <v>577</v>
      </c>
      <c r="D179" s="62">
        <v>1.5E-3</v>
      </c>
      <c r="E179" s="44" t="s">
        <v>8</v>
      </c>
      <c r="F179" s="48">
        <f>G192</f>
        <v>320000000</v>
      </c>
      <c r="G179" s="68">
        <f>F179*D179</f>
        <v>480000</v>
      </c>
      <c r="I179" s="238"/>
    </row>
    <row r="180" spans="2:9" ht="22.5" customHeight="1" x14ac:dyDescent="0.35">
      <c r="B180" s="59"/>
      <c r="D180" s="62"/>
      <c r="F180" s="48"/>
      <c r="G180" s="55"/>
      <c r="I180" s="238"/>
    </row>
    <row r="181" spans="2:9" s="47" customFormat="1" ht="22.5" customHeight="1" x14ac:dyDescent="0.35">
      <c r="B181" s="77"/>
      <c r="C181" s="78" t="s">
        <v>5</v>
      </c>
      <c r="D181" s="77"/>
      <c r="E181" s="77"/>
      <c r="F181" s="89"/>
      <c r="G181" s="90">
        <f>SUM(G178:G180)</f>
        <v>1580000</v>
      </c>
      <c r="I181" s="239"/>
    </row>
    <row r="182" spans="2:9" ht="22.5" customHeight="1" x14ac:dyDescent="0.35">
      <c r="B182" s="44">
        <v>2</v>
      </c>
      <c r="C182" s="962" t="s">
        <v>99</v>
      </c>
      <c r="D182" s="962"/>
      <c r="F182" s="48"/>
      <c r="G182" s="55"/>
      <c r="I182" s="238"/>
    </row>
    <row r="183" spans="2:9" ht="22.5" customHeight="1" x14ac:dyDescent="0.35">
      <c r="C183" s="53"/>
      <c r="F183" s="48"/>
      <c r="G183" s="69"/>
      <c r="I183" s="238"/>
    </row>
    <row r="184" spans="2:9" ht="22.5" customHeight="1" x14ac:dyDescent="0.35">
      <c r="C184" s="53"/>
      <c r="D184" s="62"/>
      <c r="F184" s="48"/>
      <c r="G184" s="69"/>
      <c r="I184" s="238"/>
    </row>
    <row r="185" spans="2:9" ht="22.5" customHeight="1" x14ac:dyDescent="0.35">
      <c r="B185" s="44" t="s">
        <v>72</v>
      </c>
      <c r="C185" s="53" t="s">
        <v>90</v>
      </c>
      <c r="F185" s="48"/>
      <c r="G185" s="68">
        <v>1667000</v>
      </c>
      <c r="H185" s="63"/>
      <c r="I185" s="238"/>
    </row>
    <row r="186" spans="2:9" ht="22.5" customHeight="1" x14ac:dyDescent="0.35">
      <c r="B186" s="44" t="s">
        <v>73</v>
      </c>
      <c r="C186" s="53" t="s">
        <v>170</v>
      </c>
      <c r="D186" s="61"/>
      <c r="F186" s="48"/>
      <c r="G186" s="68">
        <f>('TL Schd'!D10+'TL Schd'!E10)*10^5</f>
        <v>34499999.999999993</v>
      </c>
      <c r="I186" s="238"/>
    </row>
    <row r="187" spans="2:9" s="47" customFormat="1" ht="22.5" customHeight="1" x14ac:dyDescent="0.35">
      <c r="B187" s="77"/>
      <c r="C187" s="78" t="s">
        <v>5</v>
      </c>
      <c r="D187" s="77"/>
      <c r="E187" s="77"/>
      <c r="F187" s="77"/>
      <c r="G187" s="90">
        <f>SUM(G183:G186)</f>
        <v>36166999.999999993</v>
      </c>
    </row>
    <row r="188" spans="2:9" s="47" customFormat="1" ht="22.5" customHeight="1" x14ac:dyDescent="0.35">
      <c r="C188" s="970" t="s">
        <v>103</v>
      </c>
      <c r="D188" s="970"/>
      <c r="E188" s="970"/>
      <c r="G188" s="69">
        <f>(G181+G187)</f>
        <v>37746999.999999993</v>
      </c>
    </row>
    <row r="189" spans="2:9" s="47" customFormat="1" ht="22.5" customHeight="1" x14ac:dyDescent="0.35">
      <c r="C189" s="53" t="s">
        <v>506</v>
      </c>
      <c r="E189" s="64"/>
      <c r="G189" s="68" t="e">
        <f>'CoP-MoF'!#REF!</f>
        <v>#REF!</v>
      </c>
    </row>
    <row r="190" spans="2:9" s="47" customFormat="1" ht="22.5" customHeight="1" x14ac:dyDescent="0.35">
      <c r="B190" s="77"/>
      <c r="C190" s="91" t="s">
        <v>104</v>
      </c>
      <c r="D190" s="77"/>
      <c r="E190" s="92"/>
      <c r="F190" s="77"/>
      <c r="G190" s="90" t="e">
        <f>(G175+G188+G189+G9)</f>
        <v>#REF!</v>
      </c>
    </row>
    <row r="191" spans="2:9" ht="22.5" customHeight="1" x14ac:dyDescent="0.35">
      <c r="G191" s="69"/>
    </row>
    <row r="192" spans="2:9" s="47" customFormat="1" ht="22.5" customHeight="1" x14ac:dyDescent="0.35">
      <c r="B192" s="93"/>
      <c r="C192" s="94" t="s">
        <v>261</v>
      </c>
      <c r="D192" s="93"/>
      <c r="E192" s="93"/>
      <c r="F192" s="93"/>
      <c r="G192" s="95">
        <v>320000000</v>
      </c>
    </row>
    <row r="193" spans="3:7" x14ac:dyDescent="0.35">
      <c r="G193" s="65"/>
    </row>
    <row r="194" spans="3:7" x14ac:dyDescent="0.35">
      <c r="G194" s="65"/>
    </row>
    <row r="196" spans="3:7" x14ac:dyDescent="0.35">
      <c r="C196" s="44"/>
    </row>
    <row r="197" spans="3:7" x14ac:dyDescent="0.35">
      <c r="C197" s="44"/>
    </row>
    <row r="198" spans="3:7" x14ac:dyDescent="0.35">
      <c r="C198" s="44"/>
    </row>
    <row r="199" spans="3:7" x14ac:dyDescent="0.35">
      <c r="C199" s="44"/>
    </row>
    <row r="200" spans="3:7" x14ac:dyDescent="0.35">
      <c r="C200" s="44"/>
    </row>
    <row r="201" spans="3:7" x14ac:dyDescent="0.35">
      <c r="C201" s="44"/>
    </row>
    <row r="202" spans="3:7" x14ac:dyDescent="0.35">
      <c r="C202" s="44"/>
    </row>
    <row r="203" spans="3:7" x14ac:dyDescent="0.35">
      <c r="C203" s="44"/>
    </row>
    <row r="204" spans="3:7" x14ac:dyDescent="0.35">
      <c r="C204" s="44"/>
    </row>
  </sheetData>
  <customSheetViews>
    <customSheetView guid="{22475485-DA09-46DB-978D-BB94CE1E5597}" scale="130" hiddenRows="1">
      <selection activeCell="B4" sqref="B4"/>
      <pageMargins left="0.7" right="0.7" top="0.75" bottom="0.75" header="0.3" footer="0.3"/>
      <pageSetup paperSize="9" orientation="portrait" verticalDpi="300" r:id="rId1"/>
    </customSheetView>
  </customSheetViews>
  <mergeCells count="29">
    <mergeCell ref="C102:D102"/>
    <mergeCell ref="C115:D115"/>
    <mergeCell ref="C125:D125"/>
    <mergeCell ref="C136:D136"/>
    <mergeCell ref="C131:D131"/>
    <mergeCell ref="C150:D150"/>
    <mergeCell ref="C143:D143"/>
    <mergeCell ref="C128:D128"/>
    <mergeCell ref="C106:D106"/>
    <mergeCell ref="C119:D119"/>
    <mergeCell ref="C166:D166"/>
    <mergeCell ref="C177:D177"/>
    <mergeCell ref="C182:D182"/>
    <mergeCell ref="C188:E188"/>
    <mergeCell ref="C155:D155"/>
    <mergeCell ref="C176:G176"/>
    <mergeCell ref="C165:G165"/>
    <mergeCell ref="C162:D162"/>
    <mergeCell ref="C73:D73"/>
    <mergeCell ref="C61:D61"/>
    <mergeCell ref="C93:D93"/>
    <mergeCell ref="B2:G2"/>
    <mergeCell ref="C10:G10"/>
    <mergeCell ref="C4:G4"/>
    <mergeCell ref="C51:G51"/>
    <mergeCell ref="C85:D85"/>
    <mergeCell ref="F86:F90"/>
    <mergeCell ref="G86:G90"/>
    <mergeCell ref="D86:D90"/>
  </mergeCells>
  <pageMargins left="0.7" right="0.7" top="0.75" bottom="0.75" header="0.3" footer="0.3"/>
  <pageSetup paperSize="9" scale="75"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D53A-DF3C-4528-B18C-84CF3C256E57}">
  <sheetPr>
    <pageSetUpPr autoPageBreaks="0"/>
  </sheetPr>
  <dimension ref="A3:I43"/>
  <sheetViews>
    <sheetView showGridLines="0" topLeftCell="B22" zoomScaleNormal="100" workbookViewId="0">
      <selection activeCell="I17" sqref="I17:I25"/>
    </sheetView>
  </sheetViews>
  <sheetFormatPr defaultRowHeight="14.5" x14ac:dyDescent="0.35"/>
  <cols>
    <col min="1" max="1" width="20.54296875" bestFit="1" customWidth="1"/>
    <col min="2" max="2" width="21.54296875" customWidth="1"/>
    <col min="3" max="3" width="9.81640625" bestFit="1" customWidth="1"/>
    <col min="5" max="5" width="14.54296875" customWidth="1"/>
    <col min="6" max="6" width="9.54296875" customWidth="1"/>
    <col min="9" max="9" width="60.08984375" customWidth="1"/>
  </cols>
  <sheetData>
    <row r="3" spans="2:9" x14ac:dyDescent="0.35">
      <c r="B3" s="979" t="s">
        <v>1948</v>
      </c>
      <c r="C3" s="979"/>
      <c r="D3" s="979"/>
      <c r="E3" s="979"/>
      <c r="F3" s="979"/>
      <c r="G3" s="979"/>
      <c r="H3" s="979"/>
      <c r="I3" s="910" t="s">
        <v>1860</v>
      </c>
    </row>
    <row r="4" spans="2:9" ht="29" x14ac:dyDescent="0.35">
      <c r="B4" s="975" t="s">
        <v>1786</v>
      </c>
      <c r="C4" s="975"/>
      <c r="D4" s="975"/>
      <c r="E4" s="975"/>
      <c r="F4" s="975"/>
      <c r="G4" s="975"/>
      <c r="H4" s="975"/>
      <c r="I4" s="897" t="s">
        <v>1862</v>
      </c>
    </row>
    <row r="5" spans="2:9" ht="72.5" x14ac:dyDescent="0.35">
      <c r="B5" s="975" t="s">
        <v>1752</v>
      </c>
      <c r="C5" s="975"/>
      <c r="D5" s="975"/>
      <c r="E5" s="975"/>
      <c r="F5" s="975"/>
      <c r="G5" s="975"/>
      <c r="H5" s="975"/>
      <c r="I5" s="897" t="s">
        <v>1863</v>
      </c>
    </row>
    <row r="6" spans="2:9" ht="29" x14ac:dyDescent="0.35">
      <c r="B6" s="976" t="s">
        <v>1759</v>
      </c>
      <c r="C6" s="976"/>
      <c r="D6" s="976"/>
      <c r="E6" s="976"/>
      <c r="F6" s="976"/>
      <c r="G6" s="976"/>
      <c r="H6" s="976"/>
      <c r="I6" s="897" t="s">
        <v>1865</v>
      </c>
    </row>
    <row r="7" spans="2:9" ht="56.5" customHeight="1" x14ac:dyDescent="0.35">
      <c r="B7" s="976" t="s">
        <v>1770</v>
      </c>
      <c r="C7" s="976"/>
      <c r="D7" s="976"/>
      <c r="E7" s="976"/>
      <c r="F7" s="976"/>
      <c r="G7" s="976"/>
      <c r="H7" s="976"/>
      <c r="I7" s="897" t="s">
        <v>1864</v>
      </c>
    </row>
    <row r="8" spans="2:9" ht="29" x14ac:dyDescent="0.35">
      <c r="B8" s="975" t="s">
        <v>1765</v>
      </c>
      <c r="C8" s="975"/>
      <c r="D8" s="975"/>
      <c r="E8" s="975"/>
      <c r="F8" s="975"/>
      <c r="G8" s="975"/>
      <c r="H8" s="975"/>
      <c r="I8" s="897" t="s">
        <v>1866</v>
      </c>
    </row>
    <row r="9" spans="2:9" ht="43.5" x14ac:dyDescent="0.35">
      <c r="B9" s="975" t="s">
        <v>1766</v>
      </c>
      <c r="C9" s="975"/>
      <c r="D9" s="975"/>
      <c r="E9" s="975"/>
      <c r="F9" s="975"/>
      <c r="G9" s="975"/>
      <c r="H9" s="975"/>
      <c r="I9" s="897" t="s">
        <v>1867</v>
      </c>
    </row>
    <row r="10" spans="2:9" ht="28" customHeight="1" x14ac:dyDescent="0.35">
      <c r="B10" s="976" t="s">
        <v>1767</v>
      </c>
      <c r="C10" s="976"/>
      <c r="D10" s="976"/>
      <c r="E10" s="976"/>
      <c r="F10" s="976"/>
      <c r="G10" s="976"/>
      <c r="H10" s="976"/>
      <c r="I10" s="24" t="s">
        <v>1868</v>
      </c>
    </row>
    <row r="11" spans="2:9" ht="29" x14ac:dyDescent="0.35">
      <c r="B11" s="980" t="s">
        <v>1779</v>
      </c>
      <c r="C11" s="980"/>
      <c r="D11" s="980"/>
      <c r="E11" s="980"/>
      <c r="F11" s="980"/>
      <c r="G11" s="980"/>
      <c r="H11" s="980"/>
      <c r="I11" s="897" t="s">
        <v>1869</v>
      </c>
    </row>
    <row r="12" spans="2:9" ht="29" x14ac:dyDescent="0.35">
      <c r="B12" s="975" t="s">
        <v>1782</v>
      </c>
      <c r="C12" s="975"/>
      <c r="D12" s="975"/>
      <c r="E12" s="975"/>
      <c r="F12" s="975"/>
      <c r="G12" s="975"/>
      <c r="H12" s="975"/>
      <c r="I12" s="897" t="s">
        <v>1870</v>
      </c>
    </row>
    <row r="13" spans="2:9" x14ac:dyDescent="0.35">
      <c r="B13" s="975" t="s">
        <v>1768</v>
      </c>
      <c r="C13" s="975"/>
      <c r="D13" s="975"/>
      <c r="E13" s="975"/>
      <c r="F13" s="975"/>
      <c r="G13" s="975"/>
      <c r="H13" s="975"/>
      <c r="I13" s="24" t="s">
        <v>1871</v>
      </c>
    </row>
    <row r="14" spans="2:9" ht="47.5" customHeight="1" x14ac:dyDescent="0.35">
      <c r="B14" s="975" t="s">
        <v>1775</v>
      </c>
      <c r="C14" s="975"/>
      <c r="D14" s="975"/>
      <c r="E14" s="975"/>
      <c r="F14" s="975"/>
      <c r="G14" s="975"/>
      <c r="H14" s="975"/>
      <c r="I14" s="897" t="s">
        <v>1872</v>
      </c>
    </row>
    <row r="15" spans="2:9" ht="43.5" x14ac:dyDescent="0.35">
      <c r="B15" s="975" t="s">
        <v>1784</v>
      </c>
      <c r="C15" s="975"/>
      <c r="D15" s="975"/>
      <c r="E15" s="975"/>
      <c r="F15" s="975"/>
      <c r="G15" s="975"/>
      <c r="H15" s="975"/>
      <c r="I15" s="897" t="s">
        <v>1873</v>
      </c>
    </row>
    <row r="16" spans="2:9" x14ac:dyDescent="0.35">
      <c r="B16" s="975" t="s">
        <v>1783</v>
      </c>
      <c r="C16" s="975"/>
      <c r="D16" s="975"/>
      <c r="E16" s="975"/>
      <c r="F16" s="975"/>
      <c r="G16" s="975"/>
      <c r="H16" s="975"/>
      <c r="I16" s="24" t="s">
        <v>1874</v>
      </c>
    </row>
    <row r="17" spans="1:9" ht="14.5" customHeight="1" x14ac:dyDescent="0.35">
      <c r="B17" s="975" t="s">
        <v>1787</v>
      </c>
      <c r="C17" s="975"/>
      <c r="D17" s="975"/>
      <c r="E17" s="975"/>
      <c r="F17" s="975"/>
      <c r="G17" s="975"/>
      <c r="H17" s="975"/>
      <c r="I17" s="981" t="s">
        <v>1875</v>
      </c>
    </row>
    <row r="18" spans="1:9" ht="27.5" customHeight="1" x14ac:dyDescent="0.35">
      <c r="B18" s="933" t="s">
        <v>1794</v>
      </c>
      <c r="C18" s="983" t="s">
        <v>1793</v>
      </c>
      <c r="D18" s="983"/>
      <c r="E18" s="984" t="s">
        <v>1792</v>
      </c>
      <c r="F18" s="984"/>
      <c r="G18" s="984" t="s">
        <v>1879</v>
      </c>
      <c r="H18" s="984"/>
      <c r="I18" s="981"/>
    </row>
    <row r="19" spans="1:9" ht="24.5" customHeight="1" x14ac:dyDescent="0.35">
      <c r="B19" s="24"/>
      <c r="C19" s="24" t="s">
        <v>1791</v>
      </c>
      <c r="D19" s="24" t="s">
        <v>1795</v>
      </c>
      <c r="E19" s="24" t="s">
        <v>1791</v>
      </c>
      <c r="F19" s="24" t="s">
        <v>1795</v>
      </c>
      <c r="G19" s="24" t="s">
        <v>1791</v>
      </c>
      <c r="H19" s="24" t="s">
        <v>1795</v>
      </c>
      <c r="I19" s="981"/>
    </row>
    <row r="20" spans="1:9" ht="24.5" customHeight="1" x14ac:dyDescent="0.35">
      <c r="A20" t="s">
        <v>1956</v>
      </c>
      <c r="B20" s="24" t="s">
        <v>1788</v>
      </c>
      <c r="C20" s="24">
        <v>523.80999999999995</v>
      </c>
      <c r="D20" s="24">
        <v>599.05999999999995</v>
      </c>
      <c r="E20" s="24">
        <f>1567.5/10</f>
        <v>156.75</v>
      </c>
      <c r="F20" s="24">
        <f>1400.6/10</f>
        <v>140.06</v>
      </c>
      <c r="G20" s="24">
        <v>1122.9000000000001</v>
      </c>
      <c r="H20" s="24">
        <v>1179.2</v>
      </c>
      <c r="I20" s="981"/>
    </row>
    <row r="21" spans="1:9" ht="24.5" customHeight="1" x14ac:dyDescent="0.35">
      <c r="A21" t="s">
        <v>1800</v>
      </c>
      <c r="B21" s="566" t="s">
        <v>1789</v>
      </c>
      <c r="C21" s="567">
        <v>9.8400000000000001E-2</v>
      </c>
      <c r="D21" s="567">
        <v>9.7199999999999995E-2</v>
      </c>
      <c r="E21" s="572">
        <f>-4.05/E20</f>
        <v>-2.583732057416268E-2</v>
      </c>
      <c r="F21" s="572">
        <f>-31.16/F20</f>
        <v>-0.22247608167928032</v>
      </c>
      <c r="G21" s="572">
        <v>0.123</v>
      </c>
      <c r="H21" s="572">
        <v>0.109</v>
      </c>
      <c r="I21" s="981"/>
    </row>
    <row r="22" spans="1:9" ht="24.5" customHeight="1" x14ac:dyDescent="0.35">
      <c r="A22" t="s">
        <v>1954</v>
      </c>
      <c r="B22" s="566" t="s">
        <v>1790</v>
      </c>
      <c r="C22" s="567">
        <v>4.3299999999999998E-2</v>
      </c>
      <c r="D22" s="567">
        <v>4.6699999999999998E-2</v>
      </c>
      <c r="E22" s="567">
        <v>-0.28999999999999998</v>
      </c>
      <c r="F22" s="567">
        <v>-0.39</v>
      </c>
      <c r="G22" s="567">
        <v>3.5999999999999997E-2</v>
      </c>
      <c r="H22" s="567">
        <v>5.8999999999999997E-2</v>
      </c>
      <c r="I22" s="981"/>
    </row>
    <row r="23" spans="1:9" ht="24.5" customHeight="1" x14ac:dyDescent="0.35">
      <c r="A23" t="s">
        <v>1955</v>
      </c>
      <c r="B23" s="566" t="s">
        <v>632</v>
      </c>
      <c r="C23" s="24">
        <v>60000</v>
      </c>
      <c r="D23" s="24">
        <v>60000</v>
      </c>
      <c r="E23" s="24">
        <f>40*360</f>
        <v>14400</v>
      </c>
      <c r="F23" s="24">
        <f>40*360</f>
        <v>14400</v>
      </c>
      <c r="G23" s="24">
        <v>109200</v>
      </c>
      <c r="H23" s="24">
        <v>96600</v>
      </c>
      <c r="I23" s="981"/>
    </row>
    <row r="24" spans="1:9" ht="24.5" customHeight="1" x14ac:dyDescent="0.35">
      <c r="B24" s="566" t="s">
        <v>1798</v>
      </c>
      <c r="C24" s="567" t="s">
        <v>1799</v>
      </c>
      <c r="D24" s="567" t="s">
        <v>1799</v>
      </c>
      <c r="E24" s="934"/>
      <c r="F24" s="934"/>
      <c r="G24" s="934"/>
      <c r="H24" s="934"/>
      <c r="I24" s="981"/>
    </row>
    <row r="25" spans="1:9" ht="24.5" customHeight="1" x14ac:dyDescent="0.35">
      <c r="B25" s="908" t="s">
        <v>1797</v>
      </c>
      <c r="C25" s="909">
        <f>C20*100/C23</f>
        <v>0.87301666666666655</v>
      </c>
      <c r="D25" s="909">
        <f>D20*100/D23</f>
        <v>0.99843333333333317</v>
      </c>
      <c r="E25" s="909">
        <f>E20*100/E23</f>
        <v>1.0885416666666667</v>
      </c>
      <c r="F25" s="909">
        <f>F20*100/F23</f>
        <v>0.97263888888888894</v>
      </c>
      <c r="G25" s="909">
        <f t="shared" ref="G25:H25" si="0">G20*100/G23</f>
        <v>1.0282967032967034</v>
      </c>
      <c r="H25" s="909">
        <f t="shared" si="0"/>
        <v>1.2207039337474119</v>
      </c>
      <c r="I25" s="981"/>
    </row>
    <row r="26" spans="1:9" x14ac:dyDescent="0.35">
      <c r="B26" s="982" t="s">
        <v>1801</v>
      </c>
      <c r="C26" s="982"/>
      <c r="D26" s="982"/>
      <c r="E26" s="982"/>
      <c r="F26" s="982"/>
      <c r="G26" s="982"/>
      <c r="H26" s="982"/>
      <c r="I26" s="573" t="s">
        <v>1876</v>
      </c>
    </row>
    <row r="27" spans="1:9" x14ac:dyDescent="0.35">
      <c r="B27" s="982" t="s">
        <v>1808</v>
      </c>
      <c r="C27" s="982"/>
      <c r="D27" s="982"/>
      <c r="E27" s="982"/>
      <c r="F27" s="982"/>
      <c r="G27" s="982"/>
      <c r="H27" s="982"/>
      <c r="I27" s="573" t="s">
        <v>1876</v>
      </c>
    </row>
    <row r="28" spans="1:9" x14ac:dyDescent="0.35">
      <c r="B28" s="977" t="s">
        <v>1814</v>
      </c>
      <c r="C28" s="977"/>
      <c r="D28" s="977"/>
      <c r="E28" s="977"/>
      <c r="F28" s="977"/>
      <c r="G28" s="977"/>
      <c r="H28" s="977"/>
      <c r="I28" s="934" t="s">
        <v>1974</v>
      </c>
    </row>
    <row r="29" spans="1:9" x14ac:dyDescent="0.35">
      <c r="B29" s="978" t="s">
        <v>1817</v>
      </c>
      <c r="C29" s="978"/>
      <c r="D29" s="978"/>
      <c r="E29" s="978"/>
      <c r="F29" s="978"/>
      <c r="G29" s="978"/>
      <c r="H29" s="978"/>
      <c r="I29" s="573" t="s">
        <v>1876</v>
      </c>
    </row>
    <row r="30" spans="1:9" x14ac:dyDescent="0.35">
      <c r="B30" s="978" t="s">
        <v>1820</v>
      </c>
      <c r="C30" s="978"/>
      <c r="D30" s="978"/>
      <c r="E30" s="978"/>
      <c r="F30" s="978"/>
      <c r="G30" s="978"/>
      <c r="H30" s="978"/>
      <c r="I30" s="573" t="s">
        <v>1876</v>
      </c>
    </row>
    <row r="31" spans="1:9" x14ac:dyDescent="0.35">
      <c r="B31" s="977" t="s">
        <v>1818</v>
      </c>
      <c r="C31" s="977"/>
      <c r="D31" s="977"/>
      <c r="E31" s="977"/>
      <c r="F31" s="977"/>
      <c r="G31" s="977"/>
      <c r="H31" s="977"/>
      <c r="I31" s="934" t="s">
        <v>1974</v>
      </c>
    </row>
    <row r="32" spans="1:9" x14ac:dyDescent="0.35">
      <c r="B32" s="978" t="s">
        <v>1819</v>
      </c>
      <c r="C32" s="978"/>
      <c r="D32" s="978"/>
      <c r="E32" s="978"/>
      <c r="F32" s="978"/>
      <c r="G32" s="978"/>
      <c r="H32" s="978"/>
      <c r="I32" s="573" t="s">
        <v>1876</v>
      </c>
    </row>
    <row r="33" spans="2:9" ht="29" x14ac:dyDescent="0.35">
      <c r="B33" s="972" t="s">
        <v>1861</v>
      </c>
      <c r="C33" s="973"/>
      <c r="D33" s="973"/>
      <c r="E33" s="973"/>
      <c r="F33" s="973"/>
      <c r="G33" s="973"/>
      <c r="H33" s="973"/>
      <c r="I33" s="936" t="s">
        <v>1962</v>
      </c>
    </row>
    <row r="34" spans="2:9" x14ac:dyDescent="0.35">
      <c r="B34" s="985" t="s">
        <v>1877</v>
      </c>
      <c r="C34" s="986"/>
      <c r="D34" s="986"/>
      <c r="E34" s="986"/>
      <c r="F34" s="986"/>
      <c r="G34" s="986"/>
      <c r="H34" s="986"/>
      <c r="I34" s="573" t="s">
        <v>1876</v>
      </c>
    </row>
    <row r="35" spans="2:9" ht="29" x14ac:dyDescent="0.35">
      <c r="B35" s="972" t="s">
        <v>1878</v>
      </c>
      <c r="C35" s="973"/>
      <c r="D35" s="973"/>
      <c r="E35" s="973"/>
      <c r="F35" s="973"/>
      <c r="G35" s="973"/>
      <c r="H35" s="973"/>
      <c r="I35" s="936" t="s">
        <v>1963</v>
      </c>
    </row>
    <row r="36" spans="2:9" ht="43.5" x14ac:dyDescent="0.35">
      <c r="B36" s="972" t="s">
        <v>1880</v>
      </c>
      <c r="C36" s="973"/>
      <c r="D36" s="973"/>
      <c r="E36" s="973"/>
      <c r="F36" s="973"/>
      <c r="G36" s="973"/>
      <c r="H36" s="973"/>
      <c r="I36" s="936" t="s">
        <v>1964</v>
      </c>
    </row>
    <row r="37" spans="2:9" x14ac:dyDescent="0.35">
      <c r="B37" s="972" t="s">
        <v>1881</v>
      </c>
      <c r="C37" s="973"/>
      <c r="D37" s="973"/>
      <c r="E37" s="973"/>
      <c r="F37" s="973"/>
      <c r="G37" s="973"/>
      <c r="H37" s="973"/>
      <c r="I37" s="934" t="s">
        <v>1958</v>
      </c>
    </row>
    <row r="38" spans="2:9" ht="63" customHeight="1" x14ac:dyDescent="0.35">
      <c r="B38" s="987" t="s">
        <v>1906</v>
      </c>
      <c r="C38" s="987"/>
      <c r="D38" s="987"/>
      <c r="E38" s="987"/>
      <c r="F38" s="987"/>
      <c r="G38" s="987"/>
      <c r="H38" s="987"/>
      <c r="I38" s="936" t="s">
        <v>1959</v>
      </c>
    </row>
    <row r="39" spans="2:9" x14ac:dyDescent="0.35">
      <c r="B39" s="978" t="s">
        <v>1882</v>
      </c>
      <c r="C39" s="978"/>
      <c r="D39" s="978"/>
      <c r="E39" s="978"/>
      <c r="F39" s="978"/>
      <c r="G39" s="978"/>
      <c r="H39" s="978"/>
      <c r="I39" s="573" t="s">
        <v>1876</v>
      </c>
    </row>
    <row r="40" spans="2:9" ht="49.5" customHeight="1" x14ac:dyDescent="0.35">
      <c r="B40" s="972" t="s">
        <v>1883</v>
      </c>
      <c r="C40" s="973"/>
      <c r="D40" s="973"/>
      <c r="E40" s="973"/>
      <c r="F40" s="973"/>
      <c r="G40" s="973"/>
      <c r="H40" s="974"/>
      <c r="I40" s="936" t="s">
        <v>1960</v>
      </c>
    </row>
    <row r="41" spans="2:9" x14ac:dyDescent="0.35">
      <c r="B41" s="972" t="s">
        <v>1950</v>
      </c>
      <c r="C41" s="973"/>
      <c r="D41" s="973"/>
      <c r="E41" s="973"/>
      <c r="F41" s="973"/>
      <c r="G41" s="973"/>
      <c r="H41" s="974"/>
      <c r="I41" s="934" t="s">
        <v>1961</v>
      </c>
    </row>
    <row r="42" spans="2:9" x14ac:dyDescent="0.35">
      <c r="B42" s="937" t="s">
        <v>1951</v>
      </c>
      <c r="C42" s="938"/>
      <c r="D42" s="938"/>
      <c r="E42" s="938"/>
      <c r="F42" s="938"/>
      <c r="G42" s="938"/>
      <c r="H42" s="939"/>
      <c r="I42" s="934" t="s">
        <v>1965</v>
      </c>
    </row>
    <row r="43" spans="2:9" ht="29" x14ac:dyDescent="0.35">
      <c r="B43" s="937" t="s">
        <v>1966</v>
      </c>
      <c r="C43" s="938"/>
      <c r="D43" s="938"/>
      <c r="E43" s="938"/>
      <c r="F43" s="938"/>
      <c r="G43" s="938"/>
      <c r="H43" s="939"/>
      <c r="I43" s="936" t="s">
        <v>1967</v>
      </c>
    </row>
  </sheetData>
  <mergeCells count="35">
    <mergeCell ref="B39:H39"/>
    <mergeCell ref="B34:H34"/>
    <mergeCell ref="B35:H35"/>
    <mergeCell ref="B36:H36"/>
    <mergeCell ref="B37:H37"/>
    <mergeCell ref="B38:H38"/>
    <mergeCell ref="I17:I25"/>
    <mergeCell ref="B26:H26"/>
    <mergeCell ref="B27:H27"/>
    <mergeCell ref="B28:H28"/>
    <mergeCell ref="B29:H29"/>
    <mergeCell ref="C18:D18"/>
    <mergeCell ref="E18:F18"/>
    <mergeCell ref="G18:H18"/>
    <mergeCell ref="B3:H3"/>
    <mergeCell ref="B8:H8"/>
    <mergeCell ref="B9:H9"/>
    <mergeCell ref="B10:H10"/>
    <mergeCell ref="B11:H11"/>
    <mergeCell ref="B40:H40"/>
    <mergeCell ref="B41:H41"/>
    <mergeCell ref="B4:H4"/>
    <mergeCell ref="B5:H5"/>
    <mergeCell ref="B6:H6"/>
    <mergeCell ref="B7:H7"/>
    <mergeCell ref="B12:H12"/>
    <mergeCell ref="B13:H13"/>
    <mergeCell ref="B14:H14"/>
    <mergeCell ref="B15:H15"/>
    <mergeCell ref="B16:H16"/>
    <mergeCell ref="B17:H17"/>
    <mergeCell ref="B31:H31"/>
    <mergeCell ref="B32:H32"/>
    <mergeCell ref="B33:H33"/>
    <mergeCell ref="B30:H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1E1D-B020-42C6-8DAE-10830CE6407E}">
  <dimension ref="B2:B46"/>
  <sheetViews>
    <sheetView showGridLines="0" workbookViewId="0">
      <selection activeCell="B2" sqref="B2"/>
    </sheetView>
  </sheetViews>
  <sheetFormatPr defaultRowHeight="14.5" x14ac:dyDescent="0.35"/>
  <cols>
    <col min="2" max="2" width="104.54296875" bestFit="1" customWidth="1"/>
  </cols>
  <sheetData>
    <row r="2" spans="2:2" ht="15.5" x14ac:dyDescent="0.35">
      <c r="B2" s="932" t="s">
        <v>1949</v>
      </c>
    </row>
    <row r="4" spans="2:2" ht="31" x14ac:dyDescent="0.35">
      <c r="B4" s="928" t="s">
        <v>1907</v>
      </c>
    </row>
    <row r="5" spans="2:2" ht="31" x14ac:dyDescent="0.35">
      <c r="B5" s="928" t="s">
        <v>1908</v>
      </c>
    </row>
    <row r="6" spans="2:2" ht="15.5" x14ac:dyDescent="0.35">
      <c r="B6" s="928" t="s">
        <v>1909</v>
      </c>
    </row>
    <row r="7" spans="2:2" ht="31" x14ac:dyDescent="0.35">
      <c r="B7" s="928" t="s">
        <v>1910</v>
      </c>
    </row>
    <row r="8" spans="2:2" ht="15.5" x14ac:dyDescent="0.35">
      <c r="B8" s="928" t="s">
        <v>1911</v>
      </c>
    </row>
    <row r="9" spans="2:2" ht="15.5" x14ac:dyDescent="0.35">
      <c r="B9" s="929" t="s">
        <v>1912</v>
      </c>
    </row>
    <row r="10" spans="2:2" ht="15.5" x14ac:dyDescent="0.35">
      <c r="B10" s="928" t="s">
        <v>1913</v>
      </c>
    </row>
    <row r="11" spans="2:2" ht="15.5" x14ac:dyDescent="0.35">
      <c r="B11" s="928" t="s">
        <v>1914</v>
      </c>
    </row>
    <row r="12" spans="2:2" ht="15.5" x14ac:dyDescent="0.35">
      <c r="B12" s="928" t="s">
        <v>1915</v>
      </c>
    </row>
    <row r="13" spans="2:2" ht="31" x14ac:dyDescent="0.35">
      <c r="B13" s="928" t="s">
        <v>1916</v>
      </c>
    </row>
    <row r="14" spans="2:2" ht="15.5" x14ac:dyDescent="0.35">
      <c r="B14" s="928" t="s">
        <v>1917</v>
      </c>
    </row>
    <row r="15" spans="2:2" ht="15.5" x14ac:dyDescent="0.35">
      <c r="B15" s="930" t="s">
        <v>1918</v>
      </c>
    </row>
    <row r="16" spans="2:2" ht="15.5" x14ac:dyDescent="0.35">
      <c r="B16" s="928" t="s">
        <v>1919</v>
      </c>
    </row>
    <row r="17" spans="2:2" ht="15.5" x14ac:dyDescent="0.35">
      <c r="B17" s="928" t="s">
        <v>1920</v>
      </c>
    </row>
    <row r="18" spans="2:2" ht="15.5" x14ac:dyDescent="0.35">
      <c r="B18" s="928" t="s">
        <v>1921</v>
      </c>
    </row>
    <row r="19" spans="2:2" ht="15.5" x14ac:dyDescent="0.35">
      <c r="B19" s="928" t="s">
        <v>1922</v>
      </c>
    </row>
    <row r="20" spans="2:2" ht="15.5" x14ac:dyDescent="0.35">
      <c r="B20" s="928" t="s">
        <v>1923</v>
      </c>
    </row>
    <row r="21" spans="2:2" ht="15.5" x14ac:dyDescent="0.35">
      <c r="B21" s="928" t="s">
        <v>1924</v>
      </c>
    </row>
    <row r="22" spans="2:2" ht="15.5" x14ac:dyDescent="0.35">
      <c r="B22" s="928" t="s">
        <v>1925</v>
      </c>
    </row>
    <row r="23" spans="2:2" ht="15.5" x14ac:dyDescent="0.35">
      <c r="B23" s="928"/>
    </row>
    <row r="24" spans="2:2" ht="15.5" x14ac:dyDescent="0.35">
      <c r="B24" s="930" t="s">
        <v>1926</v>
      </c>
    </row>
    <row r="25" spans="2:2" ht="15.5" x14ac:dyDescent="0.35">
      <c r="B25" s="928" t="s">
        <v>1927</v>
      </c>
    </row>
    <row r="26" spans="2:2" ht="15.5" x14ac:dyDescent="0.35">
      <c r="B26" s="928" t="s">
        <v>1928</v>
      </c>
    </row>
    <row r="27" spans="2:2" ht="15.5" x14ac:dyDescent="0.35">
      <c r="B27" s="928" t="s">
        <v>1929</v>
      </c>
    </row>
    <row r="28" spans="2:2" ht="15.5" x14ac:dyDescent="0.35">
      <c r="B28" s="928" t="s">
        <v>1930</v>
      </c>
    </row>
    <row r="29" spans="2:2" ht="15.5" x14ac:dyDescent="0.35">
      <c r="B29" s="928" t="s">
        <v>1931</v>
      </c>
    </row>
    <row r="30" spans="2:2" ht="15.5" x14ac:dyDescent="0.35">
      <c r="B30" s="931"/>
    </row>
    <row r="31" spans="2:2" ht="15.5" x14ac:dyDescent="0.35">
      <c r="B31" s="930" t="s">
        <v>1932</v>
      </c>
    </row>
    <row r="32" spans="2:2" ht="15.5" x14ac:dyDescent="0.35">
      <c r="B32" s="928" t="s">
        <v>1933</v>
      </c>
    </row>
    <row r="33" spans="2:2" ht="15.5" x14ac:dyDescent="0.35">
      <c r="B33" s="929" t="s">
        <v>1934</v>
      </c>
    </row>
    <row r="34" spans="2:2" ht="15.5" x14ac:dyDescent="0.35">
      <c r="B34" s="929" t="s">
        <v>1935</v>
      </c>
    </row>
    <row r="35" spans="2:2" ht="15.5" x14ac:dyDescent="0.35">
      <c r="B35" s="929" t="s">
        <v>1936</v>
      </c>
    </row>
    <row r="36" spans="2:2" ht="15.5" x14ac:dyDescent="0.35">
      <c r="B36" s="929" t="s">
        <v>1937</v>
      </c>
    </row>
    <row r="37" spans="2:2" ht="15.5" x14ac:dyDescent="0.35">
      <c r="B37" s="929" t="s">
        <v>1938</v>
      </c>
    </row>
    <row r="38" spans="2:2" ht="15.5" x14ac:dyDescent="0.35">
      <c r="B38" s="929" t="s">
        <v>1939</v>
      </c>
    </row>
    <row r="39" spans="2:2" ht="15.5" x14ac:dyDescent="0.35">
      <c r="B39" s="928" t="s">
        <v>1940</v>
      </c>
    </row>
    <row r="40" spans="2:2" ht="31" x14ac:dyDescent="0.35">
      <c r="B40" s="928" t="s">
        <v>1941</v>
      </c>
    </row>
    <row r="41" spans="2:2" ht="31" x14ac:dyDescent="0.35">
      <c r="B41" s="928" t="s">
        <v>1942</v>
      </c>
    </row>
    <row r="42" spans="2:2" ht="15.5" x14ac:dyDescent="0.35">
      <c r="B42" s="928" t="s">
        <v>1943</v>
      </c>
    </row>
    <row r="43" spans="2:2" ht="31" x14ac:dyDescent="0.35">
      <c r="B43" s="928" t="s">
        <v>1944</v>
      </c>
    </row>
    <row r="44" spans="2:2" ht="15.5" x14ac:dyDescent="0.35">
      <c r="B44" s="928" t="s">
        <v>1945</v>
      </c>
    </row>
    <row r="45" spans="2:2" ht="31" x14ac:dyDescent="0.35">
      <c r="B45" s="928" t="s">
        <v>1946</v>
      </c>
    </row>
    <row r="46" spans="2:2" ht="31" x14ac:dyDescent="0.35">
      <c r="B46" s="928" t="s">
        <v>1947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9D6F-6297-4406-87CF-2837773DC313}">
  <sheetPr>
    <pageSetUpPr autoPageBreaks="0"/>
  </sheetPr>
  <dimension ref="A1:O38"/>
  <sheetViews>
    <sheetView topLeftCell="B1" zoomScaleNormal="100" workbookViewId="0">
      <selection activeCell="J8" sqref="J8"/>
    </sheetView>
  </sheetViews>
  <sheetFormatPr defaultRowHeight="14.5" x14ac:dyDescent="0.35"/>
  <cols>
    <col min="1" max="1" width="36.453125" bestFit="1" customWidth="1"/>
    <col min="2" max="2" width="11.453125" bestFit="1" customWidth="1"/>
    <col min="3" max="3" width="13.90625" customWidth="1"/>
    <col min="4" max="4" width="10.6328125" bestFit="1" customWidth="1"/>
    <col min="5" max="5" width="18.1796875" bestFit="1" customWidth="1"/>
    <col min="6" max="6" width="19.26953125" customWidth="1"/>
    <col min="8" max="8" width="21.08984375" bestFit="1" customWidth="1"/>
    <col min="9" max="10" width="25.81640625" customWidth="1"/>
    <col min="11" max="11" width="18.7265625" bestFit="1" customWidth="1"/>
    <col min="12" max="12" width="12.36328125" bestFit="1" customWidth="1"/>
    <col min="13" max="13" width="21.36328125" bestFit="1" customWidth="1"/>
    <col min="14" max="14" width="34.08984375" customWidth="1"/>
  </cols>
  <sheetData>
    <row r="1" spans="1:10" x14ac:dyDescent="0.35">
      <c r="A1" s="988" t="s">
        <v>1984</v>
      </c>
      <c r="B1" s="989"/>
      <c r="C1" s="989"/>
      <c r="D1" s="989"/>
      <c r="E1" s="989"/>
      <c r="F1" s="989"/>
    </row>
    <row r="2" spans="1:10" ht="29" x14ac:dyDescent="0.35">
      <c r="A2" s="580" t="s">
        <v>1802</v>
      </c>
      <c r="B2" s="580" t="s">
        <v>1803</v>
      </c>
      <c r="C2" s="580" t="s">
        <v>1807</v>
      </c>
      <c r="D2" s="580" t="s">
        <v>1804</v>
      </c>
      <c r="E2" s="580" t="s">
        <v>1809</v>
      </c>
      <c r="F2" s="580" t="s">
        <v>1805</v>
      </c>
    </row>
    <row r="3" spans="1:10" x14ac:dyDescent="0.35">
      <c r="A3" s="346" t="s">
        <v>1985</v>
      </c>
      <c r="B3" s="584">
        <f>+Costing!K10</f>
        <v>0.82446854966898975</v>
      </c>
      <c r="C3" s="578">
        <f>Costing!I8+Costing!I10</f>
        <v>1.18</v>
      </c>
      <c r="D3" s="586">
        <f>Costing!F10</f>
        <v>15</v>
      </c>
      <c r="E3" s="576">
        <f>C3*D3</f>
        <v>17.7</v>
      </c>
      <c r="F3" s="957" t="s">
        <v>1978</v>
      </c>
      <c r="H3" s="231">
        <f>27000*C3*1000</f>
        <v>31860000</v>
      </c>
      <c r="I3" s="590">
        <f>D3</f>
        <v>15</v>
      </c>
      <c r="J3" s="231">
        <f>H3*I3</f>
        <v>477900000</v>
      </c>
    </row>
    <row r="4" spans="1:10" x14ac:dyDescent="0.35">
      <c r="A4" s="346" t="s">
        <v>1986</v>
      </c>
      <c r="B4" s="584">
        <f>+Costing!J12</f>
        <v>6.9870216073643202E-2</v>
      </c>
      <c r="C4" s="578">
        <f>+Costing!I12</f>
        <v>0.1</v>
      </c>
      <c r="D4" s="586">
        <f>Costing!F12</f>
        <v>48</v>
      </c>
      <c r="E4" s="576">
        <f t="shared" ref="E4:E7" si="0">C4*D4</f>
        <v>4.8000000000000007</v>
      </c>
      <c r="F4" s="582"/>
      <c r="H4" s="231">
        <f t="shared" ref="H4:H7" si="1">27000*C4*1000</f>
        <v>2700000</v>
      </c>
      <c r="I4" s="590">
        <f t="shared" ref="I4:I7" si="2">D4</f>
        <v>48</v>
      </c>
      <c r="J4" s="231">
        <f t="shared" ref="J4:J7" si="3">H4*I4</f>
        <v>129600000</v>
      </c>
    </row>
    <row r="5" spans="1:10" x14ac:dyDescent="0.35">
      <c r="A5" s="346" t="s">
        <v>1987</v>
      </c>
      <c r="B5" s="584">
        <f>+Costing!J14</f>
        <v>2.4454575625775122E-3</v>
      </c>
      <c r="C5" s="578">
        <f>+Costing!I14</f>
        <v>3.5000000000000001E-3</v>
      </c>
      <c r="D5" s="586">
        <f>Costing!F14</f>
        <v>185</v>
      </c>
      <c r="E5" s="576">
        <f t="shared" si="0"/>
        <v>0.64749999999999996</v>
      </c>
      <c r="F5" s="582" t="s">
        <v>1981</v>
      </c>
      <c r="H5" s="231">
        <f t="shared" si="1"/>
        <v>94500</v>
      </c>
      <c r="I5" s="590">
        <f t="shared" si="2"/>
        <v>185</v>
      </c>
      <c r="J5" s="231">
        <f t="shared" si="3"/>
        <v>17482500</v>
      </c>
    </row>
    <row r="6" spans="1:10" x14ac:dyDescent="0.35">
      <c r="A6" s="346" t="s">
        <v>1988</v>
      </c>
      <c r="B6" s="584">
        <f>+Costing!J18</f>
        <v>2.9112590030684664E-2</v>
      </c>
      <c r="C6" s="578">
        <f>+Costing!I18</f>
        <v>4.1666666666666664E-2</v>
      </c>
      <c r="D6" s="586">
        <f>Costing!F18</f>
        <v>31.65</v>
      </c>
      <c r="E6" s="576">
        <f t="shared" si="0"/>
        <v>1.3187499999999999</v>
      </c>
      <c r="F6" s="957" t="s">
        <v>1980</v>
      </c>
      <c r="H6" s="231">
        <f t="shared" si="1"/>
        <v>1125000</v>
      </c>
      <c r="I6" s="590">
        <f t="shared" si="2"/>
        <v>31.65</v>
      </c>
      <c r="J6" s="231">
        <f t="shared" si="3"/>
        <v>35606250</v>
      </c>
    </row>
    <row r="7" spans="1:10" x14ac:dyDescent="0.35">
      <c r="A7" s="346" t="s">
        <v>1989</v>
      </c>
      <c r="B7" s="584">
        <f>+Costing!J20</f>
        <v>7.4103186664104745E-2</v>
      </c>
      <c r="C7" s="578">
        <f>+Costing!I20</f>
        <v>0.10605833333333332</v>
      </c>
      <c r="D7" s="586">
        <f>Costing!F20</f>
        <v>100</v>
      </c>
      <c r="E7" s="576">
        <f t="shared" si="0"/>
        <v>10.605833333333333</v>
      </c>
      <c r="F7" s="957" t="s">
        <v>1979</v>
      </c>
      <c r="H7" s="231">
        <f t="shared" si="1"/>
        <v>2863575</v>
      </c>
      <c r="I7" s="590">
        <f t="shared" si="2"/>
        <v>100</v>
      </c>
      <c r="J7" s="231">
        <f t="shared" si="3"/>
        <v>286357500</v>
      </c>
    </row>
    <row r="8" spans="1:10" x14ac:dyDescent="0.35">
      <c r="A8" s="390"/>
      <c r="B8" s="585">
        <f>SUM(B3:B7)</f>
        <v>0.99999999999999989</v>
      </c>
      <c r="C8" s="579">
        <f>SUM(C3:C7)</f>
        <v>1.4312250000000002</v>
      </c>
      <c r="D8" s="392"/>
      <c r="E8" s="577">
        <f>SUM(E3:E7)</f>
        <v>35.072083333333339</v>
      </c>
      <c r="F8" s="393"/>
      <c r="H8" s="589"/>
      <c r="I8" s="231"/>
      <c r="J8" s="231">
        <f>SUM(J3:J7)</f>
        <v>946946250</v>
      </c>
    </row>
    <row r="10" spans="1:10" x14ac:dyDescent="0.35">
      <c r="A10" t="s">
        <v>1811</v>
      </c>
      <c r="E10" s="581">
        <f>E8*1000</f>
        <v>35072.083333333336</v>
      </c>
      <c r="F10" s="23">
        <f>Costing!G22</f>
        <v>35.072083333333339</v>
      </c>
    </row>
    <row r="11" spans="1:10" x14ac:dyDescent="0.35">
      <c r="F11" s="583">
        <f>E8-F10</f>
        <v>0</v>
      </c>
    </row>
    <row r="12" spans="1:10" x14ac:dyDescent="0.35">
      <c r="E12" s="581">
        <v>27000</v>
      </c>
      <c r="F12">
        <v>27000</v>
      </c>
      <c r="G12" t="s">
        <v>241</v>
      </c>
    </row>
    <row r="13" spans="1:10" x14ac:dyDescent="0.35">
      <c r="E13" s="581">
        <f>E12*1000</f>
        <v>27000000</v>
      </c>
      <c r="F13">
        <f>F12*1000</f>
        <v>27000000</v>
      </c>
      <c r="G13" t="s">
        <v>363</v>
      </c>
    </row>
    <row r="14" spans="1:10" x14ac:dyDescent="0.35">
      <c r="E14" s="581">
        <f>E8</f>
        <v>35.072083333333339</v>
      </c>
      <c r="F14">
        <v>100</v>
      </c>
      <c r="G14" t="s">
        <v>1815</v>
      </c>
    </row>
    <row r="15" spans="1:10" x14ac:dyDescent="0.35">
      <c r="E15">
        <f>E13*E14</f>
        <v>946946250.00000012</v>
      </c>
      <c r="F15" s="231">
        <f>F13*F14</f>
        <v>2700000000</v>
      </c>
      <c r="G15" t="s">
        <v>146</v>
      </c>
    </row>
    <row r="16" spans="1:10" ht="15" thickBot="1" x14ac:dyDescent="0.4">
      <c r="E16">
        <f>E15/10^7</f>
        <v>94.694625000000016</v>
      </c>
      <c r="F16">
        <f>F15/10^7</f>
        <v>270</v>
      </c>
      <c r="G16" t="s">
        <v>1816</v>
      </c>
    </row>
    <row r="17" spans="1:15" ht="29.5" customHeight="1" thickBot="1" x14ac:dyDescent="0.4">
      <c r="H17" s="911" t="s">
        <v>1884</v>
      </c>
      <c r="I17" s="912" t="s">
        <v>1887</v>
      </c>
      <c r="J17" s="912" t="s">
        <v>1893</v>
      </c>
      <c r="K17" s="912" t="s">
        <v>1885</v>
      </c>
      <c r="L17" s="912" t="s">
        <v>1891</v>
      </c>
      <c r="M17" s="912" t="s">
        <v>1886</v>
      </c>
      <c r="N17" s="913" t="s">
        <v>1805</v>
      </c>
    </row>
    <row r="18" spans="1:15" ht="69" customHeight="1" thickBot="1" x14ac:dyDescent="0.4">
      <c r="H18" s="914" t="s">
        <v>1888</v>
      </c>
      <c r="I18" s="916" t="s">
        <v>1889</v>
      </c>
      <c r="J18" s="916" t="s">
        <v>1894</v>
      </c>
      <c r="K18" s="917" t="s">
        <v>1890</v>
      </c>
      <c r="L18" s="918">
        <v>1385</v>
      </c>
      <c r="M18" s="920">
        <f>L18*100/93000</f>
        <v>1.489247311827957</v>
      </c>
      <c r="N18" s="919" t="s">
        <v>1892</v>
      </c>
    </row>
    <row r="19" spans="1:15" ht="58.5" thickBot="1" x14ac:dyDescent="0.4">
      <c r="H19" s="914" t="s">
        <v>1895</v>
      </c>
      <c r="I19" s="916" t="s">
        <v>1896</v>
      </c>
      <c r="J19" s="915" t="s">
        <v>1897</v>
      </c>
      <c r="K19" s="917" t="s">
        <v>1904</v>
      </c>
      <c r="L19" s="915">
        <f>6*82</f>
        <v>492</v>
      </c>
      <c r="M19" s="915">
        <f>L19*100/10000</f>
        <v>4.92</v>
      </c>
      <c r="N19" s="919" t="s">
        <v>1899</v>
      </c>
      <c r="O19" t="s">
        <v>1898</v>
      </c>
    </row>
    <row r="20" spans="1:15" ht="44" thickBot="1" x14ac:dyDescent="0.4">
      <c r="H20" s="914" t="s">
        <v>1900</v>
      </c>
      <c r="I20" s="916" t="s">
        <v>1901</v>
      </c>
      <c r="J20" s="915" t="s">
        <v>1902</v>
      </c>
      <c r="K20" s="921" t="s">
        <v>1903</v>
      </c>
      <c r="L20" s="915">
        <f>23*90</f>
        <v>2070</v>
      </c>
      <c r="M20" s="915">
        <f>L20*100/50000</f>
        <v>4.1399999999999997</v>
      </c>
      <c r="N20" s="922" t="s">
        <v>1905</v>
      </c>
    </row>
    <row r="22" spans="1:15" x14ac:dyDescent="0.35">
      <c r="A22" s="988" t="s">
        <v>1810</v>
      </c>
      <c r="B22" s="989"/>
      <c r="C22" s="989"/>
      <c r="D22" s="989"/>
      <c r="E22" s="989"/>
      <c r="F22" s="989"/>
    </row>
    <row r="23" spans="1:15" ht="29" x14ac:dyDescent="0.35">
      <c r="A23" s="580" t="s">
        <v>1802</v>
      </c>
      <c r="B23" s="580" t="s">
        <v>1803</v>
      </c>
      <c r="C23" s="580" t="s">
        <v>1807</v>
      </c>
      <c r="D23" s="580" t="s">
        <v>1804</v>
      </c>
      <c r="E23" s="580" t="s">
        <v>1809</v>
      </c>
      <c r="F23" s="580" t="s">
        <v>1805</v>
      </c>
    </row>
    <row r="24" spans="1:15" x14ac:dyDescent="0.35">
      <c r="A24" s="346" t="s">
        <v>1985</v>
      </c>
      <c r="B24" s="584">
        <f>B3</f>
        <v>0.82446854966898975</v>
      </c>
      <c r="C24" s="584">
        <f>C3</f>
        <v>1.18</v>
      </c>
      <c r="D24" s="586">
        <v>10</v>
      </c>
      <c r="E24" s="576">
        <f>C24*D24</f>
        <v>11.799999999999999</v>
      </c>
      <c r="F24" s="957" t="s">
        <v>1978</v>
      </c>
    </row>
    <row r="25" spans="1:15" x14ac:dyDescent="0.35">
      <c r="A25" s="346" t="s">
        <v>1986</v>
      </c>
      <c r="B25" s="584">
        <f t="shared" ref="B25:C28" si="4">B4</f>
        <v>6.9870216073643202E-2</v>
      </c>
      <c r="C25" s="584">
        <f t="shared" si="4"/>
        <v>0.1</v>
      </c>
      <c r="D25" s="586">
        <v>65</v>
      </c>
      <c r="E25" s="576">
        <f t="shared" ref="E25:E28" si="5">C25*D25</f>
        <v>6.5</v>
      </c>
      <c r="F25" s="957" t="s">
        <v>1992</v>
      </c>
    </row>
    <row r="26" spans="1:15" x14ac:dyDescent="0.35">
      <c r="A26" s="346" t="s">
        <v>1990</v>
      </c>
      <c r="B26" s="584">
        <f t="shared" si="4"/>
        <v>2.4454575625775122E-3</v>
      </c>
      <c r="C26" s="584">
        <f t="shared" si="4"/>
        <v>3.5000000000000001E-3</v>
      </c>
      <c r="D26" s="586">
        <v>150</v>
      </c>
      <c r="E26" s="576">
        <f t="shared" si="5"/>
        <v>0.52500000000000002</v>
      </c>
      <c r="F26" s="957" t="s">
        <v>1981</v>
      </c>
    </row>
    <row r="27" spans="1:15" x14ac:dyDescent="0.35">
      <c r="A27" s="346" t="s">
        <v>1806</v>
      </c>
      <c r="B27" s="584">
        <f t="shared" si="4"/>
        <v>2.9112590030684664E-2</v>
      </c>
      <c r="C27" s="584">
        <f t="shared" si="4"/>
        <v>4.1666666666666664E-2</v>
      </c>
      <c r="D27" s="586">
        <v>50</v>
      </c>
      <c r="E27" s="576">
        <f t="shared" si="5"/>
        <v>2.083333333333333</v>
      </c>
      <c r="F27" s="957" t="s">
        <v>1980</v>
      </c>
    </row>
    <row r="28" spans="1:15" x14ac:dyDescent="0.35">
      <c r="A28" s="346" t="s">
        <v>1991</v>
      </c>
      <c r="B28" s="584">
        <f t="shared" si="4"/>
        <v>7.4103186664104745E-2</v>
      </c>
      <c r="C28" s="584">
        <f t="shared" si="4"/>
        <v>0.10605833333333332</v>
      </c>
      <c r="D28" s="586">
        <v>150</v>
      </c>
      <c r="E28" s="576">
        <f t="shared" si="5"/>
        <v>15.908749999999998</v>
      </c>
      <c r="F28" s="957" t="s">
        <v>1983</v>
      </c>
    </row>
    <row r="29" spans="1:15" x14ac:dyDescent="0.35">
      <c r="A29" s="390"/>
      <c r="B29" s="585">
        <f>SUM(B24:B28)</f>
        <v>0.99999999999999989</v>
      </c>
      <c r="C29" s="579">
        <f>SUM(C24:C28)</f>
        <v>1.4312250000000002</v>
      </c>
      <c r="D29" s="392"/>
      <c r="E29" s="577">
        <f>SUM(E24:E28)</f>
        <v>36.817083333333329</v>
      </c>
      <c r="F29" s="393"/>
    </row>
    <row r="31" spans="1:15" x14ac:dyDescent="0.35">
      <c r="A31" s="988" t="s">
        <v>1984</v>
      </c>
      <c r="B31" s="989"/>
      <c r="C31" s="989"/>
      <c r="D31" s="989"/>
      <c r="E31" s="989"/>
      <c r="F31" s="989"/>
    </row>
    <row r="32" spans="1:15" ht="29" x14ac:dyDescent="0.35">
      <c r="A32" s="580" t="s">
        <v>1802</v>
      </c>
      <c r="B32" s="580" t="s">
        <v>1803</v>
      </c>
      <c r="C32" s="580" t="s">
        <v>1807</v>
      </c>
      <c r="D32" s="580" t="s">
        <v>1804</v>
      </c>
      <c r="E32" s="580" t="s">
        <v>1809</v>
      </c>
      <c r="F32" s="580" t="s">
        <v>1805</v>
      </c>
    </row>
    <row r="33" spans="1:6" x14ac:dyDescent="0.35">
      <c r="A33" s="961" t="s">
        <v>1985</v>
      </c>
      <c r="B33" s="584" t="e">
        <f>Costing!N8</f>
        <v>#DIV/0!</v>
      </c>
      <c r="C33" s="576">
        <f>Costing!M8</f>
        <v>1.18</v>
      </c>
      <c r="D33" s="586">
        <f>D3</f>
        <v>15</v>
      </c>
      <c r="E33" s="576">
        <f>C33*D33</f>
        <v>17.7</v>
      </c>
      <c r="F33" s="582"/>
    </row>
    <row r="34" spans="1:6" x14ac:dyDescent="0.35">
      <c r="A34" s="346" t="s">
        <v>1986</v>
      </c>
      <c r="B34" s="584">
        <f>Costing!N12</f>
        <v>0</v>
      </c>
      <c r="C34" s="576">
        <f>Costing!M12</f>
        <v>0</v>
      </c>
      <c r="D34" s="586">
        <f t="shared" ref="D34:D37" si="6">D4</f>
        <v>48</v>
      </c>
      <c r="E34" s="576">
        <f t="shared" ref="E34:E37" si="7">C34*D34</f>
        <v>0</v>
      </c>
      <c r="F34" s="582"/>
    </row>
    <row r="35" spans="1:6" x14ac:dyDescent="0.35">
      <c r="A35" s="346" t="s">
        <v>1987</v>
      </c>
      <c r="B35" s="584">
        <f>Costing!N14</f>
        <v>0</v>
      </c>
      <c r="C35" s="576">
        <f>Costing!M14</f>
        <v>0</v>
      </c>
      <c r="D35" s="586">
        <f t="shared" si="6"/>
        <v>185</v>
      </c>
      <c r="E35" s="576">
        <f t="shared" si="7"/>
        <v>0</v>
      </c>
      <c r="F35" s="582"/>
    </row>
    <row r="36" spans="1:6" x14ac:dyDescent="0.35">
      <c r="A36" s="346" t="s">
        <v>1988</v>
      </c>
      <c r="B36" s="584">
        <f>Costing!N18</f>
        <v>0</v>
      </c>
      <c r="C36" s="576">
        <f>Costing!M18</f>
        <v>0</v>
      </c>
      <c r="D36" s="586">
        <f t="shared" si="6"/>
        <v>31.65</v>
      </c>
      <c r="E36" s="576">
        <f t="shared" si="7"/>
        <v>0</v>
      </c>
      <c r="F36" s="957"/>
    </row>
    <row r="37" spans="1:6" x14ac:dyDescent="0.35">
      <c r="A37" s="346" t="s">
        <v>1989</v>
      </c>
      <c r="B37" s="584">
        <f>Costing!N20</f>
        <v>0</v>
      </c>
      <c r="C37" s="576">
        <f>Costing!M20</f>
        <v>0</v>
      </c>
      <c r="D37" s="586">
        <f t="shared" si="6"/>
        <v>100</v>
      </c>
      <c r="E37" s="576">
        <f t="shared" si="7"/>
        <v>0</v>
      </c>
      <c r="F37" s="957"/>
    </row>
    <row r="38" spans="1:6" x14ac:dyDescent="0.35">
      <c r="A38" s="390"/>
      <c r="B38" s="585" t="e">
        <f>SUM(B33:B37)</f>
        <v>#DIV/0!</v>
      </c>
      <c r="C38" s="579">
        <f>SUM(C33:C37)</f>
        <v>1.18</v>
      </c>
      <c r="D38" s="392"/>
      <c r="E38" s="577">
        <f>SUM(E33:E37)</f>
        <v>17.7</v>
      </c>
      <c r="F38" s="393"/>
    </row>
  </sheetData>
  <mergeCells count="3">
    <mergeCell ref="A1:F1"/>
    <mergeCell ref="A22:F22"/>
    <mergeCell ref="A31:F31"/>
  </mergeCells>
  <hyperlinks>
    <hyperlink ref="N18" r:id="rId1" xr:uid="{64CD0B74-6F38-4B5F-B6B3-B7CFA0081CA0}"/>
    <hyperlink ref="N19" r:id="rId2" xr:uid="{C4AC0ACF-14DF-40FF-A837-D32490F773D0}"/>
    <hyperlink ref="N20" r:id="rId3" xr:uid="{6F367BB0-0154-4DDF-B3A9-3D92B29B1850}"/>
    <hyperlink ref="F28" r:id="rId4" xr:uid="{98902EF9-C211-451B-9DE0-E1ECCBE71965}"/>
    <hyperlink ref="F25" r:id="rId5" xr:uid="{7118492F-EAE6-4996-AD98-5F886C585FDC}"/>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A2:M39"/>
  <sheetViews>
    <sheetView showGridLines="0" topLeftCell="C7" workbookViewId="0">
      <selection activeCell="D13" sqref="D13"/>
    </sheetView>
  </sheetViews>
  <sheetFormatPr defaultColWidth="13" defaultRowHeight="14.5" x14ac:dyDescent="0.35"/>
  <cols>
    <col min="1" max="1" width="4.54296875" style="96" customWidth="1"/>
    <col min="2" max="2" width="10.7265625" style="97" customWidth="1"/>
    <col min="3" max="3" width="52.453125" style="97" customWidth="1"/>
    <col min="4" max="4" width="27.7265625" style="44" customWidth="1"/>
    <col min="5" max="5" width="13" style="317"/>
    <col min="6" max="6" width="20.08984375" style="317" bestFit="1" customWidth="1"/>
    <col min="7" max="7" width="53.6328125" style="317" bestFit="1" customWidth="1"/>
    <col min="8" max="8" width="10.36328125" style="317" bestFit="1" customWidth="1"/>
    <col min="9" max="9" width="5.81640625" style="317" bestFit="1" customWidth="1"/>
    <col min="10" max="10" width="9.1796875" style="317" bestFit="1" customWidth="1"/>
    <col min="11" max="16384" width="13" style="317"/>
  </cols>
  <sheetData>
    <row r="2" spans="1:13" s="315" customFormat="1" ht="19.5" customHeight="1" x14ac:dyDescent="0.35">
      <c r="A2" s="97"/>
      <c r="B2" s="990" t="s">
        <v>9</v>
      </c>
      <c r="C2" s="990"/>
      <c r="D2" s="990"/>
    </row>
    <row r="3" spans="1:13" s="318" customFormat="1" ht="21" customHeight="1" x14ac:dyDescent="0.35">
      <c r="A3" s="101"/>
      <c r="B3" s="70" t="s">
        <v>583</v>
      </c>
      <c r="C3" s="70" t="s">
        <v>1</v>
      </c>
      <c r="D3" s="70" t="s">
        <v>7</v>
      </c>
      <c r="F3" s="343"/>
      <c r="H3" s="343"/>
    </row>
    <row r="4" spans="1:13" s="315" customFormat="1" ht="21" customHeight="1" x14ac:dyDescent="0.35">
      <c r="A4" s="97"/>
      <c r="B4" s="71" t="s">
        <v>72</v>
      </c>
      <c r="C4" s="103" t="s">
        <v>87</v>
      </c>
      <c r="D4" s="73"/>
      <c r="G4" s="317"/>
      <c r="H4" s="317"/>
      <c r="I4" s="317"/>
      <c r="J4" s="317"/>
    </row>
    <row r="5" spans="1:13" s="315" customFormat="1" ht="21" customHeight="1" x14ac:dyDescent="0.35">
      <c r="A5" s="97"/>
      <c r="B5" s="44">
        <v>1</v>
      </c>
      <c r="C5" s="97" t="s">
        <v>816</v>
      </c>
      <c r="D5" s="364">
        <v>1200</v>
      </c>
      <c r="F5" s="313"/>
      <c r="G5" s="342"/>
      <c r="H5" s="342"/>
    </row>
    <row r="6" spans="1:13" s="315" customFormat="1" ht="21" customHeight="1" x14ac:dyDescent="0.35">
      <c r="A6" s="97"/>
      <c r="B6" s="44">
        <f>B5+1</f>
        <v>2</v>
      </c>
      <c r="C6" s="97" t="s">
        <v>60</v>
      </c>
      <c r="D6" s="364">
        <v>3500</v>
      </c>
      <c r="E6" s="574">
        <f>J39</f>
        <v>3410.48</v>
      </c>
      <c r="F6" s="360"/>
      <c r="G6" s="338"/>
    </row>
    <row r="7" spans="1:13" s="315" customFormat="1" ht="22" customHeight="1" x14ac:dyDescent="0.35">
      <c r="A7" s="97"/>
      <c r="B7" s="44">
        <f t="shared" ref="B7:B15" si="0">B6+1</f>
        <v>3</v>
      </c>
      <c r="C7" s="53" t="s">
        <v>817</v>
      </c>
      <c r="D7" s="365">
        <v>14500</v>
      </c>
      <c r="E7" s="575">
        <f>summery!G28</f>
        <v>17608.196</v>
      </c>
      <c r="F7" s="360" t="s">
        <v>1851</v>
      </c>
      <c r="G7" s="338"/>
    </row>
    <row r="8" spans="1:13" s="315" customFormat="1" ht="21" customHeight="1" x14ac:dyDescent="0.35">
      <c r="A8" s="97"/>
      <c r="B8" s="44">
        <f t="shared" si="0"/>
        <v>4</v>
      </c>
      <c r="C8" s="97" t="s">
        <v>818</v>
      </c>
      <c r="D8" s="364">
        <v>4700</v>
      </c>
      <c r="E8" s="338">
        <f>CP!G151-CP!G150</f>
        <v>4661.9199399999998</v>
      </c>
      <c r="F8" s="313"/>
      <c r="G8" s="338"/>
    </row>
    <row r="9" spans="1:13" s="315" customFormat="1" ht="21" customHeight="1" x14ac:dyDescent="0.35">
      <c r="A9" s="97"/>
      <c r="B9" s="44">
        <f t="shared" si="0"/>
        <v>5</v>
      </c>
      <c r="C9" s="97" t="s">
        <v>819</v>
      </c>
      <c r="D9" s="364">
        <v>1600</v>
      </c>
      <c r="F9" s="935">
        <f>D7+D8+D9+D10+D11+D14</f>
        <v>23750</v>
      </c>
      <c r="G9" s="338"/>
      <c r="H9" s="362"/>
    </row>
    <row r="10" spans="1:13" s="315" customFormat="1" ht="32.5" customHeight="1" x14ac:dyDescent="0.35">
      <c r="A10" s="97"/>
      <c r="B10" s="44">
        <f t="shared" si="0"/>
        <v>6</v>
      </c>
      <c r="C10" s="53" t="s">
        <v>820</v>
      </c>
      <c r="D10" s="364">
        <v>1600</v>
      </c>
      <c r="F10" s="360"/>
      <c r="G10" s="338"/>
      <c r="H10" s="363"/>
    </row>
    <row r="11" spans="1:13" s="315" customFormat="1" ht="21" customHeight="1" x14ac:dyDescent="0.35">
      <c r="A11" s="97"/>
      <c r="B11" s="44">
        <f t="shared" si="0"/>
        <v>7</v>
      </c>
      <c r="C11" s="97" t="s">
        <v>821</v>
      </c>
      <c r="D11" s="364">
        <v>350</v>
      </c>
      <c r="E11" s="338">
        <f>CP!G150</f>
        <v>300</v>
      </c>
      <c r="F11" s="587"/>
      <c r="G11" s="363"/>
      <c r="H11" s="363"/>
    </row>
    <row r="12" spans="1:13" s="315" customFormat="1" ht="21" customHeight="1" x14ac:dyDescent="0.35">
      <c r="A12" s="97"/>
      <c r="B12" s="44">
        <f>B11+1</f>
        <v>8</v>
      </c>
      <c r="C12" s="97" t="s">
        <v>489</v>
      </c>
      <c r="D12" s="366">
        <f>'TL Schd'!Q10</f>
        <v>701.5</v>
      </c>
      <c r="E12" s="315" t="s">
        <v>1781</v>
      </c>
      <c r="F12" s="357"/>
      <c r="M12" s="358"/>
    </row>
    <row r="13" spans="1:13" s="315" customFormat="1" ht="21" customHeight="1" x14ac:dyDescent="0.35">
      <c r="A13" s="97"/>
      <c r="B13" s="44">
        <f t="shared" si="0"/>
        <v>9</v>
      </c>
      <c r="C13" s="97" t="s">
        <v>798</v>
      </c>
      <c r="D13" s="366">
        <f>30000-29901.5</f>
        <v>98.5</v>
      </c>
      <c r="E13" s="315" t="s">
        <v>1780</v>
      </c>
      <c r="F13" s="313"/>
    </row>
    <row r="14" spans="1:13" s="315" customFormat="1" ht="21" customHeight="1" x14ac:dyDescent="0.35">
      <c r="A14" s="97"/>
      <c r="B14" s="44">
        <f t="shared" si="0"/>
        <v>10</v>
      </c>
      <c r="C14" s="97" t="s">
        <v>822</v>
      </c>
      <c r="D14" s="364">
        <v>1000</v>
      </c>
      <c r="F14" s="313"/>
    </row>
    <row r="15" spans="1:13" s="315" customFormat="1" ht="21" customHeight="1" x14ac:dyDescent="0.35">
      <c r="A15" s="97"/>
      <c r="B15" s="44">
        <f t="shared" si="0"/>
        <v>11</v>
      </c>
      <c r="C15" s="97" t="s">
        <v>823</v>
      </c>
      <c r="D15" s="366">
        <f>750+WC!F36*0</f>
        <v>750</v>
      </c>
      <c r="E15" s="315" t="s">
        <v>1852</v>
      </c>
      <c r="F15" s="313"/>
    </row>
    <row r="16" spans="1:13" s="315" customFormat="1" x14ac:dyDescent="0.35">
      <c r="A16" s="97"/>
      <c r="B16" s="51"/>
      <c r="C16" s="97"/>
      <c r="D16" s="63"/>
      <c r="E16" s="315" t="s">
        <v>1812</v>
      </c>
      <c r="F16" s="313"/>
    </row>
    <row r="17" spans="1:10" s="319" customFormat="1" ht="21" customHeight="1" x14ac:dyDescent="0.35">
      <c r="A17" s="64"/>
      <c r="B17" s="103"/>
      <c r="C17" s="71" t="s">
        <v>39</v>
      </c>
      <c r="D17" s="367">
        <f>SUM(D5:D16)</f>
        <v>30000</v>
      </c>
      <c r="E17" s="588"/>
    </row>
    <row r="18" spans="1:10" s="315" customFormat="1" ht="21" customHeight="1" x14ac:dyDescent="0.35">
      <c r="A18" s="97"/>
      <c r="B18" s="71" t="s">
        <v>73</v>
      </c>
      <c r="C18" s="103" t="s">
        <v>216</v>
      </c>
      <c r="D18" s="104"/>
      <c r="E18" s="325"/>
    </row>
    <row r="19" spans="1:10" s="315" customFormat="1" x14ac:dyDescent="0.35">
      <c r="A19" s="97"/>
      <c r="B19" s="44"/>
      <c r="C19" s="97"/>
      <c r="D19" s="68"/>
    </row>
    <row r="20" spans="1:10" s="315" customFormat="1" ht="21" customHeight="1" x14ac:dyDescent="0.35">
      <c r="A20" s="97"/>
      <c r="B20" s="44">
        <v>1</v>
      </c>
      <c r="C20" s="97" t="s">
        <v>736</v>
      </c>
      <c r="D20" s="63">
        <v>10000</v>
      </c>
    </row>
    <row r="21" spans="1:10" s="315" customFormat="1" ht="35" customHeight="1" x14ac:dyDescent="0.35">
      <c r="A21" s="97"/>
      <c r="B21" s="44">
        <v>2</v>
      </c>
      <c r="C21" s="53" t="s">
        <v>799</v>
      </c>
      <c r="D21" s="366">
        <f>D17-D22-D20</f>
        <v>0</v>
      </c>
      <c r="E21" s="363" t="s">
        <v>1957</v>
      </c>
    </row>
    <row r="22" spans="1:10" s="315" customFormat="1" ht="21" customHeight="1" x14ac:dyDescent="0.35">
      <c r="A22" s="97"/>
      <c r="B22" s="44">
        <v>3</v>
      </c>
      <c r="C22" s="97" t="s">
        <v>800</v>
      </c>
      <c r="D22" s="364">
        <v>20000</v>
      </c>
    </row>
    <row r="23" spans="1:10" s="315" customFormat="1" ht="34.5" hidden="1" customHeight="1" x14ac:dyDescent="0.35">
      <c r="A23" s="97"/>
      <c r="B23" s="51"/>
      <c r="C23" s="53" t="s">
        <v>526</v>
      </c>
      <c r="D23" s="63"/>
    </row>
    <row r="24" spans="1:10" s="315" customFormat="1" ht="21" customHeight="1" x14ac:dyDescent="0.35">
      <c r="A24" s="97"/>
      <c r="B24" s="103"/>
      <c r="C24" s="71" t="s">
        <v>39</v>
      </c>
      <c r="D24" s="367">
        <f>SUM(D20:D23)</f>
        <v>30000</v>
      </c>
      <c r="E24" s="359" t="s">
        <v>815</v>
      </c>
      <c r="F24" s="338">
        <f>(D22)/(D20+D21)</f>
        <v>2</v>
      </c>
    </row>
    <row r="25" spans="1:10" x14ac:dyDescent="0.35">
      <c r="D25" s="368"/>
    </row>
    <row r="26" spans="1:10" x14ac:dyDescent="0.35">
      <c r="C26" s="96"/>
      <c r="D26" s="369"/>
    </row>
    <row r="27" spans="1:10" x14ac:dyDescent="0.35">
      <c r="B27" s="105"/>
      <c r="C27" s="92" t="s">
        <v>442</v>
      </c>
      <c r="D27" s="79">
        <f>D22</f>
        <v>20000</v>
      </c>
    </row>
    <row r="29" spans="1:10" x14ac:dyDescent="0.35">
      <c r="D29" s="100">
        <v>27000</v>
      </c>
      <c r="F29" s="370" t="s">
        <v>824</v>
      </c>
      <c r="G29"/>
      <c r="H29"/>
      <c r="I29"/>
      <c r="J29"/>
    </row>
    <row r="30" spans="1:10" x14ac:dyDescent="0.35">
      <c r="D30" s="100">
        <f>D24/D29</f>
        <v>1.1111111111111112</v>
      </c>
      <c r="F30" s="371"/>
      <c r="G30" s="372" t="s">
        <v>825</v>
      </c>
      <c r="H30" s="373" t="s">
        <v>826</v>
      </c>
      <c r="I30" s="373" t="s">
        <v>827</v>
      </c>
      <c r="J30" s="373" t="s">
        <v>828</v>
      </c>
    </row>
    <row r="31" spans="1:10" x14ac:dyDescent="0.35">
      <c r="D31" s="100"/>
      <c r="F31" s="371">
        <v>1</v>
      </c>
      <c r="G31" s="372" t="s">
        <v>829</v>
      </c>
      <c r="H31" s="372">
        <f>2240*4</f>
        <v>8960</v>
      </c>
      <c r="I31" s="372">
        <v>17000</v>
      </c>
      <c r="J31" s="374">
        <f t="shared" ref="J31:J38" si="1">(H31*I31)/100000</f>
        <v>1523.2</v>
      </c>
    </row>
    <row r="32" spans="1:10" x14ac:dyDescent="0.35">
      <c r="F32" s="371">
        <v>2</v>
      </c>
      <c r="G32" s="372" t="s">
        <v>830</v>
      </c>
      <c r="H32" s="372">
        <f>960*4</f>
        <v>3840</v>
      </c>
      <c r="I32" s="372">
        <v>17000</v>
      </c>
      <c r="J32" s="374">
        <f t="shared" si="1"/>
        <v>652.79999999999995</v>
      </c>
    </row>
    <row r="33" spans="6:10" ht="26" x14ac:dyDescent="0.35">
      <c r="F33" s="371">
        <v>3</v>
      </c>
      <c r="G33" s="375" t="s">
        <v>831</v>
      </c>
      <c r="H33" s="372">
        <f>980+1716+640+640</f>
        <v>3976</v>
      </c>
      <c r="I33" s="372">
        <v>12000</v>
      </c>
      <c r="J33" s="374">
        <f t="shared" si="1"/>
        <v>477.12</v>
      </c>
    </row>
    <row r="34" spans="6:10" x14ac:dyDescent="0.35">
      <c r="F34" s="371">
        <v>4</v>
      </c>
      <c r="G34" s="372" t="s">
        <v>832</v>
      </c>
      <c r="H34" s="372">
        <f>25*32</f>
        <v>800</v>
      </c>
      <c r="I34" s="372">
        <v>12000</v>
      </c>
      <c r="J34" s="374">
        <f t="shared" si="1"/>
        <v>96</v>
      </c>
    </row>
    <row r="35" spans="6:10" x14ac:dyDescent="0.35">
      <c r="F35" s="371">
        <v>5</v>
      </c>
      <c r="G35" s="372" t="s">
        <v>833</v>
      </c>
      <c r="H35" s="372">
        <f>1815+748</f>
        <v>2563</v>
      </c>
      <c r="I35" s="372">
        <v>12000</v>
      </c>
      <c r="J35" s="374">
        <f t="shared" si="1"/>
        <v>307.56</v>
      </c>
    </row>
    <row r="36" spans="6:10" x14ac:dyDescent="0.35">
      <c r="F36" s="371">
        <v>6</v>
      </c>
      <c r="G36" s="372" t="s">
        <v>834</v>
      </c>
      <c r="H36" s="372">
        <v>1400</v>
      </c>
      <c r="I36" s="372">
        <v>12000</v>
      </c>
      <c r="J36" s="374">
        <f t="shared" si="1"/>
        <v>168</v>
      </c>
    </row>
    <row r="37" spans="6:10" x14ac:dyDescent="0.35">
      <c r="F37" s="371"/>
      <c r="G37" s="372" t="s">
        <v>835</v>
      </c>
      <c r="H37" s="372">
        <f>40*21</f>
        <v>840</v>
      </c>
      <c r="I37" s="372">
        <v>12000</v>
      </c>
      <c r="J37" s="374">
        <f t="shared" si="1"/>
        <v>100.8</v>
      </c>
    </row>
    <row r="38" spans="6:10" x14ac:dyDescent="0.35">
      <c r="F38" s="371">
        <v>7</v>
      </c>
      <c r="G38" s="372" t="s">
        <v>836</v>
      </c>
      <c r="H38" s="372">
        <v>500</v>
      </c>
      <c r="I38" s="372">
        <v>17000</v>
      </c>
      <c r="J38" s="374">
        <f t="shared" si="1"/>
        <v>85</v>
      </c>
    </row>
    <row r="39" spans="6:10" x14ac:dyDescent="0.35">
      <c r="F39" s="372"/>
      <c r="G39" s="376" t="s">
        <v>449</v>
      </c>
      <c r="H39" s="372"/>
      <c r="I39" s="372"/>
      <c r="J39" s="377">
        <f>SUM(J31:J38)</f>
        <v>3410.48</v>
      </c>
    </row>
  </sheetData>
  <customSheetViews>
    <customSheetView guid="{22475485-DA09-46DB-978D-BB94CE1E5597}" topLeftCell="A7">
      <selection activeCell="B13" sqref="B13"/>
      <pageMargins left="0.7" right="0.7" top="0.75" bottom="0.75" header="0.3" footer="0.3"/>
      <pageSetup paperSize="9" orientation="portrait" verticalDpi="300" r:id="rId1"/>
    </customSheetView>
  </customSheetViews>
  <mergeCells count="1">
    <mergeCell ref="B2:D2"/>
  </mergeCells>
  <pageMargins left="0.7" right="0.7" top="0.75" bottom="0.75" header="0.3" footer="0.3"/>
  <pageSetup paperSize="9" orientation="portrait"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249977111117893"/>
  </sheetPr>
  <dimension ref="B2:L86"/>
  <sheetViews>
    <sheetView showGridLines="0" topLeftCell="A3" workbookViewId="0">
      <selection activeCell="D10" sqref="D10"/>
    </sheetView>
  </sheetViews>
  <sheetFormatPr defaultColWidth="13" defaultRowHeight="14.5" x14ac:dyDescent="0.35"/>
  <cols>
    <col min="1" max="1" width="4" style="96" customWidth="1"/>
    <col min="2" max="2" width="10" style="44" customWidth="1"/>
    <col min="3" max="3" width="56.453125" style="101" customWidth="1"/>
    <col min="4" max="4" width="22.81640625" style="44" customWidth="1"/>
    <col min="5" max="5" width="18.26953125" style="44" customWidth="1"/>
    <col min="6" max="6" width="12" style="96" customWidth="1"/>
    <col min="7" max="7" width="12.81640625" style="96" customWidth="1"/>
    <col min="8" max="8" width="16" style="96" customWidth="1"/>
    <col min="9" max="16384" width="13" style="96"/>
  </cols>
  <sheetData>
    <row r="2" spans="2:12" s="97" customFormat="1" ht="21" customHeight="1" x14ac:dyDescent="0.35">
      <c r="B2" s="990" t="s">
        <v>10</v>
      </c>
      <c r="C2" s="990"/>
      <c r="D2" s="990"/>
      <c r="E2" s="990"/>
    </row>
    <row r="3" spans="2:12" s="101" customFormat="1" ht="21" customHeight="1" x14ac:dyDescent="0.35">
      <c r="B3" s="70" t="s">
        <v>0</v>
      </c>
      <c r="C3" s="70" t="s">
        <v>66</v>
      </c>
      <c r="D3" s="70" t="s">
        <v>64</v>
      </c>
      <c r="E3" s="70" t="s">
        <v>65</v>
      </c>
      <c r="F3" s="66"/>
      <c r="G3" s="102"/>
      <c r="H3" s="96"/>
      <c r="I3" s="96"/>
      <c r="J3" s="96"/>
    </row>
    <row r="4" spans="2:12" s="97" customFormat="1" ht="21" customHeight="1" x14ac:dyDescent="0.35">
      <c r="B4" s="71" t="s">
        <v>67</v>
      </c>
      <c r="C4" s="108" t="s">
        <v>69</v>
      </c>
      <c r="D4" s="73"/>
      <c r="E4" s="73"/>
    </row>
    <row r="5" spans="2:12" s="97" customFormat="1" ht="21" customHeight="1" x14ac:dyDescent="0.35">
      <c r="B5" s="44">
        <v>1</v>
      </c>
      <c r="C5" s="53" t="s">
        <v>114</v>
      </c>
      <c r="D5" s="44">
        <v>24</v>
      </c>
      <c r="E5" s="44" t="s">
        <v>140</v>
      </c>
    </row>
    <row r="6" spans="2:12" s="97" customFormat="1" ht="21" customHeight="1" x14ac:dyDescent="0.35">
      <c r="B6" s="44">
        <v>2</v>
      </c>
      <c r="C6" s="53" t="s">
        <v>115</v>
      </c>
      <c r="D6" s="44">
        <v>365</v>
      </c>
      <c r="E6" s="44" t="s">
        <v>141</v>
      </c>
    </row>
    <row r="7" spans="2:12" s="97" customFormat="1" ht="21" customHeight="1" x14ac:dyDescent="0.35">
      <c r="B7" s="44">
        <v>3</v>
      </c>
      <c r="C7" s="53" t="s">
        <v>260</v>
      </c>
      <c r="D7" s="44">
        <v>330</v>
      </c>
      <c r="E7" s="44" t="s">
        <v>141</v>
      </c>
    </row>
    <row r="8" spans="2:12" s="97" customFormat="1" ht="21" customHeight="1" x14ac:dyDescent="0.35">
      <c r="B8" s="44">
        <v>4</v>
      </c>
      <c r="C8" s="53" t="s">
        <v>137</v>
      </c>
      <c r="D8" s="44" t="s">
        <v>704</v>
      </c>
      <c r="E8" s="44" t="s">
        <v>8</v>
      </c>
    </row>
    <row r="9" spans="2:12" s="97" customFormat="1" ht="21" customHeight="1" x14ac:dyDescent="0.35">
      <c r="B9" s="71" t="s">
        <v>68</v>
      </c>
      <c r="C9" s="108" t="s">
        <v>737</v>
      </c>
      <c r="D9" s="71"/>
      <c r="E9" s="71"/>
      <c r="F9" s="64"/>
      <c r="G9" s="64"/>
      <c r="H9" s="64"/>
      <c r="I9" s="64"/>
      <c r="J9" s="64"/>
      <c r="K9" s="64"/>
      <c r="L9" s="64"/>
    </row>
    <row r="10" spans="2:12" s="97" customFormat="1" ht="21" customHeight="1" x14ac:dyDescent="0.35">
      <c r="B10" s="44">
        <v>5</v>
      </c>
      <c r="C10" s="53" t="s">
        <v>705</v>
      </c>
      <c r="D10" s="48">
        <f>40000/0.7</f>
        <v>57142.857142857145</v>
      </c>
      <c r="E10" s="44" t="s">
        <v>144</v>
      </c>
    </row>
    <row r="11" spans="2:12" s="97" customFormat="1" ht="21" customHeight="1" x14ac:dyDescent="0.35">
      <c r="B11" s="44">
        <v>6</v>
      </c>
      <c r="C11" s="53" t="s">
        <v>516</v>
      </c>
      <c r="D11" s="48">
        <v>0</v>
      </c>
      <c r="E11" s="44" t="s">
        <v>138</v>
      </c>
    </row>
    <row r="12" spans="2:12" s="97" customFormat="1" ht="29" x14ac:dyDescent="0.35">
      <c r="B12" s="44">
        <v>7</v>
      </c>
      <c r="C12" s="53" t="s">
        <v>706</v>
      </c>
      <c r="D12" s="48">
        <v>0</v>
      </c>
      <c r="E12" s="44" t="s">
        <v>144</v>
      </c>
    </row>
    <row r="13" spans="2:12" s="97" customFormat="1" ht="21" customHeight="1" x14ac:dyDescent="0.35">
      <c r="B13" s="44">
        <v>8</v>
      </c>
      <c r="C13" s="53" t="s">
        <v>707</v>
      </c>
      <c r="D13" s="48">
        <f>D12*0.9</f>
        <v>0</v>
      </c>
      <c r="E13" s="44" t="s">
        <v>144</v>
      </c>
    </row>
    <row r="14" spans="2:12" s="97" customFormat="1" ht="21" customHeight="1" x14ac:dyDescent="0.35">
      <c r="B14" s="44">
        <v>9</v>
      </c>
      <c r="C14" s="53" t="s">
        <v>176</v>
      </c>
      <c r="D14" s="48">
        <v>0</v>
      </c>
      <c r="E14" s="44" t="s">
        <v>139</v>
      </c>
    </row>
    <row r="15" spans="2:12" s="97" customFormat="1" ht="21" customHeight="1" x14ac:dyDescent="0.35">
      <c r="B15" s="44">
        <v>10</v>
      </c>
      <c r="C15" s="53" t="s">
        <v>116</v>
      </c>
      <c r="D15" s="48">
        <v>0</v>
      </c>
      <c r="E15" s="44" t="s">
        <v>139</v>
      </c>
      <c r="G15" s="243" t="s">
        <v>700</v>
      </c>
      <c r="H15" s="244">
        <v>0.74</v>
      </c>
      <c r="I15" s="64"/>
      <c r="J15" s="64"/>
    </row>
    <row r="16" spans="2:12" s="97" customFormat="1" ht="21" customHeight="1" x14ac:dyDescent="0.35">
      <c r="B16" s="44">
        <v>11</v>
      </c>
      <c r="C16" s="53" t="s">
        <v>117</v>
      </c>
      <c r="D16" s="48">
        <v>40000</v>
      </c>
      <c r="E16" s="44" t="s">
        <v>138</v>
      </c>
      <c r="G16" s="245" t="s">
        <v>701</v>
      </c>
      <c r="H16" s="246">
        <f>0.74*7000</f>
        <v>5180</v>
      </c>
      <c r="I16" s="247" t="s">
        <v>702</v>
      </c>
      <c r="J16" s="248" t="s">
        <v>703</v>
      </c>
    </row>
    <row r="17" spans="2:12" s="97" customFormat="1" ht="21" customHeight="1" x14ac:dyDescent="0.35">
      <c r="B17" s="44">
        <v>12</v>
      </c>
      <c r="C17" s="53" t="s">
        <v>177</v>
      </c>
      <c r="D17" s="48">
        <v>0</v>
      </c>
      <c r="E17" s="44" t="s">
        <v>8</v>
      </c>
      <c r="G17" s="249"/>
      <c r="H17" s="250">
        <f>H16*90%</f>
        <v>4662</v>
      </c>
      <c r="I17" s="64"/>
      <c r="J17" s="64"/>
    </row>
    <row r="18" spans="2:12" s="97" customFormat="1" ht="21" customHeight="1" x14ac:dyDescent="0.35">
      <c r="B18" s="44">
        <v>13</v>
      </c>
      <c r="C18" s="53" t="s">
        <v>584</v>
      </c>
      <c r="D18" s="48">
        <v>0</v>
      </c>
      <c r="E18" s="44" t="s">
        <v>139</v>
      </c>
    </row>
    <row r="19" spans="2:12" s="97" customFormat="1" ht="21" customHeight="1" x14ac:dyDescent="0.35">
      <c r="B19" s="44">
        <v>14</v>
      </c>
      <c r="C19" s="53" t="s">
        <v>175</v>
      </c>
      <c r="D19" s="48">
        <v>0</v>
      </c>
      <c r="E19" s="44" t="s">
        <v>8</v>
      </c>
    </row>
    <row r="20" spans="2:12" s="97" customFormat="1" ht="21" customHeight="1" x14ac:dyDescent="0.35">
      <c r="B20" s="71" t="s">
        <v>70</v>
      </c>
      <c r="C20" s="108" t="s">
        <v>71</v>
      </c>
      <c r="D20" s="71"/>
      <c r="E20" s="71"/>
      <c r="F20" s="64"/>
      <c r="G20" s="64"/>
      <c r="H20" s="64"/>
      <c r="I20" s="64"/>
      <c r="J20" s="64"/>
      <c r="K20" s="64"/>
      <c r="L20" s="64"/>
    </row>
    <row r="21" spans="2:12" s="97" customFormat="1" ht="21" customHeight="1" x14ac:dyDescent="0.35">
      <c r="B21" s="44" t="s">
        <v>72</v>
      </c>
      <c r="C21" s="53" t="s">
        <v>118</v>
      </c>
      <c r="D21" s="44"/>
      <c r="E21" s="44"/>
    </row>
    <row r="22" spans="2:12" s="97" customFormat="1" ht="21" customHeight="1" x14ac:dyDescent="0.35">
      <c r="B22" s="44">
        <v>1</v>
      </c>
      <c r="C22" s="53" t="s">
        <v>496</v>
      </c>
      <c r="D22" s="48">
        <v>40000</v>
      </c>
      <c r="E22" s="44" t="s">
        <v>144</v>
      </c>
    </row>
    <row r="23" spans="2:12" s="97" customFormat="1" ht="21" customHeight="1" x14ac:dyDescent="0.35">
      <c r="B23" s="44" t="s">
        <v>73</v>
      </c>
      <c r="C23" s="53" t="s">
        <v>119</v>
      </c>
      <c r="D23" s="48"/>
      <c r="E23" s="44"/>
    </row>
    <row r="24" spans="2:12" s="97" customFormat="1" ht="21" customHeight="1" x14ac:dyDescent="0.35">
      <c r="B24" s="44">
        <v>2</v>
      </c>
      <c r="C24" s="53" t="s">
        <v>120</v>
      </c>
      <c r="D24" s="48">
        <v>0</v>
      </c>
      <c r="E24" s="44" t="s">
        <v>148</v>
      </c>
    </row>
    <row r="25" spans="2:12" s="97" customFormat="1" ht="21" customHeight="1" x14ac:dyDescent="0.35">
      <c r="B25" s="44">
        <v>3</v>
      </c>
      <c r="C25" s="53" t="s">
        <v>178</v>
      </c>
      <c r="D25" s="48">
        <v>0</v>
      </c>
      <c r="E25" s="44" t="s">
        <v>148</v>
      </c>
    </row>
    <row r="26" spans="2:12" s="97" customFormat="1" ht="21" customHeight="1" x14ac:dyDescent="0.35">
      <c r="B26" s="44">
        <v>4</v>
      </c>
      <c r="C26" s="53" t="s">
        <v>121</v>
      </c>
      <c r="D26" s="48">
        <v>0</v>
      </c>
      <c r="E26" s="44" t="s">
        <v>148</v>
      </c>
    </row>
    <row r="27" spans="2:12" s="97" customFormat="1" ht="21" customHeight="1" x14ac:dyDescent="0.35">
      <c r="B27" s="73" t="s">
        <v>74</v>
      </c>
      <c r="C27" s="108" t="s">
        <v>324</v>
      </c>
      <c r="D27" s="109"/>
      <c r="E27" s="73"/>
    </row>
    <row r="28" spans="2:12" s="97" customFormat="1" ht="21" customHeight="1" x14ac:dyDescent="0.35">
      <c r="B28" s="44">
        <v>5</v>
      </c>
      <c r="C28" s="53" t="s">
        <v>149</v>
      </c>
      <c r="D28" s="48">
        <v>10000</v>
      </c>
      <c r="E28" s="44" t="s">
        <v>148</v>
      </c>
    </row>
    <row r="29" spans="2:12" s="97" customFormat="1" ht="21" customHeight="1" x14ac:dyDescent="0.35">
      <c r="B29" s="44">
        <v>6</v>
      </c>
      <c r="C29" s="53" t="s">
        <v>357</v>
      </c>
      <c r="D29" s="48">
        <v>0</v>
      </c>
      <c r="E29" s="44" t="s">
        <v>148</v>
      </c>
    </row>
    <row r="30" spans="2:12" s="97" customFormat="1" ht="21" customHeight="1" x14ac:dyDescent="0.35">
      <c r="B30" s="44">
        <v>7</v>
      </c>
      <c r="C30" s="53" t="s">
        <v>122</v>
      </c>
      <c r="D30" s="48">
        <f>D28-D29</f>
        <v>10000</v>
      </c>
      <c r="E30" s="44" t="s">
        <v>148</v>
      </c>
    </row>
    <row r="31" spans="2:12" s="97" customFormat="1" ht="21" customHeight="1" x14ac:dyDescent="0.35">
      <c r="B31" s="991"/>
      <c r="C31" s="991"/>
      <c r="D31" s="991"/>
      <c r="E31" s="991"/>
      <c r="F31" s="991"/>
    </row>
    <row r="32" spans="2:12" s="53" customFormat="1" ht="21" customHeight="1" x14ac:dyDescent="0.35">
      <c r="B32" s="94" t="s">
        <v>0</v>
      </c>
      <c r="C32" s="94" t="s">
        <v>66</v>
      </c>
      <c r="D32" s="94" t="s">
        <v>64</v>
      </c>
      <c r="E32" s="94" t="s">
        <v>65</v>
      </c>
      <c r="F32" s="46"/>
      <c r="G32" s="97"/>
      <c r="H32" s="97"/>
    </row>
    <row r="33" spans="2:12" s="97" customFormat="1" ht="21" customHeight="1" x14ac:dyDescent="0.35">
      <c r="B33" s="71" t="s">
        <v>75</v>
      </c>
      <c r="C33" s="108" t="s">
        <v>76</v>
      </c>
      <c r="D33" s="73"/>
      <c r="E33" s="73"/>
    </row>
    <row r="34" spans="2:12" s="97" customFormat="1" ht="21" customHeight="1" x14ac:dyDescent="0.35">
      <c r="B34" s="44">
        <v>1</v>
      </c>
      <c r="C34" s="53" t="s">
        <v>539</v>
      </c>
      <c r="D34" s="48">
        <v>0</v>
      </c>
      <c r="E34" s="44" t="s">
        <v>143</v>
      </c>
      <c r="H34" s="97">
        <v>1000</v>
      </c>
      <c r="I34" s="97">
        <v>400</v>
      </c>
      <c r="J34" s="97">
        <v>20</v>
      </c>
    </row>
    <row r="35" spans="2:12" s="97" customFormat="1" ht="21" customHeight="1" x14ac:dyDescent="0.35">
      <c r="B35" s="44">
        <v>2</v>
      </c>
      <c r="C35" s="53" t="s">
        <v>540</v>
      </c>
      <c r="D35" s="48">
        <v>0</v>
      </c>
      <c r="E35" s="44" t="s">
        <v>143</v>
      </c>
      <c r="F35" s="97">
        <f>D34*90%</f>
        <v>0</v>
      </c>
      <c r="H35" s="97">
        <v>400</v>
      </c>
      <c r="I35" s="97">
        <f>J34/I34</f>
        <v>0.05</v>
      </c>
      <c r="J35" s="97">
        <f>I35*D36</f>
        <v>0</v>
      </c>
    </row>
    <row r="36" spans="2:12" s="97" customFormat="1" ht="21" customHeight="1" x14ac:dyDescent="0.35">
      <c r="B36" s="44">
        <v>3</v>
      </c>
      <c r="C36" s="53" t="s">
        <v>123</v>
      </c>
      <c r="D36" s="48">
        <v>0</v>
      </c>
      <c r="E36" s="44" t="s">
        <v>485</v>
      </c>
      <c r="H36" s="97">
        <f>H34/H35</f>
        <v>2.5</v>
      </c>
    </row>
    <row r="37" spans="2:12" s="97" customFormat="1" ht="21" customHeight="1" x14ac:dyDescent="0.35">
      <c r="B37" s="44">
        <v>4</v>
      </c>
      <c r="C37" s="53" t="s">
        <v>124</v>
      </c>
      <c r="D37" s="48">
        <v>0</v>
      </c>
      <c r="E37" s="44" t="s">
        <v>144</v>
      </c>
      <c r="H37" s="97">
        <f>H36*D36</f>
        <v>0</v>
      </c>
    </row>
    <row r="38" spans="2:12" s="97" customFormat="1" ht="21" customHeight="1" x14ac:dyDescent="0.35">
      <c r="B38" s="44">
        <v>5</v>
      </c>
      <c r="C38" s="53" t="s">
        <v>125</v>
      </c>
      <c r="D38" s="48">
        <v>0</v>
      </c>
      <c r="E38" s="44" t="s">
        <v>148</v>
      </c>
    </row>
    <row r="39" spans="2:12" s="97" customFormat="1" ht="21" customHeight="1" x14ac:dyDescent="0.35">
      <c r="B39" s="71" t="s">
        <v>77</v>
      </c>
      <c r="C39" s="108" t="s">
        <v>129</v>
      </c>
      <c r="D39" s="109"/>
      <c r="E39" s="71"/>
      <c r="F39" s="64"/>
      <c r="I39" s="64"/>
      <c r="J39" s="64"/>
      <c r="K39" s="64"/>
    </row>
    <row r="40" spans="2:12" s="97" customFormat="1" ht="21" customHeight="1" x14ac:dyDescent="0.35">
      <c r="B40" s="44">
        <v>1</v>
      </c>
      <c r="C40" s="53" t="s">
        <v>130</v>
      </c>
      <c r="D40" s="48">
        <v>300</v>
      </c>
      <c r="E40" s="44" t="s">
        <v>150</v>
      </c>
    </row>
    <row r="41" spans="2:12" s="97" customFormat="1" ht="21" customHeight="1" x14ac:dyDescent="0.35">
      <c r="B41" s="44">
        <v>2</v>
      </c>
      <c r="C41" s="53" t="s">
        <v>358</v>
      </c>
      <c r="D41" s="48">
        <v>0</v>
      </c>
      <c r="E41" s="44" t="s">
        <v>150</v>
      </c>
    </row>
    <row r="42" spans="2:12" s="97" customFormat="1" ht="21" customHeight="1" x14ac:dyDescent="0.35">
      <c r="B42" s="44">
        <v>3</v>
      </c>
      <c r="C42" s="53" t="s">
        <v>180</v>
      </c>
      <c r="D42" s="48">
        <v>0</v>
      </c>
      <c r="E42" s="44" t="s">
        <v>150</v>
      </c>
    </row>
    <row r="43" spans="2:12" s="97" customFormat="1" ht="21" customHeight="1" x14ac:dyDescent="0.35">
      <c r="B43" s="44"/>
      <c r="C43" s="53"/>
      <c r="D43" s="48"/>
      <c r="E43" s="44" t="s">
        <v>150</v>
      </c>
    </row>
    <row r="44" spans="2:12" s="97" customFormat="1" ht="21" customHeight="1" x14ac:dyDescent="0.35">
      <c r="B44" s="44">
        <v>4</v>
      </c>
      <c r="C44" s="53" t="s">
        <v>359</v>
      </c>
      <c r="D44" s="48">
        <v>0</v>
      </c>
      <c r="E44" s="44" t="s">
        <v>150</v>
      </c>
    </row>
    <row r="45" spans="2:12" s="97" customFormat="1" ht="21" customHeight="1" x14ac:dyDescent="0.35">
      <c r="B45" s="44"/>
      <c r="C45" s="46" t="s">
        <v>41</v>
      </c>
      <c r="D45" s="48">
        <f>SUM(D40:D44)</f>
        <v>300</v>
      </c>
      <c r="E45" s="44" t="s">
        <v>150</v>
      </c>
    </row>
    <row r="46" spans="2:12" s="97" customFormat="1" ht="21" customHeight="1" x14ac:dyDescent="0.35">
      <c r="B46" s="73"/>
      <c r="C46" s="110" t="s">
        <v>361</v>
      </c>
      <c r="D46" s="109">
        <v>190</v>
      </c>
      <c r="E46" s="73" t="s">
        <v>150</v>
      </c>
    </row>
    <row r="47" spans="2:12" s="97" customFormat="1" ht="21" customHeight="1" x14ac:dyDescent="0.35">
      <c r="B47" s="71" t="s">
        <v>78</v>
      </c>
      <c r="C47" s="108" t="s">
        <v>126</v>
      </c>
      <c r="D47" s="109"/>
      <c r="E47" s="71"/>
      <c r="F47" s="64"/>
      <c r="I47" s="64"/>
      <c r="J47" s="64"/>
      <c r="K47" s="64"/>
      <c r="L47" s="64"/>
    </row>
    <row r="48" spans="2:12" s="97" customFormat="1" ht="21" customHeight="1" x14ac:dyDescent="0.35">
      <c r="B48" s="44">
        <v>1</v>
      </c>
      <c r="C48" s="53" t="s">
        <v>708</v>
      </c>
      <c r="D48" s="48">
        <f>D13*D7</f>
        <v>0</v>
      </c>
      <c r="E48" s="44" t="s">
        <v>138</v>
      </c>
    </row>
    <row r="49" spans="2:11" s="97" customFormat="1" ht="21" customHeight="1" x14ac:dyDescent="0.35">
      <c r="B49" s="44">
        <v>2</v>
      </c>
      <c r="C49" s="53" t="s">
        <v>331</v>
      </c>
      <c r="D49" s="48">
        <f>(D16*D7)</f>
        <v>13200000</v>
      </c>
      <c r="E49" s="44" t="s">
        <v>138</v>
      </c>
    </row>
    <row r="50" spans="2:11" s="97" customFormat="1" ht="21" customHeight="1" x14ac:dyDescent="0.35">
      <c r="B50" s="44">
        <v>3</v>
      </c>
      <c r="C50" s="53" t="s">
        <v>332</v>
      </c>
      <c r="D50" s="48">
        <f>D7*D22</f>
        <v>13200000</v>
      </c>
      <c r="E50" s="44" t="s">
        <v>363</v>
      </c>
    </row>
    <row r="51" spans="2:11" s="97" customFormat="1" ht="21" customHeight="1" x14ac:dyDescent="0.35">
      <c r="B51" s="44">
        <v>4</v>
      </c>
      <c r="C51" s="53" t="s">
        <v>333</v>
      </c>
      <c r="D51" s="48">
        <f>(D38*D7)</f>
        <v>0</v>
      </c>
      <c r="E51" s="44" t="s">
        <v>264</v>
      </c>
    </row>
    <row r="52" spans="2:11" s="97" customFormat="1" ht="21" customHeight="1" x14ac:dyDescent="0.35">
      <c r="B52" s="71" t="s">
        <v>79</v>
      </c>
      <c r="C52" s="108" t="s">
        <v>127</v>
      </c>
      <c r="D52" s="109"/>
      <c r="E52" s="73"/>
      <c r="F52" s="64"/>
      <c r="I52" s="64"/>
      <c r="J52" s="64"/>
    </row>
    <row r="53" spans="2:11" s="97" customFormat="1" ht="21" customHeight="1" x14ac:dyDescent="0.35">
      <c r="B53" s="44">
        <v>1</v>
      </c>
      <c r="C53" s="53" t="s">
        <v>328</v>
      </c>
      <c r="D53" s="48">
        <f>(D10*D7)/1000</f>
        <v>18857.142857142859</v>
      </c>
      <c r="E53" s="44" t="s">
        <v>142</v>
      </c>
    </row>
    <row r="54" spans="2:11" s="97" customFormat="1" ht="21" customHeight="1" x14ac:dyDescent="0.35">
      <c r="B54" s="44">
        <v>2</v>
      </c>
      <c r="C54" s="53" t="s">
        <v>499</v>
      </c>
      <c r="D54" s="48">
        <f>(D11*D7)/1000</f>
        <v>0</v>
      </c>
      <c r="E54" s="44" t="s">
        <v>142</v>
      </c>
      <c r="F54" s="97">
        <v>800</v>
      </c>
      <c r="G54" s="180">
        <f>F54*F55</f>
        <v>596.79999999999995</v>
      </c>
      <c r="H54" s="97">
        <v>600</v>
      </c>
      <c r="I54" s="180">
        <f>H54/F55</f>
        <v>804.28954423592495</v>
      </c>
    </row>
    <row r="55" spans="2:11" s="97" customFormat="1" ht="21" customHeight="1" x14ac:dyDescent="0.35">
      <c r="B55" s="44">
        <v>3</v>
      </c>
      <c r="C55" s="53" t="s">
        <v>362</v>
      </c>
      <c r="D55" s="48">
        <f>D46*20*330</f>
        <v>1254000</v>
      </c>
      <c r="E55" s="44" t="s">
        <v>360</v>
      </c>
      <c r="F55" s="97">
        <v>0.746</v>
      </c>
    </row>
    <row r="56" spans="2:11" s="97" customFormat="1" ht="21" customHeight="1" x14ac:dyDescent="0.35">
      <c r="B56" s="44">
        <v>4</v>
      </c>
      <c r="C56" s="53" t="s">
        <v>327</v>
      </c>
      <c r="D56" s="48">
        <f>(D30*D7)/1000</f>
        <v>3300</v>
      </c>
      <c r="E56" s="44" t="s">
        <v>152</v>
      </c>
    </row>
    <row r="57" spans="2:11" s="97" customFormat="1" ht="21" customHeight="1" x14ac:dyDescent="0.35">
      <c r="B57" s="71" t="s">
        <v>80</v>
      </c>
      <c r="C57" s="108" t="s">
        <v>128</v>
      </c>
      <c r="D57" s="109"/>
      <c r="E57" s="71"/>
      <c r="F57" s="64"/>
      <c r="G57" s="64"/>
      <c r="H57" s="64"/>
      <c r="I57" s="64"/>
      <c r="J57" s="64"/>
      <c r="K57" s="64"/>
    </row>
    <row r="58" spans="2:11" s="97" customFormat="1" ht="21" customHeight="1" x14ac:dyDescent="0.35">
      <c r="B58" s="44">
        <v>1</v>
      </c>
      <c r="C58" s="53" t="s">
        <v>132</v>
      </c>
      <c r="D58" s="48">
        <v>11950</v>
      </c>
      <c r="E58" s="44" t="s">
        <v>153</v>
      </c>
    </row>
    <row r="59" spans="2:11" s="97" customFormat="1" ht="21" customHeight="1" x14ac:dyDescent="0.35">
      <c r="B59" s="44">
        <v>2</v>
      </c>
      <c r="C59" s="53" t="s">
        <v>133</v>
      </c>
      <c r="D59" s="48">
        <v>12870</v>
      </c>
      <c r="E59" s="44" t="s">
        <v>153</v>
      </c>
    </row>
    <row r="60" spans="2:11" s="97" customFormat="1" ht="21" customHeight="1" x14ac:dyDescent="0.35">
      <c r="B60" s="44">
        <v>3</v>
      </c>
      <c r="C60" s="53" t="s">
        <v>181</v>
      </c>
      <c r="D60" s="48" t="s">
        <v>155</v>
      </c>
      <c r="E60" s="44" t="s">
        <v>154</v>
      </c>
    </row>
    <row r="61" spans="2:11" s="97" customFormat="1" ht="21" customHeight="1" x14ac:dyDescent="0.35">
      <c r="B61" s="44">
        <v>4</v>
      </c>
      <c r="C61" s="53" t="s">
        <v>486</v>
      </c>
      <c r="D61" s="63">
        <v>102</v>
      </c>
      <c r="E61" s="44" t="s">
        <v>145</v>
      </c>
    </row>
    <row r="62" spans="2:11" s="97" customFormat="1" ht="21" customHeight="1" x14ac:dyDescent="0.35">
      <c r="B62" s="44">
        <v>5</v>
      </c>
      <c r="C62" s="53" t="s">
        <v>709</v>
      </c>
      <c r="D62" s="63">
        <v>9</v>
      </c>
      <c r="E62" s="44" t="s">
        <v>145</v>
      </c>
    </row>
    <row r="63" spans="2:11" s="97" customFormat="1" ht="21" customHeight="1" x14ac:dyDescent="0.35">
      <c r="B63" s="44">
        <v>6</v>
      </c>
      <c r="C63" s="53" t="s">
        <v>134</v>
      </c>
      <c r="D63" s="63">
        <v>9</v>
      </c>
      <c r="E63" s="44" t="s">
        <v>145</v>
      </c>
    </row>
    <row r="64" spans="2:11" s="97" customFormat="1" ht="21" customHeight="1" x14ac:dyDescent="0.35">
      <c r="B64" s="44">
        <v>7</v>
      </c>
      <c r="C64" s="53" t="s">
        <v>135</v>
      </c>
      <c r="D64" s="63">
        <v>0</v>
      </c>
      <c r="E64" s="44" t="s">
        <v>156</v>
      </c>
    </row>
    <row r="65" spans="2:12" s="97" customFormat="1" ht="21" customHeight="1" x14ac:dyDescent="0.35">
      <c r="B65" s="991"/>
      <c r="C65" s="991"/>
      <c r="D65" s="991"/>
      <c r="E65" s="991"/>
      <c r="F65" s="991"/>
    </row>
    <row r="66" spans="2:12" s="53" customFormat="1" ht="21" customHeight="1" x14ac:dyDescent="0.35">
      <c r="B66" s="46"/>
      <c r="C66" s="46"/>
      <c r="D66" s="46"/>
      <c r="E66" s="46"/>
      <c r="F66" s="46"/>
      <c r="G66" s="58"/>
    </row>
    <row r="67" spans="2:12" s="53" customFormat="1" ht="21" customHeight="1" x14ac:dyDescent="0.35">
      <c r="B67" s="47"/>
      <c r="D67" s="46"/>
      <c r="E67" s="46"/>
      <c r="F67" s="46"/>
      <c r="G67" s="58"/>
    </row>
    <row r="68" spans="2:12" s="97" customFormat="1" ht="21" customHeight="1" x14ac:dyDescent="0.35">
      <c r="B68" s="44"/>
      <c r="C68" s="53"/>
      <c r="D68" s="48"/>
      <c r="E68" s="44"/>
    </row>
    <row r="69" spans="2:12" s="97" customFormat="1" ht="21" customHeight="1" x14ac:dyDescent="0.35">
      <c r="B69" s="44"/>
      <c r="C69" s="53"/>
      <c r="D69" s="48"/>
      <c r="E69" s="44"/>
    </row>
    <row r="70" spans="2:12" s="97" customFormat="1" ht="21" customHeight="1" x14ac:dyDescent="0.35">
      <c r="B70" s="44"/>
      <c r="C70" s="53"/>
      <c r="D70" s="48"/>
      <c r="E70" s="44"/>
    </row>
    <row r="71" spans="2:12" s="97" customFormat="1" ht="21" customHeight="1" x14ac:dyDescent="0.35">
      <c r="B71" s="44"/>
      <c r="C71" s="53"/>
      <c r="D71" s="48"/>
      <c r="E71" s="44"/>
    </row>
    <row r="72" spans="2:12" s="97" customFormat="1" ht="21" customHeight="1" x14ac:dyDescent="0.35">
      <c r="B72" s="44"/>
      <c r="C72" s="53"/>
      <c r="D72" s="48"/>
      <c r="E72" s="44"/>
    </row>
    <row r="73" spans="2:12" s="97" customFormat="1" ht="21" customHeight="1" x14ac:dyDescent="0.35">
      <c r="B73" s="44"/>
      <c r="C73" s="53"/>
      <c r="D73" s="48"/>
      <c r="E73" s="44"/>
    </row>
    <row r="74" spans="2:12" s="97" customFormat="1" ht="21" customHeight="1" x14ac:dyDescent="0.35">
      <c r="B74" s="44"/>
      <c r="C74" s="53"/>
      <c r="D74" s="48"/>
      <c r="E74" s="44"/>
    </row>
    <row r="75" spans="2:12" s="97" customFormat="1" ht="21" customHeight="1" x14ac:dyDescent="0.35">
      <c r="B75" s="44"/>
      <c r="C75" s="53"/>
      <c r="D75" s="48"/>
      <c r="E75" s="44"/>
    </row>
    <row r="76" spans="2:12" s="97" customFormat="1" ht="22.5" customHeight="1" x14ac:dyDescent="0.35">
      <c r="B76" s="47"/>
      <c r="C76" s="992"/>
      <c r="D76" s="991"/>
      <c r="E76" s="47"/>
      <c r="F76" s="64"/>
      <c r="G76" s="64"/>
      <c r="H76" s="64"/>
      <c r="I76" s="64"/>
      <c r="J76" s="64"/>
      <c r="K76" s="64"/>
      <c r="L76" s="64"/>
    </row>
    <row r="77" spans="2:12" s="97" customFormat="1" ht="21" customHeight="1" x14ac:dyDescent="0.35">
      <c r="B77" s="44"/>
      <c r="C77" s="53"/>
      <c r="D77" s="48"/>
      <c r="E77" s="44"/>
    </row>
    <row r="78" spans="2:12" s="97" customFormat="1" ht="21" customHeight="1" x14ac:dyDescent="0.35">
      <c r="B78" s="44"/>
      <c r="C78" s="53"/>
      <c r="D78" s="48"/>
      <c r="E78" s="44"/>
    </row>
    <row r="79" spans="2:12" s="97" customFormat="1" ht="21" customHeight="1" x14ac:dyDescent="0.35">
      <c r="B79" s="44"/>
      <c r="C79" s="53"/>
      <c r="D79" s="48"/>
      <c r="E79" s="44"/>
    </row>
    <row r="80" spans="2:12" s="97" customFormat="1" ht="21" customHeight="1" x14ac:dyDescent="0.35">
      <c r="B80" s="44"/>
      <c r="C80" s="53"/>
      <c r="D80" s="48"/>
      <c r="E80" s="44"/>
    </row>
    <row r="81" spans="2:5" s="97" customFormat="1" ht="21" customHeight="1" x14ac:dyDescent="0.35">
      <c r="B81" s="44"/>
      <c r="C81" s="53"/>
      <c r="D81" s="48"/>
      <c r="E81" s="44"/>
    </row>
    <row r="82" spans="2:5" s="97" customFormat="1" ht="21" customHeight="1" x14ac:dyDescent="0.35">
      <c r="B82" s="44"/>
      <c r="C82" s="53"/>
      <c r="D82" s="48"/>
      <c r="E82" s="44"/>
    </row>
    <row r="83" spans="2:5" s="97" customFormat="1" ht="21" customHeight="1" x14ac:dyDescent="0.35">
      <c r="B83" s="44"/>
      <c r="C83" s="53"/>
      <c r="D83" s="48"/>
      <c r="E83" s="44"/>
    </row>
    <row r="84" spans="2:5" s="97" customFormat="1" ht="21" customHeight="1" x14ac:dyDescent="0.35">
      <c r="B84" s="44"/>
      <c r="C84" s="53"/>
      <c r="D84" s="48"/>
      <c r="E84" s="44"/>
    </row>
    <row r="85" spans="2:5" s="97" customFormat="1" ht="21" customHeight="1" x14ac:dyDescent="0.35">
      <c r="B85" s="44"/>
      <c r="C85" s="53"/>
      <c r="D85" s="48"/>
      <c r="E85" s="44"/>
    </row>
    <row r="86" spans="2:5" s="97" customFormat="1" ht="21" customHeight="1" x14ac:dyDescent="0.35">
      <c r="B86" s="44"/>
      <c r="C86" s="53"/>
      <c r="D86" s="48"/>
      <c r="E86" s="44"/>
    </row>
  </sheetData>
  <customSheetViews>
    <customSheetView guid="{22475485-DA09-46DB-978D-BB94CE1E5597}" topLeftCell="A13">
      <selection activeCell="A28" sqref="A28"/>
      <pageMargins left="0.7" right="0.7" top="0.75" bottom="0.75" header="0.3" footer="0.3"/>
      <pageSetup paperSize="9" orientation="portrait" verticalDpi="300" r:id="rId1"/>
    </customSheetView>
  </customSheetViews>
  <mergeCells count="4">
    <mergeCell ref="B2:E2"/>
    <mergeCell ref="B31:F31"/>
    <mergeCell ref="B65:F65"/>
    <mergeCell ref="C76:D76"/>
  </mergeCells>
  <pageMargins left="0.7" right="0.7" top="0.75" bottom="0.75" header="0.3" footer="0.3"/>
  <pageSetup paperSize="9" orientation="portrait"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B2:M31"/>
  <sheetViews>
    <sheetView showGridLines="0" topLeftCell="A26" workbookViewId="0">
      <selection activeCell="C31" sqref="C31"/>
    </sheetView>
  </sheetViews>
  <sheetFormatPr defaultColWidth="13" defaultRowHeight="14.5" x14ac:dyDescent="0.35"/>
  <cols>
    <col min="1" max="1" width="4.54296875" style="96" customWidth="1"/>
    <col min="2" max="2" width="8.453125" style="47" customWidth="1"/>
    <col min="3" max="3" width="48.453125" style="96" customWidth="1"/>
    <col min="4" max="4" width="19.7265625" style="378" customWidth="1"/>
    <col min="5" max="5" width="18.54296875" style="44" customWidth="1"/>
    <col min="6" max="7" width="21" style="44" customWidth="1"/>
    <col min="8" max="8" width="29.453125" style="96" bestFit="1" customWidth="1"/>
    <col min="9" max="9" width="16.54296875" style="96" bestFit="1" customWidth="1"/>
    <col min="10" max="10" width="11.453125" style="96" bestFit="1" customWidth="1"/>
    <col min="11" max="11" width="10.54296875" style="96" bestFit="1" customWidth="1"/>
    <col min="12" max="12" width="7.54296875" style="96" bestFit="1" customWidth="1"/>
    <col min="13" max="13" width="60.1796875" style="101" bestFit="1" customWidth="1"/>
    <col min="14" max="16384" width="13" style="96"/>
  </cols>
  <sheetData>
    <row r="2" spans="2:13" x14ac:dyDescent="0.35">
      <c r="B2" s="106" t="s">
        <v>837</v>
      </c>
      <c r="D2" s="378">
        <v>16800</v>
      </c>
      <c r="E2" s="44" t="s">
        <v>838</v>
      </c>
      <c r="F2" s="379"/>
    </row>
    <row r="3" spans="2:13" x14ac:dyDescent="0.35">
      <c r="B3" s="106" t="s">
        <v>839</v>
      </c>
      <c r="D3" s="380">
        <v>45597</v>
      </c>
      <c r="E3" s="381"/>
      <c r="F3" s="379"/>
    </row>
    <row r="4" spans="2:13" x14ac:dyDescent="0.35">
      <c r="F4" s="235">
        <v>0</v>
      </c>
    </row>
    <row r="5" spans="2:13" ht="19.5" customHeight="1" x14ac:dyDescent="0.35">
      <c r="B5" s="93"/>
      <c r="C5" s="995" t="s">
        <v>840</v>
      </c>
      <c r="D5" s="995"/>
      <c r="E5" s="995"/>
      <c r="F5" s="996"/>
      <c r="G5" s="996"/>
    </row>
    <row r="6" spans="2:13" s="46" customFormat="1" ht="30" customHeight="1" x14ac:dyDescent="0.35">
      <c r="B6" s="72"/>
      <c r="C6" s="72" t="s">
        <v>841</v>
      </c>
      <c r="D6" s="72" t="s">
        <v>4</v>
      </c>
      <c r="E6" s="72" t="s">
        <v>842</v>
      </c>
      <c r="F6" s="72" t="s">
        <v>843</v>
      </c>
      <c r="G6" s="72" t="s">
        <v>844</v>
      </c>
      <c r="H6" s="382"/>
      <c r="M6" s="383" t="s">
        <v>845</v>
      </c>
    </row>
    <row r="7" spans="2:13" s="97" customFormat="1" ht="21" customHeight="1" x14ac:dyDescent="0.35">
      <c r="B7" s="47"/>
      <c r="C7" s="962" t="s">
        <v>846</v>
      </c>
      <c r="D7" s="970"/>
      <c r="E7" s="970"/>
      <c r="F7" s="970"/>
      <c r="G7" s="970"/>
      <c r="H7" s="97" t="s">
        <v>847</v>
      </c>
      <c r="M7" s="53"/>
    </row>
    <row r="8" spans="2:13" s="97" customFormat="1" ht="30" customHeight="1" x14ac:dyDescent="0.35">
      <c r="B8" s="47" t="s">
        <v>72</v>
      </c>
      <c r="C8" s="53" t="s">
        <v>848</v>
      </c>
      <c r="D8" s="384">
        <v>112000</v>
      </c>
      <c r="E8" s="58" t="s">
        <v>159</v>
      </c>
      <c r="F8" s="48">
        <f>D2*(1-F4)</f>
        <v>16800</v>
      </c>
      <c r="G8" s="48">
        <f>(F8*D8)</f>
        <v>1881600000</v>
      </c>
      <c r="H8" s="97" t="s">
        <v>849</v>
      </c>
      <c r="M8" s="53"/>
    </row>
    <row r="9" spans="2:13" s="97" customFormat="1" x14ac:dyDescent="0.35">
      <c r="B9" s="47" t="s">
        <v>73</v>
      </c>
      <c r="C9" s="53"/>
      <c r="D9" s="385"/>
      <c r="E9" s="58"/>
      <c r="F9" s="48"/>
      <c r="G9" s="48"/>
      <c r="I9" s="346" t="s">
        <v>850</v>
      </c>
      <c r="J9" s="386">
        <v>0.36</v>
      </c>
      <c r="K9" s="346">
        <v>10</v>
      </c>
      <c r="L9" s="346">
        <f>J9*K9</f>
        <v>3.5999999999999996</v>
      </c>
      <c r="M9" s="387" t="s">
        <v>851</v>
      </c>
    </row>
    <row r="10" spans="2:13" s="64" customFormat="1" ht="58" x14ac:dyDescent="0.35">
      <c r="B10" s="74"/>
      <c r="C10" s="388" t="s">
        <v>63</v>
      </c>
      <c r="D10" s="80"/>
      <c r="E10" s="80"/>
      <c r="F10" s="81">
        <f>SUM(F8:F9)</f>
        <v>16800</v>
      </c>
      <c r="G10" s="81">
        <f>SUM(G8:G9)</f>
        <v>1881600000</v>
      </c>
      <c r="H10" s="97"/>
      <c r="I10" s="346" t="s">
        <v>852</v>
      </c>
      <c r="J10" s="386">
        <v>0.33</v>
      </c>
      <c r="K10" s="346">
        <v>80</v>
      </c>
      <c r="L10" s="346">
        <f t="shared" ref="L10:L13" si="0">J10*K10</f>
        <v>26.400000000000002</v>
      </c>
      <c r="M10" s="387" t="s">
        <v>853</v>
      </c>
    </row>
    <row r="11" spans="2:13" s="64" customFormat="1" x14ac:dyDescent="0.35">
      <c r="B11" s="47"/>
      <c r="C11" s="107"/>
      <c r="D11" s="46"/>
      <c r="E11" s="46"/>
      <c r="F11" s="52"/>
      <c r="G11" s="52"/>
      <c r="H11" s="97"/>
      <c r="I11" s="346" t="s">
        <v>854</v>
      </c>
      <c r="J11" s="386">
        <v>0.18</v>
      </c>
      <c r="K11" s="346">
        <v>200</v>
      </c>
      <c r="L11" s="346">
        <f t="shared" si="0"/>
        <v>36</v>
      </c>
      <c r="M11" s="387" t="s">
        <v>855</v>
      </c>
    </row>
    <row r="12" spans="2:13" s="97" customFormat="1" x14ac:dyDescent="0.35">
      <c r="B12" s="47"/>
      <c r="C12" s="962" t="s">
        <v>856</v>
      </c>
      <c r="D12" s="970"/>
      <c r="E12" s="970"/>
      <c r="F12" s="970"/>
      <c r="G12" s="970"/>
      <c r="I12" s="346" t="s">
        <v>857</v>
      </c>
      <c r="J12" s="386">
        <v>0.09</v>
      </c>
      <c r="K12" s="346">
        <v>130</v>
      </c>
      <c r="L12" s="346">
        <f t="shared" si="0"/>
        <v>11.7</v>
      </c>
      <c r="M12" s="387" t="s">
        <v>858</v>
      </c>
    </row>
    <row r="13" spans="2:13" s="97" customFormat="1" x14ac:dyDescent="0.35">
      <c r="B13" s="47"/>
      <c r="C13" s="962" t="s">
        <v>859</v>
      </c>
      <c r="D13" s="997"/>
      <c r="E13" s="997"/>
      <c r="F13" s="997"/>
      <c r="G13" s="997"/>
      <c r="I13" s="346" t="s">
        <v>860</v>
      </c>
      <c r="J13" s="386">
        <v>0.04</v>
      </c>
      <c r="K13" s="346">
        <v>95</v>
      </c>
      <c r="L13" s="346">
        <f t="shared" si="0"/>
        <v>3.8000000000000003</v>
      </c>
      <c r="M13" s="387" t="s">
        <v>861</v>
      </c>
    </row>
    <row r="14" spans="2:13" s="97" customFormat="1" x14ac:dyDescent="0.35">
      <c r="B14" s="71">
        <v>1</v>
      </c>
      <c r="C14" s="993" t="s">
        <v>862</v>
      </c>
      <c r="D14" s="998"/>
      <c r="E14" s="998"/>
      <c r="F14" s="998"/>
      <c r="G14" s="998"/>
      <c r="H14" s="389"/>
      <c r="I14" s="390"/>
      <c r="J14" s="391">
        <f>SUM(J9:J13)</f>
        <v>0.99999999999999989</v>
      </c>
      <c r="K14" s="392"/>
      <c r="L14" s="392">
        <f>SUM(L9:L13)</f>
        <v>81.5</v>
      </c>
      <c r="M14" s="393"/>
    </row>
    <row r="15" spans="2:13" s="97" customFormat="1" x14ac:dyDescent="0.35">
      <c r="B15" s="47" t="s">
        <v>72</v>
      </c>
      <c r="C15" s="394" t="s">
        <v>863</v>
      </c>
      <c r="D15" s="395">
        <v>58000</v>
      </c>
      <c r="E15" s="58" t="s">
        <v>159</v>
      </c>
      <c r="F15" s="48">
        <f>$F$10</f>
        <v>16800</v>
      </c>
      <c r="G15" s="48">
        <f>(F15*D15)</f>
        <v>974400000</v>
      </c>
      <c r="H15" s="205" t="s">
        <v>864</v>
      </c>
      <c r="I15" s="396"/>
      <c r="M15" s="53"/>
    </row>
    <row r="16" spans="2:13" s="97" customFormat="1" x14ac:dyDescent="0.35">
      <c r="B16" s="47" t="s">
        <v>73</v>
      </c>
      <c r="C16" s="53" t="s">
        <v>865</v>
      </c>
      <c r="D16" s="395">
        <v>23200</v>
      </c>
      <c r="E16" s="58" t="s">
        <v>159</v>
      </c>
      <c r="F16" s="48">
        <f>$F$10</f>
        <v>16800</v>
      </c>
      <c r="G16" s="48">
        <f>(F16*D16)</f>
        <v>389760000</v>
      </c>
      <c r="H16" s="205" t="s">
        <v>866</v>
      </c>
      <c r="I16" s="396"/>
      <c r="M16" s="53"/>
    </row>
    <row r="17" spans="2:13" s="97" customFormat="1" x14ac:dyDescent="0.35">
      <c r="B17" s="47"/>
      <c r="C17" s="53"/>
      <c r="D17" s="58"/>
      <c r="E17" s="58"/>
      <c r="F17" s="48"/>
      <c r="G17" s="48"/>
      <c r="H17" s="205"/>
      <c r="I17" s="396"/>
      <c r="M17" s="53"/>
    </row>
    <row r="18" spans="2:13" s="64" customFormat="1" ht="21" customHeight="1" x14ac:dyDescent="0.35">
      <c r="B18" s="74"/>
      <c r="C18" s="80" t="s">
        <v>39</v>
      </c>
      <c r="D18" s="397">
        <f>SUM(D15:D17)</f>
        <v>81200</v>
      </c>
      <c r="E18" s="80"/>
      <c r="F18" s="81">
        <f>SUM(F15:F17)</f>
        <v>33600</v>
      </c>
      <c r="G18" s="81">
        <f>SUM(G15:G17)</f>
        <v>1364160000</v>
      </c>
      <c r="I18" s="97"/>
      <c r="M18" s="107"/>
    </row>
    <row r="19" spans="2:13" s="97" customFormat="1" ht="21" customHeight="1" x14ac:dyDescent="0.35">
      <c r="B19" s="71">
        <v>2</v>
      </c>
      <c r="C19" s="993" t="s">
        <v>867</v>
      </c>
      <c r="D19" s="994"/>
      <c r="E19" s="994"/>
      <c r="F19" s="994"/>
      <c r="G19" s="994"/>
      <c r="H19" s="64"/>
      <c r="M19" s="53"/>
    </row>
    <row r="20" spans="2:13" s="97" customFormat="1" ht="21" customHeight="1" x14ac:dyDescent="0.35">
      <c r="B20" s="47" t="s">
        <v>72</v>
      </c>
      <c r="C20" s="53" t="s">
        <v>868</v>
      </c>
      <c r="D20" s="58">
        <v>7.5</v>
      </c>
      <c r="E20" s="58" t="s">
        <v>869</v>
      </c>
      <c r="F20" s="48">
        <f>1200*24*300</f>
        <v>8640000</v>
      </c>
      <c r="G20" s="398">
        <f>D20*F20</f>
        <v>64800000</v>
      </c>
      <c r="H20" s="205" t="s">
        <v>870</v>
      </c>
      <c r="M20" s="53"/>
    </row>
    <row r="21" spans="2:13" s="97" customFormat="1" ht="21" customHeight="1" x14ac:dyDescent="0.35">
      <c r="B21" s="47" t="s">
        <v>73</v>
      </c>
      <c r="C21" s="53" t="s">
        <v>871</v>
      </c>
      <c r="D21" s="395">
        <v>3000</v>
      </c>
      <c r="E21" s="58" t="s">
        <v>159</v>
      </c>
      <c r="F21" s="48">
        <f>12*300</f>
        <v>3600</v>
      </c>
      <c r="G21" s="398">
        <f>D21*F21</f>
        <v>10800000</v>
      </c>
      <c r="H21" s="205" t="s">
        <v>872</v>
      </c>
      <c r="M21" s="53"/>
    </row>
    <row r="22" spans="2:13" s="97" customFormat="1" ht="21" customHeight="1" x14ac:dyDescent="0.35">
      <c r="B22" s="47" t="s">
        <v>74</v>
      </c>
      <c r="C22" s="53" t="s">
        <v>873</v>
      </c>
      <c r="D22" s="58">
        <v>5.5</v>
      </c>
      <c r="E22" s="58" t="s">
        <v>145</v>
      </c>
      <c r="F22" s="48">
        <f>F10*1000</f>
        <v>16800000</v>
      </c>
      <c r="G22" s="398">
        <f>D22*F22</f>
        <v>92400000</v>
      </c>
      <c r="H22" s="205" t="s">
        <v>874</v>
      </c>
      <c r="M22" s="53"/>
    </row>
    <row r="23" spans="2:13" s="97" customFormat="1" ht="21" customHeight="1" x14ac:dyDescent="0.35">
      <c r="B23" s="47" t="s">
        <v>81</v>
      </c>
      <c r="C23" s="53" t="s">
        <v>875</v>
      </c>
      <c r="D23" s="395">
        <v>18000000</v>
      </c>
      <c r="E23" s="58" t="s">
        <v>876</v>
      </c>
      <c r="F23" s="48">
        <v>1</v>
      </c>
      <c r="G23" s="48">
        <f>(F23*D23)</f>
        <v>18000000</v>
      </c>
      <c r="H23" s="205" t="s">
        <v>877</v>
      </c>
      <c r="M23" s="53"/>
    </row>
    <row r="24" spans="2:13" s="97" customFormat="1" ht="21" customHeight="1" x14ac:dyDescent="0.35">
      <c r="B24" s="47" t="s">
        <v>82</v>
      </c>
      <c r="C24" s="53" t="s">
        <v>878</v>
      </c>
      <c r="D24" s="399">
        <v>1200000</v>
      </c>
      <c r="E24" s="58" t="s">
        <v>876</v>
      </c>
      <c r="F24" s="48">
        <v>1</v>
      </c>
      <c r="G24" s="48">
        <f>(F24*D24)</f>
        <v>1200000</v>
      </c>
      <c r="H24" s="205" t="s">
        <v>879</v>
      </c>
      <c r="M24" s="53"/>
    </row>
    <row r="25" spans="2:13" s="97" customFormat="1" ht="21" customHeight="1" x14ac:dyDescent="0.35">
      <c r="B25" s="74"/>
      <c r="C25" s="80" t="s">
        <v>39</v>
      </c>
      <c r="D25" s="80"/>
      <c r="E25" s="80"/>
      <c r="F25" s="85"/>
      <c r="G25" s="81">
        <f>SUM(G20:G24)</f>
        <v>187200000</v>
      </c>
      <c r="M25" s="53"/>
    </row>
    <row r="26" spans="2:13" s="46" customFormat="1" ht="19.5" customHeight="1" x14ac:dyDescent="0.35">
      <c r="B26" s="94"/>
      <c r="C26" s="94" t="s">
        <v>841</v>
      </c>
      <c r="D26" s="94" t="s">
        <v>4</v>
      </c>
      <c r="E26" s="94" t="s">
        <v>842</v>
      </c>
      <c r="F26" s="94" t="s">
        <v>880</v>
      </c>
      <c r="G26" s="94" t="s">
        <v>844</v>
      </c>
      <c r="H26" s="97"/>
      <c r="I26" s="97"/>
    </row>
    <row r="27" spans="2:13" s="97" customFormat="1" ht="21" customHeight="1" x14ac:dyDescent="0.35">
      <c r="B27" s="47"/>
      <c r="C27" s="962" t="s">
        <v>881</v>
      </c>
      <c r="D27" s="962"/>
      <c r="E27" s="962"/>
      <c r="F27" s="962"/>
      <c r="G27" s="962"/>
      <c r="M27" s="53"/>
    </row>
    <row r="28" spans="2:13" s="97" customFormat="1" ht="21" customHeight="1" x14ac:dyDescent="0.35">
      <c r="B28" s="71">
        <v>3</v>
      </c>
      <c r="C28" s="108" t="s">
        <v>882</v>
      </c>
      <c r="D28" s="400"/>
      <c r="E28" s="400"/>
      <c r="F28" s="400"/>
      <c r="G28" s="400"/>
      <c r="M28" s="53"/>
    </row>
    <row r="29" spans="2:13" s="97" customFormat="1" ht="21" customHeight="1" x14ac:dyDescent="0.35">
      <c r="B29" s="47" t="s">
        <v>81</v>
      </c>
      <c r="C29" s="53" t="s">
        <v>883</v>
      </c>
      <c r="D29" s="395">
        <f>5000000*12</f>
        <v>60000000</v>
      </c>
      <c r="E29" s="58" t="s">
        <v>876</v>
      </c>
      <c r="F29" s="48">
        <v>1</v>
      </c>
      <c r="G29" s="48">
        <f t="shared" ref="G29:G30" si="1">(F29*D29)</f>
        <v>60000000</v>
      </c>
      <c r="H29" s="205" t="s">
        <v>884</v>
      </c>
      <c r="M29" s="53"/>
    </row>
    <row r="30" spans="2:13" x14ac:dyDescent="0.35">
      <c r="B30" s="401" t="s">
        <v>82</v>
      </c>
      <c r="C30" s="402" t="s">
        <v>885</v>
      </c>
      <c r="D30" s="399">
        <f>G10</f>
        <v>1881600000</v>
      </c>
      <c r="E30" s="403" t="s">
        <v>886</v>
      </c>
      <c r="F30" s="404">
        <v>0.04</v>
      </c>
      <c r="G30" s="405">
        <f t="shared" si="1"/>
        <v>75264000</v>
      </c>
      <c r="H30" s="205" t="s">
        <v>887</v>
      </c>
    </row>
    <row r="31" spans="2:13" x14ac:dyDescent="0.35">
      <c r="G31" s="52">
        <f>SUM(G29:G30)</f>
        <v>135264000</v>
      </c>
    </row>
  </sheetData>
  <customSheetViews>
    <customSheetView guid="{22475485-DA09-46DB-978D-BB94CE1E5597}">
      <selection activeCell="C4" sqref="C4"/>
      <pageMargins left="0.7" right="0.7" top="0.75" bottom="0.75" header="0.3" footer="0.3"/>
      <pageSetup paperSize="9" orientation="landscape" r:id="rId1"/>
    </customSheetView>
  </customSheetViews>
  <mergeCells count="7">
    <mergeCell ref="C19:G19"/>
    <mergeCell ref="C27:G27"/>
    <mergeCell ref="C5:G5"/>
    <mergeCell ref="C7:G7"/>
    <mergeCell ref="C12:G12"/>
    <mergeCell ref="C13:G13"/>
    <mergeCell ref="C14:G14"/>
  </mergeCells>
  <dataValidations count="1">
    <dataValidation type="list" allowBlank="1" showInputMessage="1" showErrorMessage="1" sqref="F4" xr:uid="{85EEEC26-887F-4C0A-A070-64E55F281E45}">
      <formula1>"0%,10%,5%"</formula1>
    </dataValidation>
  </dataValidations>
  <hyperlinks>
    <hyperlink ref="M13" r:id="rId2" xr:uid="{9A16CF4D-7634-40B2-BC5C-CAD206C71E6F}"/>
    <hyperlink ref="M12" r:id="rId3" xr:uid="{1F4F6341-A7AB-4A10-8B07-AA0EDE2A0A0E}"/>
    <hyperlink ref="M11" r:id="rId4" xr:uid="{2AB1FAE3-83AA-416B-8F4E-55878E46F6A5}"/>
    <hyperlink ref="M10" r:id="rId5" location=":~:text=What%20is%20the%20cost%20of%20PVC%20resins%3F&amp;text=The%20price%20of%20PVC%20resins,of%20the%20product." xr:uid="{33ADEB47-37D2-4091-8A5F-3927480F8BFB}"/>
    <hyperlink ref="M9" r:id="rId6" xr:uid="{16A94976-779F-45BD-8EE3-77C5897FC28A}"/>
    <hyperlink ref="M6" r:id="rId7" xr:uid="{DDB6188E-0961-4433-9638-7AD5BDC87918}"/>
  </hyperlinks>
  <pageMargins left="0.7" right="0.7" top="0.75" bottom="0.75" header="0.3" footer="0.3"/>
  <pageSetup paperSize="9" orientation="landscape"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145"/>
  <sheetViews>
    <sheetView topLeftCell="A124" workbookViewId="0">
      <selection activeCell="C140" sqref="C140"/>
    </sheetView>
  </sheetViews>
  <sheetFormatPr defaultRowHeight="14.5" x14ac:dyDescent="0.35"/>
  <cols>
    <col min="1" max="1" width="5.1796875" customWidth="1"/>
    <col min="2" max="2" width="7.453125" customWidth="1"/>
    <col min="3" max="3" width="25.81640625" customWidth="1"/>
    <col min="4" max="4" width="10" bestFit="1" customWidth="1"/>
    <col min="6" max="6" width="11.26953125" customWidth="1"/>
    <col min="15" max="15" width="16.81640625" bestFit="1" customWidth="1"/>
    <col min="17" max="17" width="14.26953125" bestFit="1" customWidth="1"/>
  </cols>
  <sheetData>
    <row r="2" spans="2:17" x14ac:dyDescent="0.35">
      <c r="B2" t="s">
        <v>615</v>
      </c>
    </row>
    <row r="4" spans="2:17" x14ac:dyDescent="0.35">
      <c r="B4" t="s">
        <v>616</v>
      </c>
    </row>
    <row r="6" spans="2:17" ht="15" thickBot="1" x14ac:dyDescent="0.4">
      <c r="B6" t="s">
        <v>617</v>
      </c>
    </row>
    <row r="7" spans="2:17" x14ac:dyDescent="0.35">
      <c r="B7" t="s">
        <v>618</v>
      </c>
      <c r="O7" s="999" t="s">
        <v>622</v>
      </c>
      <c r="P7" s="1000"/>
      <c r="Q7" s="1001"/>
    </row>
    <row r="8" spans="2:17" x14ac:dyDescent="0.35">
      <c r="O8" s="220"/>
      <c r="Q8" s="221"/>
    </row>
    <row r="9" spans="2:17" x14ac:dyDescent="0.35">
      <c r="B9" t="s">
        <v>619</v>
      </c>
      <c r="O9" s="222">
        <f>26*10^7</f>
        <v>260000000</v>
      </c>
      <c r="P9" s="217"/>
      <c r="Q9" s="223">
        <f>O9/O10</f>
        <v>32500000</v>
      </c>
    </row>
    <row r="10" spans="2:17" x14ac:dyDescent="0.35">
      <c r="O10" s="224">
        <v>8</v>
      </c>
      <c r="P10" s="218"/>
      <c r="Q10" s="225"/>
    </row>
    <row r="11" spans="2:17" x14ac:dyDescent="0.35">
      <c r="B11" t="s">
        <v>620</v>
      </c>
      <c r="O11" s="220"/>
      <c r="Q11" s="221"/>
    </row>
    <row r="12" spans="2:17" x14ac:dyDescent="0.35">
      <c r="O12" s="226">
        <f>32*10^7</f>
        <v>320000000</v>
      </c>
      <c r="P12" s="217"/>
      <c r="Q12" s="227">
        <f>O12/O13</f>
        <v>64000000</v>
      </c>
    </row>
    <row r="13" spans="2:17" x14ac:dyDescent="0.35">
      <c r="B13" t="s">
        <v>621</v>
      </c>
      <c r="O13" s="224">
        <v>5</v>
      </c>
      <c r="P13" s="218"/>
      <c r="Q13" s="225"/>
    </row>
    <row r="14" spans="2:17" x14ac:dyDescent="0.35">
      <c r="O14" s="220"/>
      <c r="Q14" s="221"/>
    </row>
    <row r="15" spans="2:17" x14ac:dyDescent="0.35">
      <c r="B15" t="s">
        <v>635</v>
      </c>
      <c r="O15" s="226">
        <f>150*10^7</f>
        <v>1500000000</v>
      </c>
      <c r="P15" s="217"/>
      <c r="Q15" s="227">
        <f>O15/O16</f>
        <v>83333333.333333328</v>
      </c>
    </row>
    <row r="16" spans="2:17" x14ac:dyDescent="0.35">
      <c r="O16" s="224">
        <v>18</v>
      </c>
      <c r="P16" s="218"/>
      <c r="Q16" s="225"/>
    </row>
    <row r="17" spans="2:17" x14ac:dyDescent="0.35">
      <c r="B17" t="s">
        <v>636</v>
      </c>
      <c r="O17" s="220"/>
      <c r="Q17" s="221"/>
    </row>
    <row r="18" spans="2:17" x14ac:dyDescent="0.35">
      <c r="O18" s="222">
        <f>230*10^7</f>
        <v>2300000000</v>
      </c>
      <c r="P18" s="217"/>
      <c r="Q18" s="227">
        <f>O18/O19</f>
        <v>69696969.696969703</v>
      </c>
    </row>
    <row r="19" spans="2:17" ht="15" thickBot="1" x14ac:dyDescent="0.4">
      <c r="C19" t="s">
        <v>676</v>
      </c>
      <c r="O19" s="228">
        <v>33</v>
      </c>
      <c r="P19" s="229"/>
      <c r="Q19" s="230"/>
    </row>
    <row r="21" spans="2:17" x14ac:dyDescent="0.35">
      <c r="C21" t="s">
        <v>677</v>
      </c>
    </row>
    <row r="22" spans="2:17" x14ac:dyDescent="0.35">
      <c r="C22" s="219" t="s">
        <v>623</v>
      </c>
      <c r="D22" s="219"/>
      <c r="E22" s="219"/>
      <c r="F22" s="219"/>
    </row>
    <row r="23" spans="2:17" x14ac:dyDescent="0.35">
      <c r="D23" s="1002" t="s">
        <v>624</v>
      </c>
      <c r="E23" s="1002"/>
      <c r="F23" t="s">
        <v>628</v>
      </c>
    </row>
    <row r="24" spans="2:17" x14ac:dyDescent="0.35">
      <c r="C24" t="s">
        <v>626</v>
      </c>
      <c r="D24" s="233">
        <v>22267</v>
      </c>
      <c r="E24" s="232" t="s">
        <v>625</v>
      </c>
      <c r="F24" s="11">
        <v>5</v>
      </c>
      <c r="G24" t="s">
        <v>629</v>
      </c>
    </row>
    <row r="25" spans="2:17" x14ac:dyDescent="0.35">
      <c r="C25" t="s">
        <v>627</v>
      </c>
      <c r="D25" s="231">
        <v>22540</v>
      </c>
      <c r="E25" s="11" t="s">
        <v>625</v>
      </c>
    </row>
    <row r="27" spans="2:17" x14ac:dyDescent="0.35">
      <c r="C27" s="234" t="s">
        <v>630</v>
      </c>
      <c r="D27" s="1002" t="s">
        <v>631</v>
      </c>
      <c r="E27" s="1002"/>
      <c r="F27" s="232" t="s">
        <v>632</v>
      </c>
    </row>
    <row r="29" spans="2:17" ht="130.5" x14ac:dyDescent="0.35">
      <c r="C29" s="236" t="s">
        <v>638</v>
      </c>
      <c r="D29" s="232">
        <v>4000</v>
      </c>
      <c r="E29" s="232" t="s">
        <v>625</v>
      </c>
      <c r="F29" s="232">
        <v>50</v>
      </c>
      <c r="G29" s="232" t="s">
        <v>637</v>
      </c>
    </row>
    <row r="31" spans="2:17" x14ac:dyDescent="0.35">
      <c r="D31">
        <v>50</v>
      </c>
      <c r="E31">
        <v>4000</v>
      </c>
    </row>
    <row r="32" spans="2:17" x14ac:dyDescent="0.35">
      <c r="D32">
        <v>1</v>
      </c>
      <c r="E32">
        <f>E31/D31</f>
        <v>80</v>
      </c>
    </row>
    <row r="33" spans="3:5" x14ac:dyDescent="0.35">
      <c r="D33">
        <v>700</v>
      </c>
      <c r="E33">
        <f>D33*E32</f>
        <v>56000</v>
      </c>
    </row>
    <row r="41" spans="3:5" x14ac:dyDescent="0.35">
      <c r="C41" t="s">
        <v>666</v>
      </c>
    </row>
    <row r="43" spans="3:5" x14ac:dyDescent="0.35">
      <c r="C43" t="s">
        <v>634</v>
      </c>
    </row>
    <row r="44" spans="3:5" x14ac:dyDescent="0.35">
      <c r="C44" t="s">
        <v>641</v>
      </c>
    </row>
    <row r="46" spans="3:5" x14ac:dyDescent="0.35">
      <c r="C46" t="s">
        <v>639</v>
      </c>
    </row>
    <row r="47" spans="3:5" x14ac:dyDescent="0.35">
      <c r="C47" t="s">
        <v>642</v>
      </c>
    </row>
    <row r="48" spans="3:5" x14ac:dyDescent="0.35">
      <c r="C48" t="s">
        <v>640</v>
      </c>
    </row>
    <row r="49" spans="3:3" x14ac:dyDescent="0.35">
      <c r="C49" t="s">
        <v>643</v>
      </c>
    </row>
    <row r="50" spans="3:3" x14ac:dyDescent="0.35">
      <c r="C50" t="s">
        <v>644</v>
      </c>
    </row>
    <row r="53" spans="3:3" x14ac:dyDescent="0.35">
      <c r="C53" t="s">
        <v>649</v>
      </c>
    </row>
    <row r="54" spans="3:3" x14ac:dyDescent="0.35">
      <c r="C54" t="s">
        <v>651</v>
      </c>
    </row>
    <row r="55" spans="3:3" x14ac:dyDescent="0.35">
      <c r="C55" t="s">
        <v>645</v>
      </c>
    </row>
    <row r="57" spans="3:3" x14ac:dyDescent="0.35">
      <c r="C57" t="s">
        <v>646</v>
      </c>
    </row>
    <row r="59" spans="3:3" x14ac:dyDescent="0.35">
      <c r="C59" t="s">
        <v>647</v>
      </c>
    </row>
    <row r="60" spans="3:3" x14ac:dyDescent="0.35">
      <c r="C60" t="s">
        <v>648</v>
      </c>
    </row>
    <row r="62" spans="3:3" x14ac:dyDescent="0.35">
      <c r="C62" t="s">
        <v>650</v>
      </c>
    </row>
    <row r="64" spans="3:3" x14ac:dyDescent="0.35">
      <c r="C64" t="s">
        <v>678</v>
      </c>
    </row>
    <row r="66" spans="3:4" x14ac:dyDescent="0.35">
      <c r="C66" t="s">
        <v>652</v>
      </c>
    </row>
    <row r="67" spans="3:4" x14ac:dyDescent="0.35">
      <c r="C67" t="s">
        <v>653</v>
      </c>
    </row>
    <row r="69" spans="3:4" x14ac:dyDescent="0.35">
      <c r="C69" t="s">
        <v>655</v>
      </c>
    </row>
    <row r="70" spans="3:4" x14ac:dyDescent="0.35">
      <c r="C70" t="s">
        <v>654</v>
      </c>
    </row>
    <row r="73" spans="3:4" x14ac:dyDescent="0.35">
      <c r="C73" t="s">
        <v>656</v>
      </c>
    </row>
    <row r="75" spans="3:4" x14ac:dyDescent="0.35">
      <c r="C75" t="s">
        <v>657</v>
      </c>
    </row>
    <row r="77" spans="3:4" x14ac:dyDescent="0.35">
      <c r="C77" t="s">
        <v>658</v>
      </c>
    </row>
    <row r="78" spans="3:4" x14ac:dyDescent="0.35">
      <c r="C78" t="s">
        <v>659</v>
      </c>
    </row>
    <row r="79" spans="3:4" x14ac:dyDescent="0.35">
      <c r="C79">
        <v>9626875</v>
      </c>
      <c r="D79">
        <v>9626874</v>
      </c>
    </row>
    <row r="80" spans="3:4" x14ac:dyDescent="0.35">
      <c r="C80" t="s">
        <v>654</v>
      </c>
    </row>
    <row r="82" spans="3:3" x14ac:dyDescent="0.35">
      <c r="C82" t="s">
        <v>660</v>
      </c>
    </row>
    <row r="85" spans="3:3" x14ac:dyDescent="0.35">
      <c r="C85" t="s">
        <v>661</v>
      </c>
    </row>
    <row r="86" spans="3:3" x14ac:dyDescent="0.35">
      <c r="C86" t="s">
        <v>662</v>
      </c>
    </row>
    <row r="88" spans="3:3" x14ac:dyDescent="0.35">
      <c r="C88" t="s">
        <v>659</v>
      </c>
    </row>
    <row r="89" spans="3:3" x14ac:dyDescent="0.35">
      <c r="C89" t="s">
        <v>663</v>
      </c>
    </row>
    <row r="91" spans="3:3" x14ac:dyDescent="0.35">
      <c r="C91" t="s">
        <v>664</v>
      </c>
    </row>
    <row r="92" spans="3:3" x14ac:dyDescent="0.35">
      <c r="C92" t="s">
        <v>665</v>
      </c>
    </row>
    <row r="94" spans="3:3" x14ac:dyDescent="0.35">
      <c r="C94" t="s">
        <v>675</v>
      </c>
    </row>
    <row r="95" spans="3:3" x14ac:dyDescent="0.35">
      <c r="C95" t="s">
        <v>673</v>
      </c>
    </row>
    <row r="96" spans="3:3" x14ac:dyDescent="0.35">
      <c r="C96" t="s">
        <v>667</v>
      </c>
    </row>
    <row r="97" spans="3:3" x14ac:dyDescent="0.35">
      <c r="C97" t="s">
        <v>668</v>
      </c>
    </row>
    <row r="99" spans="3:3" x14ac:dyDescent="0.35">
      <c r="C99" t="s">
        <v>669</v>
      </c>
    </row>
    <row r="100" spans="3:3" x14ac:dyDescent="0.35">
      <c r="C100" t="s">
        <v>674</v>
      </c>
    </row>
    <row r="101" spans="3:3" x14ac:dyDescent="0.35">
      <c r="C101" t="s">
        <v>670</v>
      </c>
    </row>
    <row r="102" spans="3:3" x14ac:dyDescent="0.35">
      <c r="C102" s="237" t="s">
        <v>671</v>
      </c>
    </row>
    <row r="103" spans="3:3" x14ac:dyDescent="0.35">
      <c r="C103" t="s">
        <v>672</v>
      </c>
    </row>
    <row r="107" spans="3:3" x14ac:dyDescent="0.35">
      <c r="C107" t="s">
        <v>682</v>
      </c>
    </row>
    <row r="110" spans="3:3" x14ac:dyDescent="0.35">
      <c r="C110" t="s">
        <v>681</v>
      </c>
    </row>
    <row r="111" spans="3:3" x14ac:dyDescent="0.35">
      <c r="C111" t="s">
        <v>683</v>
      </c>
    </row>
    <row r="114" spans="3:3" x14ac:dyDescent="0.35">
      <c r="C114" t="s">
        <v>684</v>
      </c>
    </row>
    <row r="120" spans="3:3" x14ac:dyDescent="0.35">
      <c r="C120" t="s">
        <v>685</v>
      </c>
    </row>
    <row r="122" spans="3:3" x14ac:dyDescent="0.35">
      <c r="C122" t="s">
        <v>686</v>
      </c>
    </row>
    <row r="126" spans="3:3" x14ac:dyDescent="0.35">
      <c r="C126" t="s">
        <v>690</v>
      </c>
    </row>
    <row r="127" spans="3:3" x14ac:dyDescent="0.35">
      <c r="C127" s="237" t="s">
        <v>689</v>
      </c>
    </row>
    <row r="128" spans="3:3" x14ac:dyDescent="0.35">
      <c r="C128" t="s">
        <v>688</v>
      </c>
    </row>
    <row r="130" spans="3:3" x14ac:dyDescent="0.35">
      <c r="C130" t="s">
        <v>687</v>
      </c>
    </row>
    <row r="131" spans="3:3" x14ac:dyDescent="0.35">
      <c r="C131" t="s">
        <v>693</v>
      </c>
    </row>
    <row r="132" spans="3:3" x14ac:dyDescent="0.35">
      <c r="C132" t="s">
        <v>692</v>
      </c>
    </row>
    <row r="133" spans="3:3" x14ac:dyDescent="0.35">
      <c r="C133" s="237" t="s">
        <v>691</v>
      </c>
    </row>
    <row r="134" spans="3:3" x14ac:dyDescent="0.35">
      <c r="C134" t="s">
        <v>694</v>
      </c>
    </row>
    <row r="136" spans="3:3" x14ac:dyDescent="0.35">
      <c r="C136" t="s">
        <v>698</v>
      </c>
    </row>
    <row r="138" spans="3:3" x14ac:dyDescent="0.35">
      <c r="C138" t="s">
        <v>695</v>
      </c>
    </row>
    <row r="140" spans="3:3" x14ac:dyDescent="0.35">
      <c r="C140" t="s">
        <v>699</v>
      </c>
    </row>
    <row r="142" spans="3:3" x14ac:dyDescent="0.35">
      <c r="C142" t="s">
        <v>696</v>
      </c>
    </row>
    <row r="145" spans="3:3" ht="409.5" x14ac:dyDescent="0.35">
      <c r="C145" s="242" t="s">
        <v>697</v>
      </c>
    </row>
  </sheetData>
  <mergeCells count="3">
    <mergeCell ref="O7:Q7"/>
    <mergeCell ref="D23:E23"/>
    <mergeCell ref="D27:E27"/>
  </mergeCells>
  <hyperlinks>
    <hyperlink ref="C29" r:id="rId1" location=":~:text=Feedstock%20storage,compartments%20and%20other%20auxiliary%20machinery." xr:uid="{00000000-0004-0000-0400-000000000000}"/>
    <hyperlink ref="C102" r:id="rId2" xr:uid="{00000000-0004-0000-0400-000001000000}"/>
    <hyperlink ref="C127" r:id="rId3" xr:uid="{00000000-0004-0000-0400-000002000000}"/>
    <hyperlink ref="C133" r:id="rId4" xr:uid="{00000000-0004-0000-0400-000003000000}"/>
  </hyperlinks>
  <pageMargins left="0.7" right="0.7" top="0.75" bottom="0.75" header="0.3" footer="0.3"/>
  <pageSetup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249977111117893"/>
  </sheetPr>
  <dimension ref="A1:O58"/>
  <sheetViews>
    <sheetView showGridLines="0" workbookViewId="0">
      <pane xSplit="2" ySplit="5" topLeftCell="D54" activePane="bottomRight" state="frozen"/>
      <selection activeCell="A2" sqref="A2"/>
      <selection pane="topRight" activeCell="B2" sqref="B2"/>
      <selection pane="bottomLeft" activeCell="A5" sqref="A5"/>
      <selection pane="bottomRight" activeCell="D62" sqref="D62"/>
    </sheetView>
  </sheetViews>
  <sheetFormatPr defaultColWidth="32.26953125" defaultRowHeight="14.5" x14ac:dyDescent="0.35"/>
  <cols>
    <col min="1" max="1" width="4.81640625" style="96" customWidth="1"/>
    <col min="2" max="2" width="36.7265625" style="116" customWidth="1"/>
    <col min="3" max="3" width="8.453125" style="96" hidden="1" customWidth="1"/>
    <col min="4" max="14" width="11.7265625" style="96" customWidth="1"/>
    <col min="15" max="16384" width="32.26953125" style="96"/>
  </cols>
  <sheetData>
    <row r="1" spans="1:15" hidden="1" x14ac:dyDescent="0.35">
      <c r="B1" s="116">
        <v>100000</v>
      </c>
    </row>
    <row r="2" spans="1:15" x14ac:dyDescent="0.35">
      <c r="F2" s="96" t="s">
        <v>1845</v>
      </c>
    </row>
    <row r="3" spans="1:15" s="97" customFormat="1" ht="19.5" customHeight="1" x14ac:dyDescent="0.35">
      <c r="B3" s="137" t="s">
        <v>184</v>
      </c>
      <c r="C3" s="137"/>
      <c r="D3" s="137"/>
      <c r="E3" s="137"/>
      <c r="F3" s="137"/>
      <c r="G3" s="137"/>
      <c r="H3" s="137"/>
      <c r="I3" s="137"/>
      <c r="J3" s="137"/>
      <c r="K3" s="137"/>
      <c r="L3" s="137"/>
      <c r="M3" s="137"/>
      <c r="N3" s="137"/>
    </row>
    <row r="4" spans="1:15" s="97" customFormat="1" ht="18.75" customHeight="1" x14ac:dyDescent="0.35">
      <c r="B4" s="117" t="s">
        <v>508</v>
      </c>
      <c r="C4" s="93">
        <v>0</v>
      </c>
      <c r="D4" s="93">
        <v>0</v>
      </c>
      <c r="E4" s="93">
        <v>0</v>
      </c>
      <c r="F4" s="93">
        <v>9</v>
      </c>
      <c r="G4" s="93">
        <v>12</v>
      </c>
      <c r="H4" s="93">
        <v>12</v>
      </c>
      <c r="I4" s="93">
        <v>12</v>
      </c>
      <c r="J4" s="93">
        <v>12</v>
      </c>
      <c r="K4" s="93">
        <v>12</v>
      </c>
      <c r="L4" s="93">
        <v>12</v>
      </c>
      <c r="M4" s="93">
        <v>12</v>
      </c>
      <c r="N4" s="93">
        <v>12</v>
      </c>
    </row>
    <row r="5" spans="1:15" s="58" customFormat="1" ht="19.5" customHeight="1" x14ac:dyDescent="0.35">
      <c r="B5" s="119" t="s">
        <v>11</v>
      </c>
      <c r="C5" s="120"/>
      <c r="D5" s="120">
        <v>2025</v>
      </c>
      <c r="E5" s="120">
        <f>D5+1</f>
        <v>2026</v>
      </c>
      <c r="F5" s="120">
        <f t="shared" ref="F5:J5" si="0">E5+1</f>
        <v>2027</v>
      </c>
      <c r="G5" s="120">
        <f t="shared" si="0"/>
        <v>2028</v>
      </c>
      <c r="H5" s="120">
        <f t="shared" si="0"/>
        <v>2029</v>
      </c>
      <c r="I5" s="120">
        <f t="shared" si="0"/>
        <v>2030</v>
      </c>
      <c r="J5" s="120">
        <f t="shared" si="0"/>
        <v>2031</v>
      </c>
      <c r="K5" s="120">
        <f>J5+1</f>
        <v>2032</v>
      </c>
      <c r="L5" s="120">
        <f>K5+1</f>
        <v>2033</v>
      </c>
      <c r="M5" s="120">
        <f t="shared" ref="M5:N5" si="1">L5+1</f>
        <v>2034</v>
      </c>
      <c r="N5" s="120">
        <f t="shared" si="1"/>
        <v>2035</v>
      </c>
    </row>
    <row r="6" spans="1:15" s="58" customFormat="1" ht="19.5" customHeight="1" x14ac:dyDescent="0.35">
      <c r="B6" s="106" t="s">
        <v>1750</v>
      </c>
      <c r="C6" s="61"/>
      <c r="D6" s="557" t="s">
        <v>1751</v>
      </c>
      <c r="E6" s="557" t="s">
        <v>1751</v>
      </c>
      <c r="F6" s="557">
        <f>'Cost &amp; Sales assumptions'!D26</f>
        <v>0.7</v>
      </c>
      <c r="G6" s="557">
        <f>'Cost &amp; Sales assumptions'!E26</f>
        <v>0.8</v>
      </c>
      <c r="H6" s="557">
        <f>'Cost &amp; Sales assumptions'!F26</f>
        <v>0.9</v>
      </c>
      <c r="I6" s="557">
        <f>'Cost &amp; Sales assumptions'!G26</f>
        <v>0.9</v>
      </c>
      <c r="J6" s="557">
        <f>'Cost &amp; Sales assumptions'!H26</f>
        <v>0.9</v>
      </c>
      <c r="K6" s="557">
        <f>'Cost &amp; Sales assumptions'!I26</f>
        <v>0.9</v>
      </c>
      <c r="L6" s="557">
        <f>'Cost &amp; Sales assumptions'!J26</f>
        <v>0.9</v>
      </c>
      <c r="M6" s="557">
        <f>'Cost &amp; Sales assumptions'!K26</f>
        <v>0.9</v>
      </c>
      <c r="N6" s="557">
        <f>'Cost &amp; Sales assumptions'!L26</f>
        <v>0.9</v>
      </c>
    </row>
    <row r="7" spans="1:15" s="58" customFormat="1" ht="19.5" customHeight="1" x14ac:dyDescent="0.35">
      <c r="B7" s="106" t="s">
        <v>1107</v>
      </c>
      <c r="C7" s="61"/>
      <c r="D7" s="557" t="s">
        <v>1751</v>
      </c>
      <c r="E7" s="557" t="s">
        <v>1751</v>
      </c>
      <c r="F7" s="184">
        <f>'Cost &amp; Sales assumptions'!D32</f>
        <v>14175</v>
      </c>
      <c r="G7" s="184">
        <f>'Cost &amp; Sales assumptions'!E32</f>
        <v>21600</v>
      </c>
      <c r="H7" s="184">
        <f>'Cost &amp; Sales assumptions'!F32</f>
        <v>24300</v>
      </c>
      <c r="I7" s="184">
        <f>'Cost &amp; Sales assumptions'!G32</f>
        <v>24300</v>
      </c>
      <c r="J7" s="184">
        <f>'Cost &amp; Sales assumptions'!H32</f>
        <v>24300</v>
      </c>
      <c r="K7" s="184">
        <f>'Cost &amp; Sales assumptions'!I32</f>
        <v>24300</v>
      </c>
      <c r="L7" s="184">
        <f>'Cost &amp; Sales assumptions'!J32</f>
        <v>24300</v>
      </c>
      <c r="M7" s="184">
        <f>'Cost &amp; Sales assumptions'!K32</f>
        <v>24300</v>
      </c>
      <c r="N7" s="184">
        <f>'Cost &amp; Sales assumptions'!L32</f>
        <v>24300</v>
      </c>
      <c r="O7" s="58" t="s">
        <v>1953</v>
      </c>
    </row>
    <row r="8" spans="1:15" s="97" customFormat="1" ht="21" customHeight="1" x14ac:dyDescent="0.35">
      <c r="B8" s="51" t="s">
        <v>1753</v>
      </c>
      <c r="C8" s="98"/>
      <c r="D8" s="184">
        <v>0</v>
      </c>
      <c r="E8" s="184">
        <v>0</v>
      </c>
      <c r="F8" s="184">
        <f>Profitability!D9*100</f>
        <v>14883.75</v>
      </c>
      <c r="G8" s="184">
        <f>Profitability!E9*100</f>
        <v>23814</v>
      </c>
      <c r="H8" s="184">
        <f>Profitability!F9*100</f>
        <v>28130.287499999999</v>
      </c>
      <c r="I8" s="184">
        <f>Profitability!G9*100</f>
        <v>29536.801875000005</v>
      </c>
      <c r="J8" s="184">
        <f>Profitability!H9*100</f>
        <v>31013.641968749998</v>
      </c>
      <c r="K8" s="184">
        <f>Profitability!I9*100</f>
        <v>32564.32406718751</v>
      </c>
      <c r="L8" s="184">
        <f>Profitability!J9*100</f>
        <v>34192.540270546888</v>
      </c>
      <c r="M8" s="184">
        <f>Profitability!K9*100</f>
        <v>35902.167284074232</v>
      </c>
      <c r="N8" s="184">
        <f>Profitability!L9*100</f>
        <v>37697.275648277944</v>
      </c>
      <c r="O8" s="97" t="s">
        <v>1952</v>
      </c>
    </row>
    <row r="9" spans="1:15" s="97" customFormat="1" ht="18" customHeight="1" x14ac:dyDescent="0.35">
      <c r="A9" s="235">
        <v>0</v>
      </c>
      <c r="B9" s="121" t="s">
        <v>48</v>
      </c>
      <c r="C9" s="122"/>
      <c r="D9" s="282">
        <f t="shared" ref="D9:M9" si="2">SUM(D8:D8)*(1-$A$9)</f>
        <v>0</v>
      </c>
      <c r="E9" s="282">
        <f t="shared" si="2"/>
        <v>0</v>
      </c>
      <c r="F9" s="282">
        <f t="shared" si="2"/>
        <v>14883.75</v>
      </c>
      <c r="G9" s="282">
        <f t="shared" si="2"/>
        <v>23814</v>
      </c>
      <c r="H9" s="282">
        <f t="shared" si="2"/>
        <v>28130.287499999999</v>
      </c>
      <c r="I9" s="282">
        <f t="shared" si="2"/>
        <v>29536.801875000005</v>
      </c>
      <c r="J9" s="282">
        <f t="shared" si="2"/>
        <v>31013.641968749998</v>
      </c>
      <c r="K9" s="282">
        <f t="shared" si="2"/>
        <v>32564.32406718751</v>
      </c>
      <c r="L9" s="282">
        <f t="shared" si="2"/>
        <v>34192.540270546888</v>
      </c>
      <c r="M9" s="282">
        <f t="shared" si="2"/>
        <v>35902.167284074232</v>
      </c>
      <c r="N9" s="282">
        <f t="shared" ref="N9" si="3">SUM(N8:N8)*(1-$A$9)</f>
        <v>37697.275648277944</v>
      </c>
    </row>
    <row r="10" spans="1:15" s="571" customFormat="1" ht="18" customHeight="1" x14ac:dyDescent="0.35">
      <c r="A10" s="97"/>
      <c r="B10" s="568" t="s">
        <v>1796</v>
      </c>
      <c r="C10" s="569"/>
      <c r="D10" s="570"/>
      <c r="E10" s="570"/>
      <c r="F10" s="570">
        <f>F9/F7</f>
        <v>1.05</v>
      </c>
      <c r="G10" s="570">
        <f t="shared" ref="G10:M10" si="4">G9/G7</f>
        <v>1.1025</v>
      </c>
      <c r="H10" s="570">
        <f t="shared" si="4"/>
        <v>1.1576249999999999</v>
      </c>
      <c r="I10" s="570">
        <f t="shared" si="4"/>
        <v>1.2155062500000002</v>
      </c>
      <c r="J10" s="570">
        <f t="shared" si="4"/>
        <v>1.2762815624999999</v>
      </c>
      <c r="K10" s="570">
        <f t="shared" si="4"/>
        <v>1.3400956406250004</v>
      </c>
      <c r="L10" s="570">
        <f t="shared" si="4"/>
        <v>1.4071004226562505</v>
      </c>
      <c r="M10" s="570">
        <f t="shared" si="4"/>
        <v>1.477455443789063</v>
      </c>
      <c r="N10" s="570">
        <f t="shared" ref="N10" si="5">N9/N7</f>
        <v>1.5513282159785162</v>
      </c>
    </row>
    <row r="11" spans="1:15" s="97" customFormat="1" ht="21" customHeight="1" x14ac:dyDescent="0.35">
      <c r="B11" s="106" t="s">
        <v>796</v>
      </c>
      <c r="C11" s="98"/>
      <c r="D11" s="184"/>
      <c r="E11" s="184"/>
      <c r="F11" s="184"/>
      <c r="G11" s="184"/>
      <c r="H11" s="184"/>
      <c r="I11" s="184"/>
      <c r="J11" s="184"/>
      <c r="K11" s="184"/>
      <c r="L11" s="184"/>
      <c r="M11" s="184"/>
      <c r="N11" s="184"/>
    </row>
    <row r="12" spans="1:15" s="97" customFormat="1" ht="21" customHeight="1" x14ac:dyDescent="0.35">
      <c r="A12" s="235">
        <v>0</v>
      </c>
      <c r="B12" s="51" t="s">
        <v>1754</v>
      </c>
      <c r="C12" s="98"/>
      <c r="D12" s="184">
        <v>0</v>
      </c>
      <c r="E12" s="184">
        <v>0</v>
      </c>
      <c r="F12" s="184">
        <f>Profitability!D13*100*(1+$A$12)</f>
        <v>5220.0412031250007</v>
      </c>
      <c r="G12" s="184">
        <f>Profitability!E13*100*(1+$A$12)</f>
        <v>8352.0659250000008</v>
      </c>
      <c r="H12" s="184">
        <f>Profitability!F13*100*(1+$A$12)</f>
        <v>9865.8778739062545</v>
      </c>
      <c r="I12" s="184">
        <f>Profitability!G13*100*(1+$A$12)</f>
        <v>10359.171767601567</v>
      </c>
      <c r="J12" s="184">
        <f>Profitability!H13*100*(1+$A$12)</f>
        <v>10877.130355981646</v>
      </c>
      <c r="K12" s="184">
        <f>Profitability!I13*100*(1+$A$12)</f>
        <v>11420.986873780726</v>
      </c>
      <c r="L12" s="184">
        <f>Profitability!J13*100*(1+$A$12)</f>
        <v>11992.036217469764</v>
      </c>
      <c r="M12" s="184">
        <f>Profitability!K13*100*(1+$A$12)</f>
        <v>12591.638028343252</v>
      </c>
      <c r="N12" s="184">
        <f>Profitability!L13*100*(1+$A$12)</f>
        <v>13221.219929760415</v>
      </c>
    </row>
    <row r="13" spans="1:15" s="97" customFormat="1" ht="21" customHeight="1" x14ac:dyDescent="0.35">
      <c r="B13" s="51" t="s">
        <v>1755</v>
      </c>
      <c r="C13" s="98"/>
      <c r="D13" s="184">
        <v>0</v>
      </c>
      <c r="E13" s="184">
        <v>0</v>
      </c>
      <c r="F13" s="184">
        <f>Profitability!D14*100</f>
        <v>2451.0842291250001</v>
      </c>
      <c r="G13" s="184">
        <f>Profitability!E14*100</f>
        <v>3921.7347666000001</v>
      </c>
      <c r="H13" s="184">
        <f>Profitability!F14*100</f>
        <v>4117.8215049300006</v>
      </c>
      <c r="I13" s="184">
        <f>Profitability!G14*100</f>
        <v>4323.7125801765005</v>
      </c>
      <c r="J13" s="184">
        <f>Profitability!H14*100</f>
        <v>4539.8982091853259</v>
      </c>
      <c r="K13" s="184">
        <f>Profitability!I14*100</f>
        <v>4766.8931196445928</v>
      </c>
      <c r="L13" s="184">
        <f>Profitability!J14*100</f>
        <v>5005.2377756268224</v>
      </c>
      <c r="M13" s="184">
        <f>Profitability!K14*100</f>
        <v>5255.499664408163</v>
      </c>
      <c r="N13" s="184">
        <f>Profitability!L14*100</f>
        <v>5518.274647628572</v>
      </c>
    </row>
    <row r="14" spans="1:15" s="97" customFormat="1" ht="21" customHeight="1" x14ac:dyDescent="0.35">
      <c r="B14" s="51" t="s">
        <v>1756</v>
      </c>
      <c r="C14" s="98"/>
      <c r="D14" s="184">
        <v>0</v>
      </c>
      <c r="E14" s="184">
        <v>0</v>
      </c>
      <c r="F14" s="184">
        <f>Profitability!D16*100</f>
        <v>59.535000000000004</v>
      </c>
      <c r="G14" s="184">
        <f>Profitability!E16*100</f>
        <v>95.256</v>
      </c>
      <c r="H14" s="184">
        <f>Profitability!F16*100</f>
        <v>100.01880000000001</v>
      </c>
      <c r="I14" s="184">
        <f>Profitability!G16*100</f>
        <v>105.01974000000003</v>
      </c>
      <c r="J14" s="184">
        <f>Profitability!H16*100</f>
        <v>110.27072700000005</v>
      </c>
      <c r="K14" s="184">
        <f>Profitability!I16*100</f>
        <v>115.78426335000005</v>
      </c>
      <c r="L14" s="184">
        <f>Profitability!J16*100</f>
        <v>121.57347651750005</v>
      </c>
      <c r="M14" s="184">
        <f>Profitability!K16*100</f>
        <v>127.65215034337507</v>
      </c>
      <c r="N14" s="184">
        <f>Profitability!L16*100</f>
        <v>134.03475786054383</v>
      </c>
    </row>
    <row r="15" spans="1:15" s="97" customFormat="1" ht="21" customHeight="1" x14ac:dyDescent="0.35">
      <c r="B15" s="51" t="s">
        <v>1757</v>
      </c>
      <c r="C15" s="98"/>
      <c r="D15" s="184">
        <v>0</v>
      </c>
      <c r="E15" s="184">
        <v>0</v>
      </c>
      <c r="F15" s="184">
        <f>Profitability!D18*100</f>
        <v>297.67500000000001</v>
      </c>
      <c r="G15" s="184">
        <f>Profitability!E18*100</f>
        <v>476.28000000000003</v>
      </c>
      <c r="H15" s="184">
        <f>Profitability!F18*100</f>
        <v>500.09400000000011</v>
      </c>
      <c r="I15" s="184">
        <f>Profitability!G18*100</f>
        <v>525.09870000000012</v>
      </c>
      <c r="J15" s="184">
        <f>Profitability!H18*100</f>
        <v>551.35363500000005</v>
      </c>
      <c r="K15" s="184">
        <f>Profitability!I18*100</f>
        <v>578.92131675000019</v>
      </c>
      <c r="L15" s="184">
        <f>Profitability!J18*100</f>
        <v>607.86738258750017</v>
      </c>
      <c r="M15" s="184">
        <f>Profitability!K18*100</f>
        <v>638.26075171687535</v>
      </c>
      <c r="N15" s="184">
        <f>Profitability!L18*100</f>
        <v>670.173789302719</v>
      </c>
    </row>
    <row r="16" spans="1:15" s="97" customFormat="1" ht="21" customHeight="1" x14ac:dyDescent="0.35">
      <c r="B16" s="51" t="s">
        <v>1785</v>
      </c>
      <c r="C16" s="98"/>
      <c r="D16" s="184">
        <v>0</v>
      </c>
      <c r="E16" s="184">
        <v>0</v>
      </c>
      <c r="F16" s="184">
        <f>SUM(BS!E20:E21)*2%*0</f>
        <v>0</v>
      </c>
      <c r="G16" s="184">
        <f>F16*1.05</f>
        <v>0</v>
      </c>
      <c r="H16" s="184">
        <f t="shared" ref="H16:N16" si="6">G16*1.05</f>
        <v>0</v>
      </c>
      <c r="I16" s="184">
        <f t="shared" si="6"/>
        <v>0</v>
      </c>
      <c r="J16" s="184">
        <f t="shared" si="6"/>
        <v>0</v>
      </c>
      <c r="K16" s="184">
        <f t="shared" si="6"/>
        <v>0</v>
      </c>
      <c r="L16" s="184">
        <f t="shared" si="6"/>
        <v>0</v>
      </c>
      <c r="M16" s="184">
        <f t="shared" si="6"/>
        <v>0</v>
      </c>
      <c r="N16" s="184">
        <f t="shared" si="6"/>
        <v>0</v>
      </c>
      <c r="O16" s="309" t="s">
        <v>1844</v>
      </c>
    </row>
    <row r="17" spans="1:14" s="97" customFormat="1" ht="21" customHeight="1" x14ac:dyDescent="0.35">
      <c r="B17" s="121" t="s">
        <v>49</v>
      </c>
      <c r="C17" s="122"/>
      <c r="D17" s="282">
        <f>SUM(D12:D16)</f>
        <v>0</v>
      </c>
      <c r="E17" s="282">
        <f t="shared" ref="E17:M17" si="7">SUM(E12:E16)</f>
        <v>0</v>
      </c>
      <c r="F17" s="282">
        <f t="shared" si="7"/>
        <v>8028.3354322500008</v>
      </c>
      <c r="G17" s="282">
        <f t="shared" si="7"/>
        <v>12845.336691600001</v>
      </c>
      <c r="H17" s="282">
        <f t="shared" si="7"/>
        <v>14583.812178836257</v>
      </c>
      <c r="I17" s="282">
        <f t="shared" si="7"/>
        <v>15313.002787778069</v>
      </c>
      <c r="J17" s="282">
        <f t="shared" si="7"/>
        <v>16078.652927166971</v>
      </c>
      <c r="K17" s="282">
        <f t="shared" si="7"/>
        <v>16882.585573525321</v>
      </c>
      <c r="L17" s="282">
        <f t="shared" si="7"/>
        <v>17726.714852201589</v>
      </c>
      <c r="M17" s="282">
        <f t="shared" si="7"/>
        <v>18613.050594811666</v>
      </c>
      <c r="N17" s="282">
        <f t="shared" ref="N17" si="8">SUM(N12:N16)</f>
        <v>19543.703124552248</v>
      </c>
    </row>
    <row r="18" spans="1:14" s="97" customFormat="1" ht="21" customHeight="1" x14ac:dyDescent="0.35">
      <c r="B18" s="106" t="s">
        <v>50</v>
      </c>
      <c r="C18" s="99"/>
      <c r="D18" s="284"/>
      <c r="E18" s="284"/>
      <c r="F18" s="284"/>
      <c r="G18" s="284"/>
      <c r="H18" s="284"/>
      <c r="I18" s="284"/>
      <c r="J18" s="284"/>
      <c r="K18" s="284"/>
      <c r="L18" s="284"/>
      <c r="M18" s="284"/>
      <c r="N18" s="284"/>
    </row>
    <row r="19" spans="1:14" s="97" customFormat="1" ht="21" customHeight="1" x14ac:dyDescent="0.35">
      <c r="B19" s="51" t="s">
        <v>781</v>
      </c>
      <c r="C19" s="98"/>
      <c r="D19" s="285">
        <v>0</v>
      </c>
      <c r="E19" s="285">
        <v>0</v>
      </c>
      <c r="F19" s="285">
        <f>Profitability!D15*100</f>
        <v>893.02500000000009</v>
      </c>
      <c r="G19" s="285">
        <f>Profitability!E15*100</f>
        <v>1428.84</v>
      </c>
      <c r="H19" s="285">
        <f>Profitability!F15*100</f>
        <v>1500.2820000000002</v>
      </c>
      <c r="I19" s="285">
        <f>Profitability!G15*100</f>
        <v>1575.2961000000005</v>
      </c>
      <c r="J19" s="285">
        <f>Profitability!H15*100</f>
        <v>1654.0609050000005</v>
      </c>
      <c r="K19" s="285">
        <f>Profitability!I15*100</f>
        <v>1736.7639502500006</v>
      </c>
      <c r="L19" s="285">
        <f>Profitability!J15*100</f>
        <v>1823.6021477625006</v>
      </c>
      <c r="M19" s="285">
        <f>Profitability!K15*100</f>
        <v>1914.7822551506251</v>
      </c>
      <c r="N19" s="285">
        <f>Profitability!L15*100</f>
        <v>2010.5213679081564</v>
      </c>
    </row>
    <row r="20" spans="1:14" s="97" customFormat="1" ht="21" customHeight="1" x14ac:dyDescent="0.35">
      <c r="B20" s="51" t="s">
        <v>1758</v>
      </c>
      <c r="C20" s="98"/>
      <c r="D20" s="285">
        <v>0</v>
      </c>
      <c r="E20" s="285">
        <v>0</v>
      </c>
      <c r="F20" s="285">
        <f>Profitability!D17*100</f>
        <v>59.535000000000004</v>
      </c>
      <c r="G20" s="285">
        <f>Profitability!E17*100</f>
        <v>95.256</v>
      </c>
      <c r="H20" s="285">
        <f>Profitability!F17*100</f>
        <v>100.01880000000001</v>
      </c>
      <c r="I20" s="285">
        <f>Profitability!G17*100</f>
        <v>105.01974000000003</v>
      </c>
      <c r="J20" s="285">
        <f>Profitability!H17*100</f>
        <v>110.27072700000005</v>
      </c>
      <c r="K20" s="285">
        <f>Profitability!I17*100</f>
        <v>115.78426335000005</v>
      </c>
      <c r="L20" s="285">
        <f>Profitability!J17*100</f>
        <v>121.57347651750005</v>
      </c>
      <c r="M20" s="285">
        <f>Profitability!K17*100</f>
        <v>127.65215034337507</v>
      </c>
      <c r="N20" s="285">
        <f>Profitability!L17*100</f>
        <v>134.03475786054383</v>
      </c>
    </row>
    <row r="21" spans="1:14" s="97" customFormat="1" ht="18" customHeight="1" x14ac:dyDescent="0.35">
      <c r="B21" s="121" t="s">
        <v>51</v>
      </c>
      <c r="C21" s="123"/>
      <c r="D21" s="282">
        <f t="shared" ref="D21:M21" si="9">SUM(D19:D20)</f>
        <v>0</v>
      </c>
      <c r="E21" s="282">
        <f t="shared" si="9"/>
        <v>0</v>
      </c>
      <c r="F21" s="282">
        <f t="shared" si="9"/>
        <v>952.56000000000006</v>
      </c>
      <c r="G21" s="282">
        <f t="shared" si="9"/>
        <v>1524.096</v>
      </c>
      <c r="H21" s="282">
        <f t="shared" si="9"/>
        <v>1600.3008000000002</v>
      </c>
      <c r="I21" s="282">
        <f t="shared" si="9"/>
        <v>1680.3158400000004</v>
      </c>
      <c r="J21" s="282">
        <f t="shared" si="9"/>
        <v>1764.3316320000006</v>
      </c>
      <c r="K21" s="282">
        <f t="shared" si="9"/>
        <v>1852.5482136000005</v>
      </c>
      <c r="L21" s="282">
        <f t="shared" si="9"/>
        <v>1945.1756242800006</v>
      </c>
      <c r="M21" s="282">
        <f t="shared" si="9"/>
        <v>2042.4344054940002</v>
      </c>
      <c r="N21" s="282">
        <f t="shared" ref="N21" si="10">SUM(N19:N20)</f>
        <v>2144.5561257687004</v>
      </c>
    </row>
    <row r="22" spans="1:14" s="97" customFormat="1" ht="21" customHeight="1" x14ac:dyDescent="0.35">
      <c r="B22" s="121" t="s">
        <v>797</v>
      </c>
      <c r="C22" s="122"/>
      <c r="D22" s="282">
        <f t="shared" ref="D22:M22" si="11">(D17+D21)</f>
        <v>0</v>
      </c>
      <c r="E22" s="282">
        <f t="shared" si="11"/>
        <v>0</v>
      </c>
      <c r="F22" s="282">
        <f t="shared" si="11"/>
        <v>8980.8954322500012</v>
      </c>
      <c r="G22" s="282">
        <f t="shared" si="11"/>
        <v>14369.432691600001</v>
      </c>
      <c r="H22" s="282">
        <f t="shared" si="11"/>
        <v>16184.112978836258</v>
      </c>
      <c r="I22" s="282">
        <f t="shared" si="11"/>
        <v>16993.31862777807</v>
      </c>
      <c r="J22" s="282">
        <f t="shared" si="11"/>
        <v>17842.984559166973</v>
      </c>
      <c r="K22" s="282">
        <f t="shared" si="11"/>
        <v>18735.13378712532</v>
      </c>
      <c r="L22" s="282">
        <f t="shared" si="11"/>
        <v>19671.890476481589</v>
      </c>
      <c r="M22" s="282">
        <f t="shared" si="11"/>
        <v>20655.485000305667</v>
      </c>
      <c r="N22" s="282">
        <f t="shared" ref="N22" si="12">(N17+N21)</f>
        <v>21688.259250320949</v>
      </c>
    </row>
    <row r="23" spans="1:14" s="97" customFormat="1" ht="21" customHeight="1" x14ac:dyDescent="0.35">
      <c r="B23" s="51" t="s">
        <v>52</v>
      </c>
      <c r="C23" s="98"/>
      <c r="D23" s="184">
        <f t="shared" ref="D23:M23" si="13">(D9-D22)</f>
        <v>0</v>
      </c>
      <c r="E23" s="184">
        <f t="shared" si="13"/>
        <v>0</v>
      </c>
      <c r="F23" s="184">
        <f t="shared" si="13"/>
        <v>5902.8545677499988</v>
      </c>
      <c r="G23" s="184">
        <f t="shared" si="13"/>
        <v>9444.5673083999991</v>
      </c>
      <c r="H23" s="184">
        <f t="shared" si="13"/>
        <v>11946.174521163741</v>
      </c>
      <c r="I23" s="184">
        <f t="shared" si="13"/>
        <v>12543.483247221935</v>
      </c>
      <c r="J23" s="184">
        <f t="shared" si="13"/>
        <v>13170.657409583026</v>
      </c>
      <c r="K23" s="184">
        <f t="shared" si="13"/>
        <v>13829.19028006219</v>
      </c>
      <c r="L23" s="184">
        <f t="shared" si="13"/>
        <v>14520.649794065299</v>
      </c>
      <c r="M23" s="184">
        <f t="shared" si="13"/>
        <v>15246.682283768565</v>
      </c>
      <c r="N23" s="184">
        <f t="shared" ref="N23" si="14">(N9-N22)</f>
        <v>16009.016397956995</v>
      </c>
    </row>
    <row r="24" spans="1:14" s="97" customFormat="1" ht="21" customHeight="1" x14ac:dyDescent="0.35">
      <c r="B24" s="51" t="s">
        <v>944</v>
      </c>
      <c r="C24" s="98"/>
      <c r="D24" s="184">
        <v>0</v>
      </c>
      <c r="E24" s="184">
        <v>0</v>
      </c>
      <c r="F24" s="184">
        <f>'Cash Flow'!E46</f>
        <v>105.00000000000001</v>
      </c>
      <c r="G24" s="184">
        <f>'Cash Flow'!F46</f>
        <v>350.00000000000006</v>
      </c>
      <c r="H24" s="184">
        <f>'Cash Flow'!G46</f>
        <v>665.00000000000011</v>
      </c>
      <c r="I24" s="184">
        <f>'Cash Flow'!H46</f>
        <v>1050</v>
      </c>
      <c r="J24" s="184">
        <f>'Cash Flow'!I46</f>
        <v>1505.0000000000002</v>
      </c>
      <c r="K24" s="184">
        <f>'Cash Flow'!J46</f>
        <v>2030.0000000000002</v>
      </c>
      <c r="L24" s="184">
        <f>'Cash Flow'!K46</f>
        <v>2590.0000000000005</v>
      </c>
      <c r="M24" s="184">
        <f>'Cash Flow'!L46</f>
        <v>3220.0000000000005</v>
      </c>
      <c r="N24" s="184">
        <f>'Cash Flow'!M46</f>
        <v>3990.0000000000005</v>
      </c>
    </row>
    <row r="25" spans="1:14" s="97" customFormat="1" ht="21" customHeight="1" x14ac:dyDescent="0.35">
      <c r="B25" s="51" t="s">
        <v>53</v>
      </c>
      <c r="C25" s="98"/>
      <c r="D25" s="184">
        <f>'TL Schd'!D11</f>
        <v>0</v>
      </c>
      <c r="E25" s="184">
        <f>'TL Schd'!E11</f>
        <v>0</v>
      </c>
      <c r="F25" s="184">
        <f>'TL Schd'!F11</f>
        <v>1364.6666666666672</v>
      </c>
      <c r="G25" s="184">
        <f>'TL Schd'!G11</f>
        <v>1788.25</v>
      </c>
      <c r="H25" s="184">
        <f>'TL Schd'!H11</f>
        <v>1609.9999999999991</v>
      </c>
      <c r="I25" s="184">
        <f>'TL Schd'!I11</f>
        <v>1402.9999999999991</v>
      </c>
      <c r="J25" s="184">
        <f>'TL Schd'!J11</f>
        <v>1149.9999999999993</v>
      </c>
      <c r="K25" s="184">
        <f>'TL Schd'!K11</f>
        <v>873.99999999999943</v>
      </c>
      <c r="L25" s="184">
        <f>'TL Schd'!L11</f>
        <v>574.99999999999977</v>
      </c>
      <c r="M25" s="184">
        <f>'TL Schd'!M11</f>
        <v>252.99999999999977</v>
      </c>
      <c r="N25" s="184">
        <f>'TL Schd'!N11</f>
        <v>11.499999999999782</v>
      </c>
    </row>
    <row r="26" spans="1:14" s="97" customFormat="1" ht="21" customHeight="1" x14ac:dyDescent="0.35">
      <c r="B26" s="51" t="s">
        <v>1769</v>
      </c>
      <c r="C26" s="98"/>
      <c r="D26" s="184">
        <f>WC!D39</f>
        <v>0</v>
      </c>
      <c r="E26" s="184">
        <f>WC!E39</f>
        <v>0</v>
      </c>
      <c r="F26" s="184">
        <f>WC!F39</f>
        <v>63.020541009234371</v>
      </c>
      <c r="G26" s="184">
        <f>WC!G39</f>
        <v>184.8602536270875</v>
      </c>
      <c r="H26" s="184">
        <f>WC!H39</f>
        <v>221.99663832556223</v>
      </c>
      <c r="I26" s="184">
        <f>WC!I39</f>
        <v>248.38573405711381</v>
      </c>
      <c r="J26" s="184">
        <f>WC!J39</f>
        <v>260.80502075996952</v>
      </c>
      <c r="K26" s="184">
        <f>WC!K39</f>
        <v>273.845271797968</v>
      </c>
      <c r="L26" s="184">
        <f>WC!L39</f>
        <v>287.5375353878664</v>
      </c>
      <c r="M26" s="184">
        <f>WC!M39</f>
        <v>301.91441215725973</v>
      </c>
      <c r="N26" s="184">
        <f>WC!N39</f>
        <v>317.01013276512271</v>
      </c>
    </row>
    <row r="27" spans="1:14" s="97" customFormat="1" ht="21" customHeight="1" x14ac:dyDescent="0.35">
      <c r="B27" s="51" t="s">
        <v>794</v>
      </c>
      <c r="C27" s="98"/>
      <c r="D27" s="184">
        <v>0</v>
      </c>
      <c r="E27" s="184">
        <v>0</v>
      </c>
      <c r="F27" s="184">
        <v>0</v>
      </c>
      <c r="G27" s="184">
        <v>0</v>
      </c>
      <c r="H27" s="184">
        <v>0</v>
      </c>
      <c r="I27" s="184">
        <v>0</v>
      </c>
      <c r="J27" s="184">
        <v>0</v>
      </c>
      <c r="K27" s="184">
        <v>0</v>
      </c>
      <c r="L27" s="184">
        <v>0</v>
      </c>
      <c r="M27" s="184">
        <v>0</v>
      </c>
      <c r="N27" s="184">
        <v>0</v>
      </c>
    </row>
    <row r="28" spans="1:14" s="97" customFormat="1" ht="21" customHeight="1" x14ac:dyDescent="0.35">
      <c r="B28" s="51" t="s">
        <v>54</v>
      </c>
      <c r="C28" s="98"/>
      <c r="D28" s="184">
        <v>0</v>
      </c>
      <c r="E28" s="184">
        <v>0</v>
      </c>
      <c r="F28" s="184">
        <f>Depr!C21</f>
        <v>779.65452316513756</v>
      </c>
      <c r="G28" s="184">
        <f>Depr!D21</f>
        <v>1039.5393642201834</v>
      </c>
      <c r="H28" s="184">
        <f>Depr!E21</f>
        <v>1039.5393642201834</v>
      </c>
      <c r="I28" s="184">
        <f>Depr!F21</f>
        <v>1039.5393642201834</v>
      </c>
      <c r="J28" s="184">
        <f>Depr!G21</f>
        <v>1039.5393642201834</v>
      </c>
      <c r="K28" s="184">
        <f>Depr!H21</f>
        <v>1039.5393642201834</v>
      </c>
      <c r="L28" s="184">
        <f>Depr!I21</f>
        <v>1039.5393642201834</v>
      </c>
      <c r="M28" s="184">
        <f>Depr!J21</f>
        <v>1039.5393642201834</v>
      </c>
      <c r="N28" s="184">
        <f>Depr!K21</f>
        <v>1039.5393642201834</v>
      </c>
    </row>
    <row r="29" spans="1:14" s="97" customFormat="1" ht="21" customHeight="1" x14ac:dyDescent="0.35">
      <c r="B29" s="51" t="s">
        <v>738</v>
      </c>
      <c r="C29" s="98"/>
      <c r="D29" s="184">
        <f>'CoP-MoF'!$D$13/5*D4/12</f>
        <v>0</v>
      </c>
      <c r="E29" s="184">
        <f>'CoP-MoF'!$D$13/5*E4/12</f>
        <v>0</v>
      </c>
      <c r="F29" s="184">
        <f>'CoP-MoF'!$D$13/5*F4/12</f>
        <v>14.774999999999999</v>
      </c>
      <c r="G29" s="184">
        <f>'CoP-MoF'!$D$13/5*G4/12</f>
        <v>19.7</v>
      </c>
      <c r="H29" s="184">
        <f>'CoP-MoF'!$D$13/5*H4/12</f>
        <v>19.7</v>
      </c>
      <c r="I29" s="184">
        <f>'CoP-MoF'!$D$13/5*I4/12</f>
        <v>19.7</v>
      </c>
      <c r="J29" s="184">
        <f>'CoP-MoF'!$D$13/5*J4/12</f>
        <v>19.7</v>
      </c>
      <c r="K29" s="184">
        <f>'CoP-MoF'!$D$13/5*3/12</f>
        <v>4.9249999999999998</v>
      </c>
      <c r="L29" s="184">
        <v>0</v>
      </c>
      <c r="M29" s="184">
        <v>0</v>
      </c>
      <c r="N29" s="184">
        <v>0</v>
      </c>
    </row>
    <row r="30" spans="1:14" s="97" customFormat="1" ht="21" customHeight="1" x14ac:dyDescent="0.35">
      <c r="B30" s="51" t="s">
        <v>55</v>
      </c>
      <c r="C30" s="98"/>
      <c r="D30" s="184">
        <f>D23-D25-D28-D29-D27+D24</f>
        <v>0</v>
      </c>
      <c r="E30" s="184">
        <f t="shared" ref="E30:M30" si="15">E23-E25-E28-E29-E27+E24</f>
        <v>0</v>
      </c>
      <c r="F30" s="184">
        <f t="shared" si="15"/>
        <v>3848.7583779181941</v>
      </c>
      <c r="G30" s="184">
        <f t="shared" si="15"/>
        <v>6947.0779441798159</v>
      </c>
      <c r="H30" s="184">
        <f t="shared" si="15"/>
        <v>9941.9351569435585</v>
      </c>
      <c r="I30" s="184">
        <f t="shared" si="15"/>
        <v>11131.243883001751</v>
      </c>
      <c r="J30" s="184">
        <f t="shared" si="15"/>
        <v>12466.418045362841</v>
      </c>
      <c r="K30" s="184">
        <f t="shared" si="15"/>
        <v>13940.725915842007</v>
      </c>
      <c r="L30" s="184">
        <f t="shared" si="15"/>
        <v>15496.110429845116</v>
      </c>
      <c r="M30" s="184">
        <f t="shared" si="15"/>
        <v>17174.142919548383</v>
      </c>
      <c r="N30" s="184">
        <f t="shared" ref="N30" si="16">N23-N25-N28-N29-N27+N24</f>
        <v>18947.977033736814</v>
      </c>
    </row>
    <row r="31" spans="1:14" s="97" customFormat="1" ht="21" customHeight="1" x14ac:dyDescent="0.35">
      <c r="A31" s="181">
        <v>0.25168000000000001</v>
      </c>
      <c r="B31" s="51" t="s">
        <v>1970</v>
      </c>
      <c r="C31" s="98"/>
      <c r="D31" s="184">
        <f>Tax!F13</f>
        <v>0</v>
      </c>
      <c r="E31" s="184">
        <f>Tax!G13</f>
        <v>0</v>
      </c>
      <c r="F31" s="184">
        <f>Tax!H13</f>
        <v>154.83176088960695</v>
      </c>
      <c r="G31" s="184">
        <f>Tax!I13</f>
        <v>1147.0139428368275</v>
      </c>
      <c r="H31" s="184">
        <f>Tax!J13</f>
        <v>2026.1522866513531</v>
      </c>
      <c r="I31" s="184">
        <f>Tax!K13</f>
        <v>2432.467885725408</v>
      </c>
      <c r="J31" s="184">
        <f>Tax!L13</f>
        <v>2859.8122813957712</v>
      </c>
      <c r="K31" s="184">
        <f>Tax!M13</f>
        <v>3308.8070307324924</v>
      </c>
      <c r="L31" s="184">
        <f>Tax!N13</f>
        <v>3766.8124197794091</v>
      </c>
      <c r="M31" s="184">
        <f>Tax!O13</f>
        <v>4245.9706897341921</v>
      </c>
      <c r="N31" s="184">
        <f>Tax!P13</f>
        <v>4740.9557481086986</v>
      </c>
    </row>
    <row r="32" spans="1:14" s="97" customFormat="1" ht="21" customHeight="1" x14ac:dyDescent="0.35">
      <c r="A32" s="181"/>
      <c r="B32" s="51" t="s">
        <v>1969</v>
      </c>
      <c r="C32" s="98"/>
      <c r="D32" s="184">
        <v>0</v>
      </c>
      <c r="E32" s="184">
        <v>0</v>
      </c>
      <c r="F32" s="184">
        <f>-Depr!C50</f>
        <v>813.82374766484406</v>
      </c>
      <c r="G32" s="184">
        <f>-Depr!D50</f>
        <v>601.42663415434811</v>
      </c>
      <c r="H32" s="184">
        <f>-Depr!E50</f>
        <v>476.03395364820153</v>
      </c>
      <c r="I32" s="184">
        <f>-Depr!F50</f>
        <v>369.04357474847257</v>
      </c>
      <c r="J32" s="184">
        <f>-Depr!G50</f>
        <v>277.73581226114811</v>
      </c>
      <c r="K32" s="184">
        <f>-Depr!H50</f>
        <v>199.79486776662452</v>
      </c>
      <c r="L32" s="184">
        <f>-Depr!I50</f>
        <v>133.24865320400932</v>
      </c>
      <c r="M32" s="184">
        <f>-Depr!J50</f>
        <v>76.417600257746017</v>
      </c>
      <c r="N32" s="184">
        <f>-Depr!K50</f>
        <v>27.87111174218353</v>
      </c>
    </row>
    <row r="33" spans="2:14" s="97" customFormat="1" ht="21" customHeight="1" x14ac:dyDescent="0.35">
      <c r="B33" s="124" t="s">
        <v>56</v>
      </c>
      <c r="C33" s="125"/>
      <c r="D33" s="286">
        <f>D30-D31-D32</f>
        <v>0</v>
      </c>
      <c r="E33" s="286">
        <f t="shared" ref="E33:N33" si="17">E30-E31-E32</f>
        <v>0</v>
      </c>
      <c r="F33" s="286">
        <f t="shared" si="17"/>
        <v>2880.1028693637431</v>
      </c>
      <c r="G33" s="286">
        <f t="shared" si="17"/>
        <v>5198.6373671886404</v>
      </c>
      <c r="H33" s="286">
        <f t="shared" si="17"/>
        <v>7439.7489166440037</v>
      </c>
      <c r="I33" s="286">
        <f t="shared" si="17"/>
        <v>8329.7324225278717</v>
      </c>
      <c r="J33" s="286">
        <f t="shared" si="17"/>
        <v>9328.8699517059231</v>
      </c>
      <c r="K33" s="286">
        <f t="shared" si="17"/>
        <v>10432.124017342891</v>
      </c>
      <c r="L33" s="286">
        <f t="shared" si="17"/>
        <v>11596.049356861697</v>
      </c>
      <c r="M33" s="286">
        <f t="shared" si="17"/>
        <v>12851.754629556444</v>
      </c>
      <c r="N33" s="286">
        <f t="shared" si="17"/>
        <v>14179.15017388593</v>
      </c>
    </row>
    <row r="34" spans="2:14" s="97" customFormat="1" ht="21" customHeight="1" x14ac:dyDescent="0.35">
      <c r="B34" s="51" t="s">
        <v>57</v>
      </c>
      <c r="C34" s="98"/>
      <c r="D34" s="184">
        <f t="shared" ref="D34:N34" si="18">D28</f>
        <v>0</v>
      </c>
      <c r="E34" s="184">
        <f t="shared" si="18"/>
        <v>0</v>
      </c>
      <c r="F34" s="184">
        <f t="shared" si="18"/>
        <v>779.65452316513756</v>
      </c>
      <c r="G34" s="184">
        <f t="shared" si="18"/>
        <v>1039.5393642201834</v>
      </c>
      <c r="H34" s="184">
        <f t="shared" si="18"/>
        <v>1039.5393642201834</v>
      </c>
      <c r="I34" s="184">
        <f t="shared" si="18"/>
        <v>1039.5393642201834</v>
      </c>
      <c r="J34" s="184">
        <f t="shared" si="18"/>
        <v>1039.5393642201834</v>
      </c>
      <c r="K34" s="184">
        <f t="shared" si="18"/>
        <v>1039.5393642201834</v>
      </c>
      <c r="L34" s="184">
        <f t="shared" si="18"/>
        <v>1039.5393642201834</v>
      </c>
      <c r="M34" s="184">
        <f t="shared" si="18"/>
        <v>1039.5393642201834</v>
      </c>
      <c r="N34" s="184">
        <f t="shared" si="18"/>
        <v>1039.5393642201834</v>
      </c>
    </row>
    <row r="35" spans="2:14" s="97" customFormat="1" ht="21" customHeight="1" x14ac:dyDescent="0.35">
      <c r="B35" s="51" t="s">
        <v>1972</v>
      </c>
      <c r="C35" s="98"/>
      <c r="D35" s="184">
        <f>D32</f>
        <v>0</v>
      </c>
      <c r="E35" s="184">
        <f t="shared" ref="E35:N35" si="19">E32</f>
        <v>0</v>
      </c>
      <c r="F35" s="184">
        <f t="shared" si="19"/>
        <v>813.82374766484406</v>
      </c>
      <c r="G35" s="184">
        <f t="shared" si="19"/>
        <v>601.42663415434811</v>
      </c>
      <c r="H35" s="184">
        <f t="shared" si="19"/>
        <v>476.03395364820153</v>
      </c>
      <c r="I35" s="184">
        <f t="shared" si="19"/>
        <v>369.04357474847257</v>
      </c>
      <c r="J35" s="184">
        <f t="shared" si="19"/>
        <v>277.73581226114811</v>
      </c>
      <c r="K35" s="184">
        <f t="shared" si="19"/>
        <v>199.79486776662452</v>
      </c>
      <c r="L35" s="184">
        <f t="shared" si="19"/>
        <v>133.24865320400932</v>
      </c>
      <c r="M35" s="184">
        <f t="shared" si="19"/>
        <v>76.417600257746017</v>
      </c>
      <c r="N35" s="184">
        <f t="shared" si="19"/>
        <v>27.87111174218353</v>
      </c>
    </row>
    <row r="36" spans="2:14" s="97" customFormat="1" ht="21" customHeight="1" x14ac:dyDescent="0.35">
      <c r="B36" s="51" t="s">
        <v>411</v>
      </c>
      <c r="C36" s="98"/>
      <c r="D36" s="184">
        <f t="shared" ref="D36:N36" si="20">D33+D34+D35</f>
        <v>0</v>
      </c>
      <c r="E36" s="184">
        <f t="shared" si="20"/>
        <v>0</v>
      </c>
      <c r="F36" s="184">
        <f t="shared" si="20"/>
        <v>4473.5811401937244</v>
      </c>
      <c r="G36" s="184">
        <f t="shared" si="20"/>
        <v>6839.6033655631718</v>
      </c>
      <c r="H36" s="184">
        <f t="shared" si="20"/>
        <v>8955.3222345123904</v>
      </c>
      <c r="I36" s="184">
        <f t="shared" si="20"/>
        <v>9738.3153614965267</v>
      </c>
      <c r="J36" s="184">
        <f t="shared" si="20"/>
        <v>10646.145128187254</v>
      </c>
      <c r="K36" s="184">
        <f t="shared" si="20"/>
        <v>11671.458249329698</v>
      </c>
      <c r="L36" s="184">
        <f t="shared" si="20"/>
        <v>12768.837374285889</v>
      </c>
      <c r="M36" s="184">
        <f t="shared" si="20"/>
        <v>13967.711594034374</v>
      </c>
      <c r="N36" s="184">
        <f t="shared" si="20"/>
        <v>15246.560649848296</v>
      </c>
    </row>
    <row r="37" spans="2:14" s="97" customFormat="1" ht="21" customHeight="1" x14ac:dyDescent="0.35">
      <c r="B37" s="51" t="s">
        <v>58</v>
      </c>
      <c r="C37" s="98"/>
      <c r="D37" s="184">
        <f>'Cash Flow'!C24</f>
        <v>0</v>
      </c>
      <c r="E37" s="184">
        <f>'Cash Flow'!D24</f>
        <v>0</v>
      </c>
      <c r="F37" s="184">
        <f>'Cash Flow'!E24</f>
        <v>0</v>
      </c>
      <c r="G37" s="184">
        <f>'Cash Flow'!F24</f>
        <v>1500</v>
      </c>
      <c r="H37" s="184">
        <f>'Cash Flow'!G24</f>
        <v>1999.9999999999998</v>
      </c>
      <c r="I37" s="184">
        <f>'Cash Flow'!H24</f>
        <v>2500.0000000000005</v>
      </c>
      <c r="J37" s="184">
        <f>'Cash Flow'!I24</f>
        <v>2999.9999999999995</v>
      </c>
      <c r="K37" s="184">
        <f>'Cash Flow'!J24</f>
        <v>2999.9999999999995</v>
      </c>
      <c r="L37" s="184">
        <f>'Cash Flow'!K24</f>
        <v>3500</v>
      </c>
      <c r="M37" s="184">
        <f>'Cash Flow'!L24</f>
        <v>3500</v>
      </c>
      <c r="N37" s="184">
        <f>'Cash Flow'!M24</f>
        <v>1000</v>
      </c>
    </row>
    <row r="38" spans="2:14" s="97" customFormat="1" ht="21" customHeight="1" x14ac:dyDescent="0.35">
      <c r="B38" s="51" t="s">
        <v>412</v>
      </c>
      <c r="C38" s="98"/>
      <c r="D38" s="184">
        <f t="shared" ref="D38:I38" si="21">D36-D37</f>
        <v>0</v>
      </c>
      <c r="E38" s="184">
        <f t="shared" si="21"/>
        <v>0</v>
      </c>
      <c r="F38" s="184">
        <f t="shared" si="21"/>
        <v>4473.5811401937244</v>
      </c>
      <c r="G38" s="184">
        <f t="shared" si="21"/>
        <v>5339.6033655631718</v>
      </c>
      <c r="H38" s="184">
        <f t="shared" si="21"/>
        <v>6955.3222345123904</v>
      </c>
      <c r="I38" s="184">
        <f t="shared" si="21"/>
        <v>7238.3153614965267</v>
      </c>
      <c r="J38" s="184">
        <f t="shared" ref="J38" si="22">J36-J37</f>
        <v>7646.1451281872542</v>
      </c>
      <c r="K38" s="184">
        <f t="shared" ref="K38:L38" si="23">K36-K37</f>
        <v>8671.4582493296984</v>
      </c>
      <c r="L38" s="184">
        <f t="shared" si="23"/>
        <v>9268.8373742858894</v>
      </c>
      <c r="M38" s="184">
        <f t="shared" ref="M38" si="24">M36-M37</f>
        <v>10467.711594034374</v>
      </c>
      <c r="N38" s="184">
        <f t="shared" ref="N38" si="25">N36-N37</f>
        <v>14246.560649848296</v>
      </c>
    </row>
    <row r="39" spans="2:14" s="64" customFormat="1" ht="18.75" customHeight="1" x14ac:dyDescent="0.35">
      <c r="B39" s="127" t="s">
        <v>59</v>
      </c>
      <c r="C39" s="126"/>
      <c r="D39" s="287">
        <f>C39+D38</f>
        <v>0</v>
      </c>
      <c r="E39" s="287">
        <f>D39+E38</f>
        <v>0</v>
      </c>
      <c r="F39" s="287">
        <f t="shared" ref="F39:J39" si="26">E39+F38</f>
        <v>4473.5811401937244</v>
      </c>
      <c r="G39" s="287">
        <f t="shared" si="26"/>
        <v>9813.1845057568971</v>
      </c>
      <c r="H39" s="287">
        <f t="shared" si="26"/>
        <v>16768.506740269288</v>
      </c>
      <c r="I39" s="287">
        <f t="shared" si="26"/>
        <v>24006.822101765814</v>
      </c>
      <c r="J39" s="287">
        <f t="shared" si="26"/>
        <v>31652.967229953068</v>
      </c>
      <c r="K39" s="287">
        <f>J39+K38</f>
        <v>40324.425479282771</v>
      </c>
      <c r="L39" s="287">
        <f>K39+L38</f>
        <v>49593.26285356866</v>
      </c>
      <c r="M39" s="287">
        <f t="shared" ref="M39:N39" si="27">L39+M38</f>
        <v>60060.974447603032</v>
      </c>
      <c r="N39" s="287">
        <f t="shared" si="27"/>
        <v>74307.535097451328</v>
      </c>
    </row>
    <row r="40" spans="2:14" s="97" customFormat="1" ht="21" customHeight="1" x14ac:dyDescent="0.35">
      <c r="B40" s="51"/>
      <c r="C40" s="98"/>
      <c r="D40" s="98"/>
      <c r="E40" s="98"/>
      <c r="F40" s="98"/>
      <c r="G40" s="98"/>
      <c r="H40" s="98"/>
      <c r="I40" s="98"/>
      <c r="J40" s="98"/>
      <c r="K40" s="98"/>
      <c r="L40" s="98"/>
      <c r="M40" s="98"/>
      <c r="N40" s="98"/>
    </row>
    <row r="41" spans="2:14" x14ac:dyDescent="0.35">
      <c r="C41" s="114"/>
      <c r="D41" s="114" t="e">
        <f t="shared" ref="D41:N41" si="28">D23/D9</f>
        <v>#DIV/0!</v>
      </c>
      <c r="E41" s="114" t="e">
        <f t="shared" si="28"/>
        <v>#DIV/0!</v>
      </c>
      <c r="F41" s="114">
        <f t="shared" si="28"/>
        <v>0.39659726666666656</v>
      </c>
      <c r="G41" s="114">
        <f t="shared" si="28"/>
        <v>0.39659726666666661</v>
      </c>
      <c r="H41" s="114">
        <f t="shared" si="28"/>
        <v>0.42467303333333301</v>
      </c>
      <c r="I41" s="114">
        <f t="shared" si="28"/>
        <v>0.42467303333333317</v>
      </c>
      <c r="J41" s="114">
        <f t="shared" si="28"/>
        <v>0.42467303333333306</v>
      </c>
      <c r="K41" s="114">
        <f t="shared" si="28"/>
        <v>0.42467303333333334</v>
      </c>
      <c r="L41" s="114">
        <f t="shared" si="28"/>
        <v>0.42467303333333328</v>
      </c>
      <c r="M41" s="114">
        <f t="shared" si="28"/>
        <v>0.42467303333333328</v>
      </c>
      <c r="N41" s="114">
        <f t="shared" si="28"/>
        <v>0.42467303333333334</v>
      </c>
    </row>
    <row r="42" spans="2:14" x14ac:dyDescent="0.35">
      <c r="C42" s="114"/>
      <c r="D42" s="114" t="e">
        <f t="shared" ref="D42:N42" si="29">D33/D9</f>
        <v>#DIV/0!</v>
      </c>
      <c r="E42" s="114" t="e">
        <f t="shared" si="29"/>
        <v>#DIV/0!</v>
      </c>
      <c r="F42" s="114">
        <f t="shared" si="29"/>
        <v>0.19350653359292808</v>
      </c>
      <c r="G42" s="114">
        <f t="shared" si="29"/>
        <v>0.21830172869692788</v>
      </c>
      <c r="H42" s="114">
        <f t="shared" si="29"/>
        <v>0.2644746846843995</v>
      </c>
      <c r="I42" s="114">
        <f t="shared" si="29"/>
        <v>0.28201199499456203</v>
      </c>
      <c r="J42" s="114">
        <f t="shared" si="29"/>
        <v>0.30079891813756959</v>
      </c>
      <c r="K42" s="114">
        <f t="shared" si="29"/>
        <v>0.32035438524131737</v>
      </c>
      <c r="L42" s="114">
        <f t="shared" si="29"/>
        <v>0.33913974408185221</v>
      </c>
      <c r="M42" s="114">
        <f t="shared" si="29"/>
        <v>0.35796598372091393</v>
      </c>
      <c r="N42" s="114">
        <f t="shared" si="29"/>
        <v>0.3761319599373662</v>
      </c>
    </row>
    <row r="46" spans="2:14" x14ac:dyDescent="0.35">
      <c r="B46" s="215" t="s">
        <v>609</v>
      </c>
      <c r="C46" s="115"/>
      <c r="D46" s="115">
        <f t="shared" ref="D46:N46" si="30">D9</f>
        <v>0</v>
      </c>
      <c r="E46" s="115">
        <f t="shared" si="30"/>
        <v>0</v>
      </c>
      <c r="F46" s="115">
        <f t="shared" si="30"/>
        <v>14883.75</v>
      </c>
      <c r="G46" s="115">
        <f t="shared" si="30"/>
        <v>23814</v>
      </c>
      <c r="H46" s="115">
        <f t="shared" si="30"/>
        <v>28130.287499999999</v>
      </c>
      <c r="I46" s="115">
        <f t="shared" si="30"/>
        <v>29536.801875000005</v>
      </c>
      <c r="J46" s="115">
        <f t="shared" si="30"/>
        <v>31013.641968749998</v>
      </c>
      <c r="K46" s="115">
        <f t="shared" si="30"/>
        <v>32564.32406718751</v>
      </c>
      <c r="L46" s="115">
        <f t="shared" si="30"/>
        <v>34192.540270546888</v>
      </c>
      <c r="M46" s="115">
        <f t="shared" si="30"/>
        <v>35902.167284074232</v>
      </c>
      <c r="N46" s="115">
        <f t="shared" si="30"/>
        <v>37697.275648277944</v>
      </c>
    </row>
    <row r="47" spans="2:14" x14ac:dyDescent="0.35">
      <c r="B47" s="215" t="s">
        <v>608</v>
      </c>
      <c r="D47" s="115">
        <f t="shared" ref="D47:N47" si="31">D23</f>
        <v>0</v>
      </c>
      <c r="E47" s="115">
        <f t="shared" si="31"/>
        <v>0</v>
      </c>
      <c r="F47" s="115">
        <f t="shared" si="31"/>
        <v>5902.8545677499988</v>
      </c>
      <c r="G47" s="115">
        <f t="shared" si="31"/>
        <v>9444.5673083999991</v>
      </c>
      <c r="H47" s="115">
        <f t="shared" si="31"/>
        <v>11946.174521163741</v>
      </c>
      <c r="I47" s="115">
        <f t="shared" si="31"/>
        <v>12543.483247221935</v>
      </c>
      <c r="J47" s="115">
        <f t="shared" si="31"/>
        <v>13170.657409583026</v>
      </c>
      <c r="K47" s="115">
        <f t="shared" si="31"/>
        <v>13829.19028006219</v>
      </c>
      <c r="L47" s="115">
        <f t="shared" si="31"/>
        <v>14520.649794065299</v>
      </c>
      <c r="M47" s="115">
        <f t="shared" si="31"/>
        <v>15246.682283768565</v>
      </c>
      <c r="N47" s="115">
        <f t="shared" si="31"/>
        <v>16009.016397956995</v>
      </c>
    </row>
    <row r="48" spans="2:14" x14ac:dyDescent="0.35">
      <c r="B48" s="215" t="s">
        <v>550</v>
      </c>
      <c r="D48" s="115">
        <f t="shared" ref="D48:N48" si="32">D47-D28</f>
        <v>0</v>
      </c>
      <c r="E48" s="115">
        <f t="shared" si="32"/>
        <v>0</v>
      </c>
      <c r="F48" s="115">
        <f t="shared" si="32"/>
        <v>5123.2000445848607</v>
      </c>
      <c r="G48" s="115">
        <f t="shared" si="32"/>
        <v>8405.0279441798157</v>
      </c>
      <c r="H48" s="115">
        <f t="shared" si="32"/>
        <v>10906.635156943557</v>
      </c>
      <c r="I48" s="115">
        <f t="shared" si="32"/>
        <v>11503.943883001752</v>
      </c>
      <c r="J48" s="115">
        <f t="shared" si="32"/>
        <v>12131.118045362842</v>
      </c>
      <c r="K48" s="115">
        <f t="shared" si="32"/>
        <v>12789.650915842007</v>
      </c>
      <c r="L48" s="115">
        <f t="shared" si="32"/>
        <v>13481.110429845116</v>
      </c>
      <c r="M48" s="115">
        <f t="shared" si="32"/>
        <v>14207.142919548382</v>
      </c>
      <c r="N48" s="115">
        <f t="shared" si="32"/>
        <v>14969.477033736812</v>
      </c>
    </row>
    <row r="49" spans="2:14" x14ac:dyDescent="0.35">
      <c r="B49" s="215" t="s">
        <v>56</v>
      </c>
      <c r="D49" s="115">
        <f t="shared" ref="D49:N49" si="33">D33</f>
        <v>0</v>
      </c>
      <c r="E49" s="115">
        <f t="shared" si="33"/>
        <v>0</v>
      </c>
      <c r="F49" s="115">
        <f t="shared" si="33"/>
        <v>2880.1028693637431</v>
      </c>
      <c r="G49" s="115">
        <f t="shared" si="33"/>
        <v>5198.6373671886404</v>
      </c>
      <c r="H49" s="115">
        <f t="shared" si="33"/>
        <v>7439.7489166440037</v>
      </c>
      <c r="I49" s="115">
        <f t="shared" si="33"/>
        <v>8329.7324225278717</v>
      </c>
      <c r="J49" s="115">
        <f t="shared" si="33"/>
        <v>9328.8699517059231</v>
      </c>
      <c r="K49" s="115">
        <f t="shared" si="33"/>
        <v>10432.124017342891</v>
      </c>
      <c r="L49" s="115">
        <f t="shared" si="33"/>
        <v>11596.049356861697</v>
      </c>
      <c r="M49" s="115">
        <f t="shared" si="33"/>
        <v>12851.754629556444</v>
      </c>
      <c r="N49" s="115">
        <f t="shared" si="33"/>
        <v>14179.15017388593</v>
      </c>
    </row>
    <row r="50" spans="2:14" x14ac:dyDescent="0.35">
      <c r="B50" s="215"/>
    </row>
    <row r="51" spans="2:14" x14ac:dyDescent="0.35">
      <c r="B51" s="215" t="s">
        <v>610</v>
      </c>
      <c r="D51" s="288" t="e">
        <f>D47/D46</f>
        <v>#DIV/0!</v>
      </c>
      <c r="E51" s="288" t="e">
        <f t="shared" ref="E51:J51" si="34">E47/E46</f>
        <v>#DIV/0!</v>
      </c>
      <c r="F51" s="288">
        <f t="shared" si="34"/>
        <v>0.39659726666666656</v>
      </c>
      <c r="G51" s="288">
        <f t="shared" si="34"/>
        <v>0.39659726666666661</v>
      </c>
      <c r="H51" s="288">
        <f t="shared" si="34"/>
        <v>0.42467303333333301</v>
      </c>
      <c r="I51" s="288">
        <f t="shared" si="34"/>
        <v>0.42467303333333317</v>
      </c>
      <c r="J51" s="288">
        <f t="shared" si="34"/>
        <v>0.42467303333333306</v>
      </c>
      <c r="K51" s="288">
        <f t="shared" ref="K51:L51" si="35">K47/K46</f>
        <v>0.42467303333333334</v>
      </c>
      <c r="L51" s="288">
        <f t="shared" si="35"/>
        <v>0.42467303333333328</v>
      </c>
      <c r="M51" s="288">
        <f t="shared" ref="M51:N51" si="36">M47/M46</f>
        <v>0.42467303333333328</v>
      </c>
      <c r="N51" s="288">
        <f t="shared" si="36"/>
        <v>0.42467303333333334</v>
      </c>
    </row>
    <row r="52" spans="2:14" x14ac:dyDescent="0.35">
      <c r="B52" s="215" t="s">
        <v>614</v>
      </c>
      <c r="D52" s="1003">
        <f>AVERAGE(F51:N51)</f>
        <v>0.4184339740740739</v>
      </c>
      <c r="E52" s="1003"/>
      <c r="F52" s="1003"/>
      <c r="G52" s="1003"/>
      <c r="H52" s="1003"/>
      <c r="I52" s="1003"/>
      <c r="J52" s="1003"/>
      <c r="K52" s="1003"/>
      <c r="L52" s="1003"/>
      <c r="M52" s="1003"/>
      <c r="N52" s="1003"/>
    </row>
    <row r="53" spans="2:14" x14ac:dyDescent="0.35">
      <c r="B53" s="215" t="s">
        <v>611</v>
      </c>
      <c r="D53" s="288" t="e">
        <f>D48/D46</f>
        <v>#DIV/0!</v>
      </c>
      <c r="E53" s="288" t="e">
        <f t="shared" ref="E53:K53" si="37">E48/E46</f>
        <v>#DIV/0!</v>
      </c>
      <c r="F53" s="288">
        <f t="shared" si="37"/>
        <v>0.34421433070193069</v>
      </c>
      <c r="G53" s="288">
        <f t="shared" si="37"/>
        <v>0.35294482002938671</v>
      </c>
      <c r="H53" s="288">
        <f t="shared" si="37"/>
        <v>0.38771858115362517</v>
      </c>
      <c r="I53" s="288">
        <f t="shared" si="37"/>
        <v>0.38947831697170665</v>
      </c>
      <c r="J53" s="288">
        <f t="shared" si="37"/>
        <v>0.39115425584606972</v>
      </c>
      <c r="K53" s="288">
        <f t="shared" si="37"/>
        <v>0.39275038810736823</v>
      </c>
      <c r="L53" s="288">
        <f t="shared" ref="L53:N53" si="38">L48/L46</f>
        <v>0.39427051407050939</v>
      </c>
      <c r="M53" s="288">
        <f t="shared" si="38"/>
        <v>0.39571825308302483</v>
      </c>
      <c r="N53" s="288">
        <f t="shared" si="38"/>
        <v>0.39709705214256341</v>
      </c>
    </row>
    <row r="54" spans="2:14" x14ac:dyDescent="0.35">
      <c r="B54" s="215" t="s">
        <v>614</v>
      </c>
      <c r="D54" s="1003">
        <f>AVERAGE(F53:N53)</f>
        <v>0.38281627912290944</v>
      </c>
      <c r="E54" s="1003"/>
      <c r="F54" s="1003"/>
      <c r="G54" s="1003"/>
      <c r="H54" s="1003"/>
      <c r="I54" s="1003"/>
      <c r="J54" s="1003"/>
      <c r="K54" s="1003"/>
      <c r="L54" s="1003"/>
      <c r="M54" s="1003"/>
      <c r="N54" s="1003"/>
    </row>
    <row r="55" spans="2:14" x14ac:dyDescent="0.35">
      <c r="B55" s="215" t="s">
        <v>612</v>
      </c>
      <c r="D55" s="288" t="e">
        <f>D49/D46</f>
        <v>#DIV/0!</v>
      </c>
      <c r="E55" s="288" t="e">
        <f t="shared" ref="E55:K55" si="39">E49/E46</f>
        <v>#DIV/0!</v>
      </c>
      <c r="F55" s="288">
        <f t="shared" si="39"/>
        <v>0.19350653359292808</v>
      </c>
      <c r="G55" s="288">
        <f t="shared" si="39"/>
        <v>0.21830172869692788</v>
      </c>
      <c r="H55" s="288">
        <f t="shared" si="39"/>
        <v>0.2644746846843995</v>
      </c>
      <c r="I55" s="288">
        <f t="shared" si="39"/>
        <v>0.28201199499456203</v>
      </c>
      <c r="J55" s="288">
        <f t="shared" si="39"/>
        <v>0.30079891813756959</v>
      </c>
      <c r="K55" s="288">
        <f t="shared" si="39"/>
        <v>0.32035438524131737</v>
      </c>
      <c r="L55" s="288">
        <f t="shared" ref="L55:N55" si="40">L49/L46</f>
        <v>0.33913974408185221</v>
      </c>
      <c r="M55" s="288">
        <f t="shared" si="40"/>
        <v>0.35796598372091393</v>
      </c>
      <c r="N55" s="288">
        <f t="shared" si="40"/>
        <v>0.3761319599373662</v>
      </c>
    </row>
    <row r="56" spans="2:14" x14ac:dyDescent="0.35">
      <c r="B56" s="215" t="s">
        <v>614</v>
      </c>
      <c r="D56" s="1003">
        <f>AVERAGE(F55:M55)</f>
        <v>0.28456924664380884</v>
      </c>
      <c r="E56" s="1003"/>
      <c r="F56" s="1003"/>
      <c r="G56" s="1003"/>
      <c r="H56" s="1003"/>
      <c r="I56" s="1003"/>
      <c r="J56" s="1003"/>
      <c r="K56" s="1003"/>
      <c r="L56" s="1003"/>
      <c r="M56" s="1003"/>
      <c r="N56" s="1003"/>
    </row>
    <row r="57" spans="2:14" x14ac:dyDescent="0.35">
      <c r="B57" s="215" t="s">
        <v>613</v>
      </c>
      <c r="D57" s="216"/>
      <c r="E57" s="288" t="e">
        <f>E46/(D46)-1</f>
        <v>#DIV/0!</v>
      </c>
      <c r="F57" s="288" t="e">
        <f t="shared" ref="F57:J57" si="41">F46/E46-1</f>
        <v>#DIV/0!</v>
      </c>
      <c r="G57" s="288">
        <f t="shared" si="41"/>
        <v>0.60000000000000009</v>
      </c>
      <c r="H57" s="288">
        <f t="shared" si="41"/>
        <v>0.18124999999999991</v>
      </c>
      <c r="I57" s="288">
        <f t="shared" si="41"/>
        <v>5.0000000000000266E-2</v>
      </c>
      <c r="J57" s="288">
        <f t="shared" si="41"/>
        <v>4.9999999999999822E-2</v>
      </c>
      <c r="K57" s="288">
        <f>K46/J46-1</f>
        <v>5.0000000000000488E-2</v>
      </c>
      <c r="L57" s="288">
        <f>L46/K46-1</f>
        <v>5.0000000000000044E-2</v>
      </c>
      <c r="M57" s="288">
        <f t="shared" ref="M57:N57" si="42">M46/L46-1</f>
        <v>5.0000000000000044E-2</v>
      </c>
      <c r="N57" s="288">
        <f t="shared" si="42"/>
        <v>5.0000000000000044E-2</v>
      </c>
    </row>
    <row r="58" spans="2:14" x14ac:dyDescent="0.35">
      <c r="B58" s="215" t="s">
        <v>614</v>
      </c>
      <c r="D58" s="1003">
        <f>AVERAGE(G57:N57)</f>
        <v>0.13515625000000009</v>
      </c>
      <c r="E58" s="1003"/>
      <c r="F58" s="1003"/>
      <c r="G58" s="1003"/>
      <c r="H58" s="1003"/>
      <c r="I58" s="1003"/>
      <c r="J58" s="1003"/>
      <c r="K58" s="1003"/>
      <c r="L58" s="1003"/>
      <c r="M58" s="1003"/>
      <c r="N58" s="1003"/>
    </row>
  </sheetData>
  <customSheetViews>
    <customSheetView guid="{22475485-DA09-46DB-978D-BB94CE1E5597}" hiddenRows="1">
      <pane xSplit="1" ySplit="4" topLeftCell="B5" activePane="bottomRight" state="frozen"/>
      <selection pane="bottomRight" activeCell="D3" sqref="D3"/>
      <pageMargins left="0.7" right="0.7" top="0.75" bottom="0.75" header="0.3" footer="0.3"/>
      <pageSetup paperSize="9" orientation="landscape" verticalDpi="300" r:id="rId1"/>
    </customSheetView>
  </customSheetViews>
  <mergeCells count="4">
    <mergeCell ref="D52:N52"/>
    <mergeCell ref="D54:N54"/>
    <mergeCell ref="D56:N56"/>
    <mergeCell ref="D58:N58"/>
  </mergeCells>
  <dataValidations count="1">
    <dataValidation type="list" allowBlank="1" showInputMessage="1" showErrorMessage="1" sqref="A12 A9" xr:uid="{00000000-0002-0000-0500-000000000000}">
      <formula1>"0%,10%"</formula1>
    </dataValidation>
  </dataValidations>
  <pageMargins left="0.7" right="0.7" top="0.75" bottom="0.75" header="0.3" footer="0.3"/>
  <pageSetup paperSize="9" orientation="landscape" vertic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7" tint="-0.249977111117893"/>
  </sheetPr>
  <dimension ref="B1:M35"/>
  <sheetViews>
    <sheetView showGridLines="0" tabSelected="1" zoomScaleNormal="99" workbookViewId="0">
      <pane xSplit="2" ySplit="3" topLeftCell="E28" activePane="bottomRight" state="frozen"/>
      <selection activeCell="B8" sqref="B8"/>
      <selection pane="topRight" activeCell="B8" sqref="B8"/>
      <selection pane="bottomLeft" activeCell="B8" sqref="B8"/>
      <selection pane="bottomRight" activeCell="M35" sqref="M35"/>
    </sheetView>
  </sheetViews>
  <sheetFormatPr defaultColWidth="32.26953125" defaultRowHeight="14.5" x14ac:dyDescent="0.35"/>
  <cols>
    <col min="1" max="1" width="4.81640625" style="96" customWidth="1"/>
    <col min="2" max="2" width="40.453125" style="51" customWidth="1"/>
    <col min="3" max="5" width="12.7265625" style="96" customWidth="1"/>
    <col min="6" max="10" width="12.7265625" style="44" customWidth="1"/>
    <col min="11" max="13" width="12.7265625" style="96" customWidth="1"/>
    <col min="14" max="16384" width="32.26953125" style="96"/>
  </cols>
  <sheetData>
    <row r="1" spans="2:13" ht="15.75" customHeight="1" x14ac:dyDescent="0.35">
      <c r="E1" s="96" t="s">
        <v>1845</v>
      </c>
    </row>
    <row r="2" spans="2:13" s="97" customFormat="1" ht="19.5" customHeight="1" x14ac:dyDescent="0.35">
      <c r="B2" s="137" t="s">
        <v>779</v>
      </c>
      <c r="C2" s="137"/>
      <c r="D2" s="137"/>
      <c r="E2" s="137"/>
      <c r="F2" s="137"/>
      <c r="G2" s="137"/>
      <c r="H2" s="137"/>
      <c r="I2" s="137"/>
      <c r="J2" s="137"/>
      <c r="K2" s="137"/>
      <c r="L2" s="137"/>
      <c r="M2" s="137"/>
    </row>
    <row r="3" spans="2:13" s="58" customFormat="1" ht="21" customHeight="1" x14ac:dyDescent="0.35">
      <c r="B3" s="118" t="s">
        <v>11</v>
      </c>
      <c r="C3" s="94">
        <v>2025</v>
      </c>
      <c r="D3" s="94">
        <f t="shared" ref="D3:I3" si="0">C3+1</f>
        <v>2026</v>
      </c>
      <c r="E3" s="94">
        <f t="shared" si="0"/>
        <v>2027</v>
      </c>
      <c r="F3" s="94">
        <f t="shared" si="0"/>
        <v>2028</v>
      </c>
      <c r="G3" s="94">
        <f t="shared" si="0"/>
        <v>2029</v>
      </c>
      <c r="H3" s="94">
        <f t="shared" si="0"/>
        <v>2030</v>
      </c>
      <c r="I3" s="94">
        <f t="shared" si="0"/>
        <v>2031</v>
      </c>
      <c r="J3" s="94">
        <f>I3+1</f>
        <v>2032</v>
      </c>
      <c r="K3" s="94">
        <f t="shared" ref="K3" si="1">J3+1</f>
        <v>2033</v>
      </c>
      <c r="L3" s="94">
        <f t="shared" ref="L3:M3" si="2">K3+1</f>
        <v>2034</v>
      </c>
      <c r="M3" s="94">
        <f t="shared" si="2"/>
        <v>2035</v>
      </c>
    </row>
    <row r="4" spans="2:13" s="58" customFormat="1" ht="21" customHeight="1" x14ac:dyDescent="0.35">
      <c r="B4" s="110" t="s">
        <v>366</v>
      </c>
      <c r="C4" s="71" t="s">
        <v>795</v>
      </c>
      <c r="D4" s="71" t="s">
        <v>795</v>
      </c>
      <c r="E4" s="71" t="s">
        <v>1849</v>
      </c>
      <c r="F4" s="71" t="s">
        <v>507</v>
      </c>
      <c r="G4" s="71" t="s">
        <v>507</v>
      </c>
      <c r="H4" s="71" t="s">
        <v>507</v>
      </c>
      <c r="I4" s="71" t="s">
        <v>507</v>
      </c>
      <c r="J4" s="71" t="s">
        <v>507</v>
      </c>
      <c r="K4" s="71" t="s">
        <v>507</v>
      </c>
      <c r="L4" s="71" t="s">
        <v>507</v>
      </c>
      <c r="M4" s="71" t="s">
        <v>507</v>
      </c>
    </row>
    <row r="5" spans="2:13" s="97" customFormat="1" ht="21" customHeight="1" x14ac:dyDescent="0.35">
      <c r="B5" s="106" t="s">
        <v>38</v>
      </c>
      <c r="F5" s="44"/>
      <c r="G5" s="44"/>
      <c r="H5" s="44"/>
      <c r="I5" s="44"/>
      <c r="J5" s="44"/>
      <c r="K5" s="44"/>
      <c r="L5" s="44"/>
      <c r="M5" s="44"/>
    </row>
    <row r="6" spans="2:13" s="97" customFormat="1" ht="21" customHeight="1" x14ac:dyDescent="0.35">
      <c r="B6" s="51" t="s">
        <v>538</v>
      </c>
      <c r="C6" s="184">
        <f>'CoP-MoF'!D20*0+2500</f>
        <v>2500</v>
      </c>
      <c r="D6" s="184">
        <f>C6+5000</f>
        <v>7500</v>
      </c>
      <c r="E6" s="184">
        <f>D6+2500</f>
        <v>10000</v>
      </c>
      <c r="F6" s="184">
        <f t="shared" ref="F6:I6" si="3">E6</f>
        <v>10000</v>
      </c>
      <c r="G6" s="184">
        <f t="shared" si="3"/>
        <v>10000</v>
      </c>
      <c r="H6" s="184">
        <f t="shared" si="3"/>
        <v>10000</v>
      </c>
      <c r="I6" s="184">
        <f t="shared" si="3"/>
        <v>10000</v>
      </c>
      <c r="J6" s="184">
        <f>I6</f>
        <v>10000</v>
      </c>
      <c r="K6" s="184">
        <f t="shared" ref="K6" si="4">J6</f>
        <v>10000</v>
      </c>
      <c r="L6" s="184">
        <f t="shared" ref="L6:M6" si="5">K6</f>
        <v>10000</v>
      </c>
      <c r="M6" s="184">
        <f t="shared" si="5"/>
        <v>10000</v>
      </c>
    </row>
    <row r="7" spans="2:13" s="97" customFormat="1" ht="21" customHeight="1" x14ac:dyDescent="0.35">
      <c r="B7" s="51" t="s">
        <v>400</v>
      </c>
      <c r="C7" s="184">
        <f>'P &amp; L'!D33</f>
        <v>0</v>
      </c>
      <c r="D7" s="184">
        <f>C7+'P &amp; L'!E33</f>
        <v>0</v>
      </c>
      <c r="E7" s="184">
        <f>D7+'P &amp; L'!F33</f>
        <v>2880.1028693637431</v>
      </c>
      <c r="F7" s="184">
        <f>E7+'P &amp; L'!G33</f>
        <v>8078.7402365523831</v>
      </c>
      <c r="G7" s="184">
        <f>F7+'P &amp; L'!H33</f>
        <v>15518.489153196388</v>
      </c>
      <c r="H7" s="184">
        <f>G7+'P &amp; L'!I33</f>
        <v>23848.221575724259</v>
      </c>
      <c r="I7" s="184">
        <f>H7+'P &amp; L'!J33</f>
        <v>33177.091527430181</v>
      </c>
      <c r="J7" s="184">
        <f>I7+'P &amp; L'!K33</f>
        <v>43609.215544773069</v>
      </c>
      <c r="K7" s="184">
        <f>J7+'P &amp; L'!L33</f>
        <v>55205.264901634764</v>
      </c>
      <c r="L7" s="184">
        <f>K7+'P &amp; L'!M33</f>
        <v>68057.01953119121</v>
      </c>
      <c r="M7" s="184">
        <f>L7+'P &amp; L'!N33</f>
        <v>82236.169705077133</v>
      </c>
    </row>
    <row r="8" spans="2:13" s="97" customFormat="1" ht="21" customHeight="1" x14ac:dyDescent="0.35">
      <c r="B8" s="51" t="s">
        <v>399</v>
      </c>
      <c r="C8" s="184">
        <f>'Cash Flow'!C9-C13-'Cash Flow'!C24</f>
        <v>0</v>
      </c>
      <c r="D8" s="184">
        <f>C8+'Cash Flow'!D9-D13</f>
        <v>10499.999999999998</v>
      </c>
      <c r="E8" s="184">
        <f>D8+'Cash Flow'!E9-E13</f>
        <v>18499.999999999996</v>
      </c>
      <c r="F8" s="184">
        <f>E8+'Cash Flow'!F9-F13</f>
        <v>16499.999999999996</v>
      </c>
      <c r="G8" s="184">
        <f>F8+'Cash Flow'!G9-G13</f>
        <v>13999.999999999996</v>
      </c>
      <c r="H8" s="184">
        <f>G8+'Cash Flow'!H9-H13</f>
        <v>10999.999999999996</v>
      </c>
      <c r="I8" s="184">
        <f>H8+'Cash Flow'!I9-I13</f>
        <v>7999.9999999999964</v>
      </c>
      <c r="J8" s="184">
        <f>I8+'Cash Flow'!J9-J13</f>
        <v>4499.9999999999964</v>
      </c>
      <c r="K8" s="184">
        <f>J8+'Cash Flow'!K9-K13</f>
        <v>999.99999999999636</v>
      </c>
      <c r="L8" s="184">
        <f>K8+'Cash Flow'!L9-L13</f>
        <v>-3.637978807091713E-12</v>
      </c>
      <c r="M8" s="184">
        <f>L8+'Cash Flow'!M9-M13</f>
        <v>-3.637978807091713E-12</v>
      </c>
    </row>
    <row r="9" spans="2:13" s="97" customFormat="1" ht="21" customHeight="1" x14ac:dyDescent="0.35">
      <c r="B9" s="51" t="s">
        <v>787</v>
      </c>
      <c r="C9" s="285">
        <f>'Balance Sheet'!B12*100</f>
        <v>2500</v>
      </c>
      <c r="D9" s="285">
        <f>'Balance Sheet'!C12*100</f>
        <v>2500</v>
      </c>
      <c r="E9" s="285">
        <f>'Balance Sheet'!D12</f>
        <v>0</v>
      </c>
      <c r="F9" s="285">
        <f>'Balance Sheet'!E12</f>
        <v>0</v>
      </c>
      <c r="G9" s="285">
        <f>'Balance Sheet'!F12</f>
        <v>0</v>
      </c>
      <c r="H9" s="285">
        <f>'Balance Sheet'!G12</f>
        <v>0</v>
      </c>
      <c r="I9" s="285">
        <f>'Balance Sheet'!H12</f>
        <v>0</v>
      </c>
      <c r="J9" s="285">
        <f>'Balance Sheet'!I12</f>
        <v>0</v>
      </c>
      <c r="K9" s="285">
        <f>'Balance Sheet'!J12</f>
        <v>0</v>
      </c>
      <c r="L9" s="285">
        <f>'Balance Sheet'!K12</f>
        <v>0</v>
      </c>
      <c r="M9" s="285">
        <f>'Balance Sheet'!L12</f>
        <v>0</v>
      </c>
    </row>
    <row r="10" spans="2:13" s="97" customFormat="1" ht="21" customHeight="1" x14ac:dyDescent="0.35">
      <c r="B10" s="51" t="s">
        <v>1982</v>
      </c>
      <c r="C10" s="285">
        <v>0</v>
      </c>
      <c r="D10" s="285">
        <v>0</v>
      </c>
      <c r="E10" s="285">
        <f>-Depr!C49</f>
        <v>813.82374766484406</v>
      </c>
      <c r="F10" s="285">
        <f>-Depr!D49</f>
        <v>1415.2503818191922</v>
      </c>
      <c r="G10" s="285">
        <f>-Depr!E49</f>
        <v>1891.2843354673937</v>
      </c>
      <c r="H10" s="285">
        <f>-Depr!F49</f>
        <v>2260.3279102158663</v>
      </c>
      <c r="I10" s="285">
        <f>-Depr!G49</f>
        <v>2538.0637224770144</v>
      </c>
      <c r="J10" s="285">
        <f>-Depr!H49</f>
        <v>2737.8585902436389</v>
      </c>
      <c r="K10" s="285">
        <f>-Depr!I49</f>
        <v>2871.1072434476482</v>
      </c>
      <c r="L10" s="285">
        <f>-Depr!J49</f>
        <v>2947.5248437053942</v>
      </c>
      <c r="M10" s="285">
        <f>-Depr!K49</f>
        <v>2975.3959554475778</v>
      </c>
    </row>
    <row r="11" spans="2:13" s="97" customFormat="1" ht="21" customHeight="1" x14ac:dyDescent="0.35">
      <c r="B11" s="106" t="s">
        <v>380</v>
      </c>
      <c r="C11" s="184"/>
      <c r="D11" s="285"/>
      <c r="E11" s="184"/>
      <c r="F11" s="184"/>
      <c r="G11" s="184"/>
      <c r="H11" s="184"/>
      <c r="I11" s="184"/>
      <c r="J11" s="184"/>
      <c r="K11" s="184"/>
      <c r="L11" s="184"/>
      <c r="M11" s="184"/>
    </row>
    <row r="12" spans="2:13" s="97" customFormat="1" ht="21" customHeight="1" x14ac:dyDescent="0.35">
      <c r="B12" s="565" t="s">
        <v>711</v>
      </c>
      <c r="C12" s="184">
        <f>WC!D26</f>
        <v>0</v>
      </c>
      <c r="D12" s="285">
        <f>WC!E26</f>
        <v>0</v>
      </c>
      <c r="E12" s="184">
        <f>WC!F26</f>
        <v>958.1872702500001</v>
      </c>
      <c r="F12" s="184">
        <f>WC!G26</f>
        <v>1149.8247243000001</v>
      </c>
      <c r="G12" s="184">
        <f>WC!H26</f>
        <v>1298.6666815696881</v>
      </c>
      <c r="H12" s="184">
        <f>WC!I26</f>
        <v>1363.6000156481723</v>
      </c>
      <c r="I12" s="184">
        <f>WC!J26</f>
        <v>1431.7800164305811</v>
      </c>
      <c r="J12" s="184">
        <f>WC!K26</f>
        <v>1503.3690172521101</v>
      </c>
      <c r="K12" s="184">
        <f>WC!L26</f>
        <v>1578.5374681147157</v>
      </c>
      <c r="L12" s="184">
        <f>WC!M26</f>
        <v>1657.4643415204512</v>
      </c>
      <c r="M12" s="184">
        <f>WC!N26</f>
        <v>1740.3375585964739</v>
      </c>
    </row>
    <row r="13" spans="2:13" s="97" customFormat="1" ht="30.75" customHeight="1" x14ac:dyDescent="0.35">
      <c r="B13" s="45" t="s">
        <v>537</v>
      </c>
      <c r="C13" s="184">
        <f>'TL Schd'!E7</f>
        <v>0</v>
      </c>
      <c r="D13" s="285">
        <f>'TL Schd'!F7</f>
        <v>0</v>
      </c>
      <c r="E13" s="184">
        <f>'TL Schd'!G7</f>
        <v>1500</v>
      </c>
      <c r="F13" s="184">
        <f>'TL Schd'!H7</f>
        <v>1999.9999999999998</v>
      </c>
      <c r="G13" s="184">
        <f>'TL Schd'!I7</f>
        <v>2500.0000000000005</v>
      </c>
      <c r="H13" s="184">
        <f>'TL Schd'!J7</f>
        <v>2999.9999999999995</v>
      </c>
      <c r="I13" s="184">
        <f>'TL Schd'!K7</f>
        <v>2999.9999999999995</v>
      </c>
      <c r="J13" s="184">
        <f>'TL Schd'!L7</f>
        <v>3500</v>
      </c>
      <c r="K13" s="184">
        <f>'TL Schd'!M7</f>
        <v>3500</v>
      </c>
      <c r="L13" s="184">
        <f>'TL Schd'!N7</f>
        <v>1000</v>
      </c>
      <c r="M13" s="184">
        <f>'TL Schd'!O7</f>
        <v>0</v>
      </c>
    </row>
    <row r="14" spans="2:13" s="97" customFormat="1" ht="27" customHeight="1" x14ac:dyDescent="0.35">
      <c r="B14" s="45" t="s">
        <v>1761</v>
      </c>
      <c r="C14" s="184">
        <f>WC!D37</f>
        <v>0</v>
      </c>
      <c r="D14" s="184">
        <f>WC!E37</f>
        <v>0</v>
      </c>
      <c r="E14" s="184">
        <f>WC!F37</f>
        <v>1826.6823480937501</v>
      </c>
      <c r="F14" s="184">
        <f>WC!G37</f>
        <v>2192.0188177125001</v>
      </c>
      <c r="G14" s="184">
        <f>WC!H37</f>
        <v>2633.995058930157</v>
      </c>
      <c r="H14" s="184">
        <f>WC!I37</f>
        <v>2765.694811876665</v>
      </c>
      <c r="I14" s="184">
        <f>WC!J37</f>
        <v>2903.9795524704982</v>
      </c>
      <c r="J14" s="184">
        <f>WC!K37</f>
        <v>3049.1785300940237</v>
      </c>
      <c r="K14" s="184">
        <f>WC!L37</f>
        <v>3201.6374565987244</v>
      </c>
      <c r="L14" s="184">
        <f>WC!M37</f>
        <v>3361.7193294286608</v>
      </c>
      <c r="M14" s="184">
        <f>WC!N37</f>
        <v>3529.8052959000938</v>
      </c>
    </row>
    <row r="15" spans="2:13" s="97" customFormat="1" ht="21" customHeight="1" x14ac:dyDescent="0.35">
      <c r="B15" s="117" t="s">
        <v>39</v>
      </c>
      <c r="C15" s="289">
        <f>SUM(C6:C14)</f>
        <v>5000</v>
      </c>
      <c r="D15" s="289">
        <f t="shared" ref="D15:L15" si="6">SUM(D6:D14)</f>
        <v>20500</v>
      </c>
      <c r="E15" s="289">
        <f t="shared" si="6"/>
        <v>36478.796235372334</v>
      </c>
      <c r="F15" s="289">
        <f t="shared" si="6"/>
        <v>41335.834160384067</v>
      </c>
      <c r="G15" s="289">
        <f t="shared" si="6"/>
        <v>47842.435229163624</v>
      </c>
      <c r="H15" s="289">
        <f t="shared" si="6"/>
        <v>54237.844313464957</v>
      </c>
      <c r="I15" s="289">
        <f t="shared" si="6"/>
        <v>61050.914818808276</v>
      </c>
      <c r="J15" s="289">
        <f t="shared" si="6"/>
        <v>68899.621682362835</v>
      </c>
      <c r="K15" s="289">
        <f t="shared" si="6"/>
        <v>77356.547069795852</v>
      </c>
      <c r="L15" s="289">
        <f t="shared" si="6"/>
        <v>87023.72804584571</v>
      </c>
      <c r="M15" s="289">
        <f t="shared" ref="M15" si="7">SUM(M6:M14)</f>
        <v>100481.70851502127</v>
      </c>
    </row>
    <row r="16" spans="2:13" s="97" customFormat="1" ht="21" customHeight="1" x14ac:dyDescent="0.35">
      <c r="B16" s="106" t="s">
        <v>395</v>
      </c>
      <c r="C16" s="184" t="s">
        <v>741</v>
      </c>
      <c r="D16" s="184"/>
      <c r="E16" s="184"/>
      <c r="F16" s="184"/>
      <c r="G16" s="184"/>
      <c r="H16" s="184"/>
      <c r="I16" s="184"/>
      <c r="J16" s="184"/>
      <c r="K16" s="184"/>
      <c r="L16" s="184"/>
      <c r="M16" s="184"/>
    </row>
    <row r="17" spans="2:13" s="97" customFormat="1" ht="14.5" hidden="1" customHeight="1" x14ac:dyDescent="0.35">
      <c r="B17" s="51"/>
      <c r="C17" s="184"/>
      <c r="D17" s="184"/>
      <c r="E17" s="184"/>
      <c r="F17" s="184"/>
      <c r="G17" s="184"/>
      <c r="H17" s="184"/>
      <c r="I17" s="184"/>
      <c r="J17" s="184"/>
      <c r="K17" s="184"/>
      <c r="L17" s="184"/>
      <c r="M17" s="184"/>
    </row>
    <row r="18" spans="2:13" s="97" customFormat="1" ht="14.5" customHeight="1" x14ac:dyDescent="0.35">
      <c r="B18" s="51"/>
      <c r="C18" s="184"/>
      <c r="D18" s="184"/>
      <c r="E18" s="184"/>
      <c r="F18" s="184"/>
      <c r="G18" s="184"/>
      <c r="H18" s="184"/>
      <c r="I18" s="184"/>
      <c r="J18" s="184"/>
      <c r="K18" s="184"/>
      <c r="L18" s="184"/>
      <c r="M18" s="184"/>
    </row>
    <row r="19" spans="2:13" s="97" customFormat="1" ht="14.5" customHeight="1" x14ac:dyDescent="0.35">
      <c r="B19" s="51" t="s">
        <v>782</v>
      </c>
      <c r="C19" s="184">
        <f>Depr!E43</f>
        <v>1200</v>
      </c>
      <c r="D19" s="184">
        <f>C19+Depr!H43</f>
        <v>1200</v>
      </c>
      <c r="E19" s="184">
        <f>D19+Depr!K43</f>
        <v>1200</v>
      </c>
      <c r="F19" s="184">
        <f t="shared" ref="F19:M19" si="8">E19</f>
        <v>1200</v>
      </c>
      <c r="G19" s="184">
        <f t="shared" si="8"/>
        <v>1200</v>
      </c>
      <c r="H19" s="184">
        <f t="shared" si="8"/>
        <v>1200</v>
      </c>
      <c r="I19" s="184">
        <f t="shared" si="8"/>
        <v>1200</v>
      </c>
      <c r="J19" s="184">
        <f t="shared" si="8"/>
        <v>1200</v>
      </c>
      <c r="K19" s="184">
        <f t="shared" si="8"/>
        <v>1200</v>
      </c>
      <c r="L19" s="184">
        <f t="shared" si="8"/>
        <v>1200</v>
      </c>
      <c r="M19" s="184">
        <f t="shared" si="8"/>
        <v>1200</v>
      </c>
    </row>
    <row r="20" spans="2:13" s="97" customFormat="1" ht="21" customHeight="1" x14ac:dyDescent="0.35">
      <c r="B20" s="51" t="s">
        <v>408</v>
      </c>
      <c r="C20" s="184">
        <f>Depr!E44</f>
        <v>1400</v>
      </c>
      <c r="D20" s="184">
        <f>C20+Depr!H44</f>
        <v>3548.3</v>
      </c>
      <c r="E20" s="184">
        <f>D20+Depr!K44</f>
        <v>3548.3</v>
      </c>
      <c r="F20" s="285">
        <f t="shared" ref="F20:I20" si="9">E20</f>
        <v>3548.3</v>
      </c>
      <c r="G20" s="285">
        <f t="shared" si="9"/>
        <v>3548.3</v>
      </c>
      <c r="H20" s="285">
        <f t="shared" si="9"/>
        <v>3548.3</v>
      </c>
      <c r="I20" s="285">
        <f t="shared" si="9"/>
        <v>3548.3</v>
      </c>
      <c r="J20" s="285">
        <f t="shared" ref="J20:J21" si="10">I20</f>
        <v>3548.3</v>
      </c>
      <c r="K20" s="285">
        <f t="shared" ref="K20:K21" si="11">J20</f>
        <v>3548.3</v>
      </c>
      <c r="L20" s="285">
        <f t="shared" ref="L20:M21" si="12">K20</f>
        <v>3548.3</v>
      </c>
      <c r="M20" s="285">
        <f t="shared" si="12"/>
        <v>3548.3</v>
      </c>
    </row>
    <row r="21" spans="2:13" s="97" customFormat="1" ht="21" customHeight="1" x14ac:dyDescent="0.35">
      <c r="B21" s="51" t="s">
        <v>95</v>
      </c>
      <c r="C21" s="184">
        <f>Depr!E45</f>
        <v>2400</v>
      </c>
      <c r="D21" s="184">
        <f>C21+Depr!H45</f>
        <v>15596.7</v>
      </c>
      <c r="E21" s="184">
        <f>D21+Depr!K45</f>
        <v>24403.200000000001</v>
      </c>
      <c r="F21" s="285">
        <f t="shared" ref="F21:I21" si="13">E21</f>
        <v>24403.200000000001</v>
      </c>
      <c r="G21" s="285">
        <f t="shared" si="13"/>
        <v>24403.200000000001</v>
      </c>
      <c r="H21" s="285">
        <f t="shared" si="13"/>
        <v>24403.200000000001</v>
      </c>
      <c r="I21" s="285">
        <f t="shared" si="13"/>
        <v>24403.200000000001</v>
      </c>
      <c r="J21" s="285">
        <f t="shared" si="10"/>
        <v>24403.200000000001</v>
      </c>
      <c r="K21" s="285">
        <f t="shared" si="11"/>
        <v>24403.200000000001</v>
      </c>
      <c r="L21" s="285">
        <f t="shared" si="12"/>
        <v>24403.200000000001</v>
      </c>
      <c r="M21" s="285">
        <f t="shared" si="12"/>
        <v>24403.200000000001</v>
      </c>
    </row>
    <row r="22" spans="2:13" s="97" customFormat="1" ht="21" customHeight="1" x14ac:dyDescent="0.35">
      <c r="B22" s="51" t="s">
        <v>783</v>
      </c>
      <c r="C22" s="285">
        <v>0</v>
      </c>
      <c r="D22" s="285">
        <v>0</v>
      </c>
      <c r="E22" s="285">
        <v>0</v>
      </c>
      <c r="F22" s="285">
        <v>0</v>
      </c>
      <c r="G22" s="285">
        <v>0</v>
      </c>
      <c r="H22" s="285">
        <v>0</v>
      </c>
      <c r="I22" s="285">
        <v>0</v>
      </c>
      <c r="J22" s="285">
        <v>0</v>
      </c>
      <c r="K22" s="285">
        <v>0</v>
      </c>
      <c r="L22" s="285">
        <v>0</v>
      </c>
      <c r="M22" s="285">
        <v>0</v>
      </c>
    </row>
    <row r="23" spans="2:13" s="97" customFormat="1" ht="21" customHeight="1" x14ac:dyDescent="0.35">
      <c r="B23" s="106" t="s">
        <v>397</v>
      </c>
      <c r="C23" s="290">
        <f>SUM(C17:C22)</f>
        <v>5000</v>
      </c>
      <c r="D23" s="290">
        <f t="shared" ref="D23:J23" si="14">SUM(D17:D22)</f>
        <v>20345</v>
      </c>
      <c r="E23" s="290">
        <f t="shared" si="14"/>
        <v>29151.5</v>
      </c>
      <c r="F23" s="290">
        <f t="shared" si="14"/>
        <v>29151.5</v>
      </c>
      <c r="G23" s="290">
        <f t="shared" si="14"/>
        <v>29151.5</v>
      </c>
      <c r="H23" s="290">
        <f t="shared" si="14"/>
        <v>29151.5</v>
      </c>
      <c r="I23" s="290">
        <f t="shared" si="14"/>
        <v>29151.5</v>
      </c>
      <c r="J23" s="290">
        <f t="shared" si="14"/>
        <v>29151.5</v>
      </c>
      <c r="K23" s="290">
        <f t="shared" ref="K23" si="15">SUM(K17:K22)</f>
        <v>29151.5</v>
      </c>
      <c r="L23" s="290">
        <f t="shared" ref="L23:M23" si="16">SUM(L17:L22)</f>
        <v>29151.5</v>
      </c>
      <c r="M23" s="290">
        <f t="shared" si="16"/>
        <v>29151.5</v>
      </c>
    </row>
    <row r="24" spans="2:13" s="97" customFormat="1" ht="21" customHeight="1" x14ac:dyDescent="0.35">
      <c r="B24" s="51" t="s">
        <v>230</v>
      </c>
      <c r="C24" s="184">
        <f>'P &amp; L'!D28</f>
        <v>0</v>
      </c>
      <c r="D24" s="184">
        <f>C24+'P &amp; L'!E28</f>
        <v>0</v>
      </c>
      <c r="E24" s="184">
        <f>D24+'P &amp; L'!F28</f>
        <v>779.65452316513756</v>
      </c>
      <c r="F24" s="184">
        <f>E24+'P &amp; L'!G28</f>
        <v>1819.193887385321</v>
      </c>
      <c r="G24" s="184">
        <f>F24+'P &amp; L'!H28</f>
        <v>2858.7332516055044</v>
      </c>
      <c r="H24" s="184">
        <f>G24+'P &amp; L'!I28</f>
        <v>3898.2726158256878</v>
      </c>
      <c r="I24" s="184">
        <f>H24+'P &amp; L'!J28</f>
        <v>4937.8119800458717</v>
      </c>
      <c r="J24" s="184">
        <f>I24+'P &amp; L'!K28</f>
        <v>5977.3513442660551</v>
      </c>
      <c r="K24" s="184">
        <f>J24+'P &amp; L'!L28</f>
        <v>7016.8907084862385</v>
      </c>
      <c r="L24" s="184">
        <f>K24+'P &amp; L'!M28</f>
        <v>8056.4300727064219</v>
      </c>
      <c r="M24" s="184">
        <f>L24+'P &amp; L'!N28</f>
        <v>9095.9694369266053</v>
      </c>
    </row>
    <row r="25" spans="2:13" s="97" customFormat="1" ht="21" customHeight="1" x14ac:dyDescent="0.35">
      <c r="B25" s="106" t="s">
        <v>409</v>
      </c>
      <c r="C25" s="290">
        <f t="shared" ref="C25:H25" si="17">C23-C24</f>
        <v>5000</v>
      </c>
      <c r="D25" s="290">
        <f t="shared" si="17"/>
        <v>20345</v>
      </c>
      <c r="E25" s="290">
        <f t="shared" si="17"/>
        <v>28371.845476834864</v>
      </c>
      <c r="F25" s="290">
        <f t="shared" si="17"/>
        <v>27332.306112614679</v>
      </c>
      <c r="G25" s="290">
        <f t="shared" si="17"/>
        <v>26292.766748394497</v>
      </c>
      <c r="H25" s="290">
        <f t="shared" si="17"/>
        <v>25253.227384174312</v>
      </c>
      <c r="I25" s="290">
        <f t="shared" ref="I25:J25" si="18">I23-I24</f>
        <v>24213.688019954127</v>
      </c>
      <c r="J25" s="290">
        <f t="shared" si="18"/>
        <v>23174.148655733945</v>
      </c>
      <c r="K25" s="290">
        <f t="shared" ref="K25" si="19">K23-K24</f>
        <v>22134.609291513763</v>
      </c>
      <c r="L25" s="290">
        <f t="shared" ref="L25:M25" si="20">L23-L24</f>
        <v>21095.069927293578</v>
      </c>
      <c r="M25" s="290">
        <f t="shared" si="20"/>
        <v>20055.530563073393</v>
      </c>
    </row>
    <row r="26" spans="2:13" s="97" customFormat="1" ht="21" customHeight="1" x14ac:dyDescent="0.35">
      <c r="B26" s="564" t="s">
        <v>398</v>
      </c>
      <c r="C26" s="290">
        <f t="shared" ref="C26:L26" si="21">SUM(C27:C31)</f>
        <v>0</v>
      </c>
      <c r="D26" s="290">
        <f t="shared" si="21"/>
        <v>56.499999999998181</v>
      </c>
      <c r="E26" s="290">
        <f t="shared" si="21"/>
        <v>8023.2257585374709</v>
      </c>
      <c r="F26" s="290">
        <f t="shared" si="21"/>
        <v>13939.503047769394</v>
      </c>
      <c r="G26" s="290">
        <f t="shared" si="21"/>
        <v>21505.343480769126</v>
      </c>
      <c r="H26" s="290">
        <f t="shared" si="21"/>
        <v>28959.991929290645</v>
      </c>
      <c r="I26" s="290">
        <f t="shared" si="21"/>
        <v>36832.301798854147</v>
      </c>
      <c r="J26" s="290">
        <f t="shared" si="21"/>
        <v>45725.473026628897</v>
      </c>
      <c r="K26" s="290">
        <f t="shared" si="21"/>
        <v>55221.937778282088</v>
      </c>
      <c r="L26" s="290">
        <f t="shared" si="21"/>
        <v>65928.65811855215</v>
      </c>
      <c r="M26" s="290">
        <f t="shared" ref="M26" si="22">SUM(M27:M31)</f>
        <v>80426.177951947902</v>
      </c>
    </row>
    <row r="27" spans="2:13" s="97" customFormat="1" ht="21" customHeight="1" x14ac:dyDescent="0.35">
      <c r="B27" s="565" t="s">
        <v>376</v>
      </c>
      <c r="C27" s="184">
        <f>WC!D29</f>
        <v>0</v>
      </c>
      <c r="D27" s="184">
        <f>WC!E29</f>
        <v>0</v>
      </c>
      <c r="E27" s="184">
        <f>WC!F29</f>
        <v>1653.75</v>
      </c>
      <c r="F27" s="184">
        <f>WC!G29</f>
        <v>1984.5</v>
      </c>
      <c r="G27" s="184">
        <f>WC!H29</f>
        <v>2344.1906250000002</v>
      </c>
      <c r="H27" s="184">
        <f>WC!I29</f>
        <v>2461.4001562500002</v>
      </c>
      <c r="I27" s="184">
        <f>WC!J29</f>
        <v>2584.4701640624999</v>
      </c>
      <c r="J27" s="184">
        <f>WC!K29</f>
        <v>2713.693672265626</v>
      </c>
      <c r="K27" s="184">
        <f>WC!L29</f>
        <v>2849.3783558789073</v>
      </c>
      <c r="L27" s="184">
        <f>WC!M29</f>
        <v>2991.8472736728527</v>
      </c>
      <c r="M27" s="184">
        <f>WC!N29</f>
        <v>3141.4396373564955</v>
      </c>
    </row>
    <row r="28" spans="2:13" s="97" customFormat="1" ht="21" customHeight="1" x14ac:dyDescent="0.35">
      <c r="B28" s="565" t="s">
        <v>743</v>
      </c>
      <c r="C28" s="184">
        <f>WC!D31</f>
        <v>0</v>
      </c>
      <c r="D28" s="184">
        <f>WC!E31</f>
        <v>0</v>
      </c>
      <c r="E28" s="184">
        <f>WC!F31</f>
        <v>1740.0137343750002</v>
      </c>
      <c r="F28" s="184">
        <f>WC!G31</f>
        <v>2088.0164812500002</v>
      </c>
      <c r="G28" s="184">
        <f>WC!H31</f>
        <v>2466.4694684765636</v>
      </c>
      <c r="H28" s="184">
        <f>WC!I31</f>
        <v>2589.7929419003917</v>
      </c>
      <c r="I28" s="184">
        <f>WC!J31</f>
        <v>2719.2825889954115</v>
      </c>
      <c r="J28" s="184">
        <f>WC!K31</f>
        <v>2855.2467184451816</v>
      </c>
      <c r="K28" s="184">
        <f>WC!L31</f>
        <v>2998.009054367441</v>
      </c>
      <c r="L28" s="184">
        <f>WC!M31</f>
        <v>3147.9095070858129</v>
      </c>
      <c r="M28" s="184">
        <f>WC!N31</f>
        <v>3305.3049824401037</v>
      </c>
    </row>
    <row r="29" spans="2:13" s="97" customFormat="1" ht="21" customHeight="1" x14ac:dyDescent="0.35">
      <c r="B29" s="565" t="s">
        <v>1087</v>
      </c>
      <c r="C29" s="184">
        <f>'Balance Sheet'!B24*100</f>
        <v>0</v>
      </c>
      <c r="D29" s="285">
        <f>'Balance Sheet'!C24*100*0</f>
        <v>0</v>
      </c>
      <c r="E29" s="184">
        <f>'Balance Sheet'!D24*100</f>
        <v>200</v>
      </c>
      <c r="F29" s="184">
        <f>'Balance Sheet'!E24*100</f>
        <v>200</v>
      </c>
      <c r="G29" s="184">
        <f>'Balance Sheet'!F24*100</f>
        <v>200</v>
      </c>
      <c r="H29" s="184">
        <f>'Balance Sheet'!G24*100</f>
        <v>200</v>
      </c>
      <c r="I29" s="184">
        <f>'Balance Sheet'!H24*100</f>
        <v>200</v>
      </c>
      <c r="J29" s="184">
        <f>'Balance Sheet'!I24*100</f>
        <v>200</v>
      </c>
      <c r="K29" s="184">
        <f>'Balance Sheet'!J24*100</f>
        <v>200</v>
      </c>
      <c r="L29" s="184">
        <f>'Balance Sheet'!K24*100</f>
        <v>200</v>
      </c>
      <c r="M29" s="184">
        <f>'Balance Sheet'!L24*100</f>
        <v>200</v>
      </c>
    </row>
    <row r="30" spans="2:13" s="97" customFormat="1" ht="21" customHeight="1" x14ac:dyDescent="0.35">
      <c r="B30" s="51" t="s">
        <v>964</v>
      </c>
      <c r="C30" s="184">
        <f>'Cash Flow'!C42</f>
        <v>0</v>
      </c>
      <c r="D30" s="184">
        <f>'Cash Flow'!D42</f>
        <v>0</v>
      </c>
      <c r="E30" s="184">
        <f>'Cash Flow'!E42</f>
        <v>3000</v>
      </c>
      <c r="F30" s="184">
        <f>'Cash Flow'!F42</f>
        <v>7000</v>
      </c>
      <c r="G30" s="184">
        <f>'Cash Flow'!G42</f>
        <v>12000</v>
      </c>
      <c r="H30" s="184">
        <f>'Cash Flow'!H42</f>
        <v>18000</v>
      </c>
      <c r="I30" s="184">
        <f>'Cash Flow'!I42</f>
        <v>25000</v>
      </c>
      <c r="J30" s="184">
        <f>'Cash Flow'!J42</f>
        <v>33000</v>
      </c>
      <c r="K30" s="184">
        <f>'Cash Flow'!K42</f>
        <v>41000</v>
      </c>
      <c r="L30" s="184">
        <f>'Cash Flow'!L42</f>
        <v>51000</v>
      </c>
      <c r="M30" s="184">
        <f>'Cash Flow'!M42</f>
        <v>63000</v>
      </c>
    </row>
    <row r="31" spans="2:13" s="97" customFormat="1" ht="21" customHeight="1" x14ac:dyDescent="0.35">
      <c r="B31" s="565" t="s">
        <v>410</v>
      </c>
      <c r="C31" s="285">
        <f>'Cash Flow'!C36</f>
        <v>0</v>
      </c>
      <c r="D31" s="285">
        <f>'Cash Flow'!D36</f>
        <v>56.499999999998181</v>
      </c>
      <c r="E31" s="285">
        <f>'Cash Flow'!E36</f>
        <v>1429.4620241624707</v>
      </c>
      <c r="F31" s="285">
        <f>'Cash Flow'!F36</f>
        <v>2666.9865665193929</v>
      </c>
      <c r="G31" s="285">
        <f>'Cash Flow'!G36</f>
        <v>4494.6833872925627</v>
      </c>
      <c r="H31" s="285">
        <f>'Cash Flow'!H36</f>
        <v>5708.798831140256</v>
      </c>
      <c r="I31" s="285">
        <f>'Cash Flow'!I36</f>
        <v>6328.5490457962342</v>
      </c>
      <c r="J31" s="285">
        <f>'Cash Flow'!J36</f>
        <v>6956.5326359180899</v>
      </c>
      <c r="K31" s="285">
        <f>'Cash Flow'!K36</f>
        <v>8174.550368035746</v>
      </c>
      <c r="L31" s="285">
        <f>'Cash Flow'!L36</f>
        <v>8588.9013377934752</v>
      </c>
      <c r="M31" s="285">
        <f>'Cash Flow'!M36</f>
        <v>10779.433332151295</v>
      </c>
    </row>
    <row r="32" spans="2:13" s="97" customFormat="1" ht="21" customHeight="1" x14ac:dyDescent="0.35">
      <c r="B32" s="51" t="s">
        <v>401</v>
      </c>
      <c r="C32" s="184">
        <v>0</v>
      </c>
      <c r="D32" s="184">
        <f>'CoP-MoF'!D13-'P &amp; L'!E29</f>
        <v>98.5</v>
      </c>
      <c r="E32" s="184">
        <f>D32-'P &amp; L'!F29</f>
        <v>83.724999999999994</v>
      </c>
      <c r="F32" s="184">
        <f>E32-'P &amp; L'!G29</f>
        <v>64.024999999999991</v>
      </c>
      <c r="G32" s="184">
        <f>F32-'P &amp; L'!H29</f>
        <v>44.324999999999989</v>
      </c>
      <c r="H32" s="184">
        <f>G32-'P &amp; L'!I29</f>
        <v>24.624999999999989</v>
      </c>
      <c r="I32" s="184">
        <f>H32-'P &amp; L'!J29</f>
        <v>4.9249999999999901</v>
      </c>
      <c r="J32" s="184">
        <f>I32-'P &amp; L'!K29</f>
        <v>-9.7699626167013776E-15</v>
      </c>
      <c r="K32" s="184">
        <f>J32-'P &amp; L'!L29</f>
        <v>-9.7699626167013776E-15</v>
      </c>
      <c r="L32" s="184">
        <f>K32-'P &amp; L'!M29</f>
        <v>-9.7699626167013776E-15</v>
      </c>
      <c r="M32" s="184">
        <f>L32-'P &amp; L'!N29</f>
        <v>-9.7699626167013776E-15</v>
      </c>
    </row>
    <row r="33" spans="2:13" s="97" customFormat="1" ht="21" customHeight="1" x14ac:dyDescent="0.35">
      <c r="B33" s="117" t="s">
        <v>39</v>
      </c>
      <c r="C33" s="289">
        <f t="shared" ref="C33:L33" si="23">C25+C26+C32</f>
        <v>5000</v>
      </c>
      <c r="D33" s="289">
        <f t="shared" si="23"/>
        <v>20500</v>
      </c>
      <c r="E33" s="289">
        <f t="shared" si="23"/>
        <v>36478.796235372334</v>
      </c>
      <c r="F33" s="289">
        <f t="shared" si="23"/>
        <v>41335.834160384074</v>
      </c>
      <c r="G33" s="289">
        <f t="shared" si="23"/>
        <v>47842.435229163617</v>
      </c>
      <c r="H33" s="289">
        <f t="shared" si="23"/>
        <v>54237.844313464957</v>
      </c>
      <c r="I33" s="289">
        <f t="shared" si="23"/>
        <v>61050.914818808276</v>
      </c>
      <c r="J33" s="289">
        <f t="shared" si="23"/>
        <v>68899.621682362835</v>
      </c>
      <c r="K33" s="289">
        <f t="shared" si="23"/>
        <v>77356.547069795852</v>
      </c>
      <c r="L33" s="289">
        <f t="shared" si="23"/>
        <v>87023.728045845724</v>
      </c>
      <c r="M33" s="289">
        <f t="shared" ref="M33" si="24">M25+M26+M32</f>
        <v>100481.7085150213</v>
      </c>
    </row>
    <row r="35" spans="2:13" x14ac:dyDescent="0.35">
      <c r="B35" s="129" t="s">
        <v>406</v>
      </c>
      <c r="C35" s="128">
        <f t="shared" ref="C35:L35" si="25">C33-C15</f>
        <v>0</v>
      </c>
      <c r="D35" s="128">
        <f t="shared" si="25"/>
        <v>0</v>
      </c>
      <c r="E35" s="128">
        <f t="shared" si="25"/>
        <v>0</v>
      </c>
      <c r="F35" s="128">
        <f t="shared" si="25"/>
        <v>0</v>
      </c>
      <c r="G35" s="128">
        <f t="shared" si="25"/>
        <v>0</v>
      </c>
      <c r="H35" s="128">
        <f t="shared" si="25"/>
        <v>0</v>
      </c>
      <c r="I35" s="128">
        <f t="shared" si="25"/>
        <v>0</v>
      </c>
      <c r="J35" s="128">
        <f t="shared" si="25"/>
        <v>0</v>
      </c>
      <c r="K35" s="128">
        <f t="shared" si="25"/>
        <v>0</v>
      </c>
      <c r="L35" s="128">
        <f t="shared" si="25"/>
        <v>0</v>
      </c>
      <c r="M35" s="128">
        <f t="shared" ref="M35" si="26">M33-M15</f>
        <v>0</v>
      </c>
    </row>
  </sheetData>
  <customSheetViews>
    <customSheetView guid="{22475485-DA09-46DB-978D-BB94CE1E5597}">
      <pane xSplit="1" ySplit="2" topLeftCell="B20" activePane="bottomRight" state="frozen"/>
      <selection pane="bottomRight" activeCell="C22" sqref="C22"/>
      <pageMargins left="0.43" right="0.7" top="0.75" bottom="0.75" header="0.3" footer="0.3"/>
      <pageSetup paperSize="9" orientation="landscape" verticalDpi="300" r:id="rId1"/>
    </customSheetView>
  </customSheetViews>
  <pageMargins left="0.43" right="0.7" top="0.75" bottom="0.75" header="0.3" footer="0.3"/>
  <pageSetup paperSize="9" orientation="landscape" verticalDpi="3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M46"/>
  <sheetViews>
    <sheetView showGridLines="0" zoomScaleNormal="100" workbookViewId="0">
      <pane xSplit="2" ySplit="3" topLeftCell="E37" activePane="bottomRight" state="frozen"/>
      <selection pane="topRight" activeCell="B1" sqref="B1"/>
      <selection pane="bottomLeft" activeCell="A3" sqref="A3"/>
      <selection pane="bottomRight" activeCell="I42" sqref="I42"/>
    </sheetView>
  </sheetViews>
  <sheetFormatPr defaultColWidth="32.26953125" defaultRowHeight="14.5" x14ac:dyDescent="0.35"/>
  <cols>
    <col min="1" max="1" width="4.7265625" style="96" customWidth="1"/>
    <col min="2" max="2" width="40.26953125" style="97" customWidth="1"/>
    <col min="3" max="13" width="12.7265625" style="44" customWidth="1"/>
    <col min="14" max="16384" width="32.26953125" style="96"/>
  </cols>
  <sheetData>
    <row r="1" spans="2:13" ht="18.75" customHeight="1" x14ac:dyDescent="0.35">
      <c r="E1" s="96" t="s">
        <v>1845</v>
      </c>
    </row>
    <row r="2" spans="2:13" ht="17.25" customHeight="1" x14ac:dyDescent="0.35">
      <c r="B2" s="137" t="s">
        <v>407</v>
      </c>
      <c r="C2" s="137"/>
      <c r="D2" s="137"/>
      <c r="E2" s="137"/>
      <c r="F2" s="137"/>
      <c r="G2" s="137"/>
      <c r="H2" s="137"/>
      <c r="I2" s="137"/>
      <c r="J2" s="137"/>
      <c r="K2" s="137"/>
      <c r="L2" s="137"/>
      <c r="M2" s="137"/>
    </row>
    <row r="3" spans="2:13" s="58" customFormat="1" ht="18.75" customHeight="1" x14ac:dyDescent="0.35">
      <c r="B3" s="131" t="s">
        <v>11</v>
      </c>
      <c r="C3" s="94">
        <v>2025</v>
      </c>
      <c r="D3" s="94">
        <f t="shared" ref="D3:I3" si="0">C3+1</f>
        <v>2026</v>
      </c>
      <c r="E3" s="94">
        <f t="shared" si="0"/>
        <v>2027</v>
      </c>
      <c r="F3" s="94">
        <f t="shared" si="0"/>
        <v>2028</v>
      </c>
      <c r="G3" s="94">
        <f t="shared" si="0"/>
        <v>2029</v>
      </c>
      <c r="H3" s="94">
        <f t="shared" si="0"/>
        <v>2030</v>
      </c>
      <c r="I3" s="94">
        <f t="shared" si="0"/>
        <v>2031</v>
      </c>
      <c r="J3" s="94">
        <f>I3+1</f>
        <v>2032</v>
      </c>
      <c r="K3" s="94">
        <f t="shared" ref="K3:M3" si="1">J3+1</f>
        <v>2033</v>
      </c>
      <c r="L3" s="94">
        <f t="shared" si="1"/>
        <v>2034</v>
      </c>
      <c r="M3" s="94">
        <f t="shared" si="1"/>
        <v>2035</v>
      </c>
    </row>
    <row r="4" spans="2:13" s="97" customFormat="1" ht="21" customHeight="1" x14ac:dyDescent="0.35">
      <c r="B4" s="103" t="s">
        <v>366</v>
      </c>
      <c r="C4" s="71" t="s">
        <v>795</v>
      </c>
      <c r="D4" s="71" t="s">
        <v>795</v>
      </c>
      <c r="E4" s="71" t="s">
        <v>1849</v>
      </c>
      <c r="F4" s="71" t="s">
        <v>507</v>
      </c>
      <c r="G4" s="71" t="s">
        <v>507</v>
      </c>
      <c r="H4" s="71" t="s">
        <v>507</v>
      </c>
      <c r="I4" s="71" t="s">
        <v>507</v>
      </c>
      <c r="J4" s="71" t="s">
        <v>507</v>
      </c>
      <c r="K4" s="71" t="s">
        <v>507</v>
      </c>
      <c r="L4" s="71" t="s">
        <v>507</v>
      </c>
      <c r="M4" s="71" t="s">
        <v>507</v>
      </c>
    </row>
    <row r="5" spans="2:13" s="97" customFormat="1" ht="21" customHeight="1" x14ac:dyDescent="0.35">
      <c r="B5" s="64" t="s">
        <v>40</v>
      </c>
      <c r="C5" s="44"/>
      <c r="D5" s="44"/>
      <c r="E5" s="44"/>
      <c r="F5" s="44"/>
      <c r="G5" s="44"/>
      <c r="H5" s="44"/>
      <c r="I5" s="44"/>
      <c r="J5" s="44"/>
      <c r="K5" s="44"/>
      <c r="L5" s="44"/>
      <c r="M5" s="44"/>
    </row>
    <row r="6" spans="2:13" s="97" customFormat="1" ht="21" customHeight="1" x14ac:dyDescent="0.35">
      <c r="B6" s="97" t="s">
        <v>403</v>
      </c>
      <c r="C6" s="184">
        <f>'P &amp; L'!D33</f>
        <v>0</v>
      </c>
      <c r="D6" s="184">
        <f>'P &amp; L'!E33</f>
        <v>0</v>
      </c>
      <c r="E6" s="184">
        <f>'P &amp; L'!F33</f>
        <v>2880.1028693637431</v>
      </c>
      <c r="F6" s="184">
        <f>'P &amp; L'!G33</f>
        <v>5198.6373671886404</v>
      </c>
      <c r="G6" s="184">
        <f>'P &amp; L'!H33</f>
        <v>7439.7489166440037</v>
      </c>
      <c r="H6" s="184">
        <f>'P &amp; L'!I33</f>
        <v>8329.7324225278717</v>
      </c>
      <c r="I6" s="184">
        <f>'P &amp; L'!J33</f>
        <v>9328.8699517059231</v>
      </c>
      <c r="J6" s="184">
        <f>'P &amp; L'!K33</f>
        <v>10432.124017342891</v>
      </c>
      <c r="K6" s="184">
        <f>'P &amp; L'!L33</f>
        <v>11596.049356861697</v>
      </c>
      <c r="L6" s="184">
        <f>'P &amp; L'!M33</f>
        <v>12851.754629556444</v>
      </c>
      <c r="M6" s="184">
        <f>'P &amp; L'!N33</f>
        <v>14179.15017388593</v>
      </c>
    </row>
    <row r="7" spans="2:13" s="97" customFormat="1" ht="21" customHeight="1" x14ac:dyDescent="0.35">
      <c r="B7" s="97" t="s">
        <v>1971</v>
      </c>
      <c r="C7" s="184">
        <f>'P &amp; L'!D32</f>
        <v>0</v>
      </c>
      <c r="D7" s="184">
        <f>'P &amp; L'!E32</f>
        <v>0</v>
      </c>
      <c r="E7" s="184">
        <f>'P &amp; L'!F32</f>
        <v>813.82374766484406</v>
      </c>
      <c r="F7" s="184">
        <f>'P &amp; L'!G32</f>
        <v>601.42663415434811</v>
      </c>
      <c r="G7" s="184">
        <f>'P &amp; L'!H32</f>
        <v>476.03395364820153</v>
      </c>
      <c r="H7" s="184">
        <f>'P &amp; L'!I32</f>
        <v>369.04357474847257</v>
      </c>
      <c r="I7" s="184">
        <f>'P &amp; L'!J32</f>
        <v>277.73581226114811</v>
      </c>
      <c r="J7" s="184">
        <f>'P &amp; L'!K32</f>
        <v>199.79486776662452</v>
      </c>
      <c r="K7" s="184">
        <f>'P &amp; L'!L32</f>
        <v>133.24865320400932</v>
      </c>
      <c r="L7" s="184">
        <f>'P &amp; L'!M32</f>
        <v>76.417600257746017</v>
      </c>
      <c r="M7" s="184">
        <f>'P &amp; L'!N32</f>
        <v>27.87111174218353</v>
      </c>
    </row>
    <row r="8" spans="2:13" s="97" customFormat="1" ht="21" customHeight="1" x14ac:dyDescent="0.35">
      <c r="B8" s="97" t="s">
        <v>541</v>
      </c>
      <c r="C8" s="184">
        <f>BS!C6</f>
        <v>2500</v>
      </c>
      <c r="D8" s="184">
        <f>BS!D6-BS!C6</f>
        <v>5000</v>
      </c>
      <c r="E8" s="184">
        <f>BS!E6-BS!D6</f>
        <v>2500</v>
      </c>
      <c r="F8" s="184">
        <f>BS!F6-BS!E6</f>
        <v>0</v>
      </c>
      <c r="G8" s="184">
        <f>BS!G6-BS!F6</f>
        <v>0</v>
      </c>
      <c r="H8" s="184">
        <f>BS!H6-BS!G6</f>
        <v>0</v>
      </c>
      <c r="I8" s="184">
        <f>BS!I6-BS!H6</f>
        <v>0</v>
      </c>
      <c r="J8" s="184">
        <f>BS!J6-BS!I6</f>
        <v>0</v>
      </c>
      <c r="K8" s="184">
        <f>BS!K6-BS!J6</f>
        <v>0</v>
      </c>
      <c r="L8" s="184">
        <f>BS!L6-BS!K6</f>
        <v>0</v>
      </c>
      <c r="M8" s="184">
        <f>BS!M6-BS!L6</f>
        <v>0</v>
      </c>
    </row>
    <row r="9" spans="2:13" s="97" customFormat="1" ht="21" customHeight="1" x14ac:dyDescent="0.35">
      <c r="B9" s="97" t="s">
        <v>456</v>
      </c>
      <c r="C9" s="184">
        <f>'TL Schd'!D6</f>
        <v>0</v>
      </c>
      <c r="D9" s="184">
        <f>'TL Schd'!E6</f>
        <v>10499.999999999998</v>
      </c>
      <c r="E9" s="184">
        <f>'TL Schd'!F6</f>
        <v>9499.9999999999982</v>
      </c>
      <c r="F9" s="184">
        <f>'TL Schd'!G6</f>
        <v>0</v>
      </c>
      <c r="G9" s="184">
        <f>'TL Schd'!H6</f>
        <v>0</v>
      </c>
      <c r="H9" s="184">
        <f>'TL Schd'!I6</f>
        <v>0</v>
      </c>
      <c r="I9" s="184">
        <f>'TL Schd'!J6</f>
        <v>0</v>
      </c>
      <c r="J9" s="184">
        <f>'TL Schd'!K6</f>
        <v>0</v>
      </c>
      <c r="K9" s="184">
        <f>'TL Schd'!L6</f>
        <v>0</v>
      </c>
      <c r="L9" s="184">
        <f>'TL Schd'!M6</f>
        <v>0</v>
      </c>
      <c r="M9" s="184">
        <f>'TL Schd'!N6</f>
        <v>0</v>
      </c>
    </row>
    <row r="10" spans="2:13" s="97" customFormat="1" ht="21" customHeight="1" x14ac:dyDescent="0.35">
      <c r="B10" s="97" t="s">
        <v>1762</v>
      </c>
      <c r="C10" s="184">
        <f>BS!C14</f>
        <v>0</v>
      </c>
      <c r="D10" s="184">
        <f>BS!D14-BS!C14</f>
        <v>0</v>
      </c>
      <c r="E10" s="184">
        <f>BS!E14-BS!D14</f>
        <v>1826.6823480937501</v>
      </c>
      <c r="F10" s="184">
        <f>BS!F14-BS!E14</f>
        <v>365.33646961875002</v>
      </c>
      <c r="G10" s="184">
        <f>BS!G14-BS!F14</f>
        <v>441.97624121765693</v>
      </c>
      <c r="H10" s="184">
        <f>BS!H14-BS!G14</f>
        <v>131.69975294650794</v>
      </c>
      <c r="I10" s="184">
        <f>BS!I14-BS!H14</f>
        <v>138.28474059383325</v>
      </c>
      <c r="J10" s="184">
        <f>BS!J14-BS!I14</f>
        <v>145.19897762352548</v>
      </c>
      <c r="K10" s="184">
        <f>BS!K14-BS!J14</f>
        <v>152.45892650470068</v>
      </c>
      <c r="L10" s="184">
        <f>BS!L14-BS!K14</f>
        <v>160.0818728299364</v>
      </c>
      <c r="M10" s="184">
        <f>BS!M14-BS!L14</f>
        <v>168.08596647143304</v>
      </c>
    </row>
    <row r="11" spans="2:13" s="97" customFormat="1" ht="21" customHeight="1" x14ac:dyDescent="0.35">
      <c r="B11" s="97" t="s">
        <v>788</v>
      </c>
      <c r="C11" s="184">
        <f>BS!C9</f>
        <v>2500</v>
      </c>
      <c r="D11" s="184">
        <f>BS!D9-BS!C9</f>
        <v>0</v>
      </c>
      <c r="E11" s="184">
        <v>0</v>
      </c>
      <c r="F11" s="184">
        <v>0</v>
      </c>
      <c r="G11" s="184">
        <v>0</v>
      </c>
      <c r="H11" s="184">
        <v>0</v>
      </c>
      <c r="I11" s="184">
        <v>0</v>
      </c>
      <c r="J11" s="184">
        <v>0</v>
      </c>
      <c r="K11" s="184">
        <v>0</v>
      </c>
      <c r="L11" s="184">
        <v>0</v>
      </c>
      <c r="M11" s="184">
        <v>0</v>
      </c>
    </row>
    <row r="12" spans="2:13" s="97" customFormat="1" ht="21" customHeight="1" x14ac:dyDescent="0.35">
      <c r="B12" s="97" t="s">
        <v>742</v>
      </c>
      <c r="C12" s="285">
        <v>0</v>
      </c>
      <c r="D12" s="285">
        <v>0</v>
      </c>
      <c r="E12" s="285">
        <v>0</v>
      </c>
      <c r="F12" s="285">
        <v>0</v>
      </c>
      <c r="G12" s="285">
        <v>0</v>
      </c>
      <c r="H12" s="285">
        <v>0</v>
      </c>
      <c r="I12" s="285">
        <v>0</v>
      </c>
      <c r="J12" s="285">
        <v>0</v>
      </c>
      <c r="K12" s="285">
        <v>0</v>
      </c>
      <c r="L12" s="285">
        <v>0</v>
      </c>
      <c r="M12" s="285">
        <v>0</v>
      </c>
    </row>
    <row r="13" spans="2:13" s="97" customFormat="1" ht="21" customHeight="1" x14ac:dyDescent="0.35">
      <c r="B13" s="97" t="s">
        <v>743</v>
      </c>
      <c r="C13" s="285">
        <v>0</v>
      </c>
      <c r="D13" s="285">
        <v>0</v>
      </c>
      <c r="E13" s="285">
        <v>0</v>
      </c>
      <c r="F13" s="285">
        <v>0</v>
      </c>
      <c r="G13" s="285">
        <v>0</v>
      </c>
      <c r="H13" s="285">
        <v>0</v>
      </c>
      <c r="I13" s="285">
        <v>0</v>
      </c>
      <c r="J13" s="285">
        <v>0</v>
      </c>
      <c r="K13" s="285">
        <v>0</v>
      </c>
      <c r="L13" s="285">
        <v>0</v>
      </c>
      <c r="M13" s="285">
        <v>0</v>
      </c>
    </row>
    <row r="14" spans="2:13" s="97" customFormat="1" ht="21" customHeight="1" x14ac:dyDescent="0.35">
      <c r="B14" s="97" t="s">
        <v>54</v>
      </c>
      <c r="C14" s="184">
        <f>'P &amp; L'!D34</f>
        <v>0</v>
      </c>
      <c r="D14" s="184">
        <f>'P &amp; L'!E34</f>
        <v>0</v>
      </c>
      <c r="E14" s="184">
        <f>'P &amp; L'!F34</f>
        <v>779.65452316513756</v>
      </c>
      <c r="F14" s="184">
        <f>'P &amp; L'!G34</f>
        <v>1039.5393642201834</v>
      </c>
      <c r="G14" s="184">
        <f>'P &amp; L'!H34</f>
        <v>1039.5393642201834</v>
      </c>
      <c r="H14" s="184">
        <f>'P &amp; L'!I34</f>
        <v>1039.5393642201834</v>
      </c>
      <c r="I14" s="184">
        <f>'P &amp; L'!J34</f>
        <v>1039.5393642201834</v>
      </c>
      <c r="J14" s="184">
        <f>'P &amp; L'!K34</f>
        <v>1039.5393642201834</v>
      </c>
      <c r="K14" s="184">
        <f>'P &amp; L'!L34</f>
        <v>1039.5393642201834</v>
      </c>
      <c r="L14" s="184">
        <f>'P &amp; L'!M34</f>
        <v>1039.5393642201834</v>
      </c>
      <c r="M14" s="184">
        <f>'P &amp; L'!N34</f>
        <v>1039.5393642201834</v>
      </c>
    </row>
    <row r="15" spans="2:13" s="97" customFormat="1" ht="21" customHeight="1" x14ac:dyDescent="0.35">
      <c r="B15" s="97" t="s">
        <v>776</v>
      </c>
      <c r="C15" s="184">
        <f>'P &amp; L'!D29</f>
        <v>0</v>
      </c>
      <c r="D15" s="184">
        <f>'P &amp; L'!E29</f>
        <v>0</v>
      </c>
      <c r="E15" s="184">
        <f>'P &amp; L'!F29</f>
        <v>14.774999999999999</v>
      </c>
      <c r="F15" s="184">
        <f>'P &amp; L'!G29</f>
        <v>19.7</v>
      </c>
      <c r="G15" s="184">
        <f>'P &amp; L'!H29</f>
        <v>19.7</v>
      </c>
      <c r="H15" s="184">
        <f>'P &amp; L'!I29</f>
        <v>19.7</v>
      </c>
      <c r="I15" s="184">
        <f>'P &amp; L'!J29</f>
        <v>19.7</v>
      </c>
      <c r="J15" s="184">
        <f>'P &amp; L'!K29</f>
        <v>4.9249999999999998</v>
      </c>
      <c r="K15" s="184">
        <f>'P &amp; L'!L29</f>
        <v>0</v>
      </c>
      <c r="L15" s="184">
        <f>'P &amp; L'!M29</f>
        <v>0</v>
      </c>
      <c r="M15" s="184">
        <f>'P &amp; L'!N29</f>
        <v>0</v>
      </c>
    </row>
    <row r="16" spans="2:13" s="97" customFormat="1" ht="21" customHeight="1" x14ac:dyDescent="0.35">
      <c r="B16" s="97" t="s">
        <v>711</v>
      </c>
      <c r="C16" s="184">
        <f>BS!C12</f>
        <v>0</v>
      </c>
      <c r="D16" s="184">
        <f>BS!D12-BS!C12</f>
        <v>0</v>
      </c>
      <c r="E16" s="184">
        <f>BS!E12-BS!D12</f>
        <v>958.1872702500001</v>
      </c>
      <c r="F16" s="184">
        <f>BS!F12-BS!E12</f>
        <v>191.63745404999997</v>
      </c>
      <c r="G16" s="184">
        <f>BS!G12-BS!F12</f>
        <v>148.84195726968801</v>
      </c>
      <c r="H16" s="184">
        <f>BS!H12-BS!G12</f>
        <v>64.933334078484222</v>
      </c>
      <c r="I16" s="184">
        <f>BS!I12-BS!H12</f>
        <v>68.180000782408797</v>
      </c>
      <c r="J16" s="184">
        <f>BS!J12-BS!I12</f>
        <v>71.589000821528998</v>
      </c>
      <c r="K16" s="184">
        <f>BS!K12-BS!J12</f>
        <v>75.168450862605596</v>
      </c>
      <c r="L16" s="184">
        <f>BS!L12-BS!K12</f>
        <v>78.926873405735478</v>
      </c>
      <c r="M16" s="184">
        <f>BS!M12-BS!L12</f>
        <v>82.873217076022684</v>
      </c>
    </row>
    <row r="17" spans="2:13" s="97" customFormat="1" ht="21" customHeight="1" x14ac:dyDescent="0.35">
      <c r="B17" s="97" t="s">
        <v>712</v>
      </c>
      <c r="C17" s="184">
        <v>0</v>
      </c>
      <c r="D17" s="184">
        <v>0</v>
      </c>
      <c r="E17" s="184">
        <v>0</v>
      </c>
      <c r="F17" s="184">
        <v>0</v>
      </c>
      <c r="G17" s="184">
        <v>0</v>
      </c>
      <c r="H17" s="184">
        <v>0</v>
      </c>
      <c r="I17" s="184">
        <v>0</v>
      </c>
      <c r="J17" s="184">
        <v>0</v>
      </c>
      <c r="K17" s="184">
        <v>0</v>
      </c>
      <c r="L17" s="184">
        <v>0</v>
      </c>
      <c r="M17" s="184">
        <v>0</v>
      </c>
    </row>
    <row r="18" spans="2:13" s="97" customFormat="1" ht="21" hidden="1" customHeight="1" x14ac:dyDescent="0.35">
      <c r="B18" s="97" t="s">
        <v>416</v>
      </c>
      <c r="C18" s="100">
        <v>0</v>
      </c>
      <c r="D18" s="100">
        <v>0</v>
      </c>
      <c r="E18" s="100">
        <v>0</v>
      </c>
      <c r="F18" s="100"/>
      <c r="G18" s="100"/>
      <c r="H18" s="100"/>
      <c r="I18" s="100"/>
      <c r="J18" s="100"/>
      <c r="K18" s="100"/>
      <c r="L18" s="100"/>
      <c r="M18" s="100"/>
    </row>
    <row r="19" spans="2:13" s="97" customFormat="1" ht="21" customHeight="1" x14ac:dyDescent="0.35">
      <c r="B19" s="92" t="s">
        <v>41</v>
      </c>
      <c r="C19" s="291">
        <f t="shared" ref="C19:L19" si="2">SUM(C6:C18)</f>
        <v>5000</v>
      </c>
      <c r="D19" s="291">
        <f t="shared" si="2"/>
        <v>15499.999999999998</v>
      </c>
      <c r="E19" s="291">
        <f t="shared" si="2"/>
        <v>19273.225758537472</v>
      </c>
      <c r="F19" s="291">
        <f t="shared" si="2"/>
        <v>7416.2772892319217</v>
      </c>
      <c r="G19" s="291">
        <f t="shared" si="2"/>
        <v>9565.8404329997338</v>
      </c>
      <c r="H19" s="291">
        <f t="shared" si="2"/>
        <v>9954.6484485215224</v>
      </c>
      <c r="I19" s="291">
        <f t="shared" si="2"/>
        <v>10872.309869563498</v>
      </c>
      <c r="J19" s="291">
        <f t="shared" si="2"/>
        <v>11893.171227774752</v>
      </c>
      <c r="K19" s="291">
        <f t="shared" si="2"/>
        <v>12996.464751653197</v>
      </c>
      <c r="L19" s="291">
        <f t="shared" si="2"/>
        <v>14206.720340270045</v>
      </c>
      <c r="M19" s="291">
        <f t="shared" ref="M19" si="3">SUM(M6:M18)</f>
        <v>15497.519833395754</v>
      </c>
    </row>
    <row r="20" spans="2:13" s="97" customFormat="1" ht="21" customHeight="1" x14ac:dyDescent="0.35">
      <c r="B20" s="97" t="s">
        <v>42</v>
      </c>
      <c r="C20" s="44"/>
      <c r="D20" s="44"/>
      <c r="E20" s="44"/>
      <c r="F20" s="44"/>
      <c r="G20" s="44"/>
      <c r="H20" s="44"/>
      <c r="I20" s="44"/>
      <c r="J20" s="44"/>
      <c r="K20" s="44"/>
      <c r="L20" s="44"/>
      <c r="M20" s="44"/>
    </row>
    <row r="21" spans="2:13" s="97" customFormat="1" ht="21" customHeight="1" x14ac:dyDescent="0.35">
      <c r="C21" s="44"/>
      <c r="D21" s="44"/>
      <c r="E21" s="44"/>
      <c r="F21" s="44"/>
      <c r="G21" s="44"/>
      <c r="H21" s="44"/>
      <c r="I21" s="44"/>
      <c r="J21" s="44"/>
      <c r="K21" s="44"/>
      <c r="L21" s="44"/>
      <c r="M21" s="44"/>
    </row>
    <row r="22" spans="2:13" s="97" customFormat="1" ht="21" customHeight="1" x14ac:dyDescent="0.35">
      <c r="B22" s="97" t="s">
        <v>402</v>
      </c>
      <c r="C22" s="184">
        <f>BS!C23</f>
        <v>5000</v>
      </c>
      <c r="D22" s="184">
        <f>BS!D23-BS!C23</f>
        <v>15345</v>
      </c>
      <c r="E22" s="184">
        <f>BS!E23-BS!D23</f>
        <v>8806.5</v>
      </c>
      <c r="F22" s="184">
        <v>0</v>
      </c>
      <c r="G22" s="184">
        <v>0</v>
      </c>
      <c r="H22" s="184">
        <v>0</v>
      </c>
      <c r="I22" s="184">
        <v>0</v>
      </c>
      <c r="J22" s="184">
        <v>0</v>
      </c>
      <c r="K22" s="184">
        <v>0</v>
      </c>
      <c r="L22" s="184">
        <v>0</v>
      </c>
      <c r="M22" s="184">
        <v>0</v>
      </c>
    </row>
    <row r="23" spans="2:13" s="97" customFormat="1" ht="21" customHeight="1" x14ac:dyDescent="0.35">
      <c r="B23" s="97" t="s">
        <v>738</v>
      </c>
      <c r="C23" s="184">
        <v>0</v>
      </c>
      <c r="D23" s="184">
        <f>'CoP-MoF'!D13</f>
        <v>98.5</v>
      </c>
      <c r="E23" s="184">
        <v>0</v>
      </c>
      <c r="F23" s="184">
        <v>0</v>
      </c>
      <c r="G23" s="184">
        <v>0</v>
      </c>
      <c r="H23" s="184">
        <v>0</v>
      </c>
      <c r="I23" s="184">
        <v>0</v>
      </c>
      <c r="J23" s="184">
        <v>0</v>
      </c>
      <c r="K23" s="184">
        <v>0</v>
      </c>
      <c r="L23" s="184">
        <v>0</v>
      </c>
      <c r="M23" s="184">
        <v>0</v>
      </c>
    </row>
    <row r="24" spans="2:13" s="97" customFormat="1" ht="21" customHeight="1" x14ac:dyDescent="0.35">
      <c r="B24" s="97" t="s">
        <v>404</v>
      </c>
      <c r="C24" s="184">
        <f>'TL Schd'!D7</f>
        <v>0</v>
      </c>
      <c r="D24" s="184">
        <f>'TL Schd'!E7</f>
        <v>0</v>
      </c>
      <c r="E24" s="184">
        <f>'TL Schd'!F7</f>
        <v>0</v>
      </c>
      <c r="F24" s="184">
        <f>'TL Schd'!G7</f>
        <v>1500</v>
      </c>
      <c r="G24" s="184">
        <f>'TL Schd'!H7</f>
        <v>1999.9999999999998</v>
      </c>
      <c r="H24" s="184">
        <f>'TL Schd'!I7</f>
        <v>2500.0000000000005</v>
      </c>
      <c r="I24" s="184">
        <f>'TL Schd'!J7</f>
        <v>2999.9999999999995</v>
      </c>
      <c r="J24" s="184">
        <f>'TL Schd'!K7</f>
        <v>2999.9999999999995</v>
      </c>
      <c r="K24" s="184">
        <f>'TL Schd'!L7</f>
        <v>3500</v>
      </c>
      <c r="L24" s="184">
        <f>'TL Schd'!M7</f>
        <v>3500</v>
      </c>
      <c r="M24" s="184">
        <f>'TL Schd'!N7</f>
        <v>1000</v>
      </c>
    </row>
    <row r="25" spans="2:13" s="97" customFormat="1" ht="21" customHeight="1" x14ac:dyDescent="0.35">
      <c r="B25" s="97" t="s">
        <v>1763</v>
      </c>
      <c r="C25" s="184">
        <v>0</v>
      </c>
      <c r="D25" s="184">
        <v>0</v>
      </c>
      <c r="E25" s="184">
        <v>0</v>
      </c>
      <c r="F25" s="184">
        <v>0</v>
      </c>
      <c r="G25" s="184">
        <v>0</v>
      </c>
      <c r="H25" s="184">
        <v>0</v>
      </c>
      <c r="I25" s="184">
        <v>0</v>
      </c>
      <c r="J25" s="184">
        <v>0</v>
      </c>
      <c r="K25" s="184">
        <v>0</v>
      </c>
      <c r="L25" s="184">
        <v>0</v>
      </c>
      <c r="M25" s="184">
        <v>0</v>
      </c>
    </row>
    <row r="26" spans="2:13" s="97" customFormat="1" ht="21" customHeight="1" x14ac:dyDescent="0.35">
      <c r="B26" s="97" t="s">
        <v>1764</v>
      </c>
      <c r="C26" s="184">
        <v>0</v>
      </c>
      <c r="D26" s="184">
        <v>0</v>
      </c>
      <c r="E26" s="184">
        <f>-(BS!E9-BS!D9)</f>
        <v>2500</v>
      </c>
      <c r="F26" s="184">
        <v>0</v>
      </c>
      <c r="G26" s="184">
        <v>0</v>
      </c>
      <c r="H26" s="184">
        <v>0</v>
      </c>
      <c r="I26" s="184">
        <v>0</v>
      </c>
      <c r="J26" s="184">
        <v>0</v>
      </c>
      <c r="K26" s="184">
        <v>0</v>
      </c>
      <c r="L26" s="184">
        <v>0</v>
      </c>
      <c r="M26" s="184">
        <v>0</v>
      </c>
    </row>
    <row r="27" spans="2:13" s="97" customFormat="1" ht="21" customHeight="1" x14ac:dyDescent="0.35">
      <c r="B27" s="97" t="s">
        <v>964</v>
      </c>
      <c r="C27" s="184">
        <f>BS!C30</f>
        <v>0</v>
      </c>
      <c r="D27" s="184">
        <f>BS!D30-BS!C30</f>
        <v>0</v>
      </c>
      <c r="E27" s="184">
        <f>BS!E30-BS!D30</f>
        <v>3000</v>
      </c>
      <c r="F27" s="184">
        <f>BS!F30-BS!E30</f>
        <v>4000</v>
      </c>
      <c r="G27" s="184">
        <f>BS!G30-BS!F30</f>
        <v>5000</v>
      </c>
      <c r="H27" s="184">
        <f>BS!H30-BS!G30</f>
        <v>6000</v>
      </c>
      <c r="I27" s="184">
        <f>BS!I30-BS!H30</f>
        <v>7000</v>
      </c>
      <c r="J27" s="184">
        <f>BS!J30-BS!I30</f>
        <v>8000</v>
      </c>
      <c r="K27" s="184">
        <f>BS!K30-BS!J30</f>
        <v>8000</v>
      </c>
      <c r="L27" s="184">
        <f>BS!L30-BS!K30</f>
        <v>10000</v>
      </c>
      <c r="M27" s="184">
        <f>BS!M30-BS!L30</f>
        <v>12000</v>
      </c>
    </row>
    <row r="28" spans="2:13" s="97" customFormat="1" ht="21" customHeight="1" x14ac:dyDescent="0.35">
      <c r="B28" s="97" t="s">
        <v>376</v>
      </c>
      <c r="C28" s="184">
        <f>BS!C27</f>
        <v>0</v>
      </c>
      <c r="D28" s="184">
        <f>BS!D27-BS!C27</f>
        <v>0</v>
      </c>
      <c r="E28" s="184">
        <f>BS!E27-BS!D27</f>
        <v>1653.75</v>
      </c>
      <c r="F28" s="184">
        <f>BS!F27-BS!E27</f>
        <v>330.75</v>
      </c>
      <c r="G28" s="184">
        <f>BS!G27-BS!F27</f>
        <v>359.69062500000018</v>
      </c>
      <c r="H28" s="184">
        <f>BS!H27-BS!G27</f>
        <v>117.20953125000005</v>
      </c>
      <c r="I28" s="184">
        <f>BS!I27-BS!H27</f>
        <v>123.07000781249963</v>
      </c>
      <c r="J28" s="184">
        <f>BS!J27-BS!I27</f>
        <v>129.22350820312613</v>
      </c>
      <c r="K28" s="184">
        <f>BS!K27-BS!J27</f>
        <v>135.68468361328132</v>
      </c>
      <c r="L28" s="184">
        <f>BS!L27-BS!K27</f>
        <v>142.46891779394537</v>
      </c>
      <c r="M28" s="184">
        <f>BS!M27-BS!L27</f>
        <v>149.59236368364282</v>
      </c>
    </row>
    <row r="29" spans="2:13" s="97" customFormat="1" ht="21" customHeight="1" x14ac:dyDescent="0.35">
      <c r="B29" s="97" t="s">
        <v>743</v>
      </c>
      <c r="C29" s="184">
        <f>BS!C28</f>
        <v>0</v>
      </c>
      <c r="D29" s="184">
        <f>BS!D28-BS!C28</f>
        <v>0</v>
      </c>
      <c r="E29" s="184">
        <f>BS!E28-BS!D28</f>
        <v>1740.0137343750002</v>
      </c>
      <c r="F29" s="184">
        <f>BS!F28-BS!E28</f>
        <v>348.00274687499996</v>
      </c>
      <c r="G29" s="184">
        <f>BS!G28-BS!F28</f>
        <v>378.45298722656344</v>
      </c>
      <c r="H29" s="184">
        <f>BS!H28-BS!G28</f>
        <v>123.32347342382809</v>
      </c>
      <c r="I29" s="184">
        <f>BS!I28-BS!H28</f>
        <v>129.48964709501979</v>
      </c>
      <c r="J29" s="184">
        <f>BS!J28-BS!I28</f>
        <v>135.9641294497701</v>
      </c>
      <c r="K29" s="184">
        <f>BS!K28-BS!J28</f>
        <v>142.76233592225935</v>
      </c>
      <c r="L29" s="184">
        <f>BS!L28-BS!K28</f>
        <v>149.90045271837198</v>
      </c>
      <c r="M29" s="184">
        <f>BS!M28-BS!L28</f>
        <v>157.39547535429074</v>
      </c>
    </row>
    <row r="30" spans="2:13" s="97" customFormat="1" ht="21" customHeight="1" x14ac:dyDescent="0.35">
      <c r="B30" s="97" t="s">
        <v>1087</v>
      </c>
      <c r="C30" s="184">
        <f>BS!C29</f>
        <v>0</v>
      </c>
      <c r="D30" s="184">
        <f>BS!D29-BS!C29</f>
        <v>0</v>
      </c>
      <c r="E30" s="184">
        <f>BS!E29-BS!D29</f>
        <v>200</v>
      </c>
      <c r="F30" s="184">
        <f>BS!F29-BS!E29</f>
        <v>0</v>
      </c>
      <c r="G30" s="184">
        <f>BS!G29-BS!F29</f>
        <v>0</v>
      </c>
      <c r="H30" s="184">
        <f>BS!H29-BS!G29</f>
        <v>0</v>
      </c>
      <c r="I30" s="184">
        <f>BS!I29-BS!H29</f>
        <v>0</v>
      </c>
      <c r="J30" s="184">
        <f>BS!J29-BS!I29</f>
        <v>0</v>
      </c>
      <c r="K30" s="184">
        <f>BS!K29-BS!J29</f>
        <v>0</v>
      </c>
      <c r="L30" s="184">
        <f>BS!L29-BS!K29</f>
        <v>0</v>
      </c>
      <c r="M30" s="184">
        <f>BS!M29-BS!L29</f>
        <v>0</v>
      </c>
    </row>
    <row r="31" spans="2:13" s="97" customFormat="1" ht="21" customHeight="1" x14ac:dyDescent="0.35">
      <c r="B31" s="97" t="s">
        <v>711</v>
      </c>
      <c r="C31" s="184">
        <v>0</v>
      </c>
      <c r="D31" s="184">
        <v>0</v>
      </c>
      <c r="E31" s="184">
        <v>0</v>
      </c>
      <c r="F31" s="184">
        <v>0</v>
      </c>
      <c r="G31" s="184">
        <v>0</v>
      </c>
      <c r="H31" s="184">
        <v>0</v>
      </c>
      <c r="I31" s="184">
        <v>0</v>
      </c>
      <c r="J31" s="184">
        <v>0</v>
      </c>
      <c r="K31" s="184">
        <v>0</v>
      </c>
      <c r="L31" s="184">
        <v>0</v>
      </c>
      <c r="M31" s="184">
        <v>0</v>
      </c>
    </row>
    <row r="32" spans="2:13" s="97" customFormat="1" ht="21" hidden="1" customHeight="1" x14ac:dyDescent="0.35">
      <c r="B32" s="97" t="s">
        <v>396</v>
      </c>
      <c r="C32" s="184"/>
      <c r="D32" s="184"/>
      <c r="E32" s="184"/>
      <c r="F32" s="184"/>
      <c r="G32" s="184"/>
      <c r="H32" s="184"/>
      <c r="I32" s="184"/>
      <c r="J32" s="184"/>
      <c r="K32" s="184"/>
      <c r="L32" s="184"/>
      <c r="M32" s="184"/>
    </row>
    <row r="33" spans="2:13" s="97" customFormat="1" ht="21" customHeight="1" x14ac:dyDescent="0.35">
      <c r="B33" s="92" t="s">
        <v>39</v>
      </c>
      <c r="C33" s="291">
        <f t="shared" ref="C33:L33" si="4">SUM(C22:C32)</f>
        <v>5000</v>
      </c>
      <c r="D33" s="291">
        <f t="shared" si="4"/>
        <v>15443.5</v>
      </c>
      <c r="E33" s="291">
        <f t="shared" si="4"/>
        <v>17900.263734374999</v>
      </c>
      <c r="F33" s="291">
        <f t="shared" si="4"/>
        <v>6178.7527468749995</v>
      </c>
      <c r="G33" s="291">
        <f t="shared" si="4"/>
        <v>7738.1436122265641</v>
      </c>
      <c r="H33" s="291">
        <f t="shared" si="4"/>
        <v>8740.5330046738291</v>
      </c>
      <c r="I33" s="291">
        <f t="shared" si="4"/>
        <v>10252.55965490752</v>
      </c>
      <c r="J33" s="291">
        <f t="shared" si="4"/>
        <v>11265.187637652896</v>
      </c>
      <c r="K33" s="291">
        <f t="shared" si="4"/>
        <v>11778.447019535541</v>
      </c>
      <c r="L33" s="291">
        <f t="shared" si="4"/>
        <v>13792.369370512317</v>
      </c>
      <c r="M33" s="291">
        <f t="shared" ref="M33" si="5">SUM(M22:M32)</f>
        <v>13306.987839037934</v>
      </c>
    </row>
    <row r="34" spans="2:13" s="97" customFormat="1" ht="21" customHeight="1" x14ac:dyDescent="0.35">
      <c r="B34" s="97" t="s">
        <v>405</v>
      </c>
      <c r="C34" s="184">
        <v>0</v>
      </c>
      <c r="D34" s="184">
        <f t="shared" ref="D34:I34" si="6">C36</f>
        <v>0</v>
      </c>
      <c r="E34" s="184">
        <f t="shared" si="6"/>
        <v>56.499999999998181</v>
      </c>
      <c r="F34" s="184">
        <f t="shared" si="6"/>
        <v>1429.4620241624707</v>
      </c>
      <c r="G34" s="184">
        <f t="shared" si="6"/>
        <v>2666.9865665193929</v>
      </c>
      <c r="H34" s="184">
        <f t="shared" si="6"/>
        <v>4494.6833872925627</v>
      </c>
      <c r="I34" s="184">
        <f t="shared" si="6"/>
        <v>5708.798831140256</v>
      </c>
      <c r="J34" s="184">
        <f>I36</f>
        <v>6328.5490457962342</v>
      </c>
      <c r="K34" s="184">
        <f t="shared" ref="K34:M34" si="7">J36</f>
        <v>6956.5326359180899</v>
      </c>
      <c r="L34" s="184">
        <f t="shared" si="7"/>
        <v>8174.550368035746</v>
      </c>
      <c r="M34" s="184">
        <f t="shared" si="7"/>
        <v>8588.9013377934752</v>
      </c>
    </row>
    <row r="35" spans="2:13" s="97" customFormat="1" ht="21" customHeight="1" x14ac:dyDescent="0.35">
      <c r="B35" s="97" t="s">
        <v>43</v>
      </c>
      <c r="C35" s="184">
        <f t="shared" ref="C35:L35" si="8">C19-C33</f>
        <v>0</v>
      </c>
      <c r="D35" s="184">
        <f t="shared" si="8"/>
        <v>56.499999999998181</v>
      </c>
      <c r="E35" s="184">
        <f t="shared" si="8"/>
        <v>1372.9620241624725</v>
      </c>
      <c r="F35" s="184">
        <f t="shared" si="8"/>
        <v>1237.5245423569222</v>
      </c>
      <c r="G35" s="184">
        <f t="shared" si="8"/>
        <v>1827.6968207731697</v>
      </c>
      <c r="H35" s="184">
        <f t="shared" si="8"/>
        <v>1214.1154438476933</v>
      </c>
      <c r="I35" s="184">
        <f t="shared" si="8"/>
        <v>619.7502146559782</v>
      </c>
      <c r="J35" s="184">
        <f t="shared" si="8"/>
        <v>627.98359012185574</v>
      </c>
      <c r="K35" s="184">
        <f t="shared" si="8"/>
        <v>1218.0177321176561</v>
      </c>
      <c r="L35" s="184">
        <f t="shared" si="8"/>
        <v>414.35096975772831</v>
      </c>
      <c r="M35" s="184">
        <f t="shared" ref="M35" si="9">M19-M33</f>
        <v>2190.5319943578197</v>
      </c>
    </row>
    <row r="36" spans="2:13" s="97" customFormat="1" ht="21" customHeight="1" x14ac:dyDescent="0.35">
      <c r="B36" s="134" t="s">
        <v>44</v>
      </c>
      <c r="C36" s="289">
        <f t="shared" ref="C36:G36" si="10">C34+C35</f>
        <v>0</v>
      </c>
      <c r="D36" s="289">
        <f t="shared" si="10"/>
        <v>56.499999999998181</v>
      </c>
      <c r="E36" s="289">
        <f t="shared" si="10"/>
        <v>1429.4620241624707</v>
      </c>
      <c r="F36" s="289">
        <f t="shared" si="10"/>
        <v>2666.9865665193929</v>
      </c>
      <c r="G36" s="289">
        <f t="shared" si="10"/>
        <v>4494.6833872925627</v>
      </c>
      <c r="H36" s="289">
        <f t="shared" ref="H36:I36" si="11">H34+H35</f>
        <v>5708.798831140256</v>
      </c>
      <c r="I36" s="289">
        <f t="shared" si="11"/>
        <v>6328.5490457962342</v>
      </c>
      <c r="J36" s="289">
        <f t="shared" ref="J36:L36" si="12">J34+J35</f>
        <v>6956.5326359180899</v>
      </c>
      <c r="K36" s="289">
        <f t="shared" si="12"/>
        <v>8174.550368035746</v>
      </c>
      <c r="L36" s="289">
        <f t="shared" si="12"/>
        <v>8588.9013377934752</v>
      </c>
      <c r="M36" s="289">
        <f t="shared" ref="M36" si="13">M34+M35</f>
        <v>10779.433332151295</v>
      </c>
    </row>
    <row r="38" spans="2:13" x14ac:dyDescent="0.35">
      <c r="B38" s="97" t="s">
        <v>1821</v>
      </c>
      <c r="D38" s="44">
        <v>100</v>
      </c>
      <c r="E38" s="44">
        <v>100</v>
      </c>
      <c r="F38" s="44">
        <v>100</v>
      </c>
      <c r="G38" s="44">
        <v>100</v>
      </c>
      <c r="H38" s="44">
        <v>100</v>
      </c>
      <c r="I38" s="44">
        <v>100</v>
      </c>
      <c r="J38" s="44">
        <v>100</v>
      </c>
      <c r="K38" s="44">
        <v>100</v>
      </c>
      <c r="L38" s="44">
        <v>100</v>
      </c>
      <c r="M38" s="44">
        <v>100</v>
      </c>
    </row>
    <row r="39" spans="2:13" x14ac:dyDescent="0.35">
      <c r="D39" s="184">
        <f>D36-D38</f>
        <v>-43.500000000001819</v>
      </c>
      <c r="E39" s="184">
        <f>E36-E38</f>
        <v>1329.4620241624707</v>
      </c>
      <c r="F39" s="184">
        <f>F36-F38</f>
        <v>2566.9865665193929</v>
      </c>
      <c r="G39" s="184">
        <f t="shared" ref="G39:J39" si="14">G36-G38</f>
        <v>4394.6833872925627</v>
      </c>
      <c r="H39" s="184">
        <f t="shared" si="14"/>
        <v>5608.798831140256</v>
      </c>
      <c r="I39" s="184">
        <f t="shared" si="14"/>
        <v>6228.5490457962342</v>
      </c>
      <c r="J39" s="184">
        <f t="shared" si="14"/>
        <v>6856.5326359180899</v>
      </c>
      <c r="K39" s="184">
        <f t="shared" ref="K39" si="15">K36-K38</f>
        <v>8074.550368035746</v>
      </c>
      <c r="L39" s="184">
        <f t="shared" ref="L39:M39" si="16">L36-L38</f>
        <v>8488.9013377934752</v>
      </c>
      <c r="M39" s="184">
        <f t="shared" si="16"/>
        <v>10679.433332151295</v>
      </c>
    </row>
    <row r="41" spans="2:13" x14ac:dyDescent="0.35">
      <c r="B41" s="97" t="s">
        <v>1001</v>
      </c>
      <c r="C41" s="44">
        <v>0</v>
      </c>
      <c r="D41" s="251"/>
      <c r="E41" s="251">
        <v>3000</v>
      </c>
      <c r="F41" s="251">
        <v>4000</v>
      </c>
      <c r="G41" s="251">
        <v>5000</v>
      </c>
      <c r="H41" s="251">
        <v>6000</v>
      </c>
      <c r="I41" s="251">
        <v>7000</v>
      </c>
      <c r="J41" s="251">
        <v>8000</v>
      </c>
      <c r="K41" s="251">
        <v>8000</v>
      </c>
      <c r="L41" s="251">
        <v>10000</v>
      </c>
      <c r="M41" s="251">
        <v>12000</v>
      </c>
    </row>
    <row r="42" spans="2:13" x14ac:dyDescent="0.35">
      <c r="B42" s="97" t="s">
        <v>1002</v>
      </c>
      <c r="C42" s="44">
        <v>0</v>
      </c>
      <c r="D42" s="184">
        <f>SUM($D$41:D41)</f>
        <v>0</v>
      </c>
      <c r="E42" s="184">
        <f>SUM($D$41:E41)</f>
        <v>3000</v>
      </c>
      <c r="F42" s="184">
        <f>SUM($D$41:F41)</f>
        <v>7000</v>
      </c>
      <c r="G42" s="184">
        <f>SUM($D$41:G41)</f>
        <v>12000</v>
      </c>
      <c r="H42" s="184">
        <f>SUM($D$41:H41)</f>
        <v>18000</v>
      </c>
      <c r="I42" s="184">
        <f>SUM($D$41:I41)</f>
        <v>25000</v>
      </c>
      <c r="J42" s="184">
        <f>SUM($D$41:J41)</f>
        <v>33000</v>
      </c>
      <c r="K42" s="184">
        <f>SUM($D$41:K41)</f>
        <v>41000</v>
      </c>
      <c r="L42" s="184">
        <f>SUM($D$41:L41)</f>
        <v>51000</v>
      </c>
      <c r="M42" s="184">
        <f>SUM($D$41:M41)</f>
        <v>63000</v>
      </c>
    </row>
    <row r="43" spans="2:13" x14ac:dyDescent="0.35">
      <c r="B43" s="97" t="s">
        <v>1760</v>
      </c>
      <c r="C43" s="61">
        <v>7.0000000000000007E-2</v>
      </c>
      <c r="E43" s="184">
        <f>AVERAGE(D42:E42)*$C$43</f>
        <v>105.00000000000001</v>
      </c>
      <c r="F43" s="184">
        <f t="shared" ref="F43:M43" si="17">AVERAGE(E42:F42)*$C$43</f>
        <v>350.00000000000006</v>
      </c>
      <c r="G43" s="184">
        <f t="shared" si="17"/>
        <v>665.00000000000011</v>
      </c>
      <c r="H43" s="184">
        <f>AVERAGE(G42:H42)*$C$43</f>
        <v>1050</v>
      </c>
      <c r="I43" s="184">
        <f>AVERAGE(H42:I42)*$C$43</f>
        <v>1505.0000000000002</v>
      </c>
      <c r="J43" s="184">
        <f t="shared" si="17"/>
        <v>2030.0000000000002</v>
      </c>
      <c r="K43" s="184">
        <f t="shared" si="17"/>
        <v>2590.0000000000005</v>
      </c>
      <c r="L43" s="184">
        <f t="shared" si="17"/>
        <v>3220.0000000000005</v>
      </c>
      <c r="M43" s="184">
        <f t="shared" si="17"/>
        <v>3990.0000000000005</v>
      </c>
    </row>
    <row r="45" spans="2:13" x14ac:dyDescent="0.35">
      <c r="B45" s="97" t="s">
        <v>1823</v>
      </c>
      <c r="C45" s="44">
        <v>0</v>
      </c>
      <c r="D45" s="184">
        <v>0</v>
      </c>
      <c r="E45" s="184">
        <v>3000</v>
      </c>
      <c r="F45" s="184">
        <v>7000</v>
      </c>
      <c r="G45" s="184">
        <v>12000</v>
      </c>
      <c r="H45" s="184">
        <v>18000</v>
      </c>
      <c r="I45" s="184">
        <v>25000</v>
      </c>
      <c r="J45" s="184">
        <v>33000</v>
      </c>
      <c r="K45" s="184">
        <v>41000</v>
      </c>
      <c r="L45" s="184">
        <v>51000</v>
      </c>
      <c r="M45" s="184">
        <v>63000</v>
      </c>
    </row>
    <row r="46" spans="2:13" x14ac:dyDescent="0.35">
      <c r="B46" s="97" t="s">
        <v>1822</v>
      </c>
      <c r="E46" s="184">
        <f>AVERAGE(D45:E45)*$C$43</f>
        <v>105.00000000000001</v>
      </c>
      <c r="F46" s="184">
        <f t="shared" ref="F46:M46" si="18">AVERAGE(E45:F45)*$C$43</f>
        <v>350.00000000000006</v>
      </c>
      <c r="G46" s="184">
        <f t="shared" si="18"/>
        <v>665.00000000000011</v>
      </c>
      <c r="H46" s="184">
        <f t="shared" si="18"/>
        <v>1050</v>
      </c>
      <c r="I46" s="184">
        <f t="shared" si="18"/>
        <v>1505.0000000000002</v>
      </c>
      <c r="J46" s="184">
        <f t="shared" si="18"/>
        <v>2030.0000000000002</v>
      </c>
      <c r="K46" s="184">
        <f t="shared" si="18"/>
        <v>2590.0000000000005</v>
      </c>
      <c r="L46" s="184">
        <f t="shared" si="18"/>
        <v>3220.0000000000005</v>
      </c>
      <c r="M46" s="184">
        <f t="shared" si="18"/>
        <v>3990.0000000000005</v>
      </c>
    </row>
  </sheetData>
  <customSheetViews>
    <customSheetView guid="{22475485-DA09-46DB-978D-BB94CE1E5597}">
      <pane xSplit="2" ySplit="2" topLeftCell="C20" activePane="bottomRight" state="frozen"/>
      <selection pane="bottomRight" activeCell="A28" sqref="A28"/>
      <pageMargins left="0.35" right="0.7" top="0.75" bottom="0.75" header="0.3" footer="0.3"/>
      <pageSetup paperSize="9" orientation="landscape" verticalDpi="300" r:id="rId1"/>
    </customSheetView>
  </customSheetViews>
  <pageMargins left="0.35" right="0.7" top="0.75" bottom="0.75" header="0.3" footer="0.3"/>
  <pageSetup paperSize="9" orientation="landscape" verticalDpi="3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B2:M54"/>
  <sheetViews>
    <sheetView showGridLines="0" topLeftCell="A2" workbookViewId="0">
      <selection activeCell="E5" sqref="E5:M12"/>
    </sheetView>
  </sheetViews>
  <sheetFormatPr defaultColWidth="9.1796875" defaultRowHeight="14.5" x14ac:dyDescent="0.35"/>
  <cols>
    <col min="1" max="1" width="4.453125" style="136" customWidth="1"/>
    <col min="2" max="2" width="27" style="152" customWidth="1"/>
    <col min="3" max="10" width="12.7265625" style="142" customWidth="1"/>
    <col min="11" max="16384" width="9.1796875" style="136"/>
  </cols>
  <sheetData>
    <row r="2" spans="2:13" ht="18" customHeight="1" x14ac:dyDescent="0.35">
      <c r="B2" s="144" t="s">
        <v>566</v>
      </c>
      <c r="C2" s="130"/>
      <c r="D2" s="130"/>
      <c r="E2" s="130"/>
      <c r="F2" s="130"/>
      <c r="G2" s="130"/>
      <c r="H2" s="130"/>
      <c r="I2" s="130"/>
      <c r="J2" s="130"/>
      <c r="K2" s="130"/>
      <c r="L2" s="130"/>
      <c r="M2" s="130"/>
    </row>
    <row r="3" spans="2:13" x14ac:dyDescent="0.35">
      <c r="B3" s="145"/>
      <c r="C3" s="154"/>
      <c r="D3" s="154"/>
      <c r="E3" s="154"/>
      <c r="F3" s="154"/>
      <c r="G3" s="154"/>
      <c r="H3" s="154"/>
      <c r="I3" s="154"/>
      <c r="K3" s="142"/>
      <c r="L3" s="142"/>
      <c r="M3" s="142"/>
    </row>
    <row r="4" spans="2:13" ht="20.25" customHeight="1" x14ac:dyDescent="0.35">
      <c r="B4" s="117" t="s">
        <v>585</v>
      </c>
      <c r="C4" s="93">
        <v>2025</v>
      </c>
      <c r="D4" s="93">
        <f t="shared" ref="D4:I4" si="0">C4+1</f>
        <v>2026</v>
      </c>
      <c r="E4" s="93">
        <f t="shared" si="0"/>
        <v>2027</v>
      </c>
      <c r="F4" s="93">
        <f t="shared" si="0"/>
        <v>2028</v>
      </c>
      <c r="G4" s="93">
        <f t="shared" si="0"/>
        <v>2029</v>
      </c>
      <c r="H4" s="93">
        <f t="shared" si="0"/>
        <v>2030</v>
      </c>
      <c r="I4" s="93">
        <f t="shared" si="0"/>
        <v>2031</v>
      </c>
      <c r="J4" s="93">
        <f>I4+1</f>
        <v>2032</v>
      </c>
      <c r="K4" s="93">
        <f t="shared" ref="K4:M4" si="1">J4+1</f>
        <v>2033</v>
      </c>
      <c r="L4" s="93">
        <f t="shared" si="1"/>
        <v>2034</v>
      </c>
      <c r="M4" s="93">
        <f t="shared" si="1"/>
        <v>2035</v>
      </c>
    </row>
    <row r="5" spans="2:13" ht="20.149999999999999" customHeight="1" x14ac:dyDescent="0.35">
      <c r="B5" s="146" t="s">
        <v>567</v>
      </c>
      <c r="C5" s="297">
        <f>'P &amp; L'!D9</f>
        <v>0</v>
      </c>
      <c r="D5" s="297">
        <f>'P &amp; L'!E9</f>
        <v>0</v>
      </c>
      <c r="E5" s="297">
        <f>'P &amp; L'!F9</f>
        <v>14883.75</v>
      </c>
      <c r="F5" s="297">
        <f>'P &amp; L'!G9</f>
        <v>23814</v>
      </c>
      <c r="G5" s="297">
        <f>'P &amp; L'!H9</f>
        <v>28130.287499999999</v>
      </c>
      <c r="H5" s="297">
        <f>'P &amp; L'!I9</f>
        <v>29536.801875000005</v>
      </c>
      <c r="I5" s="297">
        <f>'P &amp; L'!J9</f>
        <v>31013.641968749998</v>
      </c>
      <c r="J5" s="297">
        <f>'P &amp; L'!K9</f>
        <v>32564.32406718751</v>
      </c>
      <c r="K5" s="297">
        <f>'P &amp; L'!L9</f>
        <v>34192.540270546888</v>
      </c>
      <c r="L5" s="297">
        <f>'P &amp; L'!M9</f>
        <v>35902.167284074232</v>
      </c>
      <c r="M5" s="297">
        <f>'P &amp; L'!N9</f>
        <v>37697.275648277944</v>
      </c>
    </row>
    <row r="6" spans="2:13" ht="20.149999999999999" customHeight="1" x14ac:dyDescent="0.35">
      <c r="B6" s="146" t="s">
        <v>568</v>
      </c>
      <c r="C6" s="297">
        <f>'P &amp; L'!D17</f>
        <v>0</v>
      </c>
      <c r="D6" s="297">
        <f>'P &amp; L'!E17</f>
        <v>0</v>
      </c>
      <c r="E6" s="297">
        <f>'P &amp; L'!F17</f>
        <v>8028.3354322500008</v>
      </c>
      <c r="F6" s="297">
        <f>'P &amp; L'!G17</f>
        <v>12845.336691600001</v>
      </c>
      <c r="G6" s="297">
        <f>'P &amp; L'!H17</f>
        <v>14583.812178836257</v>
      </c>
      <c r="H6" s="297">
        <f>'P &amp; L'!I17</f>
        <v>15313.002787778069</v>
      </c>
      <c r="I6" s="297">
        <f>'P &amp; L'!J17</f>
        <v>16078.652927166971</v>
      </c>
      <c r="J6" s="297">
        <f>'P &amp; L'!K17</f>
        <v>16882.585573525321</v>
      </c>
      <c r="K6" s="297">
        <f>'P &amp; L'!L17</f>
        <v>17726.714852201589</v>
      </c>
      <c r="L6" s="297">
        <f>'P &amp; L'!M17</f>
        <v>18613.050594811666</v>
      </c>
      <c r="M6" s="297">
        <f>'P &amp; L'!N17</f>
        <v>19543.703124552248</v>
      </c>
    </row>
    <row r="7" spans="2:13" ht="20.149999999999999" customHeight="1" x14ac:dyDescent="0.35">
      <c r="B7" s="146" t="s">
        <v>569</v>
      </c>
      <c r="C7" s="297">
        <f>C5-C6</f>
        <v>0</v>
      </c>
      <c r="D7" s="297">
        <f t="shared" ref="D7:J7" si="2">D5-D6</f>
        <v>0</v>
      </c>
      <c r="E7" s="297">
        <f t="shared" si="2"/>
        <v>6855.4145677499992</v>
      </c>
      <c r="F7" s="297">
        <f t="shared" si="2"/>
        <v>10968.663308399999</v>
      </c>
      <c r="G7" s="297">
        <f t="shared" si="2"/>
        <v>13546.475321163742</v>
      </c>
      <c r="H7" s="297">
        <f t="shared" si="2"/>
        <v>14223.799087221936</v>
      </c>
      <c r="I7" s="297">
        <f t="shared" si="2"/>
        <v>14934.989041583027</v>
      </c>
      <c r="J7" s="297">
        <f t="shared" si="2"/>
        <v>15681.738493662189</v>
      </c>
      <c r="K7" s="297">
        <f t="shared" ref="K7:L7" si="3">K5-K6</f>
        <v>16465.825418345299</v>
      </c>
      <c r="L7" s="297">
        <f t="shared" si="3"/>
        <v>17289.116689262566</v>
      </c>
      <c r="M7" s="297">
        <f t="shared" ref="M7" si="4">M5-M6</f>
        <v>18153.572523725696</v>
      </c>
    </row>
    <row r="8" spans="2:13" ht="29" x14ac:dyDescent="0.35">
      <c r="B8" s="147" t="s">
        <v>744</v>
      </c>
      <c r="C8" s="297">
        <f>'P &amp; L'!D21+'P &amp; L'!D25+'P &amp; L'!D28</f>
        <v>0</v>
      </c>
      <c r="D8" s="297">
        <f>'P &amp; L'!E21+'P &amp; L'!E25+'P &amp; L'!E28</f>
        <v>0</v>
      </c>
      <c r="E8" s="297">
        <f>'P &amp; L'!F21+'P &amp; L'!F25+'P &amp; L'!F28</f>
        <v>3096.8811898318049</v>
      </c>
      <c r="F8" s="297">
        <f>'P &amp; L'!G21+'P &amp; L'!G25+'P &amp; L'!G28</f>
        <v>4351.885364220183</v>
      </c>
      <c r="G8" s="297">
        <f>'P &amp; L'!H21+'P &amp; L'!H25+'P &amp; L'!H28</f>
        <v>4249.8401642201825</v>
      </c>
      <c r="H8" s="297">
        <f>'P &amp; L'!I21+'P &amp; L'!I25+'P &amp; L'!I28</f>
        <v>4122.8552042201827</v>
      </c>
      <c r="I8" s="297">
        <f>'P &amp; L'!J21+'P &amp; L'!J25+'P &amp; L'!J28</f>
        <v>3953.8709962201833</v>
      </c>
      <c r="J8" s="297">
        <f>'P &amp; L'!K21+'P &amp; L'!K25+'P &amp; L'!K28</f>
        <v>3766.0875778201835</v>
      </c>
      <c r="K8" s="297">
        <f>'P &amp; L'!L21+'P &amp; L'!L25+'P &amp; L'!L28</f>
        <v>3559.7149885001836</v>
      </c>
      <c r="L8" s="297">
        <f>'P &amp; L'!M21+'P &amp; L'!M25+'P &amp; L'!M28</f>
        <v>3334.9737697141836</v>
      </c>
      <c r="M8" s="297">
        <f>'P &amp; L'!N21+'P &amp; L'!N25+'P &amp; L'!N28</f>
        <v>3195.5954899888839</v>
      </c>
    </row>
    <row r="9" spans="2:13" ht="20.149999999999999" customHeight="1" x14ac:dyDescent="0.35">
      <c r="B9" s="146" t="s">
        <v>434</v>
      </c>
      <c r="C9" s="297">
        <f t="shared" ref="C9:J9" si="5">C7-C8</f>
        <v>0</v>
      </c>
      <c r="D9" s="297">
        <f t="shared" si="5"/>
        <v>0</v>
      </c>
      <c r="E9" s="297">
        <f t="shared" si="5"/>
        <v>3758.5333779181942</v>
      </c>
      <c r="F9" s="297">
        <f t="shared" si="5"/>
        <v>6616.7779441798157</v>
      </c>
      <c r="G9" s="297">
        <f t="shared" si="5"/>
        <v>9296.6351569435592</v>
      </c>
      <c r="H9" s="297">
        <f t="shared" si="5"/>
        <v>10100.943883001753</v>
      </c>
      <c r="I9" s="297">
        <f t="shared" si="5"/>
        <v>10981.118045362844</v>
      </c>
      <c r="J9" s="297">
        <f t="shared" si="5"/>
        <v>11915.650915842005</v>
      </c>
      <c r="K9" s="297">
        <f t="shared" ref="K9:L9" si="6">K7-K8</f>
        <v>12906.110429845116</v>
      </c>
      <c r="L9" s="297">
        <f t="shared" si="6"/>
        <v>13954.142919548383</v>
      </c>
      <c r="M9" s="297">
        <f t="shared" ref="M9" si="7">M7-M8</f>
        <v>14957.977033736812</v>
      </c>
    </row>
    <row r="10" spans="2:13" ht="20.149999999999999" customHeight="1" x14ac:dyDescent="0.35">
      <c r="B10" s="165" t="s">
        <v>570</v>
      </c>
      <c r="C10" s="299" t="e">
        <f t="shared" ref="C10:J10" si="8">C7/C5</f>
        <v>#DIV/0!</v>
      </c>
      <c r="D10" s="299" t="e">
        <f t="shared" si="8"/>
        <v>#DIV/0!</v>
      </c>
      <c r="E10" s="299">
        <f t="shared" si="8"/>
        <v>0.46059726666666662</v>
      </c>
      <c r="F10" s="299">
        <f t="shared" si="8"/>
        <v>0.46059726666666662</v>
      </c>
      <c r="G10" s="299">
        <f t="shared" si="8"/>
        <v>0.48156192222222194</v>
      </c>
      <c r="H10" s="299">
        <f t="shared" si="8"/>
        <v>0.48156192222222211</v>
      </c>
      <c r="I10" s="299">
        <f t="shared" si="8"/>
        <v>0.48156192222222199</v>
      </c>
      <c r="J10" s="299">
        <f t="shared" si="8"/>
        <v>0.48156192222222216</v>
      </c>
      <c r="K10" s="299">
        <f t="shared" ref="K10:L10" si="9">K7/K5</f>
        <v>0.48156192222222216</v>
      </c>
      <c r="L10" s="299">
        <f t="shared" si="9"/>
        <v>0.48156192222222222</v>
      </c>
      <c r="M10" s="299">
        <f t="shared" ref="M10" si="10">M7/M5</f>
        <v>0.48156192222222222</v>
      </c>
    </row>
    <row r="11" spans="2:13" ht="30" customHeight="1" x14ac:dyDescent="0.35">
      <c r="B11" s="147" t="s">
        <v>571</v>
      </c>
      <c r="C11" s="295" t="e">
        <f t="shared" ref="C11:J11" si="11">(C8/C7)*C5</f>
        <v>#DIV/0!</v>
      </c>
      <c r="D11" s="295" t="e">
        <f t="shared" si="11"/>
        <v>#DIV/0!</v>
      </c>
      <c r="E11" s="295">
        <f t="shared" si="11"/>
        <v>6723.6204249405846</v>
      </c>
      <c r="F11" s="295">
        <f t="shared" si="11"/>
        <v>9448.3525612617977</v>
      </c>
      <c r="G11" s="295">
        <f t="shared" si="11"/>
        <v>8825.116704844133</v>
      </c>
      <c r="H11" s="295">
        <f t="shared" si="11"/>
        <v>8561.4227661414752</v>
      </c>
      <c r="I11" s="295">
        <f t="shared" si="11"/>
        <v>8210.5141909364393</v>
      </c>
      <c r="J11" s="295">
        <f t="shared" si="11"/>
        <v>7820.5676238709748</v>
      </c>
      <c r="K11" s="295">
        <f t="shared" ref="K11:L11" si="12">(K8/K7)*K5</f>
        <v>7392.0192279187586</v>
      </c>
      <c r="L11" s="295">
        <f t="shared" si="12"/>
        <v>6925.3269742021293</v>
      </c>
      <c r="M11" s="295">
        <f t="shared" ref="M11" si="13">(M8/M7)*M5</f>
        <v>6635.8973634012527</v>
      </c>
    </row>
    <row r="12" spans="2:13" s="166" customFormat="1" ht="20.149999999999999" customHeight="1" x14ac:dyDescent="0.35">
      <c r="B12" s="165" t="s">
        <v>572</v>
      </c>
      <c r="C12" s="300" t="e">
        <f t="shared" ref="C12:J12" si="14">C11/C5</f>
        <v>#DIV/0!</v>
      </c>
      <c r="D12" s="300" t="e">
        <f t="shared" si="14"/>
        <v>#DIV/0!</v>
      </c>
      <c r="E12" s="300">
        <f t="shared" si="14"/>
        <v>0.45174236499138892</v>
      </c>
      <c r="F12" s="300">
        <f t="shared" si="14"/>
        <v>0.39675621740412353</v>
      </c>
      <c r="G12" s="300">
        <f t="shared" si="14"/>
        <v>0.31372294736924156</v>
      </c>
      <c r="H12" s="300">
        <f t="shared" si="14"/>
        <v>0.28985611923638477</v>
      </c>
      <c r="I12" s="300">
        <f t="shared" si="14"/>
        <v>0.26473879459914856</v>
      </c>
      <c r="J12" s="300">
        <f t="shared" si="14"/>
        <v>0.24015752968602661</v>
      </c>
      <c r="K12" s="300">
        <f t="shared" ref="K12:L12" si="15">K11/K5</f>
        <v>0.21618806819937184</v>
      </c>
      <c r="L12" s="300">
        <f t="shared" si="15"/>
        <v>0.19289439880901343</v>
      </c>
      <c r="M12" s="300">
        <f t="shared" ref="M12" si="16">M11/M5</f>
        <v>0.17603121841788555</v>
      </c>
    </row>
    <row r="13" spans="2:13" ht="20.149999999999999" customHeight="1" x14ac:dyDescent="0.35">
      <c r="B13" s="148"/>
      <c r="C13" s="155"/>
      <c r="D13" s="140"/>
      <c r="E13" s="155"/>
      <c r="F13" s="156"/>
      <c r="G13" s="157"/>
      <c r="H13" s="135"/>
      <c r="I13" s="157"/>
    </row>
    <row r="14" spans="2:13" x14ac:dyDescent="0.35">
      <c r="B14" s="148"/>
      <c r="C14" s="158"/>
      <c r="D14" s="158"/>
      <c r="E14" s="158"/>
      <c r="F14" s="158"/>
      <c r="G14" s="158"/>
      <c r="H14" s="159"/>
      <c r="I14" s="159"/>
    </row>
    <row r="15" spans="2:13" hidden="1" x14ac:dyDescent="0.35">
      <c r="B15" s="149"/>
      <c r="C15" s="160"/>
      <c r="D15" s="160"/>
      <c r="E15" s="160"/>
      <c r="F15" s="160"/>
      <c r="G15" s="160"/>
      <c r="H15" s="157"/>
      <c r="I15" s="157"/>
    </row>
    <row r="16" spans="2:13" hidden="1" x14ac:dyDescent="0.35">
      <c r="B16" s="1004" t="s">
        <v>557</v>
      </c>
      <c r="C16" s="1004"/>
      <c r="D16" s="1004"/>
      <c r="E16" s="1004"/>
      <c r="F16" s="1004"/>
      <c r="G16" s="1004"/>
      <c r="H16" s="1004"/>
      <c r="I16" s="1004"/>
    </row>
    <row r="17" spans="2:10" hidden="1" x14ac:dyDescent="0.35">
      <c r="B17" s="139" t="s">
        <v>558</v>
      </c>
      <c r="C17" s="138">
        <f t="shared" ref="C17:J17" si="17">C4</f>
        <v>2025</v>
      </c>
      <c r="D17" s="138">
        <f t="shared" si="17"/>
        <v>2026</v>
      </c>
      <c r="E17" s="138">
        <f t="shared" si="17"/>
        <v>2027</v>
      </c>
      <c r="F17" s="138">
        <f t="shared" si="17"/>
        <v>2028</v>
      </c>
      <c r="G17" s="138">
        <f t="shared" si="17"/>
        <v>2029</v>
      </c>
      <c r="H17" s="138">
        <f t="shared" si="17"/>
        <v>2030</v>
      </c>
      <c r="I17" s="138">
        <f t="shared" si="17"/>
        <v>2031</v>
      </c>
      <c r="J17" s="138">
        <f t="shared" si="17"/>
        <v>2032</v>
      </c>
    </row>
    <row r="18" spans="2:10" hidden="1" x14ac:dyDescent="0.35">
      <c r="B18" s="150" t="s">
        <v>559</v>
      </c>
      <c r="C18" s="141">
        <v>0.13</v>
      </c>
      <c r="D18" s="141">
        <f>C18</f>
        <v>0.13</v>
      </c>
      <c r="E18" s="141">
        <f t="shared" ref="E18:I18" si="18">D18</f>
        <v>0.13</v>
      </c>
      <c r="F18" s="141">
        <f t="shared" si="18"/>
        <v>0.13</v>
      </c>
      <c r="G18" s="141">
        <f t="shared" si="18"/>
        <v>0.13</v>
      </c>
      <c r="H18" s="141">
        <f t="shared" si="18"/>
        <v>0.13</v>
      </c>
      <c r="I18" s="141">
        <f t="shared" si="18"/>
        <v>0.13</v>
      </c>
      <c r="J18" s="141">
        <f>I18</f>
        <v>0.13</v>
      </c>
    </row>
    <row r="19" spans="2:10" hidden="1" x14ac:dyDescent="0.35">
      <c r="B19" s="150" t="s">
        <v>560</v>
      </c>
      <c r="C19" s="141">
        <v>0.2</v>
      </c>
      <c r="D19" s="141">
        <v>0.2</v>
      </c>
      <c r="E19" s="141">
        <v>0.2</v>
      </c>
      <c r="F19" s="141">
        <v>0.2</v>
      </c>
      <c r="G19" s="141">
        <v>0.2</v>
      </c>
      <c r="H19" s="141">
        <v>0.2</v>
      </c>
      <c r="I19" s="141">
        <v>0.2</v>
      </c>
      <c r="J19" s="141">
        <v>0.2</v>
      </c>
    </row>
    <row r="20" spans="2:10" hidden="1" x14ac:dyDescent="0.35">
      <c r="B20" s="150" t="s">
        <v>561</v>
      </c>
      <c r="C20" s="161">
        <v>0</v>
      </c>
      <c r="D20" s="161">
        <v>0</v>
      </c>
      <c r="E20" s="161">
        <v>0</v>
      </c>
      <c r="F20" s="161">
        <v>0</v>
      </c>
      <c r="G20" s="161">
        <v>0</v>
      </c>
      <c r="H20" s="161">
        <v>0</v>
      </c>
      <c r="I20" s="161">
        <v>0</v>
      </c>
      <c r="J20" s="161">
        <v>0</v>
      </c>
    </row>
    <row r="21" spans="2:10" hidden="1" x14ac:dyDescent="0.35">
      <c r="B21" s="150" t="s">
        <v>562</v>
      </c>
      <c r="C21" s="161">
        <v>0.33989999999999998</v>
      </c>
      <c r="D21" s="161">
        <v>0.33989999999999998</v>
      </c>
      <c r="E21" s="161">
        <v>0.33989999999999998</v>
      </c>
      <c r="F21" s="161">
        <v>0.33989999999999998</v>
      </c>
      <c r="G21" s="161">
        <v>0.33989999999999998</v>
      </c>
      <c r="H21" s="161">
        <v>0.33989999999999998</v>
      </c>
      <c r="I21" s="161">
        <v>0.33989999999999998</v>
      </c>
      <c r="J21" s="161">
        <v>0.33989999999999998</v>
      </c>
    </row>
    <row r="22" spans="2:10" hidden="1" x14ac:dyDescent="0.35">
      <c r="B22" s="151" t="s">
        <v>563</v>
      </c>
      <c r="C22" s="162">
        <f>C18*C20*(1-C21)+C19*(1-C20)</f>
        <v>0.2</v>
      </c>
      <c r="D22" s="162">
        <f>D18*D20*(1-D21)+D19*(1-D20)</f>
        <v>0.2</v>
      </c>
      <c r="E22" s="162">
        <f>E18*E20*(1-E21)+E19*(1-E20)</f>
        <v>0.2</v>
      </c>
      <c r="F22" s="162">
        <f t="shared" ref="F22:J22" si="19">F18*F20*(1-F21)+F19*(1-F20)</f>
        <v>0.2</v>
      </c>
      <c r="G22" s="162">
        <f t="shared" si="19"/>
        <v>0.2</v>
      </c>
      <c r="H22" s="162">
        <f t="shared" si="19"/>
        <v>0.2</v>
      </c>
      <c r="I22" s="162">
        <f t="shared" si="19"/>
        <v>0.2</v>
      </c>
      <c r="J22" s="162">
        <f t="shared" si="19"/>
        <v>0.2</v>
      </c>
    </row>
    <row r="23" spans="2:10" hidden="1" x14ac:dyDescent="0.35">
      <c r="B23" s="150" t="s">
        <v>564</v>
      </c>
      <c r="E23" s="143">
        <f>1/(1+E22)</f>
        <v>0.83333333333333337</v>
      </c>
      <c r="F23" s="163">
        <f t="shared" ref="F23:I23" si="20">E23/(1+F22)</f>
        <v>0.69444444444444453</v>
      </c>
      <c r="G23" s="163">
        <f t="shared" si="20"/>
        <v>0.57870370370370383</v>
      </c>
      <c r="H23" s="163">
        <f t="shared" si="20"/>
        <v>0.48225308641975323</v>
      </c>
      <c r="I23" s="163">
        <f t="shared" si="20"/>
        <v>0.40187757201646102</v>
      </c>
      <c r="J23" s="163">
        <f>I23/(1+J22)</f>
        <v>0.33489797668038418</v>
      </c>
    </row>
    <row r="24" spans="2:10" hidden="1" x14ac:dyDescent="0.35">
      <c r="E24" s="164"/>
      <c r="F24" s="164"/>
      <c r="G24" s="164"/>
      <c r="H24" s="164"/>
      <c r="I24" s="164"/>
    </row>
    <row r="25" spans="2:10" hidden="1" x14ac:dyDescent="0.35">
      <c r="E25" s="164"/>
      <c r="F25" s="164"/>
      <c r="G25" s="164"/>
      <c r="H25" s="164"/>
      <c r="I25" s="164"/>
    </row>
    <row r="26" spans="2:10" hidden="1" x14ac:dyDescent="0.35">
      <c r="B26" s="148"/>
    </row>
    <row r="27" spans="2:10" hidden="1" x14ac:dyDescent="0.35">
      <c r="B27" s="148"/>
    </row>
    <row r="28" spans="2:10" hidden="1" x14ac:dyDescent="0.35"/>
    <row r="29" spans="2:10" hidden="1" x14ac:dyDescent="0.35"/>
    <row r="30" spans="2:10" hidden="1" x14ac:dyDescent="0.35">
      <c r="E30" s="164"/>
      <c r="F30" s="164"/>
      <c r="G30" s="164"/>
      <c r="H30" s="164"/>
      <c r="I30" s="164"/>
      <c r="J30" s="164"/>
    </row>
    <row r="31" spans="2:10" hidden="1" x14ac:dyDescent="0.35">
      <c r="B31" s="148"/>
      <c r="C31" s="140"/>
      <c r="D31" s="140"/>
    </row>
    <row r="32" spans="2:10" hidden="1" x14ac:dyDescent="0.35">
      <c r="B32" s="153"/>
      <c r="C32" s="141"/>
      <c r="D32" s="141"/>
    </row>
    <row r="33" spans="2:9" hidden="1" x14ac:dyDescent="0.35">
      <c r="B33" s="153"/>
      <c r="C33" s="141"/>
      <c r="D33" s="141"/>
    </row>
    <row r="34" spans="2:9" hidden="1" x14ac:dyDescent="0.35">
      <c r="B34" s="153"/>
      <c r="C34" s="141"/>
      <c r="D34" s="141"/>
    </row>
    <row r="35" spans="2:9" x14ac:dyDescent="0.35">
      <c r="B35" s="153"/>
      <c r="C35" s="141"/>
      <c r="D35" s="141"/>
      <c r="E35" s="164"/>
      <c r="F35" s="164"/>
      <c r="G35" s="164"/>
      <c r="H35" s="164"/>
      <c r="I35" s="164"/>
    </row>
    <row r="36" spans="2:9" x14ac:dyDescent="0.35">
      <c r="B36" s="153"/>
      <c r="C36" s="141"/>
      <c r="D36" s="141"/>
    </row>
    <row r="37" spans="2:9" x14ac:dyDescent="0.35">
      <c r="B37" s="153"/>
      <c r="C37" s="141"/>
      <c r="D37" s="141"/>
    </row>
    <row r="38" spans="2:9" x14ac:dyDescent="0.35">
      <c r="B38" s="153"/>
      <c r="C38" s="141"/>
      <c r="D38" s="141"/>
    </row>
    <row r="39" spans="2:9" x14ac:dyDescent="0.35">
      <c r="B39" s="153"/>
      <c r="C39" s="141"/>
      <c r="D39" s="141"/>
      <c r="E39" s="141"/>
      <c r="F39" s="141"/>
    </row>
    <row r="41" spans="2:9" x14ac:dyDescent="0.35">
      <c r="B41" s="153"/>
      <c r="C41" s="141"/>
      <c r="D41" s="141"/>
    </row>
    <row r="43" spans="2:9" x14ac:dyDescent="0.35">
      <c r="B43" s="1005"/>
      <c r="C43" s="1005"/>
      <c r="D43" s="1005"/>
    </row>
    <row r="44" spans="2:9" x14ac:dyDescent="0.35">
      <c r="B44" s="148"/>
      <c r="C44" s="140"/>
      <c r="D44" s="140"/>
    </row>
    <row r="45" spans="2:9" x14ac:dyDescent="0.35">
      <c r="B45" s="148"/>
      <c r="C45" s="141"/>
      <c r="D45" s="141"/>
    </row>
    <row r="46" spans="2:9" x14ac:dyDescent="0.35">
      <c r="B46" s="148"/>
      <c r="C46" s="141"/>
      <c r="D46" s="141"/>
    </row>
    <row r="47" spans="2:9" x14ac:dyDescent="0.35">
      <c r="B47" s="148"/>
      <c r="D47" s="141"/>
    </row>
    <row r="48" spans="2:9" x14ac:dyDescent="0.35">
      <c r="B48" s="148"/>
    </row>
    <row r="49" spans="2:4" x14ac:dyDescent="0.35">
      <c r="B49" s="148"/>
    </row>
    <row r="50" spans="2:4" x14ac:dyDescent="0.35">
      <c r="B50" s="1005"/>
      <c r="C50" s="1005"/>
      <c r="D50" s="1005"/>
    </row>
    <row r="51" spans="2:4" x14ac:dyDescent="0.35">
      <c r="C51" s="140"/>
      <c r="D51" s="140"/>
    </row>
    <row r="52" spans="2:4" x14ac:dyDescent="0.35">
      <c r="B52" s="148"/>
      <c r="D52" s="143"/>
    </row>
    <row r="53" spans="2:4" x14ac:dyDescent="0.35">
      <c r="B53" s="148"/>
      <c r="C53" s="141"/>
      <c r="D53" s="141"/>
    </row>
    <row r="54" spans="2:4" x14ac:dyDescent="0.35">
      <c r="B54" s="148"/>
      <c r="C54" s="141"/>
      <c r="D54" s="141"/>
    </row>
  </sheetData>
  <mergeCells count="3">
    <mergeCell ref="B16:I16"/>
    <mergeCell ref="B43:D43"/>
    <mergeCell ref="B50:D5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O95"/>
  <sheetViews>
    <sheetView showGridLines="0" topLeftCell="B63" workbookViewId="0">
      <selection activeCell="B68" sqref="B68"/>
    </sheetView>
  </sheetViews>
  <sheetFormatPr defaultColWidth="9.1796875" defaultRowHeight="14.5" x14ac:dyDescent="0.35"/>
  <cols>
    <col min="1" max="1" width="6.1796875" style="136" bestFit="1" customWidth="1"/>
    <col min="2" max="2" width="37.453125" style="152" customWidth="1"/>
    <col min="3" max="3" width="12.81640625" style="152" customWidth="1"/>
    <col min="4" max="14" width="11.7265625" style="142" customWidth="1"/>
    <col min="15" max="16384" width="9.1796875" style="136"/>
  </cols>
  <sheetData>
    <row r="1" spans="1:15" ht="18" customHeight="1" x14ac:dyDescent="0.35"/>
    <row r="2" spans="1:15" ht="21" customHeight="1" x14ac:dyDescent="0.35">
      <c r="B2" s="144" t="s">
        <v>565</v>
      </c>
      <c r="C2" s="144"/>
      <c r="D2" s="130"/>
      <c r="E2" s="130"/>
      <c r="F2" s="130"/>
      <c r="G2" s="130"/>
      <c r="H2" s="130"/>
      <c r="I2" s="130"/>
      <c r="J2" s="130"/>
      <c r="K2" s="130"/>
      <c r="L2" s="130"/>
      <c r="M2" s="130"/>
      <c r="N2" s="130"/>
    </row>
    <row r="3" spans="1:15" ht="15" customHeight="1" x14ac:dyDescent="0.35">
      <c r="B3" s="145"/>
      <c r="C3" s="327"/>
      <c r="D3" s="327">
        <v>45747</v>
      </c>
      <c r="E3" s="327">
        <f>EDATE(D3,12)</f>
        <v>46112</v>
      </c>
      <c r="F3" s="327">
        <f t="shared" ref="F3:N3" si="0">EDATE(E3,12)</f>
        <v>46477</v>
      </c>
      <c r="G3" s="327">
        <f t="shared" si="0"/>
        <v>46843</v>
      </c>
      <c r="H3" s="327">
        <f t="shared" si="0"/>
        <v>47208</v>
      </c>
      <c r="I3" s="327">
        <f t="shared" si="0"/>
        <v>47573</v>
      </c>
      <c r="J3" s="327">
        <f t="shared" si="0"/>
        <v>47938</v>
      </c>
      <c r="K3" s="327">
        <f t="shared" si="0"/>
        <v>48304</v>
      </c>
      <c r="L3" s="327">
        <f t="shared" si="0"/>
        <v>48669</v>
      </c>
      <c r="M3" s="327">
        <f t="shared" si="0"/>
        <v>49034</v>
      </c>
      <c r="N3" s="327">
        <f t="shared" si="0"/>
        <v>49399</v>
      </c>
    </row>
    <row r="4" spans="1:15" ht="22.5" customHeight="1" x14ac:dyDescent="0.35">
      <c r="B4" s="117" t="s">
        <v>585</v>
      </c>
      <c r="C4" s="117"/>
      <c r="D4" s="93">
        <v>2025</v>
      </c>
      <c r="E4" s="93">
        <f t="shared" ref="E4:J4" si="1">D4+1</f>
        <v>2026</v>
      </c>
      <c r="F4" s="93">
        <f t="shared" si="1"/>
        <v>2027</v>
      </c>
      <c r="G4" s="93">
        <f t="shared" si="1"/>
        <v>2028</v>
      </c>
      <c r="H4" s="93">
        <f t="shared" si="1"/>
        <v>2029</v>
      </c>
      <c r="I4" s="93">
        <f t="shared" si="1"/>
        <v>2030</v>
      </c>
      <c r="J4" s="93">
        <f t="shared" si="1"/>
        <v>2031</v>
      </c>
      <c r="K4" s="93">
        <f t="shared" ref="K4" si="2">J4+1</f>
        <v>2032</v>
      </c>
      <c r="L4" s="93">
        <f t="shared" ref="L4" si="3">K4+1</f>
        <v>2033</v>
      </c>
      <c r="M4" s="93">
        <f t="shared" ref="M4:N4" si="4">L4+1</f>
        <v>2034</v>
      </c>
      <c r="N4" s="93">
        <f t="shared" si="4"/>
        <v>2035</v>
      </c>
    </row>
    <row r="5" spans="1:15" ht="18.75" customHeight="1" x14ac:dyDescent="0.35">
      <c r="B5" s="153" t="s">
        <v>595</v>
      </c>
      <c r="C5" s="153"/>
      <c r="D5" s="295">
        <v>0</v>
      </c>
      <c r="E5" s="295">
        <v>0</v>
      </c>
      <c r="F5" s="295">
        <v>9</v>
      </c>
      <c r="G5" s="295">
        <v>12</v>
      </c>
      <c r="H5" s="295">
        <f t="shared" ref="H5:J5" si="5">G5</f>
        <v>12</v>
      </c>
      <c r="I5" s="295">
        <f t="shared" si="5"/>
        <v>12</v>
      </c>
      <c r="J5" s="295">
        <f t="shared" si="5"/>
        <v>12</v>
      </c>
      <c r="K5" s="295">
        <f t="shared" ref="K5" si="6">J5</f>
        <v>12</v>
      </c>
      <c r="L5" s="295">
        <f t="shared" ref="L5" si="7">K5</f>
        <v>12</v>
      </c>
      <c r="M5" s="295">
        <f t="shared" ref="M5:N5" si="8">L5</f>
        <v>12</v>
      </c>
      <c r="N5" s="295">
        <f t="shared" si="8"/>
        <v>12</v>
      </c>
    </row>
    <row r="6" spans="1:15" ht="19.5" customHeight="1" x14ac:dyDescent="0.35">
      <c r="B6" s="145" t="s">
        <v>550</v>
      </c>
      <c r="C6" s="145"/>
      <c r="D6" s="295">
        <f>'P &amp; L'!D30+'P &amp; L'!D25+'P &amp; L'!D26</f>
        <v>0</v>
      </c>
      <c r="E6" s="295">
        <f>'P &amp; L'!E30+'P &amp; L'!E25+'P &amp; L'!E26</f>
        <v>0</v>
      </c>
      <c r="F6" s="295">
        <f>'P &amp; L'!F30+'P &amp; L'!F25+'P &amp; L'!F26</f>
        <v>5276.4455855940951</v>
      </c>
      <c r="G6" s="295">
        <f>'P &amp; L'!G30+'P &amp; L'!G25+'P &amp; L'!G26</f>
        <v>8920.1881978069032</v>
      </c>
      <c r="H6" s="295">
        <f>'P &amp; L'!H30+'P &amp; L'!H25+'P &amp; L'!H26</f>
        <v>11773.931795269118</v>
      </c>
      <c r="I6" s="295">
        <f>'P &amp; L'!I30+'P &amp; L'!I25+'P &amp; L'!I26</f>
        <v>12782.629617058863</v>
      </c>
      <c r="J6" s="295">
        <f>'P &amp; L'!J30+'P &amp; L'!J25+'P &amp; L'!J26</f>
        <v>13877.223066122811</v>
      </c>
      <c r="K6" s="295">
        <f>'P &amp; L'!K30+'P &amp; L'!K25+'P &amp; L'!K26</f>
        <v>15088.571187639975</v>
      </c>
      <c r="L6" s="295">
        <f>'P &amp; L'!L30+'P &amp; L'!L25+'P &amp; L'!L26</f>
        <v>16358.647965232982</v>
      </c>
      <c r="M6" s="295">
        <f>'P &amp; L'!M30+'P &amp; L'!M25+'P &amp; L'!M26</f>
        <v>17729.057331705644</v>
      </c>
      <c r="N6" s="295">
        <f>'P &amp; L'!N30+'P &amp; L'!N25+'P &amp; L'!N26</f>
        <v>19276.487166501935</v>
      </c>
    </row>
    <row r="7" spans="1:15" ht="19.5" customHeight="1" x14ac:dyDescent="0.35">
      <c r="A7" s="946">
        <f>'P &amp; L'!A31</f>
        <v>0.25168000000000001</v>
      </c>
      <c r="B7" s="145" t="s">
        <v>551</v>
      </c>
      <c r="C7" s="145"/>
      <c r="D7" s="295">
        <f>Tax!F26</f>
        <v>0</v>
      </c>
      <c r="E7" s="295">
        <f>Tax!G26</f>
        <v>0</v>
      </c>
      <c r="F7" s="295">
        <f>Tax!H26</f>
        <v>514.15207731747773</v>
      </c>
      <c r="G7" s="295">
        <f>Tax!I26</f>
        <v>1643.6063314696926</v>
      </c>
      <c r="H7" s="295">
        <f>Tax!J26</f>
        <v>2487.22920058513</v>
      </c>
      <c r="I7" s="295">
        <f>Tax!K26</f>
        <v>2848.0886472729021</v>
      </c>
      <c r="J7" s="295">
        <f>Tax!L26</f>
        <v>3214.8836890206408</v>
      </c>
      <c r="K7" s="295">
        <f>Tax!M26</f>
        <v>3597.6967287386046</v>
      </c>
      <c r="L7" s="295">
        <f>Tax!N26</f>
        <v>3983.8958666858275</v>
      </c>
      <c r="M7" s="295">
        <f>Tax!O26</f>
        <v>4385.6315489859307</v>
      </c>
      <c r="N7" s="295">
        <f>Tax!P26</f>
        <v>4823.6351783230248</v>
      </c>
    </row>
    <row r="8" spans="1:15" ht="19.5" customHeight="1" x14ac:dyDescent="0.35">
      <c r="B8" s="167" t="s">
        <v>552</v>
      </c>
      <c r="C8" s="167"/>
      <c r="D8" s="295">
        <f>'P &amp; L'!D28</f>
        <v>0</v>
      </c>
      <c r="E8" s="295">
        <f>'P &amp; L'!E28</f>
        <v>0</v>
      </c>
      <c r="F8" s="295">
        <f>'P &amp; L'!F28</f>
        <v>779.65452316513756</v>
      </c>
      <c r="G8" s="295">
        <f>'P &amp; L'!G28</f>
        <v>1039.5393642201834</v>
      </c>
      <c r="H8" s="295">
        <f>'P &amp; L'!H28</f>
        <v>1039.5393642201834</v>
      </c>
      <c r="I8" s="295">
        <f>'P &amp; L'!I28</f>
        <v>1039.5393642201834</v>
      </c>
      <c r="J8" s="295">
        <f>'P &amp; L'!J28</f>
        <v>1039.5393642201834</v>
      </c>
      <c r="K8" s="295">
        <f>'P &amp; L'!K28</f>
        <v>1039.5393642201834</v>
      </c>
      <c r="L8" s="295">
        <f>'P &amp; L'!L28</f>
        <v>1039.5393642201834</v>
      </c>
      <c r="M8" s="295">
        <f>'P &amp; L'!M28</f>
        <v>1039.5393642201834</v>
      </c>
      <c r="N8" s="295">
        <f>'P &amp; L'!N28</f>
        <v>1039.5393642201834</v>
      </c>
    </row>
    <row r="9" spans="1:15" ht="19.5" customHeight="1" x14ac:dyDescent="0.35">
      <c r="B9" s="168" t="s">
        <v>553</v>
      </c>
      <c r="C9" s="168"/>
      <c r="D9" s="296">
        <f t="shared" ref="D9:J9" si="9">D6-D7+D8</f>
        <v>0</v>
      </c>
      <c r="E9" s="296">
        <f t="shared" si="9"/>
        <v>0</v>
      </c>
      <c r="F9" s="296">
        <f t="shared" si="9"/>
        <v>5541.9480314417542</v>
      </c>
      <c r="G9" s="296">
        <f t="shared" si="9"/>
        <v>8316.1212305573936</v>
      </c>
      <c r="H9" s="296">
        <f t="shared" si="9"/>
        <v>10326.241958904171</v>
      </c>
      <c r="I9" s="296">
        <f t="shared" si="9"/>
        <v>10974.080334006145</v>
      </c>
      <c r="J9" s="296">
        <f t="shared" si="9"/>
        <v>11701.878741322354</v>
      </c>
      <c r="K9" s="296">
        <f t="shared" ref="K9:M9" si="10">K6-K7+K8</f>
        <v>12530.413823121553</v>
      </c>
      <c r="L9" s="296">
        <f t="shared" si="10"/>
        <v>13414.291462767338</v>
      </c>
      <c r="M9" s="296">
        <f t="shared" si="10"/>
        <v>14382.965146939898</v>
      </c>
      <c r="N9" s="296">
        <f t="shared" ref="N9" si="11">N6-N7+N8</f>
        <v>15492.391352399094</v>
      </c>
    </row>
    <row r="10" spans="1:15" ht="19.5" customHeight="1" x14ac:dyDescent="0.35">
      <c r="B10" s="167" t="s">
        <v>554</v>
      </c>
      <c r="C10" s="167"/>
      <c r="D10" s="297">
        <f>WC!D35</f>
        <v>0</v>
      </c>
      <c r="E10" s="297">
        <f>WC!E35-WC!D35</f>
        <v>0</v>
      </c>
      <c r="F10" s="297">
        <f>WC!F35-WC!E35</f>
        <v>2435.5764641250003</v>
      </c>
      <c r="G10" s="297">
        <f>WC!G35-WC!F35</f>
        <v>487.11529282499987</v>
      </c>
      <c r="H10" s="297">
        <f>WC!H35-WC!G35</f>
        <v>589.30165495687561</v>
      </c>
      <c r="I10" s="297">
        <f>WC!I35-WC!H35</f>
        <v>175.59967059534392</v>
      </c>
      <c r="J10" s="297">
        <f>WC!J35-WC!I35</f>
        <v>184.3796541251113</v>
      </c>
      <c r="K10" s="297">
        <f>WC!K35-WC!J35</f>
        <v>193.598636831367</v>
      </c>
      <c r="L10" s="297">
        <f>WC!L35-WC!K35</f>
        <v>203.27856867293485</v>
      </c>
      <c r="M10" s="297">
        <f>WC!M35-WC!L35</f>
        <v>213.44249710658187</v>
      </c>
      <c r="N10" s="297">
        <f>WC!N35-WC!M35</f>
        <v>224.11462196191042</v>
      </c>
    </row>
    <row r="11" spans="1:15" ht="19.5" customHeight="1" x14ac:dyDescent="0.35">
      <c r="B11" s="167" t="s">
        <v>713</v>
      </c>
      <c r="C11" s="167"/>
      <c r="D11" s="297">
        <f>'Cash Flow'!C22</f>
        <v>5000</v>
      </c>
      <c r="E11" s="297">
        <f>BS!D23-BS!C23</f>
        <v>15345</v>
      </c>
      <c r="F11" s="297">
        <f>BS!E23-BS!D23</f>
        <v>8806.5</v>
      </c>
      <c r="G11" s="297">
        <f>BS!F23-BS!E23</f>
        <v>0</v>
      </c>
      <c r="H11" s="297">
        <f>BS!G23-BS!F23</f>
        <v>0</v>
      </c>
      <c r="I11" s="297">
        <f>BS!H23-BS!G23</f>
        <v>0</v>
      </c>
      <c r="J11" s="297">
        <f>BS!I23-BS!H23</f>
        <v>0</v>
      </c>
      <c r="K11" s="297">
        <f>BS!J23-BS!I23</f>
        <v>0</v>
      </c>
      <c r="L11" s="297">
        <f>BS!K23-BS!J23</f>
        <v>0</v>
      </c>
      <c r="M11" s="297">
        <f>BS!L23-BS!K23</f>
        <v>0</v>
      </c>
      <c r="N11" s="297">
        <f>BS!M23-BS!L23</f>
        <v>0</v>
      </c>
    </row>
    <row r="12" spans="1:15" ht="19.5" customHeight="1" x14ac:dyDescent="0.35">
      <c r="B12" s="168" t="s">
        <v>555</v>
      </c>
      <c r="C12" s="168"/>
      <c r="D12" s="298">
        <f>D9-D10-D11</f>
        <v>-5000</v>
      </c>
      <c r="E12" s="298">
        <f t="shared" ref="E12:J12" si="12">E9-E10-E11</f>
        <v>-15345</v>
      </c>
      <c r="F12" s="298">
        <f t="shared" si="12"/>
        <v>-5700.1284326832465</v>
      </c>
      <c r="G12" s="298">
        <f t="shared" si="12"/>
        <v>7829.0059377323942</v>
      </c>
      <c r="H12" s="298">
        <f t="shared" si="12"/>
        <v>9736.9403039472963</v>
      </c>
      <c r="I12" s="298">
        <f t="shared" si="12"/>
        <v>10798.480663410801</v>
      </c>
      <c r="J12" s="298">
        <f t="shared" si="12"/>
        <v>11517.499087197244</v>
      </c>
      <c r="K12" s="298">
        <f t="shared" ref="K12:M12" si="13">K9-K10-K11</f>
        <v>12336.815186290187</v>
      </c>
      <c r="L12" s="298">
        <f t="shared" si="13"/>
        <v>13211.012894094403</v>
      </c>
      <c r="M12" s="298">
        <f t="shared" si="13"/>
        <v>14169.522649833316</v>
      </c>
      <c r="N12" s="298">
        <f t="shared" ref="N12" si="14">N9-N10-N11</f>
        <v>15268.276730437185</v>
      </c>
    </row>
    <row r="13" spans="1:15" ht="19.5" customHeight="1" x14ac:dyDescent="0.35">
      <c r="B13" s="168" t="s">
        <v>790</v>
      </c>
      <c r="C13" s="168"/>
      <c r="D13" s="326"/>
      <c r="E13" s="326"/>
      <c r="F13" s="326"/>
      <c r="G13" s="326"/>
      <c r="H13" s="326"/>
      <c r="I13" s="326"/>
      <c r="J13" s="326"/>
      <c r="K13" s="326"/>
      <c r="L13" s="326"/>
      <c r="M13" s="326"/>
      <c r="N13" s="326">
        <f>(N9-N10-N8)*(1+$D$40)/($D$19-$D$40)</f>
        <v>142287.37366217002</v>
      </c>
      <c r="O13" s="136" t="s">
        <v>792</v>
      </c>
    </row>
    <row r="14" spans="1:15" ht="19.5" customHeight="1" x14ac:dyDescent="0.35">
      <c r="B14" s="119" t="s">
        <v>791</v>
      </c>
      <c r="C14" s="119"/>
      <c r="D14" s="326">
        <f>D12+D13</f>
        <v>-5000</v>
      </c>
      <c r="E14" s="326">
        <f t="shared" ref="E14:J14" si="15">E12+E13</f>
        <v>-15345</v>
      </c>
      <c r="F14" s="326">
        <f t="shared" si="15"/>
        <v>-5700.1284326832465</v>
      </c>
      <c r="G14" s="326">
        <f t="shared" si="15"/>
        <v>7829.0059377323942</v>
      </c>
      <c r="H14" s="326">
        <f t="shared" si="15"/>
        <v>9736.9403039472963</v>
      </c>
      <c r="I14" s="326">
        <f t="shared" si="15"/>
        <v>10798.480663410801</v>
      </c>
      <c r="J14" s="326">
        <f t="shared" si="15"/>
        <v>11517.499087197244</v>
      </c>
      <c r="K14" s="326">
        <f t="shared" ref="K14:M14" si="16">K12+K13</f>
        <v>12336.815186290187</v>
      </c>
      <c r="L14" s="326">
        <f t="shared" si="16"/>
        <v>13211.012894094403</v>
      </c>
      <c r="M14" s="326">
        <f t="shared" si="16"/>
        <v>14169.522649833316</v>
      </c>
      <c r="N14" s="326">
        <f t="shared" ref="N14" si="17">N12+N13</f>
        <v>157555.6503926072</v>
      </c>
    </row>
    <row r="15" spans="1:15" s="166" customFormat="1" ht="21" customHeight="1" x14ac:dyDescent="0.35">
      <c r="B15" s="117" t="s">
        <v>556</v>
      </c>
      <c r="C15" s="117"/>
      <c r="D15" s="334">
        <f>IRR(D14:N14)</f>
        <v>0.3768535058348006</v>
      </c>
      <c r="E15" s="334"/>
      <c r="F15" s="334"/>
      <c r="G15" s="334"/>
      <c r="H15" s="334"/>
      <c r="I15" s="334"/>
      <c r="J15" s="334"/>
      <c r="K15" s="334"/>
      <c r="L15" s="334"/>
      <c r="M15" s="334"/>
      <c r="N15" s="334"/>
    </row>
    <row r="16" spans="1:15" customFormat="1" ht="21" customHeight="1" x14ac:dyDescent="0.35">
      <c r="C16" s="328"/>
      <c r="D16" s="328">
        <f>D14</f>
        <v>-5000</v>
      </c>
      <c r="E16" s="328">
        <f>E14</f>
        <v>-15345</v>
      </c>
      <c r="F16" s="328">
        <f t="shared" ref="F16:M16" si="18">F14</f>
        <v>-5700.1284326832465</v>
      </c>
      <c r="G16" s="328">
        <f t="shared" si="18"/>
        <v>7829.0059377323942</v>
      </c>
      <c r="H16" s="328">
        <f t="shared" si="18"/>
        <v>9736.9403039472963</v>
      </c>
      <c r="I16" s="328">
        <f t="shared" si="18"/>
        <v>10798.480663410801</v>
      </c>
      <c r="J16" s="328">
        <f t="shared" si="18"/>
        <v>11517.499087197244</v>
      </c>
      <c r="K16" s="328">
        <f t="shared" si="18"/>
        <v>12336.815186290187</v>
      </c>
      <c r="L16" s="328">
        <f t="shared" si="18"/>
        <v>13211.012894094403</v>
      </c>
      <c r="M16" s="328">
        <f t="shared" si="18"/>
        <v>14169.522649833316</v>
      </c>
      <c r="N16" s="328">
        <f t="shared" ref="N16" si="19">N14</f>
        <v>157555.6503926072</v>
      </c>
    </row>
    <row r="17" spans="1:14" customFormat="1" ht="21" customHeight="1" x14ac:dyDescent="0.35">
      <c r="B17" s="332" t="s">
        <v>556</v>
      </c>
      <c r="C17" s="329">
        <f>XIRR(D16:N16,D3:N3)</f>
        <v>0.37654617428779602</v>
      </c>
    </row>
    <row r="18" spans="1:14" x14ac:dyDescent="0.35">
      <c r="B18" s="148"/>
      <c r="C18" s="148"/>
      <c r="D18" s="155"/>
      <c r="E18" s="140"/>
      <c r="F18" s="155"/>
      <c r="G18" s="156"/>
      <c r="H18" s="157"/>
      <c r="I18" s="135"/>
      <c r="J18" s="157"/>
      <c r="K18" s="157"/>
      <c r="L18" s="157"/>
      <c r="M18" s="157"/>
      <c r="N18" s="157"/>
    </row>
    <row r="19" spans="1:14" x14ac:dyDescent="0.35">
      <c r="A19" s="207">
        <v>0.02</v>
      </c>
      <c r="B19" s="136" t="s">
        <v>593</v>
      </c>
      <c r="C19" s="136"/>
      <c r="D19" s="207">
        <f>E60</f>
        <v>0.155</v>
      </c>
      <c r="E19" s="136"/>
      <c r="F19" s="136"/>
      <c r="G19" s="136"/>
      <c r="H19" s="136"/>
      <c r="I19" s="136"/>
      <c r="J19" s="136"/>
      <c r="K19" s="136"/>
      <c r="L19" s="136"/>
      <c r="M19" s="136"/>
      <c r="N19" s="136"/>
    </row>
    <row r="20" spans="1:14" ht="15" hidden="1" customHeight="1" x14ac:dyDescent="0.35">
      <c r="B20" s="136"/>
      <c r="C20" s="136"/>
      <c r="D20" s="136"/>
      <c r="E20" s="136"/>
      <c r="F20" s="136"/>
      <c r="G20" s="136"/>
      <c r="H20" s="136"/>
      <c r="I20" s="136"/>
      <c r="J20" s="136"/>
      <c r="K20" s="136"/>
      <c r="L20" s="136"/>
      <c r="M20" s="136"/>
      <c r="N20" s="136"/>
    </row>
    <row r="21" spans="1:14" ht="15" hidden="1" customHeight="1" x14ac:dyDescent="0.35">
      <c r="B21" s="136" t="s">
        <v>557</v>
      </c>
      <c r="C21" s="136"/>
      <c r="D21" s="136"/>
      <c r="E21" s="136"/>
      <c r="F21" s="136"/>
      <c r="G21" s="136"/>
      <c r="H21" s="136"/>
      <c r="I21" s="136"/>
      <c r="J21" s="136"/>
      <c r="K21" s="136"/>
      <c r="L21" s="136"/>
      <c r="M21" s="136"/>
      <c r="N21" s="136"/>
    </row>
    <row r="22" spans="1:14" ht="15" hidden="1" customHeight="1" x14ac:dyDescent="0.35">
      <c r="B22" s="136" t="s">
        <v>558</v>
      </c>
      <c r="C22" s="136"/>
      <c r="D22" s="136">
        <f t="shared" ref="D22:J22" si="20">D4</f>
        <v>2025</v>
      </c>
      <c r="E22" s="136">
        <f t="shared" si="20"/>
        <v>2026</v>
      </c>
      <c r="F22" s="136">
        <f t="shared" si="20"/>
        <v>2027</v>
      </c>
      <c r="G22" s="136">
        <f t="shared" si="20"/>
        <v>2028</v>
      </c>
      <c r="H22" s="136">
        <f t="shared" si="20"/>
        <v>2029</v>
      </c>
      <c r="I22" s="136">
        <f t="shared" si="20"/>
        <v>2030</v>
      </c>
      <c r="J22" s="136">
        <f t="shared" si="20"/>
        <v>2031</v>
      </c>
      <c r="K22" s="136"/>
      <c r="L22" s="136"/>
      <c r="M22" s="136"/>
      <c r="N22" s="136"/>
    </row>
    <row r="23" spans="1:14" ht="15" hidden="1" customHeight="1" x14ac:dyDescent="0.35">
      <c r="B23" s="136" t="s">
        <v>559</v>
      </c>
      <c r="C23" s="136"/>
      <c r="D23" s="136">
        <v>0.13</v>
      </c>
      <c r="E23" s="136">
        <f>D23</f>
        <v>0.13</v>
      </c>
      <c r="F23" s="136">
        <f t="shared" ref="F23:J23" si="21">E23</f>
        <v>0.13</v>
      </c>
      <c r="G23" s="136">
        <f t="shared" si="21"/>
        <v>0.13</v>
      </c>
      <c r="H23" s="136">
        <f t="shared" si="21"/>
        <v>0.13</v>
      </c>
      <c r="I23" s="136">
        <f t="shared" si="21"/>
        <v>0.13</v>
      </c>
      <c r="J23" s="136">
        <f t="shared" si="21"/>
        <v>0.13</v>
      </c>
      <c r="K23" s="136"/>
      <c r="L23" s="136"/>
      <c r="M23" s="136"/>
      <c r="N23" s="136"/>
    </row>
    <row r="24" spans="1:14" ht="15" hidden="1" customHeight="1" x14ac:dyDescent="0.35">
      <c r="B24" s="136" t="s">
        <v>560</v>
      </c>
      <c r="C24" s="136"/>
      <c r="D24" s="136">
        <v>0.2</v>
      </c>
      <c r="E24" s="136">
        <v>0.2</v>
      </c>
      <c r="F24" s="136">
        <v>0.2</v>
      </c>
      <c r="G24" s="136">
        <v>0.2</v>
      </c>
      <c r="H24" s="136">
        <v>0.2</v>
      </c>
      <c r="I24" s="136">
        <v>0.2</v>
      </c>
      <c r="J24" s="136">
        <v>0.2</v>
      </c>
      <c r="K24" s="136"/>
      <c r="L24" s="136"/>
      <c r="M24" s="136"/>
      <c r="N24" s="136"/>
    </row>
    <row r="25" spans="1:14" ht="15" hidden="1" customHeight="1" x14ac:dyDescent="0.35">
      <c r="B25" s="136" t="s">
        <v>561</v>
      </c>
      <c r="C25" s="136"/>
      <c r="D25" s="136">
        <v>0</v>
      </c>
      <c r="E25" s="136">
        <v>0</v>
      </c>
      <c r="F25" s="136">
        <v>0</v>
      </c>
      <c r="G25" s="136">
        <v>0</v>
      </c>
      <c r="H25" s="136">
        <v>0</v>
      </c>
      <c r="I25" s="136">
        <v>0</v>
      </c>
      <c r="J25" s="136">
        <v>0</v>
      </c>
      <c r="K25" s="136"/>
      <c r="L25" s="136"/>
      <c r="M25" s="136"/>
      <c r="N25" s="136"/>
    </row>
    <row r="26" spans="1:14" ht="15" hidden="1" customHeight="1" x14ac:dyDescent="0.35">
      <c r="B26" s="136" t="s">
        <v>562</v>
      </c>
      <c r="C26" s="136"/>
      <c r="D26" s="136">
        <v>0.33989999999999998</v>
      </c>
      <c r="E26" s="136">
        <v>0.33989999999999998</v>
      </c>
      <c r="F26" s="136">
        <v>0.33989999999999998</v>
      </c>
      <c r="G26" s="136">
        <v>0.33989999999999998</v>
      </c>
      <c r="H26" s="136">
        <v>0.33989999999999998</v>
      </c>
      <c r="I26" s="136">
        <v>0.33989999999999998</v>
      </c>
      <c r="J26" s="136">
        <v>0.33989999999999998</v>
      </c>
      <c r="K26" s="136"/>
      <c r="L26" s="136"/>
      <c r="M26" s="136"/>
      <c r="N26" s="136"/>
    </row>
    <row r="27" spans="1:14" ht="15" hidden="1" customHeight="1" x14ac:dyDescent="0.35">
      <c r="B27" s="136" t="s">
        <v>563</v>
      </c>
      <c r="C27" s="136"/>
      <c r="D27" s="136">
        <f>D23*D25*(1-D26)+D24*(1-D25)</f>
        <v>0.2</v>
      </c>
      <c r="E27" s="136">
        <f>E23*E25*(1-E26)+E24*(1-E25)</f>
        <v>0.2</v>
      </c>
      <c r="F27" s="136">
        <f>F23*F25*(1-F26)+F24*(1-F25)</f>
        <v>0.2</v>
      </c>
      <c r="G27" s="136">
        <f t="shared" ref="G27:J27" si="22">G23*G25*(1-G26)+G24*(1-G25)</f>
        <v>0.2</v>
      </c>
      <c r="H27" s="136">
        <f t="shared" si="22"/>
        <v>0.2</v>
      </c>
      <c r="I27" s="136">
        <f t="shared" si="22"/>
        <v>0.2</v>
      </c>
      <c r="J27" s="136">
        <f t="shared" si="22"/>
        <v>0.2</v>
      </c>
      <c r="K27" s="136"/>
      <c r="L27" s="136"/>
      <c r="M27" s="136"/>
      <c r="N27" s="136"/>
    </row>
    <row r="28" spans="1:14" ht="15" hidden="1" customHeight="1" x14ac:dyDescent="0.35">
      <c r="B28" s="136" t="s">
        <v>564</v>
      </c>
      <c r="C28" s="136"/>
      <c r="D28" s="136"/>
      <c r="E28" s="136"/>
      <c r="F28" s="136">
        <f>1/(1+F27)</f>
        <v>0.83333333333333337</v>
      </c>
      <c r="G28" s="136">
        <f t="shared" ref="G28:J28" si="23">F28/(1+G27)</f>
        <v>0.69444444444444453</v>
      </c>
      <c r="H28" s="136">
        <f t="shared" si="23"/>
        <v>0.57870370370370383</v>
      </c>
      <c r="I28" s="136">
        <f t="shared" si="23"/>
        <v>0.48225308641975323</v>
      </c>
      <c r="J28" s="136">
        <f t="shared" si="23"/>
        <v>0.40187757201646102</v>
      </c>
      <c r="K28" s="136"/>
      <c r="L28" s="136"/>
      <c r="M28" s="136"/>
      <c r="N28" s="136"/>
    </row>
    <row r="29" spans="1:14" ht="15" hidden="1" customHeight="1" x14ac:dyDescent="0.35">
      <c r="B29" s="136"/>
      <c r="C29" s="136"/>
      <c r="D29" s="136"/>
      <c r="E29" s="136"/>
      <c r="F29" s="136"/>
      <c r="G29" s="136"/>
      <c r="H29" s="136"/>
      <c r="I29" s="136"/>
      <c r="J29" s="136"/>
      <c r="K29" s="136"/>
      <c r="L29" s="136"/>
      <c r="M29" s="136"/>
      <c r="N29" s="136"/>
    </row>
    <row r="30" spans="1:14" ht="15" hidden="1" customHeight="1" x14ac:dyDescent="0.35">
      <c r="B30" s="136"/>
      <c r="C30" s="136"/>
      <c r="D30" s="136"/>
      <c r="E30" s="136"/>
      <c r="F30" s="136"/>
      <c r="G30" s="136"/>
      <c r="H30" s="136"/>
      <c r="I30" s="136"/>
      <c r="J30" s="136"/>
      <c r="K30" s="136"/>
      <c r="L30" s="136"/>
      <c r="M30" s="136"/>
      <c r="N30" s="136"/>
    </row>
    <row r="31" spans="1:14" ht="15" hidden="1" customHeight="1" x14ac:dyDescent="0.35">
      <c r="B31" s="136"/>
      <c r="C31" s="136"/>
      <c r="D31" s="136"/>
      <c r="E31" s="136"/>
      <c r="F31" s="136"/>
      <c r="G31" s="136"/>
      <c r="H31" s="136"/>
      <c r="I31" s="136"/>
      <c r="J31" s="136"/>
      <c r="K31" s="136"/>
      <c r="L31" s="136"/>
      <c r="M31" s="136"/>
      <c r="N31" s="136"/>
    </row>
    <row r="32" spans="1:14" ht="15" hidden="1" customHeight="1" x14ac:dyDescent="0.35">
      <c r="B32" s="136"/>
      <c r="C32" s="136"/>
      <c r="D32" s="136"/>
      <c r="E32" s="136"/>
      <c r="F32" s="136"/>
      <c r="G32" s="136"/>
      <c r="H32" s="136"/>
      <c r="I32" s="136"/>
      <c r="J32" s="136"/>
      <c r="K32" s="136"/>
      <c r="L32" s="136"/>
      <c r="M32" s="136"/>
      <c r="N32" s="136"/>
    </row>
    <row r="33" spans="2:14" ht="15" hidden="1" customHeight="1" x14ac:dyDescent="0.35">
      <c r="B33" s="136"/>
      <c r="C33" s="136"/>
      <c r="D33" s="136"/>
      <c r="E33" s="136"/>
      <c r="F33" s="136"/>
      <c r="G33" s="136"/>
      <c r="H33" s="136"/>
      <c r="I33" s="136"/>
      <c r="J33" s="136"/>
      <c r="K33" s="136"/>
      <c r="L33" s="136"/>
      <c r="M33" s="136"/>
      <c r="N33" s="136"/>
    </row>
    <row r="34" spans="2:14" ht="15" hidden="1" customHeight="1" x14ac:dyDescent="0.35">
      <c r="B34" s="136"/>
      <c r="C34" s="136"/>
      <c r="D34" s="136"/>
      <c r="E34" s="136"/>
      <c r="F34" s="136"/>
      <c r="G34" s="136"/>
      <c r="H34" s="136"/>
      <c r="I34" s="136"/>
      <c r="J34" s="136"/>
      <c r="K34" s="136"/>
      <c r="L34" s="136"/>
      <c r="M34" s="136"/>
      <c r="N34" s="136"/>
    </row>
    <row r="35" spans="2:14" ht="15" hidden="1" customHeight="1" x14ac:dyDescent="0.35">
      <c r="B35" s="136"/>
      <c r="C35" s="136"/>
      <c r="D35" s="136"/>
      <c r="E35" s="136"/>
      <c r="F35" s="136"/>
      <c r="G35" s="136"/>
      <c r="H35" s="136"/>
      <c r="I35" s="136"/>
      <c r="J35" s="136"/>
      <c r="K35" s="136"/>
      <c r="L35" s="136"/>
      <c r="M35" s="136"/>
      <c r="N35" s="136"/>
    </row>
    <row r="36" spans="2:14" ht="15" hidden="1" customHeight="1" x14ac:dyDescent="0.35">
      <c r="B36" s="136"/>
      <c r="C36" s="136"/>
      <c r="D36" s="136"/>
      <c r="E36" s="136"/>
      <c r="F36" s="136"/>
      <c r="G36" s="136"/>
      <c r="H36" s="136"/>
      <c r="I36" s="136"/>
      <c r="J36" s="136"/>
      <c r="K36" s="136"/>
      <c r="L36" s="136"/>
      <c r="M36" s="136"/>
      <c r="N36" s="136"/>
    </row>
    <row r="37" spans="2:14" ht="15" hidden="1" customHeight="1" x14ac:dyDescent="0.35">
      <c r="B37" s="136"/>
      <c r="C37" s="136"/>
      <c r="D37" s="136"/>
      <c r="E37" s="136"/>
      <c r="F37" s="136"/>
      <c r="G37" s="136"/>
      <c r="H37" s="136"/>
      <c r="I37" s="136"/>
      <c r="J37" s="136"/>
      <c r="K37" s="136"/>
      <c r="L37" s="136"/>
      <c r="M37" s="136"/>
      <c r="N37" s="136"/>
    </row>
    <row r="38" spans="2:14" ht="15" hidden="1" customHeight="1" x14ac:dyDescent="0.35">
      <c r="B38" s="136"/>
      <c r="C38" s="136"/>
      <c r="D38" s="136"/>
      <c r="E38" s="136"/>
      <c r="F38" s="136"/>
      <c r="G38" s="136"/>
      <c r="H38" s="136"/>
      <c r="I38" s="136"/>
      <c r="J38" s="136"/>
      <c r="K38" s="136"/>
      <c r="L38" s="136"/>
      <c r="M38" s="136"/>
      <c r="N38" s="136"/>
    </row>
    <row r="39" spans="2:14" ht="15" hidden="1" customHeight="1" x14ac:dyDescent="0.35">
      <c r="B39" s="136"/>
      <c r="C39" s="136"/>
      <c r="D39" s="136"/>
      <c r="E39" s="136"/>
      <c r="F39" s="136"/>
      <c r="G39" s="136"/>
      <c r="H39" s="136"/>
      <c r="I39" s="136"/>
      <c r="J39" s="136"/>
      <c r="K39" s="136"/>
      <c r="L39" s="136"/>
      <c r="M39" s="136"/>
      <c r="N39" s="136"/>
    </row>
    <row r="40" spans="2:14" x14ac:dyDescent="0.35">
      <c r="B40" s="204" t="s">
        <v>594</v>
      </c>
      <c r="C40" s="204"/>
      <c r="D40" s="208">
        <v>0.05</v>
      </c>
      <c r="E40" s="136"/>
      <c r="F40" s="136"/>
      <c r="G40" s="136"/>
      <c r="H40" s="136"/>
      <c r="I40" s="136"/>
      <c r="J40" s="136"/>
      <c r="K40" s="136"/>
      <c r="L40" s="136"/>
      <c r="M40" s="136"/>
      <c r="N40" s="136"/>
    </row>
    <row r="41" spans="2:14" x14ac:dyDescent="0.35">
      <c r="B41" s="204"/>
      <c r="C41" s="204"/>
      <c r="D41" s="208"/>
      <c r="E41" s="136"/>
      <c r="F41" s="136"/>
      <c r="G41" s="136"/>
      <c r="H41" s="136"/>
      <c r="I41" s="136"/>
      <c r="J41" s="136"/>
      <c r="K41" s="136"/>
      <c r="L41" s="136"/>
      <c r="M41" s="136"/>
      <c r="N41" s="136"/>
    </row>
    <row r="42" spans="2:14" x14ac:dyDescent="0.35">
      <c r="B42" s="253" t="s">
        <v>733</v>
      </c>
      <c r="C42" s="253"/>
      <c r="D42" s="254" t="s">
        <v>714</v>
      </c>
      <c r="E42" s="255">
        <v>0.15205168211474615</v>
      </c>
      <c r="F42" s="256"/>
      <c r="G42" s="281" t="s">
        <v>1773</v>
      </c>
      <c r="H42" s="136"/>
      <c r="I42" s="136"/>
      <c r="J42" s="136"/>
      <c r="K42" s="136"/>
      <c r="L42" s="136"/>
      <c r="M42" s="136"/>
      <c r="N42" s="136"/>
    </row>
    <row r="43" spans="2:14" x14ac:dyDescent="0.35">
      <c r="B43" s="257" t="s">
        <v>715</v>
      </c>
      <c r="C43" s="257"/>
      <c r="D43" s="258" t="str">
        <f>D42</f>
        <v>Median</v>
      </c>
      <c r="E43" s="259">
        <v>0.67211181903366501</v>
      </c>
      <c r="F43" s="260"/>
      <c r="G43" s="281" t="s">
        <v>1773</v>
      </c>
      <c r="H43" s="136"/>
      <c r="I43" s="136"/>
      <c r="J43" s="136"/>
      <c r="K43" s="136"/>
      <c r="L43" s="136"/>
      <c r="M43" s="136"/>
      <c r="N43" s="136"/>
    </row>
    <row r="44" spans="2:14" x14ac:dyDescent="0.35">
      <c r="B44" s="257" t="s">
        <v>716</v>
      </c>
      <c r="C44" s="257"/>
      <c r="D44" s="258"/>
      <c r="E44" s="563">
        <v>0.25168000000000001</v>
      </c>
      <c r="F44" s="260"/>
      <c r="G44" s="260"/>
      <c r="H44" s="136"/>
      <c r="I44" s="136"/>
      <c r="J44" s="136"/>
      <c r="K44" s="136"/>
      <c r="L44" s="136"/>
      <c r="M44" s="136"/>
      <c r="N44" s="136"/>
    </row>
    <row r="45" spans="2:14" x14ac:dyDescent="0.35">
      <c r="B45" s="261" t="s">
        <v>717</v>
      </c>
      <c r="C45" s="261"/>
      <c r="D45" s="258" t="s">
        <v>733</v>
      </c>
      <c r="E45" s="259">
        <f>E43*(1+(1-E44)*E42)</f>
        <v>0.74858692969276053</v>
      </c>
      <c r="F45" s="260"/>
      <c r="G45" s="260"/>
      <c r="H45" s="136"/>
      <c r="I45" s="136"/>
      <c r="J45" s="136"/>
      <c r="K45" s="136"/>
      <c r="L45" s="136"/>
      <c r="M45" s="136"/>
      <c r="N45" s="136"/>
    </row>
    <row r="46" spans="2:14" x14ac:dyDescent="0.35">
      <c r="B46" s="257"/>
      <c r="C46" s="257"/>
      <c r="D46" s="258"/>
      <c r="E46" s="262"/>
      <c r="F46" s="262"/>
      <c r="G46" s="262"/>
      <c r="H46" s="136"/>
      <c r="I46" s="136"/>
      <c r="J46" s="136"/>
      <c r="K46" s="136"/>
      <c r="L46" s="136"/>
      <c r="M46" s="136"/>
      <c r="N46" s="136"/>
    </row>
    <row r="47" spans="2:14" x14ac:dyDescent="0.35">
      <c r="B47" s="263" t="s">
        <v>718</v>
      </c>
      <c r="C47" s="263"/>
      <c r="D47" s="258"/>
      <c r="E47" s="262"/>
      <c r="F47" s="262"/>
      <c r="G47" s="262"/>
      <c r="H47" s="136"/>
      <c r="I47" s="136"/>
      <c r="J47" s="136"/>
      <c r="K47" s="136"/>
      <c r="L47" s="136"/>
      <c r="M47" s="136"/>
      <c r="N47" s="136"/>
    </row>
    <row r="48" spans="2:14" x14ac:dyDescent="0.35">
      <c r="B48" s="257" t="s">
        <v>719</v>
      </c>
      <c r="C48" s="257"/>
      <c r="D48" s="258"/>
      <c r="E48" s="324">
        <v>6.7500000000000004E-2</v>
      </c>
      <c r="F48" s="264" t="s">
        <v>1774</v>
      </c>
      <c r="G48" s="262"/>
      <c r="H48" s="136"/>
      <c r="I48" s="136"/>
      <c r="J48" s="136"/>
      <c r="K48" s="136"/>
      <c r="L48" s="136"/>
      <c r="M48" s="136"/>
      <c r="N48" s="136"/>
    </row>
    <row r="49" spans="2:14" x14ac:dyDescent="0.35">
      <c r="B49" s="257" t="s">
        <v>720</v>
      </c>
      <c r="C49" s="257"/>
      <c r="D49" s="258"/>
      <c r="E49" s="265">
        <f>+E48+E50</f>
        <v>0.13550000000000001</v>
      </c>
      <c r="F49" s="266" t="s">
        <v>721</v>
      </c>
      <c r="G49" s="262"/>
      <c r="H49" s="136"/>
      <c r="I49" s="136"/>
      <c r="J49" s="136"/>
      <c r="K49" s="136"/>
      <c r="L49" s="136"/>
      <c r="M49" s="136"/>
      <c r="N49" s="136"/>
    </row>
    <row r="50" spans="2:14" x14ac:dyDescent="0.35">
      <c r="B50" s="257" t="s">
        <v>722</v>
      </c>
      <c r="C50" s="257"/>
      <c r="D50" s="258"/>
      <c r="E50" s="262">
        <v>6.8000000000000005E-2</v>
      </c>
      <c r="F50" s="266" t="s">
        <v>814</v>
      </c>
      <c r="G50" s="262"/>
      <c r="H50" s="136"/>
      <c r="I50" s="136"/>
      <c r="J50" s="136"/>
      <c r="K50" s="136"/>
      <c r="L50" s="136"/>
      <c r="M50" s="136"/>
      <c r="N50" s="136"/>
    </row>
    <row r="51" spans="2:14" x14ac:dyDescent="0.35">
      <c r="B51" s="257" t="s">
        <v>723</v>
      </c>
      <c r="C51" s="257"/>
      <c r="D51" s="258"/>
      <c r="E51" s="267">
        <f>E45</f>
        <v>0.74858692969276053</v>
      </c>
      <c r="F51" s="268" t="s">
        <v>580</v>
      </c>
      <c r="G51" s="269"/>
      <c r="H51" s="136"/>
      <c r="I51" s="136"/>
      <c r="J51" s="136"/>
      <c r="K51" s="136"/>
      <c r="L51" s="136"/>
      <c r="M51" s="136"/>
      <c r="N51" s="136"/>
    </row>
    <row r="52" spans="2:14" x14ac:dyDescent="0.35">
      <c r="B52" s="257" t="s">
        <v>724</v>
      </c>
      <c r="C52" s="257"/>
      <c r="D52" s="258"/>
      <c r="E52" s="270">
        <v>0.05</v>
      </c>
      <c r="F52" s="266" t="s">
        <v>725</v>
      </c>
      <c r="G52" s="269"/>
      <c r="H52" s="136"/>
      <c r="I52" s="136"/>
      <c r="J52" s="136"/>
      <c r="K52" s="136"/>
      <c r="L52" s="136"/>
      <c r="M52" s="136"/>
      <c r="N52" s="136"/>
    </row>
    <row r="53" spans="2:14" x14ac:dyDescent="0.3">
      <c r="B53" s="271" t="s">
        <v>718</v>
      </c>
      <c r="C53" s="271"/>
      <c r="D53" s="271"/>
      <c r="E53" s="272">
        <f>E48+(E51*E50)+E52</f>
        <v>0.16840391121910775</v>
      </c>
      <c r="F53" s="273" t="s">
        <v>580</v>
      </c>
      <c r="G53" s="269"/>
      <c r="H53" s="136"/>
      <c r="I53" s="136"/>
      <c r="J53" s="136"/>
      <c r="K53" s="136"/>
      <c r="L53" s="136"/>
      <c r="M53" s="136"/>
      <c r="N53" s="136"/>
    </row>
    <row r="54" spans="2:14" x14ac:dyDescent="0.35">
      <c r="B54" s="263" t="s">
        <v>726</v>
      </c>
      <c r="C54" s="263"/>
      <c r="D54" s="274"/>
      <c r="E54" s="275"/>
      <c r="F54" s="276"/>
      <c r="G54" s="269"/>
      <c r="H54" s="136"/>
      <c r="I54" s="136"/>
      <c r="J54" s="136"/>
      <c r="K54" s="136"/>
      <c r="L54" s="136"/>
      <c r="M54" s="136"/>
      <c r="N54" s="136"/>
    </row>
    <row r="55" spans="2:14" x14ac:dyDescent="0.35">
      <c r="B55" s="257" t="s">
        <v>727</v>
      </c>
      <c r="C55" s="257"/>
      <c r="D55" s="258"/>
      <c r="E55" s="262">
        <f>'TL Schd'!B9</f>
        <v>9.1999999999999998E-2</v>
      </c>
      <c r="F55" s="266" t="s">
        <v>728</v>
      </c>
      <c r="G55" s="269"/>
      <c r="H55" s="136"/>
      <c r="I55" s="136"/>
      <c r="J55" s="136"/>
      <c r="K55" s="136"/>
      <c r="L55" s="136"/>
      <c r="M55" s="136"/>
      <c r="N55" s="136"/>
    </row>
    <row r="56" spans="2:14" x14ac:dyDescent="0.35">
      <c r="B56" s="257" t="s">
        <v>729</v>
      </c>
      <c r="C56" s="257"/>
      <c r="D56" s="258"/>
      <c r="E56" s="277">
        <v>0.25168000000000001</v>
      </c>
      <c r="F56" s="278" t="s">
        <v>730</v>
      </c>
      <c r="G56" s="269"/>
      <c r="H56" s="136"/>
      <c r="I56" s="136"/>
      <c r="J56" s="136"/>
      <c r="K56" s="136"/>
      <c r="L56" s="136"/>
      <c r="M56" s="136"/>
      <c r="N56" s="136"/>
    </row>
    <row r="57" spans="2:14" x14ac:dyDescent="0.35">
      <c r="B57" s="257" t="s">
        <v>731</v>
      </c>
      <c r="C57" s="257"/>
      <c r="D57" s="258"/>
      <c r="E57" s="262">
        <f>E55*(1-E56)</f>
        <v>6.8845439999999994E-2</v>
      </c>
      <c r="F57" s="273" t="s">
        <v>580</v>
      </c>
      <c r="G57" s="269"/>
      <c r="H57" s="136"/>
      <c r="I57" s="136"/>
      <c r="J57" s="136"/>
      <c r="K57" s="136"/>
      <c r="L57" s="136"/>
      <c r="M57" s="136"/>
      <c r="N57" s="136"/>
    </row>
    <row r="58" spans="2:14" x14ac:dyDescent="0.35">
      <c r="B58" s="257" t="s">
        <v>732</v>
      </c>
      <c r="C58" s="257"/>
      <c r="D58" s="258" t="s">
        <v>733</v>
      </c>
      <c r="E58" s="267">
        <f>E42</f>
        <v>0.15205168211474615</v>
      </c>
      <c r="F58" s="268" t="s">
        <v>580</v>
      </c>
      <c r="G58" s="279"/>
      <c r="H58" s="136"/>
      <c r="I58" s="136"/>
      <c r="J58" s="136"/>
      <c r="K58" s="136"/>
      <c r="L58" s="136"/>
      <c r="M58" s="136"/>
      <c r="N58" s="136"/>
    </row>
    <row r="59" spans="2:14" x14ac:dyDescent="0.3">
      <c r="B59" s="271" t="s">
        <v>563</v>
      </c>
      <c r="C59" s="271"/>
      <c r="D59" s="271"/>
      <c r="E59" s="272">
        <f>(E53*(1/(1+E58)))+(E57*(E58/(1+E58)))</f>
        <v>0.15526384705996343</v>
      </c>
      <c r="F59" s="280" t="s">
        <v>734</v>
      </c>
      <c r="G59" s="269"/>
      <c r="H59" s="136"/>
      <c r="I59" s="136"/>
      <c r="J59" s="136"/>
      <c r="K59" s="136"/>
      <c r="L59" s="136"/>
      <c r="M59" s="136"/>
      <c r="N59" s="136"/>
    </row>
    <row r="60" spans="2:14" x14ac:dyDescent="0.3">
      <c r="B60" s="271" t="s">
        <v>735</v>
      </c>
      <c r="C60" s="271"/>
      <c r="D60" s="271"/>
      <c r="E60" s="272">
        <f>ROUND(E59*4,2)/4</f>
        <v>0.155</v>
      </c>
      <c r="F60" s="280" t="s">
        <v>580</v>
      </c>
      <c r="G60" s="269"/>
      <c r="H60" s="136"/>
      <c r="I60" s="136"/>
      <c r="J60" s="136"/>
      <c r="K60" s="136"/>
      <c r="L60" s="136"/>
      <c r="M60" s="136"/>
      <c r="N60" s="136"/>
    </row>
    <row r="61" spans="2:14" x14ac:dyDescent="0.35">
      <c r="B61" s="136"/>
      <c r="C61" s="136"/>
      <c r="D61" s="350">
        <v>45596</v>
      </c>
      <c r="E61" s="351">
        <f>YEARFRAC(D61,D3)</f>
        <v>0.41666666666666669</v>
      </c>
      <c r="F61" s="136"/>
      <c r="G61" s="136"/>
      <c r="H61" s="136"/>
      <c r="I61" s="136"/>
      <c r="J61" s="136"/>
      <c r="K61" s="136"/>
      <c r="L61" s="136"/>
      <c r="M61" s="136"/>
      <c r="N61" s="136"/>
    </row>
    <row r="62" spans="2:14" x14ac:dyDescent="0.35">
      <c r="B62" s="153" t="s">
        <v>596</v>
      </c>
      <c r="C62" s="153"/>
      <c r="D62" s="295">
        <f>E61</f>
        <v>0.41666666666666669</v>
      </c>
      <c r="E62" s="295">
        <f>D62+1</f>
        <v>1.4166666666666667</v>
      </c>
      <c r="F62" s="295">
        <f t="shared" ref="F62:J62" si="24">E62+1</f>
        <v>2.416666666666667</v>
      </c>
      <c r="G62" s="295">
        <f t="shared" si="24"/>
        <v>3.416666666666667</v>
      </c>
      <c r="H62" s="295">
        <f t="shared" si="24"/>
        <v>4.416666666666667</v>
      </c>
      <c r="I62" s="295">
        <f t="shared" si="24"/>
        <v>5.416666666666667</v>
      </c>
      <c r="J62" s="295">
        <f t="shared" si="24"/>
        <v>6.416666666666667</v>
      </c>
      <c r="K62" s="295">
        <f t="shared" ref="K62" si="25">J62+1</f>
        <v>7.416666666666667</v>
      </c>
      <c r="L62" s="295">
        <f t="shared" ref="L62" si="26">K62+1</f>
        <v>8.4166666666666679</v>
      </c>
      <c r="M62" s="295">
        <f t="shared" ref="M62:N62" si="27">L62+1</f>
        <v>9.4166666666666679</v>
      </c>
      <c r="N62" s="295">
        <f t="shared" si="27"/>
        <v>10.416666666666668</v>
      </c>
    </row>
    <row r="63" spans="2:14" x14ac:dyDescent="0.35">
      <c r="B63" s="153"/>
      <c r="C63" s="153"/>
      <c r="D63" s="141"/>
      <c r="E63" s="141"/>
    </row>
    <row r="64" spans="2:14" x14ac:dyDescent="0.35">
      <c r="B64" s="153" t="s">
        <v>597</v>
      </c>
      <c r="C64" s="153"/>
      <c r="D64" s="209">
        <f>1/(1+$D$19)^D62</f>
        <v>0.94172515924252354</v>
      </c>
      <c r="E64" s="209">
        <f t="shared" ref="E64:J64" si="28">1/(1+$D$19)^E62</f>
        <v>0.81534645821863505</v>
      </c>
      <c r="F64" s="209">
        <f t="shared" si="28"/>
        <v>0.70592766945336372</v>
      </c>
      <c r="G64" s="209">
        <f t="shared" si="28"/>
        <v>0.61119278740550964</v>
      </c>
      <c r="H64" s="209">
        <f t="shared" si="28"/>
        <v>0.52917124450693476</v>
      </c>
      <c r="I64" s="209">
        <f t="shared" si="28"/>
        <v>0.45815692165102573</v>
      </c>
      <c r="J64" s="209">
        <f t="shared" si="28"/>
        <v>0.39667265943811758</v>
      </c>
      <c r="K64" s="209">
        <f t="shared" ref="K64:M64" si="29">1/(1+$D$19)^K62</f>
        <v>0.34343953198105415</v>
      </c>
      <c r="L64" s="209">
        <f t="shared" si="29"/>
        <v>0.29735024413944072</v>
      </c>
      <c r="M64" s="209">
        <f t="shared" si="29"/>
        <v>0.25744609882202668</v>
      </c>
      <c r="N64" s="209">
        <f t="shared" ref="N64" si="30">1/(1+$D$19)^N62</f>
        <v>0.22289705525716594</v>
      </c>
    </row>
    <row r="66" spans="2:14" x14ac:dyDescent="0.35">
      <c r="B66" s="204" t="s">
        <v>598</v>
      </c>
      <c r="C66" s="204"/>
      <c r="D66" s="297">
        <f t="shared" ref="D66:J66" si="31">D12*D64</f>
        <v>-4708.6257962126174</v>
      </c>
      <c r="E66" s="297">
        <f t="shared" si="31"/>
        <v>-12511.491401364954</v>
      </c>
      <c r="F66" s="297">
        <f t="shared" si="31"/>
        <v>-4023.8783800689389</v>
      </c>
      <c r="G66" s="297">
        <f t="shared" si="31"/>
        <v>4785.0319616969482</v>
      </c>
      <c r="H66" s="297">
        <f t="shared" si="31"/>
        <v>5152.508818329522</v>
      </c>
      <c r="I66" s="297">
        <f t="shared" si="31"/>
        <v>4947.3986592564188</v>
      </c>
      <c r="J66" s="295">
        <f t="shared" si="31"/>
        <v>4568.6769929946222</v>
      </c>
      <c r="K66" s="295">
        <f t="shared" ref="K66:M66" si="32">K12*K64</f>
        <v>4236.9500337162635</v>
      </c>
      <c r="L66" s="295">
        <f t="shared" si="32"/>
        <v>3928.29790938827</v>
      </c>
      <c r="M66" s="295">
        <f t="shared" si="32"/>
        <v>3647.8883283699333</v>
      </c>
      <c r="N66" s="295">
        <f t="shared" ref="N66" si="33">N12*N64</f>
        <v>3403.2539220659578</v>
      </c>
    </row>
    <row r="67" spans="2:14" x14ac:dyDescent="0.35">
      <c r="B67" s="204" t="s">
        <v>599</v>
      </c>
      <c r="C67" s="204"/>
      <c r="D67" s="209"/>
      <c r="M67" s="330"/>
      <c r="N67" s="330">
        <f t="shared" ref="N67" si="34">N13</f>
        <v>142287.37366217002</v>
      </c>
    </row>
    <row r="68" spans="2:14" x14ac:dyDescent="0.35">
      <c r="B68" s="204" t="s">
        <v>600</v>
      </c>
      <c r="C68" s="204"/>
      <c r="D68" s="209"/>
      <c r="E68" s="203"/>
      <c r="M68" s="330"/>
      <c r="N68" s="330">
        <f t="shared" ref="N68" si="35">N67*N64</f>
        <v>31715.436589573728</v>
      </c>
    </row>
    <row r="69" spans="2:14" x14ac:dyDescent="0.35">
      <c r="B69" s="204" t="s">
        <v>601</v>
      </c>
      <c r="C69" s="204"/>
      <c r="D69" s="331">
        <f>D66+D68</f>
        <v>-4708.6257962126174</v>
      </c>
      <c r="E69" s="331">
        <f t="shared" ref="E69:J69" si="36">E66+E68</f>
        <v>-12511.491401364954</v>
      </c>
      <c r="F69" s="331">
        <f t="shared" si="36"/>
        <v>-4023.8783800689389</v>
      </c>
      <c r="G69" s="331">
        <f t="shared" si="36"/>
        <v>4785.0319616969482</v>
      </c>
      <c r="H69" s="331">
        <f t="shared" si="36"/>
        <v>5152.508818329522</v>
      </c>
      <c r="I69" s="331">
        <f t="shared" si="36"/>
        <v>4947.3986592564188</v>
      </c>
      <c r="J69" s="331">
        <f t="shared" si="36"/>
        <v>4568.6769929946222</v>
      </c>
      <c r="K69" s="331">
        <f t="shared" ref="K69:M69" si="37">K66+K68</f>
        <v>4236.9500337162635</v>
      </c>
      <c r="L69" s="331">
        <f t="shared" si="37"/>
        <v>3928.29790938827</v>
      </c>
      <c r="M69" s="331">
        <f t="shared" si="37"/>
        <v>3647.8883283699333</v>
      </c>
      <c r="N69" s="331">
        <f t="shared" ref="N69" si="38">N66+N68</f>
        <v>35118.690511639688</v>
      </c>
    </row>
    <row r="70" spans="2:14" x14ac:dyDescent="0.35">
      <c r="B70" s="148"/>
      <c r="C70" s="148"/>
      <c r="D70" s="141"/>
      <c r="E70" s="141"/>
    </row>
    <row r="71" spans="2:14" x14ac:dyDescent="0.35">
      <c r="B71" s="117" t="s">
        <v>254</v>
      </c>
      <c r="C71" s="117"/>
      <c r="D71" s="335">
        <f>SUM(D69:N69)</f>
        <v>45141.44763774515</v>
      </c>
      <c r="E71" s="335"/>
      <c r="F71" s="335"/>
      <c r="G71" s="335"/>
      <c r="H71" s="335"/>
      <c r="I71" s="335"/>
      <c r="J71" s="335"/>
      <c r="K71" s="335"/>
      <c r="L71" s="335"/>
      <c r="M71" s="335"/>
      <c r="N71" s="335"/>
    </row>
    <row r="72" spans="2:14" customFormat="1" x14ac:dyDescent="0.35"/>
    <row r="73" spans="2:14" x14ac:dyDescent="0.35">
      <c r="B73" s="332" t="s">
        <v>793</v>
      </c>
      <c r="C73" s="333">
        <f>XNPV(D19,D16:N16,D3:N3)</f>
        <v>47887.354599157785</v>
      </c>
      <c r="D73" s="136"/>
      <c r="E73" s="141"/>
    </row>
    <row r="74" spans="2:14" x14ac:dyDescent="0.35">
      <c r="B74" s="148"/>
      <c r="C74" s="148"/>
      <c r="D74" s="141"/>
    </row>
    <row r="75" spans="2:14" x14ac:dyDescent="0.35">
      <c r="B75" s="111" t="s">
        <v>245</v>
      </c>
      <c r="C75" s="111"/>
      <c r="D75" s="93">
        <f t="shared" ref="D75:J75" si="39">D4</f>
        <v>2025</v>
      </c>
      <c r="E75" s="93">
        <f t="shared" si="39"/>
        <v>2026</v>
      </c>
      <c r="F75" s="93">
        <f t="shared" si="39"/>
        <v>2027</v>
      </c>
      <c r="G75" s="93">
        <f t="shared" si="39"/>
        <v>2028</v>
      </c>
      <c r="H75" s="93">
        <f t="shared" si="39"/>
        <v>2029</v>
      </c>
      <c r="I75" s="93">
        <f t="shared" si="39"/>
        <v>2030</v>
      </c>
      <c r="J75" s="93">
        <f t="shared" si="39"/>
        <v>2031</v>
      </c>
      <c r="K75" s="93">
        <f t="shared" ref="K75:M75" si="40">K4</f>
        <v>2032</v>
      </c>
      <c r="L75" s="93">
        <f t="shared" si="40"/>
        <v>2033</v>
      </c>
      <c r="M75" s="93">
        <f t="shared" si="40"/>
        <v>2034</v>
      </c>
      <c r="N75" s="93">
        <f t="shared" ref="N75" si="41">N4</f>
        <v>2035</v>
      </c>
    </row>
    <row r="76" spans="2:14" x14ac:dyDescent="0.35">
      <c r="B76" s="210"/>
      <c r="C76" s="210"/>
      <c r="D76" s="210"/>
      <c r="E76" s="205"/>
      <c r="F76" s="211"/>
      <c r="G76" s="206"/>
      <c r="H76" s="206"/>
      <c r="I76" s="206"/>
      <c r="J76" s="206"/>
      <c r="K76" s="206"/>
      <c r="L76" s="206"/>
      <c r="M76" s="206"/>
      <c r="N76" s="206"/>
    </row>
    <row r="77" spans="2:14" x14ac:dyDescent="0.35">
      <c r="B77" s="116" t="s">
        <v>602</v>
      </c>
      <c r="C77" s="116"/>
      <c r="D77" s="352">
        <v>0</v>
      </c>
      <c r="E77" s="352">
        <v>0</v>
      </c>
      <c r="F77" s="209">
        <f>E77+9/12</f>
        <v>0.75</v>
      </c>
      <c r="G77" s="209">
        <f t="shared" ref="G77:J77" si="42">F77+1</f>
        <v>1.75</v>
      </c>
      <c r="H77" s="209">
        <f t="shared" si="42"/>
        <v>2.75</v>
      </c>
      <c r="I77" s="209">
        <f t="shared" si="42"/>
        <v>3.75</v>
      </c>
      <c r="J77" s="209">
        <f t="shared" si="42"/>
        <v>4.75</v>
      </c>
      <c r="K77" s="209">
        <f t="shared" ref="K77" si="43">J77+1</f>
        <v>5.75</v>
      </c>
      <c r="L77" s="209">
        <f t="shared" ref="L77" si="44">K77+1</f>
        <v>6.75</v>
      </c>
      <c r="M77" s="209">
        <f t="shared" ref="M77:N77" si="45">L77+1</f>
        <v>7.75</v>
      </c>
      <c r="N77" s="209">
        <f t="shared" si="45"/>
        <v>8.75</v>
      </c>
    </row>
    <row r="78" spans="2:14" x14ac:dyDescent="0.35">
      <c r="B78" s="116" t="s">
        <v>603</v>
      </c>
      <c r="C78" s="116"/>
      <c r="D78" s="209">
        <f>DSCR!C5+DSCR!C6</f>
        <v>0</v>
      </c>
      <c r="E78" s="209">
        <f>DSCR!D5+DSCR!D6</f>
        <v>0</v>
      </c>
      <c r="F78" s="209">
        <f>DSCR!E5+DSCR!E6+DSCR!E7</f>
        <v>4473.5811401937244</v>
      </c>
      <c r="G78" s="209">
        <f>DSCR!F5+DSCR!F6+DSCR!F7</f>
        <v>6839.6033655631718</v>
      </c>
      <c r="H78" s="209">
        <f>DSCR!G5+DSCR!G6+DSCR!G7</f>
        <v>8955.3222345123904</v>
      </c>
      <c r="I78" s="209">
        <f>DSCR!H5+DSCR!H6+DSCR!H7</f>
        <v>9738.3153614965267</v>
      </c>
      <c r="J78" s="209">
        <f>DSCR!I5+DSCR!I6+DSCR!I7</f>
        <v>10646.145128187254</v>
      </c>
      <c r="K78" s="209">
        <f>DSCR!J5+DSCR!J6+DSCR!J7</f>
        <v>11671.458249329698</v>
      </c>
      <c r="L78" s="209">
        <f>DSCR!K5+DSCR!K6+DSCR!K7</f>
        <v>12768.837374285889</v>
      </c>
      <c r="M78" s="209">
        <f>DSCR!L5+DSCR!L6+DSCR!L7</f>
        <v>13967.711594034374</v>
      </c>
      <c r="N78" s="352">
        <f>(DSCR!M5+DSCR!M6+DSCR!M7)*12/3</f>
        <v>15246.560649848296</v>
      </c>
    </row>
    <row r="79" spans="2:14" x14ac:dyDescent="0.35">
      <c r="B79" s="116" t="s">
        <v>604</v>
      </c>
      <c r="C79" s="116"/>
      <c r="D79" s="209">
        <f>D78</f>
        <v>0</v>
      </c>
      <c r="E79" s="209">
        <f>D79+E78</f>
        <v>0</v>
      </c>
      <c r="F79" s="209">
        <f t="shared" ref="F79:J79" si="46">E79+F78</f>
        <v>4473.5811401937244</v>
      </c>
      <c r="G79" s="209">
        <f t="shared" si="46"/>
        <v>11313.184505756897</v>
      </c>
      <c r="H79" s="209">
        <f t="shared" si="46"/>
        <v>20268.506740269288</v>
      </c>
      <c r="I79" s="209">
        <f t="shared" si="46"/>
        <v>30006.822101765814</v>
      </c>
      <c r="J79" s="209">
        <f t="shared" si="46"/>
        <v>40652.967229953065</v>
      </c>
      <c r="K79" s="209">
        <f t="shared" ref="K79" si="47">J79+K78</f>
        <v>52324.425479282763</v>
      </c>
      <c r="L79" s="209">
        <f t="shared" ref="L79" si="48">K79+L78</f>
        <v>65093.262853568653</v>
      </c>
      <c r="M79" s="209">
        <f t="shared" ref="M79:N79" si="49">L79+M78</f>
        <v>79060.974447603032</v>
      </c>
      <c r="N79" s="209">
        <f t="shared" si="49"/>
        <v>94307.535097451328</v>
      </c>
    </row>
    <row r="80" spans="2:14" x14ac:dyDescent="0.35">
      <c r="B80" s="116" t="s">
        <v>605</v>
      </c>
      <c r="C80" s="116"/>
      <c r="D80" s="209">
        <f>'CoP-MoF'!D17</f>
        <v>30000</v>
      </c>
      <c r="E80" s="209"/>
      <c r="F80" s="209"/>
      <c r="G80" s="209"/>
      <c r="H80" s="209"/>
      <c r="I80" s="209"/>
      <c r="J80" s="209"/>
      <c r="K80" s="209"/>
      <c r="L80" s="209"/>
      <c r="M80" s="209"/>
      <c r="N80" s="209"/>
    </row>
    <row r="81" spans="2:14" x14ac:dyDescent="0.35">
      <c r="B81" s="212" t="s">
        <v>606</v>
      </c>
      <c r="C81" s="212"/>
      <c r="D81" s="214">
        <f>I77+(D80-I79)/J78</f>
        <v>3.7493591951186396</v>
      </c>
      <c r="E81" s="214" t="s">
        <v>607</v>
      </c>
      <c r="F81" s="213"/>
      <c r="G81" s="213"/>
      <c r="H81" s="213"/>
      <c r="I81" s="213"/>
      <c r="J81" s="213"/>
      <c r="K81" s="213"/>
      <c r="L81" s="213"/>
      <c r="M81" s="213"/>
      <c r="N81" s="213"/>
    </row>
    <row r="83" spans="2:14" x14ac:dyDescent="0.35">
      <c r="D83" s="209"/>
      <c r="E83" s="209"/>
      <c r="F83" s="209"/>
      <c r="J83" s="252"/>
      <c r="K83" s="252"/>
      <c r="L83" s="252"/>
      <c r="M83" s="252"/>
      <c r="N83" s="252"/>
    </row>
    <row r="84" spans="2:14" x14ac:dyDescent="0.35">
      <c r="D84" s="209"/>
      <c r="E84" s="209"/>
      <c r="F84" s="209"/>
      <c r="J84" s="252"/>
      <c r="K84" s="252"/>
      <c r="L84" s="252"/>
      <c r="M84" s="252"/>
      <c r="N84" s="252"/>
    </row>
    <row r="85" spans="2:14" x14ac:dyDescent="0.35">
      <c r="D85" s="209"/>
      <c r="E85" s="209"/>
      <c r="F85" s="209"/>
      <c r="G85" s="209"/>
      <c r="J85" s="252"/>
      <c r="K85" s="252"/>
      <c r="L85" s="252"/>
      <c r="M85" s="252"/>
      <c r="N85" s="252"/>
    </row>
    <row r="86" spans="2:14" x14ac:dyDescent="0.35">
      <c r="D86" s="209"/>
      <c r="E86" s="209"/>
      <c r="F86" s="209"/>
      <c r="G86" s="209"/>
    </row>
    <row r="87" spans="2:14" x14ac:dyDescent="0.35">
      <c r="D87" s="209"/>
      <c r="E87" s="209"/>
      <c r="F87" s="209"/>
      <c r="G87" s="209"/>
    </row>
    <row r="88" spans="2:14" x14ac:dyDescent="0.35">
      <c r="D88" s="209"/>
      <c r="E88" s="209"/>
      <c r="F88" s="209"/>
      <c r="G88" s="209"/>
    </row>
    <row r="89" spans="2:14" x14ac:dyDescent="0.35">
      <c r="D89" s="209"/>
      <c r="E89" s="209"/>
      <c r="F89" s="209"/>
      <c r="G89" s="209"/>
    </row>
    <row r="90" spans="2:14" x14ac:dyDescent="0.35">
      <c r="D90" s="209"/>
      <c r="E90" s="209"/>
      <c r="F90" s="209"/>
      <c r="G90" s="209"/>
    </row>
    <row r="91" spans="2:14" x14ac:dyDescent="0.35">
      <c r="D91" s="209"/>
      <c r="E91" s="209"/>
      <c r="F91" s="209"/>
      <c r="G91" s="209"/>
    </row>
    <row r="92" spans="2:14" x14ac:dyDescent="0.35">
      <c r="D92" s="209"/>
      <c r="E92" s="209"/>
      <c r="F92" s="209"/>
      <c r="G92" s="209"/>
    </row>
    <row r="93" spans="2:14" x14ac:dyDescent="0.35">
      <c r="D93" s="209"/>
      <c r="E93" s="209"/>
      <c r="F93" s="209"/>
      <c r="G93" s="209"/>
    </row>
    <row r="94" spans="2:14" x14ac:dyDescent="0.35">
      <c r="D94" s="209"/>
      <c r="E94" s="209"/>
      <c r="F94" s="209"/>
      <c r="G94" s="209"/>
    </row>
    <row r="95" spans="2:14" x14ac:dyDescent="0.35">
      <c r="F95" s="209"/>
      <c r="G95" s="209"/>
    </row>
  </sheetData>
  <dataValidations disablePrompts="1" count="1">
    <dataValidation type="list" allowBlank="1" showInputMessage="1" showErrorMessage="1" sqref="D42" xr:uid="{7C66EB21-F63C-48B1-B483-CE8C5BDC9E38}">
      <formula1>$B$22:$B$23</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6" tint="-0.499984740745262"/>
  </sheetPr>
  <dimension ref="B1:N30"/>
  <sheetViews>
    <sheetView showGridLines="0" topLeftCell="C16" workbookViewId="0">
      <selection activeCell="C17" sqref="C17:M17"/>
    </sheetView>
  </sheetViews>
  <sheetFormatPr defaultColWidth="8.81640625" defaultRowHeight="14.5" x14ac:dyDescent="0.35"/>
  <cols>
    <col min="1" max="1" width="5.453125" style="96" customWidth="1"/>
    <col min="2" max="2" width="35" style="51" customWidth="1"/>
    <col min="3" max="12" width="12.1796875" style="44" customWidth="1"/>
    <col min="13" max="243" width="8.81640625" style="96"/>
    <col min="244" max="244" width="22.453125" style="96" customWidth="1"/>
    <col min="245" max="253" width="8.81640625" style="96"/>
    <col min="254" max="254" width="0" style="96" hidden="1" customWidth="1"/>
    <col min="255" max="499" width="8.81640625" style="96"/>
    <col min="500" max="500" width="22.453125" style="96" customWidth="1"/>
    <col min="501" max="509" width="8.81640625" style="96"/>
    <col min="510" max="510" width="0" style="96" hidden="1" customWidth="1"/>
    <col min="511" max="755" width="8.81640625" style="96"/>
    <col min="756" max="756" width="22.453125" style="96" customWidth="1"/>
    <col min="757" max="765" width="8.81640625" style="96"/>
    <col min="766" max="766" width="0" style="96" hidden="1" customWidth="1"/>
    <col min="767" max="1011" width="8.81640625" style="96"/>
    <col min="1012" max="1012" width="22.453125" style="96" customWidth="1"/>
    <col min="1013" max="1021" width="8.81640625" style="96"/>
    <col min="1022" max="1022" width="0" style="96" hidden="1" customWidth="1"/>
    <col min="1023" max="1267" width="8.81640625" style="96"/>
    <col min="1268" max="1268" width="22.453125" style="96" customWidth="1"/>
    <col min="1269" max="1277" width="8.81640625" style="96"/>
    <col min="1278" max="1278" width="0" style="96" hidden="1" customWidth="1"/>
    <col min="1279" max="1523" width="8.81640625" style="96"/>
    <col min="1524" max="1524" width="22.453125" style="96" customWidth="1"/>
    <col min="1525" max="1533" width="8.81640625" style="96"/>
    <col min="1534" max="1534" width="0" style="96" hidden="1" customWidth="1"/>
    <col min="1535" max="1779" width="8.81640625" style="96"/>
    <col min="1780" max="1780" width="22.453125" style="96" customWidth="1"/>
    <col min="1781" max="1789" width="8.81640625" style="96"/>
    <col min="1790" max="1790" width="0" style="96" hidden="1" customWidth="1"/>
    <col min="1791" max="2035" width="8.81640625" style="96"/>
    <col min="2036" max="2036" width="22.453125" style="96" customWidth="1"/>
    <col min="2037" max="2045" width="8.81640625" style="96"/>
    <col min="2046" max="2046" width="0" style="96" hidden="1" customWidth="1"/>
    <col min="2047" max="2291" width="8.81640625" style="96"/>
    <col min="2292" max="2292" width="22.453125" style="96" customWidth="1"/>
    <col min="2293" max="2301" width="8.81640625" style="96"/>
    <col min="2302" max="2302" width="0" style="96" hidden="1" customWidth="1"/>
    <col min="2303" max="2547" width="8.81640625" style="96"/>
    <col min="2548" max="2548" width="22.453125" style="96" customWidth="1"/>
    <col min="2549" max="2557" width="8.81640625" style="96"/>
    <col min="2558" max="2558" width="0" style="96" hidden="1" customWidth="1"/>
    <col min="2559" max="2803" width="8.81640625" style="96"/>
    <col min="2804" max="2804" width="22.453125" style="96" customWidth="1"/>
    <col min="2805" max="2813" width="8.81640625" style="96"/>
    <col min="2814" max="2814" width="0" style="96" hidden="1" customWidth="1"/>
    <col min="2815" max="3059" width="8.81640625" style="96"/>
    <col min="3060" max="3060" width="22.453125" style="96" customWidth="1"/>
    <col min="3061" max="3069" width="8.81640625" style="96"/>
    <col min="3070" max="3070" width="0" style="96" hidden="1" customWidth="1"/>
    <col min="3071" max="3315" width="8.81640625" style="96"/>
    <col min="3316" max="3316" width="22.453125" style="96" customWidth="1"/>
    <col min="3317" max="3325" width="8.81640625" style="96"/>
    <col min="3326" max="3326" width="0" style="96" hidden="1" customWidth="1"/>
    <col min="3327" max="3571" width="8.81640625" style="96"/>
    <col min="3572" max="3572" width="22.453125" style="96" customWidth="1"/>
    <col min="3573" max="3581" width="8.81640625" style="96"/>
    <col min="3582" max="3582" width="0" style="96" hidden="1" customWidth="1"/>
    <col min="3583" max="3827" width="8.81640625" style="96"/>
    <col min="3828" max="3828" width="22.453125" style="96" customWidth="1"/>
    <col min="3829" max="3837" width="8.81640625" style="96"/>
    <col min="3838" max="3838" width="0" style="96" hidden="1" customWidth="1"/>
    <col min="3839" max="4083" width="8.81640625" style="96"/>
    <col min="4084" max="4084" width="22.453125" style="96" customWidth="1"/>
    <col min="4085" max="4093" width="8.81640625" style="96"/>
    <col min="4094" max="4094" width="0" style="96" hidden="1" customWidth="1"/>
    <col min="4095" max="4339" width="8.81640625" style="96"/>
    <col min="4340" max="4340" width="22.453125" style="96" customWidth="1"/>
    <col min="4341" max="4349" width="8.81640625" style="96"/>
    <col min="4350" max="4350" width="0" style="96" hidden="1" customWidth="1"/>
    <col min="4351" max="4595" width="8.81640625" style="96"/>
    <col min="4596" max="4596" width="22.453125" style="96" customWidth="1"/>
    <col min="4597" max="4605" width="8.81640625" style="96"/>
    <col min="4606" max="4606" width="0" style="96" hidden="1" customWidth="1"/>
    <col min="4607" max="4851" width="8.81640625" style="96"/>
    <col min="4852" max="4852" width="22.453125" style="96" customWidth="1"/>
    <col min="4853" max="4861" width="8.81640625" style="96"/>
    <col min="4862" max="4862" width="0" style="96" hidden="1" customWidth="1"/>
    <col min="4863" max="5107" width="8.81640625" style="96"/>
    <col min="5108" max="5108" width="22.453125" style="96" customWidth="1"/>
    <col min="5109" max="5117" width="8.81640625" style="96"/>
    <col min="5118" max="5118" width="0" style="96" hidden="1" customWidth="1"/>
    <col min="5119" max="5363" width="8.81640625" style="96"/>
    <col min="5364" max="5364" width="22.453125" style="96" customWidth="1"/>
    <col min="5365" max="5373" width="8.81640625" style="96"/>
    <col min="5374" max="5374" width="0" style="96" hidden="1" customWidth="1"/>
    <col min="5375" max="5619" width="8.81640625" style="96"/>
    <col min="5620" max="5620" width="22.453125" style="96" customWidth="1"/>
    <col min="5621" max="5629" width="8.81640625" style="96"/>
    <col min="5630" max="5630" width="0" style="96" hidden="1" customWidth="1"/>
    <col min="5631" max="5875" width="8.81640625" style="96"/>
    <col min="5876" max="5876" width="22.453125" style="96" customWidth="1"/>
    <col min="5877" max="5885" width="8.81640625" style="96"/>
    <col min="5886" max="5886" width="0" style="96" hidden="1" customWidth="1"/>
    <col min="5887" max="6131" width="8.81640625" style="96"/>
    <col min="6132" max="6132" width="22.453125" style="96" customWidth="1"/>
    <col min="6133" max="6141" width="8.81640625" style="96"/>
    <col min="6142" max="6142" width="0" style="96" hidden="1" customWidth="1"/>
    <col min="6143" max="6387" width="8.81640625" style="96"/>
    <col min="6388" max="6388" width="22.453125" style="96" customWidth="1"/>
    <col min="6389" max="6397" width="8.81640625" style="96"/>
    <col min="6398" max="6398" width="0" style="96" hidden="1" customWidth="1"/>
    <col min="6399" max="6643" width="8.81640625" style="96"/>
    <col min="6644" max="6644" width="22.453125" style="96" customWidth="1"/>
    <col min="6645" max="6653" width="8.81640625" style="96"/>
    <col min="6654" max="6654" width="0" style="96" hidden="1" customWidth="1"/>
    <col min="6655" max="6899" width="8.81640625" style="96"/>
    <col min="6900" max="6900" width="22.453125" style="96" customWidth="1"/>
    <col min="6901" max="6909" width="8.81640625" style="96"/>
    <col min="6910" max="6910" width="0" style="96" hidden="1" customWidth="1"/>
    <col min="6911" max="7155" width="8.81640625" style="96"/>
    <col min="7156" max="7156" width="22.453125" style="96" customWidth="1"/>
    <col min="7157" max="7165" width="8.81640625" style="96"/>
    <col min="7166" max="7166" width="0" style="96" hidden="1" customWidth="1"/>
    <col min="7167" max="7411" width="8.81640625" style="96"/>
    <col min="7412" max="7412" width="22.453125" style="96" customWidth="1"/>
    <col min="7413" max="7421" width="8.81640625" style="96"/>
    <col min="7422" max="7422" width="0" style="96" hidden="1" customWidth="1"/>
    <col min="7423" max="7667" width="8.81640625" style="96"/>
    <col min="7668" max="7668" width="22.453125" style="96" customWidth="1"/>
    <col min="7669" max="7677" width="8.81640625" style="96"/>
    <col min="7678" max="7678" width="0" style="96" hidden="1" customWidth="1"/>
    <col min="7679" max="7923" width="8.81640625" style="96"/>
    <col min="7924" max="7924" width="22.453125" style="96" customWidth="1"/>
    <col min="7925" max="7933" width="8.81640625" style="96"/>
    <col min="7934" max="7934" width="0" style="96" hidden="1" customWidth="1"/>
    <col min="7935" max="8179" width="8.81640625" style="96"/>
    <col min="8180" max="8180" width="22.453125" style="96" customWidth="1"/>
    <col min="8181" max="8189" width="8.81640625" style="96"/>
    <col min="8190" max="8190" width="0" style="96" hidden="1" customWidth="1"/>
    <col min="8191" max="8435" width="8.81640625" style="96"/>
    <col min="8436" max="8436" width="22.453125" style="96" customWidth="1"/>
    <col min="8437" max="8445" width="8.81640625" style="96"/>
    <col min="8446" max="8446" width="0" style="96" hidden="1" customWidth="1"/>
    <col min="8447" max="8691" width="8.81640625" style="96"/>
    <col min="8692" max="8692" width="22.453125" style="96" customWidth="1"/>
    <col min="8693" max="8701" width="8.81640625" style="96"/>
    <col min="8702" max="8702" width="0" style="96" hidden="1" customWidth="1"/>
    <col min="8703" max="8947" width="8.81640625" style="96"/>
    <col min="8948" max="8948" width="22.453125" style="96" customWidth="1"/>
    <col min="8949" max="8957" width="8.81640625" style="96"/>
    <col min="8958" max="8958" width="0" style="96" hidden="1" customWidth="1"/>
    <col min="8959" max="9203" width="8.81640625" style="96"/>
    <col min="9204" max="9204" width="22.453125" style="96" customWidth="1"/>
    <col min="9205" max="9213" width="8.81640625" style="96"/>
    <col min="9214" max="9214" width="0" style="96" hidden="1" customWidth="1"/>
    <col min="9215" max="9459" width="8.81640625" style="96"/>
    <col min="9460" max="9460" width="22.453125" style="96" customWidth="1"/>
    <col min="9461" max="9469" width="8.81640625" style="96"/>
    <col min="9470" max="9470" width="0" style="96" hidden="1" customWidth="1"/>
    <col min="9471" max="9715" width="8.81640625" style="96"/>
    <col min="9716" max="9716" width="22.453125" style="96" customWidth="1"/>
    <col min="9717" max="9725" width="8.81640625" style="96"/>
    <col min="9726" max="9726" width="0" style="96" hidden="1" customWidth="1"/>
    <col min="9727" max="9971" width="8.81640625" style="96"/>
    <col min="9972" max="9972" width="22.453125" style="96" customWidth="1"/>
    <col min="9973" max="9981" width="8.81640625" style="96"/>
    <col min="9982" max="9982" width="0" style="96" hidden="1" customWidth="1"/>
    <col min="9983" max="10227" width="8.81640625" style="96"/>
    <col min="10228" max="10228" width="22.453125" style="96" customWidth="1"/>
    <col min="10229" max="10237" width="8.81640625" style="96"/>
    <col min="10238" max="10238" width="0" style="96" hidden="1" customWidth="1"/>
    <col min="10239" max="10483" width="8.81640625" style="96"/>
    <col min="10484" max="10484" width="22.453125" style="96" customWidth="1"/>
    <col min="10485" max="10493" width="8.81640625" style="96"/>
    <col min="10494" max="10494" width="0" style="96" hidden="1" customWidth="1"/>
    <col min="10495" max="10739" width="8.81640625" style="96"/>
    <col min="10740" max="10740" width="22.453125" style="96" customWidth="1"/>
    <col min="10741" max="10749" width="8.81640625" style="96"/>
    <col min="10750" max="10750" width="0" style="96" hidden="1" customWidth="1"/>
    <col min="10751" max="10995" width="8.81640625" style="96"/>
    <col min="10996" max="10996" width="22.453125" style="96" customWidth="1"/>
    <col min="10997" max="11005" width="8.81640625" style="96"/>
    <col min="11006" max="11006" width="0" style="96" hidden="1" customWidth="1"/>
    <col min="11007" max="11251" width="8.81640625" style="96"/>
    <col min="11252" max="11252" width="22.453125" style="96" customWidth="1"/>
    <col min="11253" max="11261" width="8.81640625" style="96"/>
    <col min="11262" max="11262" width="0" style="96" hidden="1" customWidth="1"/>
    <col min="11263" max="11507" width="8.81640625" style="96"/>
    <col min="11508" max="11508" width="22.453125" style="96" customWidth="1"/>
    <col min="11509" max="11517" width="8.81640625" style="96"/>
    <col min="11518" max="11518" width="0" style="96" hidden="1" customWidth="1"/>
    <col min="11519" max="11763" width="8.81640625" style="96"/>
    <col min="11764" max="11764" width="22.453125" style="96" customWidth="1"/>
    <col min="11765" max="11773" width="8.81640625" style="96"/>
    <col min="11774" max="11774" width="0" style="96" hidden="1" customWidth="1"/>
    <col min="11775" max="12019" width="8.81640625" style="96"/>
    <col min="12020" max="12020" width="22.453125" style="96" customWidth="1"/>
    <col min="12021" max="12029" width="8.81640625" style="96"/>
    <col min="12030" max="12030" width="0" style="96" hidden="1" customWidth="1"/>
    <col min="12031" max="12275" width="8.81640625" style="96"/>
    <col min="12276" max="12276" width="22.453125" style="96" customWidth="1"/>
    <col min="12277" max="12285" width="8.81640625" style="96"/>
    <col min="12286" max="12286" width="0" style="96" hidden="1" customWidth="1"/>
    <col min="12287" max="12531" width="8.81640625" style="96"/>
    <col min="12532" max="12532" width="22.453125" style="96" customWidth="1"/>
    <col min="12533" max="12541" width="8.81640625" style="96"/>
    <col min="12542" max="12542" width="0" style="96" hidden="1" customWidth="1"/>
    <col min="12543" max="12787" width="8.81640625" style="96"/>
    <col min="12788" max="12788" width="22.453125" style="96" customWidth="1"/>
    <col min="12789" max="12797" width="8.81640625" style="96"/>
    <col min="12798" max="12798" width="0" style="96" hidden="1" customWidth="1"/>
    <col min="12799" max="13043" width="8.81640625" style="96"/>
    <col min="13044" max="13044" width="22.453125" style="96" customWidth="1"/>
    <col min="13045" max="13053" width="8.81640625" style="96"/>
    <col min="13054" max="13054" width="0" style="96" hidden="1" customWidth="1"/>
    <col min="13055" max="13299" width="8.81640625" style="96"/>
    <col min="13300" max="13300" width="22.453125" style="96" customWidth="1"/>
    <col min="13301" max="13309" width="8.81640625" style="96"/>
    <col min="13310" max="13310" width="0" style="96" hidden="1" customWidth="1"/>
    <col min="13311" max="13555" width="8.81640625" style="96"/>
    <col min="13556" max="13556" width="22.453125" style="96" customWidth="1"/>
    <col min="13557" max="13565" width="8.81640625" style="96"/>
    <col min="13566" max="13566" width="0" style="96" hidden="1" customWidth="1"/>
    <col min="13567" max="13811" width="8.81640625" style="96"/>
    <col min="13812" max="13812" width="22.453125" style="96" customWidth="1"/>
    <col min="13813" max="13821" width="8.81640625" style="96"/>
    <col min="13822" max="13822" width="0" style="96" hidden="1" customWidth="1"/>
    <col min="13823" max="14067" width="8.81640625" style="96"/>
    <col min="14068" max="14068" width="22.453125" style="96" customWidth="1"/>
    <col min="14069" max="14077" width="8.81640625" style="96"/>
    <col min="14078" max="14078" width="0" style="96" hidden="1" customWidth="1"/>
    <col min="14079" max="14323" width="8.81640625" style="96"/>
    <col min="14324" max="14324" width="22.453125" style="96" customWidth="1"/>
    <col min="14325" max="14333" width="8.81640625" style="96"/>
    <col min="14334" max="14334" width="0" style="96" hidden="1" customWidth="1"/>
    <col min="14335" max="14579" width="8.81640625" style="96"/>
    <col min="14580" max="14580" width="22.453125" style="96" customWidth="1"/>
    <col min="14581" max="14589" width="8.81640625" style="96"/>
    <col min="14590" max="14590" width="0" style="96" hidden="1" customWidth="1"/>
    <col min="14591" max="14835" width="8.81640625" style="96"/>
    <col min="14836" max="14836" width="22.453125" style="96" customWidth="1"/>
    <col min="14837" max="14845" width="8.81640625" style="96"/>
    <col min="14846" max="14846" width="0" style="96" hidden="1" customWidth="1"/>
    <col min="14847" max="15091" width="8.81640625" style="96"/>
    <col min="15092" max="15092" width="22.453125" style="96" customWidth="1"/>
    <col min="15093" max="15101" width="8.81640625" style="96"/>
    <col min="15102" max="15102" width="0" style="96" hidden="1" customWidth="1"/>
    <col min="15103" max="15347" width="8.81640625" style="96"/>
    <col min="15348" max="15348" width="22.453125" style="96" customWidth="1"/>
    <col min="15349" max="15357" width="8.81640625" style="96"/>
    <col min="15358" max="15358" width="0" style="96" hidden="1" customWidth="1"/>
    <col min="15359" max="15603" width="8.81640625" style="96"/>
    <col min="15604" max="15604" width="22.453125" style="96" customWidth="1"/>
    <col min="15605" max="15613" width="8.81640625" style="96"/>
    <col min="15614" max="15614" width="0" style="96" hidden="1" customWidth="1"/>
    <col min="15615" max="15859" width="8.81640625" style="96"/>
    <col min="15860" max="15860" width="22.453125" style="96" customWidth="1"/>
    <col min="15861" max="15869" width="8.81640625" style="96"/>
    <col min="15870" max="15870" width="0" style="96" hidden="1" customWidth="1"/>
    <col min="15871" max="16115" width="8.81640625" style="96"/>
    <col min="16116" max="16116" width="22.453125" style="96" customWidth="1"/>
    <col min="16117" max="16125" width="8.81640625" style="96"/>
    <col min="16126" max="16126" width="0" style="96" hidden="1" customWidth="1"/>
    <col min="16127" max="16384" width="8.81640625" style="96"/>
  </cols>
  <sheetData>
    <row r="1" spans="2:14" x14ac:dyDescent="0.35">
      <c r="C1" s="173"/>
      <c r="D1" s="173"/>
      <c r="E1" s="173"/>
      <c r="F1" s="173"/>
      <c r="G1" s="173"/>
      <c r="H1" s="173"/>
    </row>
    <row r="2" spans="2:14" ht="21" customHeight="1" x14ac:dyDescent="0.35">
      <c r="B2" s="174" t="s">
        <v>369</v>
      </c>
      <c r="C2" s="130"/>
      <c r="D2" s="130"/>
      <c r="E2" s="130"/>
      <c r="F2" s="130"/>
      <c r="G2" s="130"/>
      <c r="H2" s="130"/>
      <c r="I2" s="130"/>
      <c r="J2" s="130"/>
      <c r="K2" s="130"/>
      <c r="L2" s="130"/>
      <c r="M2" s="130"/>
    </row>
    <row r="3" spans="2:14" ht="15" customHeight="1" x14ac:dyDescent="0.35">
      <c r="B3" s="170"/>
      <c r="C3" s="172"/>
      <c r="D3" s="172"/>
      <c r="E3" s="172"/>
      <c r="F3" s="172"/>
      <c r="G3" s="172"/>
      <c r="H3" s="172"/>
      <c r="I3" s="172"/>
      <c r="J3" s="172"/>
      <c r="K3" s="172"/>
      <c r="L3" s="172"/>
      <c r="M3" s="172"/>
    </row>
    <row r="4" spans="2:14" ht="18.75" customHeight="1" x14ac:dyDescent="0.35">
      <c r="B4" s="118" t="s">
        <v>366</v>
      </c>
      <c r="C4" s="361">
        <v>2025</v>
      </c>
      <c r="D4" s="361">
        <f t="shared" ref="D4:I4" si="0">C4+1</f>
        <v>2026</v>
      </c>
      <c r="E4" s="361">
        <f t="shared" si="0"/>
        <v>2027</v>
      </c>
      <c r="F4" s="361">
        <f t="shared" si="0"/>
        <v>2028</v>
      </c>
      <c r="G4" s="361">
        <f t="shared" si="0"/>
        <v>2029</v>
      </c>
      <c r="H4" s="361">
        <f t="shared" si="0"/>
        <v>2030</v>
      </c>
      <c r="I4" s="361">
        <f t="shared" si="0"/>
        <v>2031</v>
      </c>
      <c r="J4" s="361">
        <f>I4+1</f>
        <v>2032</v>
      </c>
      <c r="K4" s="361">
        <f t="shared" ref="K4:M4" si="1">J4+1</f>
        <v>2033</v>
      </c>
      <c r="L4" s="361">
        <f t="shared" si="1"/>
        <v>2034</v>
      </c>
      <c r="M4" s="361">
        <f t="shared" si="1"/>
        <v>2035</v>
      </c>
    </row>
    <row r="5" spans="2:14" ht="18.75" customHeight="1" x14ac:dyDescent="0.35">
      <c r="B5" s="171" t="s">
        <v>370</v>
      </c>
      <c r="C5" s="292">
        <f>'P &amp; L'!D33</f>
        <v>0</v>
      </c>
      <c r="D5" s="292">
        <f>'P &amp; L'!E33</f>
        <v>0</v>
      </c>
      <c r="E5" s="292">
        <f>'P &amp; L'!F33</f>
        <v>2880.1028693637431</v>
      </c>
      <c r="F5" s="292">
        <f>'P &amp; L'!G33</f>
        <v>5198.6373671886404</v>
      </c>
      <c r="G5" s="292">
        <f>'P &amp; L'!H33</f>
        <v>7439.7489166440037</v>
      </c>
      <c r="H5" s="292">
        <f>'P &amp; L'!I33</f>
        <v>8329.7324225278717</v>
      </c>
      <c r="I5" s="292">
        <f>'P &amp; L'!J33</f>
        <v>9328.8699517059231</v>
      </c>
      <c r="J5" s="292">
        <f>'P &amp; L'!K33</f>
        <v>10432.124017342891</v>
      </c>
      <c r="K5" s="292">
        <f>'P &amp; L'!L33</f>
        <v>11596.049356861697</v>
      </c>
      <c r="L5" s="292">
        <f>'P &amp; L'!M33</f>
        <v>12851.754629556444</v>
      </c>
      <c r="M5" s="907">
        <f>'P &amp; L'!N33*3/12</f>
        <v>3544.7875434714824</v>
      </c>
      <c r="N5" s="96" t="s">
        <v>1850</v>
      </c>
    </row>
    <row r="6" spans="2:14" x14ac:dyDescent="0.35">
      <c r="B6" s="202" t="s">
        <v>230</v>
      </c>
      <c r="C6" s="292">
        <f>'P &amp; L'!D28</f>
        <v>0</v>
      </c>
      <c r="D6" s="292">
        <f>'P &amp; L'!E28</f>
        <v>0</v>
      </c>
      <c r="E6" s="292">
        <f>'P &amp; L'!F28</f>
        <v>779.65452316513756</v>
      </c>
      <c r="F6" s="292">
        <f>'P &amp; L'!G28</f>
        <v>1039.5393642201834</v>
      </c>
      <c r="G6" s="292">
        <f>'P &amp; L'!H28</f>
        <v>1039.5393642201834</v>
      </c>
      <c r="H6" s="292">
        <f>'P &amp; L'!I28</f>
        <v>1039.5393642201834</v>
      </c>
      <c r="I6" s="292">
        <f>'P &amp; L'!J28</f>
        <v>1039.5393642201834</v>
      </c>
      <c r="J6" s="292">
        <f>'P &amp; L'!K28</f>
        <v>1039.5393642201834</v>
      </c>
      <c r="K6" s="292">
        <f>'P &amp; L'!L28</f>
        <v>1039.5393642201834</v>
      </c>
      <c r="L6" s="292">
        <f>'P &amp; L'!M28</f>
        <v>1039.5393642201834</v>
      </c>
      <c r="M6" s="907">
        <f>'P &amp; L'!N28*3/12</f>
        <v>259.88484105504585</v>
      </c>
    </row>
    <row r="7" spans="2:14" x14ac:dyDescent="0.35">
      <c r="B7" s="202" t="s">
        <v>1971</v>
      </c>
      <c r="C7" s="292">
        <f>'P &amp; L'!D32</f>
        <v>0</v>
      </c>
      <c r="D7" s="292">
        <f>'P &amp; L'!E32</f>
        <v>0</v>
      </c>
      <c r="E7" s="292">
        <f>'P &amp; L'!F32</f>
        <v>813.82374766484406</v>
      </c>
      <c r="F7" s="292">
        <f>'P &amp; L'!G32</f>
        <v>601.42663415434811</v>
      </c>
      <c r="G7" s="292">
        <f>'P &amp; L'!H32</f>
        <v>476.03395364820153</v>
      </c>
      <c r="H7" s="292">
        <f>'P &amp; L'!I32</f>
        <v>369.04357474847257</v>
      </c>
      <c r="I7" s="292">
        <f>'P &amp; L'!J32</f>
        <v>277.73581226114811</v>
      </c>
      <c r="J7" s="292">
        <f>'P &amp; L'!K32</f>
        <v>199.79486776662452</v>
      </c>
      <c r="K7" s="292">
        <f>'P &amp; L'!L32</f>
        <v>133.24865320400932</v>
      </c>
      <c r="L7" s="292">
        <f>'P &amp; L'!M32</f>
        <v>76.417600257746017</v>
      </c>
      <c r="M7" s="907">
        <f>'P &amp; L'!N32*3/12</f>
        <v>6.9677779355458824</v>
      </c>
    </row>
    <row r="8" spans="2:14" x14ac:dyDescent="0.35">
      <c r="B8" s="202" t="s">
        <v>738</v>
      </c>
      <c r="C8" s="292">
        <f>'P &amp; L'!D29</f>
        <v>0</v>
      </c>
      <c r="D8" s="292">
        <f>'P &amp; L'!E29</f>
        <v>0</v>
      </c>
      <c r="E8" s="292">
        <f>'P &amp; L'!F29</f>
        <v>14.774999999999999</v>
      </c>
      <c r="F8" s="292">
        <f>'P &amp; L'!G29</f>
        <v>19.7</v>
      </c>
      <c r="G8" s="292">
        <f>'P &amp; L'!H29</f>
        <v>19.7</v>
      </c>
      <c r="H8" s="292">
        <f>'P &amp; L'!I29</f>
        <v>19.7</v>
      </c>
      <c r="I8" s="292">
        <f>'P &amp; L'!J29</f>
        <v>19.7</v>
      </c>
      <c r="J8" s="292">
        <f>'P &amp; L'!K29</f>
        <v>4.9249999999999998</v>
      </c>
      <c r="K8" s="292">
        <f>'P &amp; L'!L29</f>
        <v>0</v>
      </c>
      <c r="L8" s="292">
        <f>'P &amp; L'!M29</f>
        <v>0</v>
      </c>
      <c r="M8" s="292">
        <f>'P &amp; L'!N29</f>
        <v>0</v>
      </c>
    </row>
    <row r="9" spans="2:14" ht="18.75" customHeight="1" x14ac:dyDescent="0.35">
      <c r="B9" s="171" t="s">
        <v>592</v>
      </c>
      <c r="C9" s="292">
        <f>'P &amp; L'!D25</f>
        <v>0</v>
      </c>
      <c r="D9" s="292">
        <f>'P &amp; L'!E25</f>
        <v>0</v>
      </c>
      <c r="E9" s="292">
        <f>'P &amp; L'!F25</f>
        <v>1364.6666666666672</v>
      </c>
      <c r="F9" s="292">
        <f>'P &amp; L'!G25</f>
        <v>1788.25</v>
      </c>
      <c r="G9" s="292">
        <f>'P &amp; L'!H25</f>
        <v>1609.9999999999991</v>
      </c>
      <c r="H9" s="292">
        <f>'P &amp; L'!I25</f>
        <v>1402.9999999999991</v>
      </c>
      <c r="I9" s="292">
        <f>'P &amp; L'!J25</f>
        <v>1149.9999999999993</v>
      </c>
      <c r="J9" s="292">
        <f>'P &amp; L'!K25</f>
        <v>873.99999999999943</v>
      </c>
      <c r="K9" s="292">
        <f>'P &amp; L'!L25</f>
        <v>574.99999999999977</v>
      </c>
      <c r="L9" s="292">
        <f>'P &amp; L'!M25</f>
        <v>252.99999999999977</v>
      </c>
      <c r="M9" s="292">
        <f>'P &amp; L'!N25</f>
        <v>11.499999999999782</v>
      </c>
    </row>
    <row r="10" spans="2:14" ht="18.75" customHeight="1" x14ac:dyDescent="0.35">
      <c r="B10" s="171" t="s">
        <v>1813</v>
      </c>
      <c r="C10" s="292">
        <f>'P &amp; L'!D26</f>
        <v>0</v>
      </c>
      <c r="D10" s="292">
        <f>'P &amp; L'!E26</f>
        <v>0</v>
      </c>
      <c r="E10" s="292">
        <f>'P &amp; L'!F26</f>
        <v>63.020541009234371</v>
      </c>
      <c r="F10" s="292">
        <f>'P &amp; L'!G26</f>
        <v>184.8602536270875</v>
      </c>
      <c r="G10" s="292">
        <f>'P &amp; L'!H26</f>
        <v>221.99663832556223</v>
      </c>
      <c r="H10" s="292">
        <f>'P &amp; L'!I26</f>
        <v>248.38573405711381</v>
      </c>
      <c r="I10" s="292">
        <f>'P &amp; L'!J26</f>
        <v>260.80502075996952</v>
      </c>
      <c r="J10" s="292">
        <f>'P &amp; L'!K26</f>
        <v>273.845271797968</v>
      </c>
      <c r="K10" s="292">
        <f>'P &amp; L'!L26</f>
        <v>287.5375353878664</v>
      </c>
      <c r="L10" s="292">
        <f>'P &amp; L'!M26</f>
        <v>301.91441215725973</v>
      </c>
      <c r="M10" s="292">
        <f>'P &amp; L'!N26*3/12</f>
        <v>79.252533191280676</v>
      </c>
    </row>
    <row r="11" spans="2:14" ht="18.75" customHeight="1" x14ac:dyDescent="0.35">
      <c r="B11" s="175" t="s">
        <v>367</v>
      </c>
      <c r="C11" s="293">
        <f>SUM(C5:C10)</f>
        <v>0</v>
      </c>
      <c r="D11" s="293">
        <f t="shared" ref="D11:L11" si="2">SUM(D5:D10)</f>
        <v>0</v>
      </c>
      <c r="E11" s="293">
        <f t="shared" si="2"/>
        <v>5916.043347869625</v>
      </c>
      <c r="F11" s="293">
        <f t="shared" si="2"/>
        <v>8832.4136191902599</v>
      </c>
      <c r="G11" s="293">
        <f t="shared" si="2"/>
        <v>10807.018872837953</v>
      </c>
      <c r="H11" s="293">
        <f t="shared" si="2"/>
        <v>11409.401095553641</v>
      </c>
      <c r="I11" s="293">
        <f t="shared" si="2"/>
        <v>12076.650148947225</v>
      </c>
      <c r="J11" s="293">
        <f t="shared" si="2"/>
        <v>12824.228521127665</v>
      </c>
      <c r="K11" s="293">
        <f t="shared" si="2"/>
        <v>13631.374909673756</v>
      </c>
      <c r="L11" s="293">
        <f t="shared" si="2"/>
        <v>14522.626006191633</v>
      </c>
      <c r="M11" s="293">
        <f t="shared" ref="M11" si="3">SUM(M5:M10)</f>
        <v>3902.3926956533546</v>
      </c>
    </row>
    <row r="12" spans="2:14" ht="18.75" customHeight="1" x14ac:dyDescent="0.35">
      <c r="B12" s="171" t="s">
        <v>592</v>
      </c>
      <c r="C12" s="292">
        <f t="shared" ref="C12:J13" si="4">C9</f>
        <v>0</v>
      </c>
      <c r="D12" s="292">
        <f t="shared" si="4"/>
        <v>0</v>
      </c>
      <c r="E12" s="292">
        <f t="shared" si="4"/>
        <v>1364.6666666666672</v>
      </c>
      <c r="F12" s="292">
        <f t="shared" si="4"/>
        <v>1788.25</v>
      </c>
      <c r="G12" s="292">
        <f t="shared" si="4"/>
        <v>1609.9999999999991</v>
      </c>
      <c r="H12" s="292">
        <f t="shared" si="4"/>
        <v>1402.9999999999991</v>
      </c>
      <c r="I12" s="292">
        <f t="shared" si="4"/>
        <v>1149.9999999999993</v>
      </c>
      <c r="J12" s="292">
        <f t="shared" si="4"/>
        <v>873.99999999999943</v>
      </c>
      <c r="K12" s="292">
        <f t="shared" ref="K12:L13" si="5">K9</f>
        <v>574.99999999999977</v>
      </c>
      <c r="L12" s="292">
        <f t="shared" si="5"/>
        <v>252.99999999999977</v>
      </c>
      <c r="M12" s="292">
        <f t="shared" ref="M12" si="6">M9</f>
        <v>11.499999999999782</v>
      </c>
    </row>
    <row r="13" spans="2:14" ht="18.75" customHeight="1" x14ac:dyDescent="0.35">
      <c r="B13" s="171" t="s">
        <v>1813</v>
      </c>
      <c r="C13" s="292">
        <f t="shared" si="4"/>
        <v>0</v>
      </c>
      <c r="D13" s="292">
        <f t="shared" si="4"/>
        <v>0</v>
      </c>
      <c r="E13" s="292">
        <f t="shared" si="4"/>
        <v>63.020541009234371</v>
      </c>
      <c r="F13" s="292">
        <f t="shared" si="4"/>
        <v>184.8602536270875</v>
      </c>
      <c r="G13" s="292">
        <f t="shared" si="4"/>
        <v>221.99663832556223</v>
      </c>
      <c r="H13" s="292">
        <f t="shared" si="4"/>
        <v>248.38573405711381</v>
      </c>
      <c r="I13" s="292">
        <f t="shared" si="4"/>
        <v>260.80502075996952</v>
      </c>
      <c r="J13" s="292">
        <f t="shared" si="4"/>
        <v>273.845271797968</v>
      </c>
      <c r="K13" s="292">
        <f t="shared" si="5"/>
        <v>287.5375353878664</v>
      </c>
      <c r="L13" s="292">
        <f t="shared" si="5"/>
        <v>301.91441215725973</v>
      </c>
      <c r="M13" s="292">
        <f t="shared" ref="M13" si="7">M10</f>
        <v>79.252533191280676</v>
      </c>
    </row>
    <row r="14" spans="2:14" ht="18.75" customHeight="1" x14ac:dyDescent="0.35">
      <c r="B14" s="171" t="s">
        <v>740</v>
      </c>
      <c r="C14" s="292">
        <f>'TL Schd'!D7</f>
        <v>0</v>
      </c>
      <c r="D14" s="292">
        <f>'TL Schd'!E7</f>
        <v>0</v>
      </c>
      <c r="E14" s="292">
        <f>'TL Schd'!F7</f>
        <v>0</v>
      </c>
      <c r="F14" s="292">
        <f>'TL Schd'!G7</f>
        <v>1500</v>
      </c>
      <c r="G14" s="292">
        <f>'TL Schd'!H7</f>
        <v>1999.9999999999998</v>
      </c>
      <c r="H14" s="292">
        <f>'TL Schd'!I7</f>
        <v>2500.0000000000005</v>
      </c>
      <c r="I14" s="292">
        <f>'TL Schd'!J7</f>
        <v>2999.9999999999995</v>
      </c>
      <c r="J14" s="292">
        <f>'TL Schd'!K7</f>
        <v>2999.9999999999995</v>
      </c>
      <c r="K14" s="292">
        <f>'TL Schd'!L7</f>
        <v>3500</v>
      </c>
      <c r="L14" s="292">
        <f>'TL Schd'!M7</f>
        <v>3500</v>
      </c>
      <c r="M14" s="292">
        <f>'TL Schd'!N7</f>
        <v>1000</v>
      </c>
    </row>
    <row r="15" spans="2:14" ht="18.75" customHeight="1" x14ac:dyDescent="0.35">
      <c r="B15" s="175" t="s">
        <v>367</v>
      </c>
      <c r="C15" s="293">
        <f t="shared" ref="C15:J15" si="8">SUM(C12:C14)</f>
        <v>0</v>
      </c>
      <c r="D15" s="293">
        <f t="shared" si="8"/>
        <v>0</v>
      </c>
      <c r="E15" s="293">
        <f t="shared" si="8"/>
        <v>1427.6872076759016</v>
      </c>
      <c r="F15" s="293">
        <f t="shared" si="8"/>
        <v>3473.1102536270873</v>
      </c>
      <c r="G15" s="293">
        <f t="shared" si="8"/>
        <v>3831.9966383255614</v>
      </c>
      <c r="H15" s="293">
        <f t="shared" si="8"/>
        <v>4151.385734057113</v>
      </c>
      <c r="I15" s="293">
        <f t="shared" si="8"/>
        <v>4410.8050207599681</v>
      </c>
      <c r="J15" s="293">
        <f t="shared" si="8"/>
        <v>4147.8452717979671</v>
      </c>
      <c r="K15" s="293">
        <f t="shared" ref="K15:L15" si="9">SUM(K12:K14)</f>
        <v>4362.5375353878662</v>
      </c>
      <c r="L15" s="293">
        <f t="shared" si="9"/>
        <v>4054.9144121572594</v>
      </c>
      <c r="M15" s="293">
        <f t="shared" ref="M15" si="10">SUM(M12:M14)</f>
        <v>1090.7525331912805</v>
      </c>
    </row>
    <row r="16" spans="2:14" ht="18.75" customHeight="1" x14ac:dyDescent="0.35">
      <c r="B16" s="171" t="s">
        <v>368</v>
      </c>
      <c r="C16" s="294" t="e">
        <f t="shared" ref="C16:J16" si="11">C11/C15</f>
        <v>#DIV/0!</v>
      </c>
      <c r="D16" s="294" t="e">
        <f t="shared" si="11"/>
        <v>#DIV/0!</v>
      </c>
      <c r="E16" s="294">
        <f t="shared" si="11"/>
        <v>4.1437951646987248</v>
      </c>
      <c r="F16" s="294">
        <f t="shared" si="11"/>
        <v>2.5430847206668057</v>
      </c>
      <c r="G16" s="294">
        <f>G11/G15</f>
        <v>2.8202057289800271</v>
      </c>
      <c r="H16" s="294">
        <f t="shared" si="11"/>
        <v>2.7483355743007127</v>
      </c>
      <c r="I16" s="294">
        <f t="shared" si="11"/>
        <v>2.7379696205357216</v>
      </c>
      <c r="J16" s="294">
        <f t="shared" si="11"/>
        <v>3.0917808357804883</v>
      </c>
      <c r="K16" s="294">
        <f t="shared" ref="K16:L16" si="12">K11/K15</f>
        <v>3.1246435816538622</v>
      </c>
      <c r="L16" s="294">
        <f t="shared" si="12"/>
        <v>3.5814876789139021</v>
      </c>
      <c r="M16" s="906">
        <f t="shared" ref="M16" si="13">M11/M15</f>
        <v>3.5777067454850542</v>
      </c>
    </row>
    <row r="17" spans="2:13" ht="18.75" customHeight="1" x14ac:dyDescent="0.35">
      <c r="B17" s="176" t="s">
        <v>233</v>
      </c>
      <c r="C17" s="1006">
        <f>SUM(E11:M11)/SUM(E15:M15)</f>
        <v>3.0345398921128153</v>
      </c>
      <c r="D17" s="1006"/>
      <c r="E17" s="1006"/>
      <c r="F17" s="1006"/>
      <c r="G17" s="1006"/>
      <c r="H17" s="1006"/>
      <c r="I17" s="1006"/>
      <c r="J17" s="1006"/>
      <c r="K17" s="1006"/>
      <c r="L17" s="1006"/>
      <c r="M17" s="1006"/>
    </row>
    <row r="18" spans="2:13" ht="18.75" customHeight="1" x14ac:dyDescent="0.35">
      <c r="B18" s="176" t="s">
        <v>633</v>
      </c>
      <c r="C18" s="1006">
        <f>MAX(E16:M16)</f>
        <v>4.1437951646987248</v>
      </c>
      <c r="D18" s="1006"/>
      <c r="E18" s="1006"/>
      <c r="F18" s="1006"/>
      <c r="G18" s="1006"/>
      <c r="H18" s="1006"/>
      <c r="I18" s="1006"/>
      <c r="J18" s="1006"/>
      <c r="K18" s="1006"/>
      <c r="L18" s="1006"/>
      <c r="M18" s="1006"/>
    </row>
    <row r="19" spans="2:13" x14ac:dyDescent="0.35">
      <c r="C19" s="100"/>
      <c r="D19" s="100"/>
      <c r="E19" s="100"/>
      <c r="F19" s="100"/>
      <c r="G19" s="100"/>
      <c r="H19" s="100"/>
      <c r="I19" s="100"/>
      <c r="J19" s="100"/>
      <c r="K19" s="100"/>
      <c r="L19" s="100"/>
    </row>
    <row r="28" spans="2:13" hidden="1" x14ac:dyDescent="0.35">
      <c r="D28" s="44">
        <v>719.64</v>
      </c>
      <c r="E28" s="44">
        <f>D28-50</f>
        <v>669.64</v>
      </c>
    </row>
    <row r="29" spans="2:13" hidden="1" x14ac:dyDescent="0.35">
      <c r="D29" s="44">
        <v>302.64</v>
      </c>
      <c r="E29" s="44">
        <f>D29-50</f>
        <v>252.64</v>
      </c>
    </row>
    <row r="30" spans="2:13" hidden="1" x14ac:dyDescent="0.35">
      <c r="D30" s="44">
        <f>D28/D29</f>
        <v>2.3778747026169706</v>
      </c>
      <c r="E30" s="100">
        <f>E28/E29</f>
        <v>2.6505699810006336</v>
      </c>
    </row>
  </sheetData>
  <customSheetViews>
    <customSheetView guid="{22475485-DA09-46DB-978D-BB94CE1E5597}" hiddenColumns="1">
      <selection activeCell="A18" sqref="A18"/>
      <pageMargins left="0.7" right="0.7" top="0.75" bottom="0.75" header="0.3" footer="0.3"/>
    </customSheetView>
  </customSheetViews>
  <mergeCells count="2">
    <mergeCell ref="C17:M17"/>
    <mergeCell ref="C18:M18"/>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1" tint="0.14999847407452621"/>
  </sheetPr>
  <dimension ref="B1:E16"/>
  <sheetViews>
    <sheetView showGridLines="0" workbookViewId="0">
      <selection activeCell="C4" sqref="C4"/>
    </sheetView>
  </sheetViews>
  <sheetFormatPr defaultColWidth="8.81640625" defaultRowHeight="14.5" x14ac:dyDescent="0.35"/>
  <cols>
    <col min="1" max="1" width="5" style="96" customWidth="1"/>
    <col min="2" max="2" width="47.26953125" style="97" customWidth="1"/>
    <col min="3" max="3" width="30.81640625" style="44" customWidth="1"/>
    <col min="4" max="4" width="9.1796875" style="96" bestFit="1" customWidth="1"/>
    <col min="5" max="16384" width="8.81640625" style="96"/>
  </cols>
  <sheetData>
    <row r="1" spans="2:5" ht="16.5" customHeight="1" x14ac:dyDescent="0.35"/>
    <row r="2" spans="2:5" ht="16.5" customHeight="1" x14ac:dyDescent="0.35">
      <c r="B2" s="64" t="s">
        <v>801</v>
      </c>
    </row>
    <row r="3" spans="2:5" ht="16.5" customHeight="1" x14ac:dyDescent="0.35"/>
    <row r="4" spans="2:5" ht="20.25" customHeight="1" x14ac:dyDescent="0.35">
      <c r="B4" s="134" t="s">
        <v>366</v>
      </c>
      <c r="C4" s="93" t="s">
        <v>517</v>
      </c>
    </row>
    <row r="5" spans="2:5" s="317" customFormat="1" ht="20.25" customHeight="1" x14ac:dyDescent="0.35">
      <c r="B5" s="64" t="s">
        <v>780</v>
      </c>
      <c r="C5" s="69">
        <f>'CoP-MoF'!D22*A</f>
        <v>2000000000</v>
      </c>
      <c r="D5" s="321"/>
    </row>
    <row r="6" spans="2:5" ht="20.25" customHeight="1" x14ac:dyDescent="0.35">
      <c r="B6" s="64" t="s">
        <v>518</v>
      </c>
      <c r="C6" s="560">
        <v>45839</v>
      </c>
      <c r="D6" s="321"/>
    </row>
    <row r="7" spans="2:5" ht="20.25" customHeight="1" x14ac:dyDescent="0.35">
      <c r="B7" s="107" t="s">
        <v>519</v>
      </c>
      <c r="C7" s="561" t="s">
        <v>1846</v>
      </c>
      <c r="D7" s="321"/>
    </row>
    <row r="8" spans="2:5" ht="20.25" customHeight="1" x14ac:dyDescent="0.35">
      <c r="B8" s="107" t="s">
        <v>548</v>
      </c>
      <c r="C8" s="561" t="s">
        <v>1771</v>
      </c>
      <c r="D8" s="321"/>
    </row>
    <row r="9" spans="2:5" ht="20.25" customHeight="1" x14ac:dyDescent="0.35">
      <c r="B9" s="107" t="s">
        <v>520</v>
      </c>
      <c r="C9" s="560">
        <v>46204</v>
      </c>
      <c r="D9" s="321"/>
    </row>
    <row r="10" spans="2:5" x14ac:dyDescent="0.35">
      <c r="B10" s="107" t="s">
        <v>778</v>
      </c>
      <c r="C10" s="561" t="s">
        <v>1847</v>
      </c>
      <c r="D10" s="321"/>
    </row>
    <row r="11" spans="2:5" ht="20.25" customHeight="1" x14ac:dyDescent="0.35">
      <c r="B11" s="107" t="s">
        <v>549</v>
      </c>
      <c r="C11" s="561" t="s">
        <v>1771</v>
      </c>
      <c r="D11" s="321"/>
    </row>
    <row r="12" spans="2:5" ht="20.25" customHeight="1" x14ac:dyDescent="0.35">
      <c r="B12" s="108" t="s">
        <v>521</v>
      </c>
      <c r="C12" s="73"/>
    </row>
    <row r="13" spans="2:5" ht="20.25" customHeight="1" x14ac:dyDescent="0.35">
      <c r="B13" s="64" t="s">
        <v>522</v>
      </c>
      <c r="C13" s="560">
        <v>46569</v>
      </c>
      <c r="E13" s="337"/>
    </row>
    <row r="14" spans="2:5" ht="20.25" customHeight="1" x14ac:dyDescent="0.35">
      <c r="B14" s="64" t="s">
        <v>523</v>
      </c>
      <c r="C14" s="560">
        <f>EDATE(C13,7*12)-1</f>
        <v>49125</v>
      </c>
      <c r="E14" s="337"/>
    </row>
    <row r="15" spans="2:5" ht="20.25" customHeight="1" x14ac:dyDescent="0.35">
      <c r="B15" s="64" t="s">
        <v>524</v>
      </c>
      <c r="C15" s="561" t="s">
        <v>1772</v>
      </c>
      <c r="E15" s="177"/>
    </row>
    <row r="16" spans="2:5" ht="20.25" customHeight="1" x14ac:dyDescent="0.35">
      <c r="B16" s="64" t="s">
        <v>525</v>
      </c>
      <c r="C16" s="562">
        <v>9.1999999999999998E-2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70C0"/>
  </sheetPr>
  <dimension ref="A2:R189"/>
  <sheetViews>
    <sheetView showGridLines="0" topLeftCell="B1" workbookViewId="0">
      <pane xSplit="3" ySplit="4" topLeftCell="H16" activePane="bottomRight" state="frozen"/>
      <selection activeCell="B1" sqref="B1"/>
      <selection pane="topRight" activeCell="D1" sqref="D1"/>
      <selection pane="bottomLeft" activeCell="B8" sqref="B8"/>
      <selection pane="bottomRight" activeCell="D18" sqref="D18"/>
    </sheetView>
  </sheetViews>
  <sheetFormatPr defaultColWidth="9.1796875" defaultRowHeight="14.5" x14ac:dyDescent="0.35"/>
  <cols>
    <col min="1" max="1" width="7" style="97" customWidth="1"/>
    <col min="2" max="2" width="5.81640625" style="97" bestFit="1" customWidth="1"/>
    <col min="3" max="3" width="24" style="51" bestFit="1" customWidth="1"/>
    <col min="4" max="4" width="18.26953125" style="97" customWidth="1"/>
    <col min="5" max="5" width="15" style="97" customWidth="1"/>
    <col min="6" max="6" width="17.1796875" style="97" customWidth="1"/>
    <col min="7" max="7" width="17.26953125" style="97" customWidth="1"/>
    <col min="8" max="8" width="14.26953125" style="97" customWidth="1"/>
    <col min="9" max="16" width="12.7265625" style="97" customWidth="1"/>
    <col min="17" max="17" width="9.453125" style="97" bestFit="1" customWidth="1"/>
    <col min="18" max="16384" width="9.1796875" style="97"/>
  </cols>
  <sheetData>
    <row r="2" spans="1:18" ht="19.5" customHeight="1" x14ac:dyDescent="0.35">
      <c r="A2" s="178"/>
      <c r="C2" s="144" t="s">
        <v>586</v>
      </c>
      <c r="D2" s="137"/>
      <c r="E2" s="137"/>
      <c r="F2" s="137"/>
      <c r="G2" s="137"/>
      <c r="H2" s="137"/>
      <c r="I2" s="137"/>
      <c r="J2" s="137"/>
      <c r="K2" s="137"/>
      <c r="L2" s="137"/>
      <c r="M2" s="137"/>
      <c r="N2" s="137"/>
      <c r="O2" s="137"/>
      <c r="P2" s="137"/>
      <c r="Q2" s="137"/>
    </row>
    <row r="3" spans="1:18" x14ac:dyDescent="0.35">
      <c r="C3" s="106"/>
    </row>
    <row r="4" spans="1:18" x14ac:dyDescent="0.35">
      <c r="C4" s="117" t="s">
        <v>587</v>
      </c>
      <c r="D4" s="179">
        <v>2025</v>
      </c>
      <c r="E4" s="179">
        <f t="shared" ref="E4:K4" si="0">D4+1</f>
        <v>2026</v>
      </c>
      <c r="F4" s="179">
        <f t="shared" si="0"/>
        <v>2027</v>
      </c>
      <c r="G4" s="179">
        <f t="shared" si="0"/>
        <v>2028</v>
      </c>
      <c r="H4" s="179">
        <f t="shared" si="0"/>
        <v>2029</v>
      </c>
      <c r="I4" s="179">
        <f t="shared" si="0"/>
        <v>2030</v>
      </c>
      <c r="J4" s="179">
        <f>I4+1</f>
        <v>2031</v>
      </c>
      <c r="K4" s="179">
        <f t="shared" si="0"/>
        <v>2032</v>
      </c>
      <c r="L4" s="179">
        <f>K4+1</f>
        <v>2033</v>
      </c>
      <c r="M4" s="179">
        <f t="shared" ref="M4:N4" si="1">L4+1</f>
        <v>2034</v>
      </c>
      <c r="N4" s="179">
        <f t="shared" si="1"/>
        <v>2035</v>
      </c>
      <c r="O4" s="179">
        <f t="shared" ref="O4" si="2">N4+1</f>
        <v>2036</v>
      </c>
      <c r="P4" s="179">
        <f t="shared" ref="P4" si="3">O4+1</f>
        <v>2037</v>
      </c>
      <c r="Q4" s="179" t="s">
        <v>449</v>
      </c>
    </row>
    <row r="5" spans="1:18" x14ac:dyDescent="0.35">
      <c r="C5" s="51" t="s">
        <v>488</v>
      </c>
      <c r="D5" s="184">
        <v>0</v>
      </c>
      <c r="E5" s="184">
        <f>D8</f>
        <v>0</v>
      </c>
      <c r="F5" s="184">
        <f t="shared" ref="F5:K5" si="4">E8</f>
        <v>10499.999999999998</v>
      </c>
      <c r="G5" s="184">
        <f t="shared" si="4"/>
        <v>19999.999999999996</v>
      </c>
      <c r="H5" s="184">
        <f t="shared" si="4"/>
        <v>18499.999999999996</v>
      </c>
      <c r="I5" s="184">
        <f t="shared" si="4"/>
        <v>16499.999999999996</v>
      </c>
      <c r="J5" s="184">
        <f t="shared" si="4"/>
        <v>13999.999999999996</v>
      </c>
      <c r="K5" s="184">
        <f t="shared" si="4"/>
        <v>10999.999999999996</v>
      </c>
      <c r="L5" s="184">
        <f t="shared" ref="L5" si="5">K8</f>
        <v>7999.9999999999964</v>
      </c>
      <c r="M5" s="184">
        <f t="shared" ref="M5" si="6">L8</f>
        <v>4499.9999999999964</v>
      </c>
      <c r="N5" s="184">
        <f t="shared" ref="N5" si="7">M8</f>
        <v>999.99999999999636</v>
      </c>
      <c r="O5" s="184">
        <f t="shared" ref="O5" si="8">N8</f>
        <v>-3.637978807091713E-12</v>
      </c>
      <c r="P5" s="184">
        <f t="shared" ref="P5" si="9">O8</f>
        <v>-3.637978807091713E-12</v>
      </c>
      <c r="Q5" s="283"/>
    </row>
    <row r="6" spans="1:18" x14ac:dyDescent="0.35">
      <c r="C6" s="51" t="s">
        <v>487</v>
      </c>
      <c r="D6" s="184">
        <f>SUM(I22:I33)/A</f>
        <v>0</v>
      </c>
      <c r="E6" s="184">
        <f>SUM(I35:I46)/A</f>
        <v>10499.999999999998</v>
      </c>
      <c r="F6" s="184">
        <f>SUM(I48:I59)/A</f>
        <v>9499.9999999999982</v>
      </c>
      <c r="G6" s="184">
        <v>0</v>
      </c>
      <c r="H6" s="184">
        <v>0</v>
      </c>
      <c r="I6" s="184">
        <v>0</v>
      </c>
      <c r="J6" s="184">
        <v>0</v>
      </c>
      <c r="K6" s="184">
        <v>0</v>
      </c>
      <c r="L6" s="184">
        <v>0</v>
      </c>
      <c r="M6" s="184">
        <v>0</v>
      </c>
      <c r="N6" s="184">
        <v>0</v>
      </c>
      <c r="O6" s="184">
        <v>0</v>
      </c>
      <c r="P6" s="184">
        <v>0</v>
      </c>
      <c r="Q6" s="290">
        <f>SUM(D6:P6)</f>
        <v>19999.999999999996</v>
      </c>
      <c r="R6" s="283"/>
    </row>
    <row r="7" spans="1:18" x14ac:dyDescent="0.35">
      <c r="C7" s="51" t="s">
        <v>450</v>
      </c>
      <c r="D7" s="184">
        <f>SUM(E22:E33)/A</f>
        <v>0</v>
      </c>
      <c r="E7" s="184">
        <f>SUM(E35:E46)/A</f>
        <v>0</v>
      </c>
      <c r="F7" s="184">
        <f>SUM(E48:E59)/A</f>
        <v>0</v>
      </c>
      <c r="G7" s="184">
        <f>SUM(E61:E72)/A</f>
        <v>1500</v>
      </c>
      <c r="H7" s="184">
        <f>SUM(E74:E85)/A</f>
        <v>1999.9999999999998</v>
      </c>
      <c r="I7" s="184">
        <f>SUM(E87:E98)/A</f>
        <v>2500.0000000000005</v>
      </c>
      <c r="J7" s="184">
        <f>SUM(E100:E111)/A</f>
        <v>2999.9999999999995</v>
      </c>
      <c r="K7" s="184">
        <f>SUM(E113:E124)/A</f>
        <v>2999.9999999999995</v>
      </c>
      <c r="L7" s="184">
        <f>SUM(E126:E137)/A</f>
        <v>3500</v>
      </c>
      <c r="M7" s="184">
        <f>SUM(E139:E150)/A</f>
        <v>3500</v>
      </c>
      <c r="N7" s="184">
        <f>SUM(E152:E163)/A</f>
        <v>1000</v>
      </c>
      <c r="O7" s="184">
        <f>SUM(E165:E176)/A</f>
        <v>0</v>
      </c>
      <c r="P7" s="184">
        <f>SUM(E178:E189)/A</f>
        <v>0</v>
      </c>
      <c r="Q7" s="290">
        <f>SUM(D7:P7)</f>
        <v>20000</v>
      </c>
      <c r="R7" s="283"/>
    </row>
    <row r="8" spans="1:18" x14ac:dyDescent="0.35">
      <c r="C8" s="51" t="s">
        <v>451</v>
      </c>
      <c r="D8" s="184">
        <f t="shared" ref="D8:L8" si="10">D5+D6-D7</f>
        <v>0</v>
      </c>
      <c r="E8" s="184">
        <f t="shared" si="10"/>
        <v>10499.999999999998</v>
      </c>
      <c r="F8" s="184">
        <f t="shared" si="10"/>
        <v>19999.999999999996</v>
      </c>
      <c r="G8" s="184">
        <f t="shared" si="10"/>
        <v>18499.999999999996</v>
      </c>
      <c r="H8" s="184">
        <f t="shared" si="10"/>
        <v>16499.999999999996</v>
      </c>
      <c r="I8" s="184">
        <f t="shared" si="10"/>
        <v>13999.999999999996</v>
      </c>
      <c r="J8" s="184">
        <f t="shared" si="10"/>
        <v>10999.999999999996</v>
      </c>
      <c r="K8" s="184">
        <f t="shared" si="10"/>
        <v>7999.9999999999964</v>
      </c>
      <c r="L8" s="184">
        <f t="shared" si="10"/>
        <v>4499.9999999999964</v>
      </c>
      <c r="M8" s="184">
        <f t="shared" ref="M8:N8" si="11">M5+M6-M7</f>
        <v>999.99999999999636</v>
      </c>
      <c r="N8" s="184">
        <f t="shared" si="11"/>
        <v>-3.637978807091713E-12</v>
      </c>
      <c r="O8" s="184">
        <f t="shared" ref="O8:P8" si="12">O5+O6-O7</f>
        <v>-3.637978807091713E-12</v>
      </c>
      <c r="P8" s="184">
        <f t="shared" si="12"/>
        <v>-3.637978807091713E-12</v>
      </c>
      <c r="Q8" s="290"/>
      <c r="R8" s="283"/>
    </row>
    <row r="9" spans="1:18" x14ac:dyDescent="0.35">
      <c r="B9" s="339">
        <f>'Loan Assumptions'!C16</f>
        <v>9.1999999999999998E-2</v>
      </c>
      <c r="C9" s="51" t="s">
        <v>246</v>
      </c>
      <c r="D9" s="184">
        <f>SUM(G22:G33)/A</f>
        <v>0</v>
      </c>
      <c r="E9" s="184">
        <f>SUM(G35:G46)/A</f>
        <v>344.99999999999994</v>
      </c>
      <c r="F9" s="184">
        <f>SUM(G48:G59)/A</f>
        <v>1721.1666666666672</v>
      </c>
      <c r="G9" s="184">
        <f>SUM(G61:G72)/A</f>
        <v>1788.25</v>
      </c>
      <c r="H9" s="184">
        <f>SUM(G74:G85)/A</f>
        <v>1609.9999999999991</v>
      </c>
      <c r="I9" s="184">
        <f>SUM(G87:G98)/A</f>
        <v>1402.9999999999991</v>
      </c>
      <c r="J9" s="184">
        <f>SUM(G100:G111)/A</f>
        <v>1149.9999999999993</v>
      </c>
      <c r="K9" s="184">
        <f>SUM(G113:G124)/A</f>
        <v>873.99999999999943</v>
      </c>
      <c r="L9" s="184">
        <f>SUM(G126:G137)/A</f>
        <v>574.99999999999977</v>
      </c>
      <c r="M9" s="184">
        <f>SUM(G139:G150)/A</f>
        <v>252.99999999999977</v>
      </c>
      <c r="N9" s="184">
        <f>SUM(G152:G163)/A</f>
        <v>11.499999999999782</v>
      </c>
      <c r="O9" s="184">
        <f>SUM(G165:G176)/A</f>
        <v>-2.1249055862426756E-13</v>
      </c>
      <c r="P9" s="184">
        <f>SUM(G178:G189)/A</f>
        <v>-2.1249055862426756E-13</v>
      </c>
      <c r="Q9" s="290">
        <f t="shared" ref="Q9:Q12" si="13">SUM(D9:P9)</f>
        <v>9730.9166666666642</v>
      </c>
      <c r="R9" s="283"/>
    </row>
    <row r="10" spans="1:18" x14ac:dyDescent="0.35">
      <c r="C10" s="51" t="s">
        <v>452</v>
      </c>
      <c r="D10" s="184">
        <f>SUM(G22:G33)/A</f>
        <v>0</v>
      </c>
      <c r="E10" s="184">
        <f>SUM(G35:G46)/A</f>
        <v>344.99999999999994</v>
      </c>
      <c r="F10" s="184">
        <f>SUM(G48:G50)/A</f>
        <v>356.5</v>
      </c>
      <c r="G10" s="184">
        <v>0</v>
      </c>
      <c r="H10" s="184">
        <v>0</v>
      </c>
      <c r="I10" s="184">
        <v>0</v>
      </c>
      <c r="J10" s="184">
        <v>0</v>
      </c>
      <c r="K10" s="184">
        <v>0</v>
      </c>
      <c r="L10" s="184">
        <v>0</v>
      </c>
      <c r="M10" s="184">
        <v>0</v>
      </c>
      <c r="N10" s="184">
        <v>0</v>
      </c>
      <c r="O10" s="184">
        <v>0</v>
      </c>
      <c r="P10" s="184">
        <v>0</v>
      </c>
      <c r="Q10" s="290">
        <f t="shared" si="13"/>
        <v>701.5</v>
      </c>
      <c r="R10" s="283"/>
    </row>
    <row r="11" spans="1:18" x14ac:dyDescent="0.35">
      <c r="C11" s="117" t="s">
        <v>453</v>
      </c>
      <c r="D11" s="289">
        <f t="shared" ref="D11:L11" si="14">D9-D10</f>
        <v>0</v>
      </c>
      <c r="E11" s="289">
        <f>E9-E10</f>
        <v>0</v>
      </c>
      <c r="F11" s="289">
        <f t="shared" si="14"/>
        <v>1364.6666666666672</v>
      </c>
      <c r="G11" s="289">
        <f t="shared" si="14"/>
        <v>1788.25</v>
      </c>
      <c r="H11" s="289">
        <f t="shared" si="14"/>
        <v>1609.9999999999991</v>
      </c>
      <c r="I11" s="289">
        <f t="shared" si="14"/>
        <v>1402.9999999999991</v>
      </c>
      <c r="J11" s="289">
        <f t="shared" si="14"/>
        <v>1149.9999999999993</v>
      </c>
      <c r="K11" s="289">
        <f t="shared" si="14"/>
        <v>873.99999999999943</v>
      </c>
      <c r="L11" s="289">
        <f t="shared" si="14"/>
        <v>574.99999999999977</v>
      </c>
      <c r="M11" s="289">
        <f t="shared" ref="M11:N11" si="15">M9-M10</f>
        <v>252.99999999999977</v>
      </c>
      <c r="N11" s="289">
        <f t="shared" si="15"/>
        <v>11.499999999999782</v>
      </c>
      <c r="O11" s="289">
        <f t="shared" ref="O11:P11" si="16">O9-O10</f>
        <v>-2.1249055862426756E-13</v>
      </c>
      <c r="P11" s="289">
        <f t="shared" si="16"/>
        <v>-2.1249055862426756E-13</v>
      </c>
      <c r="Q11" s="289">
        <f>SUM(D11:P11)</f>
        <v>9029.4166666666624</v>
      </c>
      <c r="R11" s="283"/>
    </row>
    <row r="12" spans="1:18" x14ac:dyDescent="0.35">
      <c r="C12" s="51" t="s">
        <v>808</v>
      </c>
      <c r="D12" s="184"/>
      <c r="E12" s="184">
        <f>E9</f>
        <v>344.99999999999994</v>
      </c>
      <c r="F12" s="184">
        <f>F9</f>
        <v>1721.1666666666672</v>
      </c>
      <c r="G12" s="184">
        <f>SUM(G61:G63)/A</f>
        <v>460.00000000000006</v>
      </c>
      <c r="H12" s="184"/>
      <c r="I12" s="184"/>
      <c r="J12" s="184"/>
      <c r="K12" s="184"/>
      <c r="L12" s="184"/>
      <c r="M12" s="184"/>
      <c r="N12" s="184"/>
      <c r="O12" s="184"/>
      <c r="P12" s="184"/>
      <c r="Q12" s="290">
        <f t="shared" si="13"/>
        <v>2526.166666666667</v>
      </c>
    </row>
    <row r="13" spans="1:18" x14ac:dyDescent="0.35">
      <c r="D13" s="184"/>
      <c r="E13" s="353"/>
      <c r="F13" s="353"/>
      <c r="G13" s="353"/>
      <c r="H13" s="353"/>
      <c r="I13" s="353"/>
      <c r="J13" s="353"/>
      <c r="K13" s="353"/>
      <c r="L13" s="184"/>
      <c r="M13" s="184"/>
      <c r="N13" s="184"/>
      <c r="O13" s="184"/>
      <c r="P13" s="184"/>
      <c r="Q13" s="290"/>
    </row>
    <row r="14" spans="1:18" x14ac:dyDescent="0.35">
      <c r="C14" s="106" t="s">
        <v>745</v>
      </c>
    </row>
    <row r="15" spans="1:18" x14ac:dyDescent="0.35">
      <c r="C15" s="106" t="s">
        <v>802</v>
      </c>
    </row>
    <row r="17" spans="3:12" x14ac:dyDescent="0.35">
      <c r="C17" s="117" t="s">
        <v>746</v>
      </c>
      <c r="D17" s="179">
        <f>'Loan Assumptions'!C5</f>
        <v>2000000000</v>
      </c>
      <c r="E17" s="1007" t="s">
        <v>747</v>
      </c>
      <c r="F17" s="132" t="s">
        <v>748</v>
      </c>
      <c r="G17" s="132">
        <v>7</v>
      </c>
    </row>
    <row r="18" spans="3:12" x14ac:dyDescent="0.35">
      <c r="C18" s="117" t="s">
        <v>749</v>
      </c>
      <c r="D18" s="182">
        <v>9.1999999999999998E-2</v>
      </c>
      <c r="E18" s="1007"/>
      <c r="F18" s="182" t="s">
        <v>777</v>
      </c>
      <c r="G18" s="132"/>
      <c r="H18" s="47" t="s">
        <v>750</v>
      </c>
      <c r="I18" s="47" t="s">
        <v>809</v>
      </c>
      <c r="J18" s="47" t="s">
        <v>751</v>
      </c>
    </row>
    <row r="19" spans="3:12" x14ac:dyDescent="0.35">
      <c r="C19" s="303"/>
      <c r="D19" s="304"/>
      <c r="E19" s="304"/>
      <c r="F19" s="304"/>
      <c r="G19" s="304"/>
    </row>
    <row r="20" spans="3:12" x14ac:dyDescent="0.35">
      <c r="C20" s="303"/>
      <c r="D20" s="305" t="s">
        <v>752</v>
      </c>
      <c r="E20" s="305" t="s">
        <v>753</v>
      </c>
      <c r="F20" s="305" t="s">
        <v>754</v>
      </c>
      <c r="G20" s="305" t="s">
        <v>246</v>
      </c>
      <c r="J20" s="47"/>
    </row>
    <row r="21" spans="3:12" x14ac:dyDescent="0.35">
      <c r="C21" s="306" t="s">
        <v>764</v>
      </c>
      <c r="D21" s="307"/>
      <c r="E21" s="307"/>
      <c r="F21" s="307"/>
      <c r="G21" s="307"/>
      <c r="H21" s="309"/>
      <c r="I21" s="310"/>
    </row>
    <row r="22" spans="3:12" x14ac:dyDescent="0.35">
      <c r="C22" s="311" t="s">
        <v>765</v>
      </c>
      <c r="D22" s="307">
        <f t="shared" ref="D22:D33" si="17">+F21+D$17*H22</f>
        <v>0</v>
      </c>
      <c r="E22" s="307">
        <f t="shared" ref="E22:E25" si="18">E21</f>
        <v>0</v>
      </c>
      <c r="F22" s="307">
        <f t="shared" ref="F22:F33" si="19">D22-E22</f>
        <v>0</v>
      </c>
      <c r="G22" s="307">
        <f t="shared" ref="G22:G33" si="20">AVERAGE(D22,F22)*$D$18/12</f>
        <v>0</v>
      </c>
      <c r="H22" s="181">
        <v>0</v>
      </c>
      <c r="I22" s="340">
        <f t="shared" ref="I22:I26" si="21">D22*H22</f>
        <v>0</v>
      </c>
    </row>
    <row r="23" spans="3:12" x14ac:dyDescent="0.35">
      <c r="C23" s="311" t="s">
        <v>766</v>
      </c>
      <c r="D23" s="307">
        <f t="shared" si="17"/>
        <v>0</v>
      </c>
      <c r="E23" s="307">
        <f t="shared" si="18"/>
        <v>0</v>
      </c>
      <c r="F23" s="307">
        <f t="shared" si="19"/>
        <v>0</v>
      </c>
      <c r="G23" s="307">
        <f t="shared" si="20"/>
        <v>0</v>
      </c>
      <c r="H23" s="181">
        <v>0</v>
      </c>
      <c r="I23" s="340">
        <f t="shared" si="21"/>
        <v>0</v>
      </c>
      <c r="L23" s="322"/>
    </row>
    <row r="24" spans="3:12" x14ac:dyDescent="0.35">
      <c r="C24" s="311" t="s">
        <v>767</v>
      </c>
      <c r="D24" s="307">
        <f t="shared" si="17"/>
        <v>0</v>
      </c>
      <c r="E24" s="307">
        <f t="shared" si="18"/>
        <v>0</v>
      </c>
      <c r="F24" s="307">
        <f t="shared" si="19"/>
        <v>0</v>
      </c>
      <c r="G24" s="307">
        <f t="shared" si="20"/>
        <v>0</v>
      </c>
      <c r="H24" s="181">
        <v>0</v>
      </c>
      <c r="I24" s="340">
        <f t="shared" si="21"/>
        <v>0</v>
      </c>
    </row>
    <row r="25" spans="3:12" x14ac:dyDescent="0.35">
      <c r="C25" s="311" t="s">
        <v>756</v>
      </c>
      <c r="D25" s="307">
        <f t="shared" si="17"/>
        <v>0</v>
      </c>
      <c r="E25" s="307">
        <f t="shared" si="18"/>
        <v>0</v>
      </c>
      <c r="F25" s="307">
        <f t="shared" si="19"/>
        <v>0</v>
      </c>
      <c r="G25" s="307">
        <f t="shared" si="20"/>
        <v>0</v>
      </c>
      <c r="H25" s="181">
        <v>0</v>
      </c>
      <c r="I25" s="340">
        <f t="shared" si="21"/>
        <v>0</v>
      </c>
    </row>
    <row r="26" spans="3:12" x14ac:dyDescent="0.35">
      <c r="C26" s="311" t="s">
        <v>757</v>
      </c>
      <c r="D26" s="307">
        <f t="shared" si="17"/>
        <v>0</v>
      </c>
      <c r="E26" s="307">
        <f>E25</f>
        <v>0</v>
      </c>
      <c r="F26" s="307">
        <f t="shared" si="19"/>
        <v>0</v>
      </c>
      <c r="G26" s="307">
        <f t="shared" si="20"/>
        <v>0</v>
      </c>
      <c r="H26" s="181">
        <v>0</v>
      </c>
      <c r="I26" s="340">
        <f t="shared" si="21"/>
        <v>0</v>
      </c>
    </row>
    <row r="27" spans="3:12" x14ac:dyDescent="0.35">
      <c r="C27" s="311" t="s">
        <v>758</v>
      </c>
      <c r="D27" s="307">
        <f t="shared" si="17"/>
        <v>0</v>
      </c>
      <c r="E27" s="307">
        <f t="shared" ref="E27:E33" si="22">E26</f>
        <v>0</v>
      </c>
      <c r="F27" s="307">
        <f t="shared" si="19"/>
        <v>0</v>
      </c>
      <c r="G27" s="307">
        <f t="shared" si="20"/>
        <v>0</v>
      </c>
      <c r="H27" s="181">
        <v>0</v>
      </c>
      <c r="I27" s="340">
        <f t="shared" ref="I27:I33" si="23">D27*H27</f>
        <v>0</v>
      </c>
    </row>
    <row r="28" spans="3:12" x14ac:dyDescent="0.35">
      <c r="C28" s="311" t="s">
        <v>759</v>
      </c>
      <c r="D28" s="307">
        <f t="shared" si="17"/>
        <v>0</v>
      </c>
      <c r="E28" s="307">
        <f t="shared" si="22"/>
        <v>0</v>
      </c>
      <c r="F28" s="307">
        <f t="shared" si="19"/>
        <v>0</v>
      </c>
      <c r="G28" s="307">
        <f t="shared" si="20"/>
        <v>0</v>
      </c>
      <c r="H28" s="181">
        <v>0</v>
      </c>
      <c r="I28" s="340">
        <f t="shared" si="23"/>
        <v>0</v>
      </c>
    </row>
    <row r="29" spans="3:12" x14ac:dyDescent="0.35">
      <c r="C29" s="311" t="s">
        <v>760</v>
      </c>
      <c r="D29" s="307">
        <f t="shared" si="17"/>
        <v>0</v>
      </c>
      <c r="E29" s="307">
        <f t="shared" si="22"/>
        <v>0</v>
      </c>
      <c r="F29" s="307">
        <f t="shared" si="19"/>
        <v>0</v>
      </c>
      <c r="G29" s="307">
        <f t="shared" si="20"/>
        <v>0</v>
      </c>
      <c r="H29" s="181">
        <v>0</v>
      </c>
      <c r="I29" s="340">
        <f t="shared" si="23"/>
        <v>0</v>
      </c>
    </row>
    <row r="30" spans="3:12" x14ac:dyDescent="0.35">
      <c r="C30" s="311" t="s">
        <v>761</v>
      </c>
      <c r="D30" s="307">
        <f t="shared" si="17"/>
        <v>0</v>
      </c>
      <c r="E30" s="307">
        <f t="shared" si="22"/>
        <v>0</v>
      </c>
      <c r="F30" s="307">
        <f t="shared" si="19"/>
        <v>0</v>
      </c>
      <c r="G30" s="307">
        <f t="shared" si="20"/>
        <v>0</v>
      </c>
      <c r="H30" s="181">
        <v>0</v>
      </c>
      <c r="I30" s="340">
        <f t="shared" si="23"/>
        <v>0</v>
      </c>
    </row>
    <row r="31" spans="3:12" x14ac:dyDescent="0.35">
      <c r="C31" s="311" t="s">
        <v>762</v>
      </c>
      <c r="D31" s="307">
        <f t="shared" si="17"/>
        <v>0</v>
      </c>
      <c r="E31" s="307">
        <f t="shared" si="22"/>
        <v>0</v>
      </c>
      <c r="F31" s="307">
        <f t="shared" si="19"/>
        <v>0</v>
      </c>
      <c r="G31" s="307">
        <f t="shared" si="20"/>
        <v>0</v>
      </c>
      <c r="H31" s="181">
        <v>0</v>
      </c>
      <c r="I31" s="340">
        <f t="shared" si="23"/>
        <v>0</v>
      </c>
      <c r="J31" s="315"/>
    </row>
    <row r="32" spans="3:12" x14ac:dyDescent="0.35">
      <c r="C32" s="311" t="s">
        <v>763</v>
      </c>
      <c r="D32" s="307">
        <f t="shared" si="17"/>
        <v>0</v>
      </c>
      <c r="E32" s="307">
        <f t="shared" si="22"/>
        <v>0</v>
      </c>
      <c r="F32" s="307">
        <f t="shared" si="19"/>
        <v>0</v>
      </c>
      <c r="G32" s="307">
        <f t="shared" si="20"/>
        <v>0</v>
      </c>
      <c r="H32" s="181">
        <v>0</v>
      </c>
      <c r="I32" s="340">
        <f t="shared" si="23"/>
        <v>0</v>
      </c>
    </row>
    <row r="33" spans="3:10" x14ac:dyDescent="0.35">
      <c r="C33" s="311" t="s">
        <v>755</v>
      </c>
      <c r="D33" s="307">
        <f t="shared" si="17"/>
        <v>0</v>
      </c>
      <c r="E33" s="307">
        <f t="shared" si="22"/>
        <v>0</v>
      </c>
      <c r="F33" s="307">
        <f t="shared" si="19"/>
        <v>0</v>
      </c>
      <c r="G33" s="307">
        <f t="shared" si="20"/>
        <v>0</v>
      </c>
      <c r="H33" s="181">
        <v>0</v>
      </c>
      <c r="I33" s="340">
        <f t="shared" si="23"/>
        <v>0</v>
      </c>
    </row>
    <row r="34" spans="3:10" x14ac:dyDescent="0.35">
      <c r="C34" s="306" t="s">
        <v>769</v>
      </c>
      <c r="D34" s="307"/>
      <c r="E34" s="307"/>
      <c r="F34" s="307"/>
      <c r="G34" s="307"/>
      <c r="H34" s="309"/>
      <c r="I34" s="316"/>
    </row>
    <row r="35" spans="3:10" x14ac:dyDescent="0.35">
      <c r="C35" s="311" t="s">
        <v>765</v>
      </c>
      <c r="D35" s="307">
        <f>+F33+D$17*H35</f>
        <v>0</v>
      </c>
      <c r="E35" s="307">
        <f>E33</f>
        <v>0</v>
      </c>
      <c r="F35" s="307">
        <f>D35-E35</f>
        <v>0</v>
      </c>
      <c r="G35" s="307">
        <f t="shared" ref="G35:G46" si="24">AVERAGE(D35,F35)*$D$18/12</f>
        <v>0</v>
      </c>
      <c r="H35" s="181">
        <v>0</v>
      </c>
      <c r="I35" s="340">
        <f>$D$17*H35</f>
        <v>0</v>
      </c>
      <c r="J35" s="314"/>
    </row>
    <row r="36" spans="3:10" x14ac:dyDescent="0.35">
      <c r="C36" s="311" t="s">
        <v>766</v>
      </c>
      <c r="D36" s="307">
        <f t="shared" ref="D36:D46" si="25">+F35+D$17*H36</f>
        <v>0</v>
      </c>
      <c r="E36" s="307">
        <f t="shared" ref="E36:E46" si="26">E34</f>
        <v>0</v>
      </c>
      <c r="F36" s="307">
        <f>D36-E36</f>
        <v>0</v>
      </c>
      <c r="G36" s="307">
        <f t="shared" si="24"/>
        <v>0</v>
      </c>
      <c r="H36" s="181">
        <v>0</v>
      </c>
      <c r="I36" s="340">
        <f t="shared" ref="I36:I53" si="27">$D$17*H36</f>
        <v>0</v>
      </c>
    </row>
    <row r="37" spans="3:10" x14ac:dyDescent="0.35">
      <c r="C37" s="311" t="s">
        <v>767</v>
      </c>
      <c r="D37" s="307">
        <f t="shared" si="25"/>
        <v>0</v>
      </c>
      <c r="E37" s="307">
        <f t="shared" si="26"/>
        <v>0</v>
      </c>
      <c r="F37" s="307">
        <f>D37-E37</f>
        <v>0</v>
      </c>
      <c r="G37" s="307">
        <f t="shared" si="24"/>
        <v>0</v>
      </c>
      <c r="H37" s="181">
        <v>0</v>
      </c>
      <c r="I37" s="340">
        <f t="shared" si="27"/>
        <v>0</v>
      </c>
    </row>
    <row r="38" spans="3:10" x14ac:dyDescent="0.35">
      <c r="C38" s="311" t="s">
        <v>756</v>
      </c>
      <c r="D38" s="307">
        <f t="shared" si="25"/>
        <v>83333333.333333328</v>
      </c>
      <c r="E38" s="307">
        <f t="shared" si="26"/>
        <v>0</v>
      </c>
      <c r="F38" s="307">
        <f>D38-E38</f>
        <v>83333333.333333328</v>
      </c>
      <c r="G38" s="307">
        <f t="shared" si="24"/>
        <v>638888.88888888888</v>
      </c>
      <c r="H38" s="944">
        <f>25/200/3</f>
        <v>4.1666666666666664E-2</v>
      </c>
      <c r="I38" s="340">
        <f t="shared" si="27"/>
        <v>83333333.333333328</v>
      </c>
    </row>
    <row r="39" spans="3:10" x14ac:dyDescent="0.35">
      <c r="C39" s="311" t="s">
        <v>757</v>
      </c>
      <c r="D39" s="307">
        <f t="shared" si="25"/>
        <v>166666666.66666666</v>
      </c>
      <c r="E39" s="307">
        <f t="shared" si="26"/>
        <v>0</v>
      </c>
      <c r="F39" s="307">
        <f t="shared" ref="F39:F46" si="28">D39-E39</f>
        <v>166666666.66666666</v>
      </c>
      <c r="G39" s="307">
        <f t="shared" si="24"/>
        <v>1277777.7777777778</v>
      </c>
      <c r="H39" s="944">
        <f t="shared" ref="H39:H40" si="29">25/200/3</f>
        <v>4.1666666666666664E-2</v>
      </c>
      <c r="I39" s="340">
        <f t="shared" si="27"/>
        <v>83333333.333333328</v>
      </c>
    </row>
    <row r="40" spans="3:10" x14ac:dyDescent="0.35">
      <c r="C40" s="311" t="s">
        <v>758</v>
      </c>
      <c r="D40" s="307">
        <f t="shared" si="25"/>
        <v>250000000</v>
      </c>
      <c r="E40" s="307">
        <f t="shared" si="26"/>
        <v>0</v>
      </c>
      <c r="F40" s="307">
        <f t="shared" si="28"/>
        <v>250000000</v>
      </c>
      <c r="G40" s="307">
        <f t="shared" si="24"/>
        <v>1916666.6666666667</v>
      </c>
      <c r="H40" s="944">
        <f t="shared" si="29"/>
        <v>4.1666666666666664E-2</v>
      </c>
      <c r="I40" s="340">
        <f t="shared" si="27"/>
        <v>83333333.333333328</v>
      </c>
    </row>
    <row r="41" spans="3:10" x14ac:dyDescent="0.35">
      <c r="C41" s="311" t="s">
        <v>759</v>
      </c>
      <c r="D41" s="307">
        <f t="shared" si="25"/>
        <v>350000000</v>
      </c>
      <c r="E41" s="307">
        <f t="shared" si="26"/>
        <v>0</v>
      </c>
      <c r="F41" s="307">
        <f t="shared" si="28"/>
        <v>350000000</v>
      </c>
      <c r="G41" s="307">
        <f t="shared" si="24"/>
        <v>2683333.3333333335</v>
      </c>
      <c r="H41" s="181">
        <f>30/200/3</f>
        <v>4.9999999999999996E-2</v>
      </c>
      <c r="I41" s="340">
        <f t="shared" si="27"/>
        <v>99999999.999999985</v>
      </c>
    </row>
    <row r="42" spans="3:10" x14ac:dyDescent="0.35">
      <c r="C42" s="311" t="s">
        <v>760</v>
      </c>
      <c r="D42" s="307">
        <f t="shared" si="25"/>
        <v>450000000</v>
      </c>
      <c r="E42" s="307">
        <f t="shared" si="26"/>
        <v>0</v>
      </c>
      <c r="F42" s="307">
        <f t="shared" si="28"/>
        <v>450000000</v>
      </c>
      <c r="G42" s="307">
        <f t="shared" si="24"/>
        <v>3450000</v>
      </c>
      <c r="H42" s="181">
        <f t="shared" ref="H42:H43" si="30">30/200/3</f>
        <v>4.9999999999999996E-2</v>
      </c>
      <c r="I42" s="340">
        <f t="shared" si="27"/>
        <v>99999999.999999985</v>
      </c>
    </row>
    <row r="43" spans="3:10" x14ac:dyDescent="0.35">
      <c r="C43" s="311" t="s">
        <v>761</v>
      </c>
      <c r="D43" s="307">
        <f t="shared" si="25"/>
        <v>550000000</v>
      </c>
      <c r="E43" s="307">
        <f t="shared" si="26"/>
        <v>0</v>
      </c>
      <c r="F43" s="307">
        <f t="shared" si="28"/>
        <v>550000000</v>
      </c>
      <c r="G43" s="307">
        <f t="shared" si="24"/>
        <v>4216666.666666667</v>
      </c>
      <c r="H43" s="181">
        <f t="shared" si="30"/>
        <v>4.9999999999999996E-2</v>
      </c>
      <c r="I43" s="340">
        <f t="shared" si="27"/>
        <v>99999999.999999985</v>
      </c>
    </row>
    <row r="44" spans="3:10" x14ac:dyDescent="0.35">
      <c r="C44" s="311" t="s">
        <v>762</v>
      </c>
      <c r="D44" s="307">
        <f t="shared" si="25"/>
        <v>716666666.66666663</v>
      </c>
      <c r="E44" s="307">
        <f t="shared" si="26"/>
        <v>0</v>
      </c>
      <c r="F44" s="307">
        <f t="shared" si="28"/>
        <v>716666666.66666663</v>
      </c>
      <c r="G44" s="307">
        <f t="shared" si="24"/>
        <v>5494444.444444444</v>
      </c>
      <c r="H44" s="181">
        <f>50/200/3</f>
        <v>8.3333333333333329E-2</v>
      </c>
      <c r="I44" s="340">
        <f t="shared" si="27"/>
        <v>166666666.66666666</v>
      </c>
    </row>
    <row r="45" spans="3:10" x14ac:dyDescent="0.35">
      <c r="C45" s="311" t="s">
        <v>763</v>
      </c>
      <c r="D45" s="307">
        <f t="shared" si="25"/>
        <v>883333333.33333325</v>
      </c>
      <c r="E45" s="307">
        <f t="shared" si="26"/>
        <v>0</v>
      </c>
      <c r="F45" s="307">
        <f t="shared" si="28"/>
        <v>883333333.33333325</v>
      </c>
      <c r="G45" s="307">
        <f t="shared" si="24"/>
        <v>6772222.2222222211</v>
      </c>
      <c r="H45" s="181">
        <f t="shared" ref="H45:H46" si="31">50/200/3</f>
        <v>8.3333333333333329E-2</v>
      </c>
      <c r="I45" s="340">
        <f t="shared" si="27"/>
        <v>166666666.66666666</v>
      </c>
    </row>
    <row r="46" spans="3:10" x14ac:dyDescent="0.35">
      <c r="C46" s="311" t="s">
        <v>755</v>
      </c>
      <c r="D46" s="307">
        <f t="shared" si="25"/>
        <v>1049999999.9999999</v>
      </c>
      <c r="E46" s="307">
        <f t="shared" si="26"/>
        <v>0</v>
      </c>
      <c r="F46" s="307">
        <f t="shared" si="28"/>
        <v>1049999999.9999999</v>
      </c>
      <c r="G46" s="307">
        <f t="shared" si="24"/>
        <v>8049999.9999999991</v>
      </c>
      <c r="H46" s="181">
        <f t="shared" si="31"/>
        <v>8.3333333333333329E-2</v>
      </c>
      <c r="I46" s="340">
        <f t="shared" si="27"/>
        <v>166666666.66666666</v>
      </c>
    </row>
    <row r="47" spans="3:10" x14ac:dyDescent="0.35">
      <c r="C47" s="306" t="s">
        <v>770</v>
      </c>
      <c r="D47" s="307"/>
      <c r="E47" s="312"/>
      <c r="F47" s="312"/>
      <c r="G47" s="312"/>
      <c r="H47" s="341">
        <f>SUM(H27:H46)</f>
        <v>0.52499999999999991</v>
      </c>
      <c r="I47" s="340"/>
    </row>
    <row r="48" spans="3:10" x14ac:dyDescent="0.35">
      <c r="C48" s="311" t="s">
        <v>765</v>
      </c>
      <c r="D48" s="307">
        <f>+F46+D$17*H48</f>
        <v>1300000000</v>
      </c>
      <c r="E48" s="307">
        <f>E46</f>
        <v>0</v>
      </c>
      <c r="F48" s="307">
        <f>D48-E48</f>
        <v>1300000000</v>
      </c>
      <c r="G48" s="307">
        <f t="shared" ref="G48:G59" si="32">AVERAGE(D48,F48)*$D$18/12</f>
        <v>9966666.666666666</v>
      </c>
      <c r="H48" s="944">
        <f>75/200/3</f>
        <v>0.125</v>
      </c>
      <c r="I48" s="340">
        <f t="shared" si="27"/>
        <v>250000000</v>
      </c>
    </row>
    <row r="49" spans="3:10" x14ac:dyDescent="0.35">
      <c r="C49" s="311" t="s">
        <v>766</v>
      </c>
      <c r="D49" s="307">
        <f t="shared" ref="D49:D53" si="33">+F48+D$17*H49</f>
        <v>1550000000</v>
      </c>
      <c r="E49" s="307">
        <f>E48</f>
        <v>0</v>
      </c>
      <c r="F49" s="307">
        <f>D49-E49</f>
        <v>1550000000</v>
      </c>
      <c r="G49" s="307">
        <f t="shared" si="32"/>
        <v>11883333.333333334</v>
      </c>
      <c r="H49" s="944">
        <f t="shared" ref="H49:H50" si="34">75/200/3</f>
        <v>0.125</v>
      </c>
      <c r="I49" s="340">
        <f t="shared" si="27"/>
        <v>250000000</v>
      </c>
    </row>
    <row r="50" spans="3:10" x14ac:dyDescent="0.35">
      <c r="C50" s="311" t="s">
        <v>767</v>
      </c>
      <c r="D50" s="307">
        <f t="shared" si="33"/>
        <v>1800000000</v>
      </c>
      <c r="E50" s="307">
        <f t="shared" ref="E50:E59" si="35">E49</f>
        <v>0</v>
      </c>
      <c r="F50" s="307">
        <f>D50-E50</f>
        <v>1800000000</v>
      </c>
      <c r="G50" s="307">
        <f t="shared" si="32"/>
        <v>13800000</v>
      </c>
      <c r="H50" s="944">
        <f t="shared" si="34"/>
        <v>0.125</v>
      </c>
      <c r="I50" s="340">
        <f t="shared" si="27"/>
        <v>250000000</v>
      </c>
    </row>
    <row r="51" spans="3:10" x14ac:dyDescent="0.35">
      <c r="C51" s="311" t="s">
        <v>756</v>
      </c>
      <c r="D51" s="307">
        <f t="shared" si="33"/>
        <v>1866666666.6666667</v>
      </c>
      <c r="E51" s="307">
        <f t="shared" si="35"/>
        <v>0</v>
      </c>
      <c r="F51" s="307">
        <f>D51-E51</f>
        <v>1866666666.6666667</v>
      </c>
      <c r="G51" s="307">
        <f t="shared" si="32"/>
        <v>14311111.111111112</v>
      </c>
      <c r="H51" s="181">
        <f>20/200/3</f>
        <v>3.3333333333333333E-2</v>
      </c>
      <c r="I51" s="340">
        <f t="shared" si="27"/>
        <v>66666666.666666664</v>
      </c>
      <c r="J51" s="309" t="s">
        <v>768</v>
      </c>
    </row>
    <row r="52" spans="3:10" x14ac:dyDescent="0.35">
      <c r="C52" s="311" t="s">
        <v>757</v>
      </c>
      <c r="D52" s="307">
        <f t="shared" si="33"/>
        <v>1933333333.3333335</v>
      </c>
      <c r="E52" s="307">
        <f t="shared" si="35"/>
        <v>0</v>
      </c>
      <c r="F52" s="307">
        <f t="shared" ref="F52:F59" si="36">D52-E52</f>
        <v>1933333333.3333335</v>
      </c>
      <c r="G52" s="307">
        <f t="shared" si="32"/>
        <v>14822222.222222224</v>
      </c>
      <c r="H52" s="181">
        <f t="shared" ref="H52:H53" si="37">20/200/3</f>
        <v>3.3333333333333333E-2</v>
      </c>
      <c r="I52" s="340">
        <f t="shared" si="27"/>
        <v>66666666.666666664</v>
      </c>
    </row>
    <row r="53" spans="3:10" x14ac:dyDescent="0.35">
      <c r="C53" s="311" t="s">
        <v>758</v>
      </c>
      <c r="D53" s="307">
        <f t="shared" si="33"/>
        <v>2000000000.0000002</v>
      </c>
      <c r="E53" s="307">
        <f t="shared" si="35"/>
        <v>0</v>
      </c>
      <c r="F53" s="307">
        <f t="shared" si="36"/>
        <v>2000000000.0000002</v>
      </c>
      <c r="G53" s="307">
        <f t="shared" si="32"/>
        <v>15333333.333333336</v>
      </c>
      <c r="H53" s="181">
        <f t="shared" si="37"/>
        <v>3.3333333333333333E-2</v>
      </c>
      <c r="I53" s="340">
        <f t="shared" si="27"/>
        <v>66666666.666666664</v>
      </c>
    </row>
    <row r="54" spans="3:10" x14ac:dyDescent="0.35">
      <c r="C54" s="311" t="s">
        <v>759</v>
      </c>
      <c r="D54" s="307">
        <f t="shared" ref="D54:D59" si="38">F53</f>
        <v>2000000000.0000002</v>
      </c>
      <c r="E54" s="307">
        <f t="shared" si="35"/>
        <v>0</v>
      </c>
      <c r="F54" s="307">
        <f t="shared" si="36"/>
        <v>2000000000.0000002</v>
      </c>
      <c r="G54" s="307">
        <f t="shared" si="32"/>
        <v>15333333.333333336</v>
      </c>
      <c r="H54" s="341"/>
      <c r="I54" s="340"/>
    </row>
    <row r="55" spans="3:10" x14ac:dyDescent="0.35">
      <c r="C55" s="311" t="s">
        <v>760</v>
      </c>
      <c r="D55" s="307">
        <f t="shared" si="38"/>
        <v>2000000000.0000002</v>
      </c>
      <c r="E55" s="307">
        <f t="shared" si="35"/>
        <v>0</v>
      </c>
      <c r="F55" s="307">
        <f t="shared" si="36"/>
        <v>2000000000.0000002</v>
      </c>
      <c r="G55" s="307">
        <f t="shared" si="32"/>
        <v>15333333.333333336</v>
      </c>
      <c r="H55" s="309"/>
      <c r="I55" s="308"/>
    </row>
    <row r="56" spans="3:10" x14ac:dyDescent="0.35">
      <c r="C56" s="311" t="s">
        <v>761</v>
      </c>
      <c r="D56" s="307">
        <f t="shared" si="38"/>
        <v>2000000000.0000002</v>
      </c>
      <c r="E56" s="307">
        <f t="shared" si="35"/>
        <v>0</v>
      </c>
      <c r="F56" s="307">
        <f t="shared" si="36"/>
        <v>2000000000.0000002</v>
      </c>
      <c r="G56" s="307">
        <f t="shared" si="32"/>
        <v>15333333.333333336</v>
      </c>
      <c r="H56" s="309"/>
      <c r="I56" s="308"/>
    </row>
    <row r="57" spans="3:10" x14ac:dyDescent="0.35">
      <c r="C57" s="311" t="s">
        <v>762</v>
      </c>
      <c r="D57" s="307">
        <f t="shared" si="38"/>
        <v>2000000000.0000002</v>
      </c>
      <c r="E57" s="307">
        <f t="shared" si="35"/>
        <v>0</v>
      </c>
      <c r="F57" s="307">
        <f t="shared" si="36"/>
        <v>2000000000.0000002</v>
      </c>
      <c r="G57" s="307">
        <f t="shared" si="32"/>
        <v>15333333.333333336</v>
      </c>
      <c r="H57" s="309"/>
      <c r="I57" s="308"/>
    </row>
    <row r="58" spans="3:10" x14ac:dyDescent="0.35">
      <c r="C58" s="311" t="s">
        <v>763</v>
      </c>
      <c r="D58" s="307">
        <f t="shared" si="38"/>
        <v>2000000000.0000002</v>
      </c>
      <c r="E58" s="307">
        <f t="shared" si="35"/>
        <v>0</v>
      </c>
      <c r="F58" s="307">
        <f t="shared" si="36"/>
        <v>2000000000.0000002</v>
      </c>
      <c r="G58" s="307">
        <f t="shared" si="32"/>
        <v>15333333.333333336</v>
      </c>
      <c r="H58" s="309"/>
      <c r="I58" s="308"/>
    </row>
    <row r="59" spans="3:10" x14ac:dyDescent="0.35">
      <c r="C59" s="311" t="s">
        <v>755</v>
      </c>
      <c r="D59" s="307">
        <f t="shared" si="38"/>
        <v>2000000000.0000002</v>
      </c>
      <c r="E59" s="307">
        <f t="shared" si="35"/>
        <v>0</v>
      </c>
      <c r="F59" s="307">
        <f t="shared" si="36"/>
        <v>2000000000.0000002</v>
      </c>
      <c r="G59" s="307">
        <f t="shared" si="32"/>
        <v>15333333.333333336</v>
      </c>
      <c r="H59" s="309"/>
      <c r="I59" s="308"/>
    </row>
    <row r="60" spans="3:10" x14ac:dyDescent="0.35">
      <c r="C60" s="306" t="s">
        <v>771</v>
      </c>
      <c r="D60" s="307"/>
      <c r="E60" s="312"/>
      <c r="F60" s="312"/>
      <c r="G60" s="312"/>
      <c r="H60" s="309" t="s">
        <v>450</v>
      </c>
      <c r="I60" s="316"/>
    </row>
    <row r="61" spans="3:10" x14ac:dyDescent="0.35">
      <c r="C61" s="311" t="s">
        <v>765</v>
      </c>
      <c r="D61" s="307">
        <f>F59</f>
        <v>2000000000.0000002</v>
      </c>
      <c r="E61" s="307">
        <f>$D$17*H61</f>
        <v>0</v>
      </c>
      <c r="F61" s="307">
        <f>D61-E61</f>
        <v>2000000000.0000002</v>
      </c>
      <c r="G61" s="307">
        <f t="shared" ref="G61:G72" si="39">AVERAGE(D61,F61)*$D$18/12</f>
        <v>15333333.333333336</v>
      </c>
      <c r="H61" s="558">
        <v>0</v>
      </c>
      <c r="I61" s="308"/>
    </row>
    <row r="62" spans="3:10" x14ac:dyDescent="0.35">
      <c r="C62" s="311" t="s">
        <v>766</v>
      </c>
      <c r="D62" s="307">
        <f>F61</f>
        <v>2000000000.0000002</v>
      </c>
      <c r="E62" s="307">
        <f t="shared" ref="E62:E126" si="40">$D$17*H62</f>
        <v>0</v>
      </c>
      <c r="F62" s="307">
        <f>D62-E62</f>
        <v>2000000000.0000002</v>
      </c>
      <c r="G62" s="307">
        <f t="shared" si="39"/>
        <v>15333333.333333336</v>
      </c>
      <c r="H62" s="558">
        <v>0</v>
      </c>
      <c r="I62" s="308"/>
    </row>
    <row r="63" spans="3:10" x14ac:dyDescent="0.35">
      <c r="C63" s="311" t="s">
        <v>767</v>
      </c>
      <c r="D63" s="307">
        <f>F62</f>
        <v>2000000000.0000002</v>
      </c>
      <c r="E63" s="307">
        <f t="shared" si="40"/>
        <v>0</v>
      </c>
      <c r="F63" s="307">
        <f>D63-E63</f>
        <v>2000000000.0000002</v>
      </c>
      <c r="G63" s="307">
        <f t="shared" si="39"/>
        <v>15333333.333333336</v>
      </c>
      <c r="H63" s="558">
        <v>0</v>
      </c>
    </row>
    <row r="64" spans="3:10" x14ac:dyDescent="0.35">
      <c r="C64" s="311" t="s">
        <v>756</v>
      </c>
      <c r="D64" s="307">
        <f>F63</f>
        <v>2000000000.0000002</v>
      </c>
      <c r="E64" s="307">
        <f t="shared" si="40"/>
        <v>16666666.666666666</v>
      </c>
      <c r="F64" s="307">
        <f>D64-E64</f>
        <v>1983333333.3333335</v>
      </c>
      <c r="G64" s="307">
        <f t="shared" si="39"/>
        <v>15269444.444444448</v>
      </c>
      <c r="H64" s="558">
        <f>7.5%/9</f>
        <v>8.3333333333333332E-3</v>
      </c>
      <c r="I64" s="308"/>
    </row>
    <row r="65" spans="3:9" x14ac:dyDescent="0.35">
      <c r="C65" s="311" t="s">
        <v>757</v>
      </c>
      <c r="D65" s="307">
        <f>F64</f>
        <v>1983333333.3333335</v>
      </c>
      <c r="E65" s="307">
        <f t="shared" si="40"/>
        <v>16666666.666666666</v>
      </c>
      <c r="F65" s="307">
        <f t="shared" ref="F65:F72" si="41">D65-E65</f>
        <v>1966666666.6666667</v>
      </c>
      <c r="G65" s="307">
        <f t="shared" si="39"/>
        <v>15141666.666666666</v>
      </c>
      <c r="H65" s="558">
        <f t="shared" ref="H65:H72" si="42">7.5%/9</f>
        <v>8.3333333333333332E-3</v>
      </c>
      <c r="I65" s="308"/>
    </row>
    <row r="66" spans="3:9" x14ac:dyDescent="0.35">
      <c r="C66" s="311" t="s">
        <v>758</v>
      </c>
      <c r="D66" s="307">
        <f t="shared" ref="D66:D72" si="43">F65</f>
        <v>1966666666.6666667</v>
      </c>
      <c r="E66" s="307">
        <f t="shared" si="40"/>
        <v>16666666.666666666</v>
      </c>
      <c r="F66" s="307">
        <f t="shared" si="41"/>
        <v>1950000000</v>
      </c>
      <c r="G66" s="307">
        <f t="shared" si="39"/>
        <v>15013888.88888889</v>
      </c>
      <c r="H66" s="558">
        <f t="shared" si="42"/>
        <v>8.3333333333333332E-3</v>
      </c>
      <c r="I66" s="308"/>
    </row>
    <row r="67" spans="3:9" x14ac:dyDescent="0.35">
      <c r="C67" s="311" t="s">
        <v>759</v>
      </c>
      <c r="D67" s="307">
        <f t="shared" si="43"/>
        <v>1950000000</v>
      </c>
      <c r="E67" s="307">
        <f t="shared" si="40"/>
        <v>16666666.666666666</v>
      </c>
      <c r="F67" s="307">
        <f t="shared" si="41"/>
        <v>1933333333.3333333</v>
      </c>
      <c r="G67" s="307">
        <f t="shared" si="39"/>
        <v>14886111.11111111</v>
      </c>
      <c r="H67" s="558">
        <f t="shared" si="42"/>
        <v>8.3333333333333332E-3</v>
      </c>
      <c r="I67" s="308"/>
    </row>
    <row r="68" spans="3:9" x14ac:dyDescent="0.35">
      <c r="C68" s="311" t="s">
        <v>760</v>
      </c>
      <c r="D68" s="307">
        <f t="shared" si="43"/>
        <v>1933333333.3333333</v>
      </c>
      <c r="E68" s="307">
        <f t="shared" si="40"/>
        <v>16666666.666666666</v>
      </c>
      <c r="F68" s="307">
        <f t="shared" si="41"/>
        <v>1916666666.6666665</v>
      </c>
      <c r="G68" s="307">
        <f t="shared" si="39"/>
        <v>14758333.333333334</v>
      </c>
      <c r="H68" s="558">
        <f t="shared" si="42"/>
        <v>8.3333333333333332E-3</v>
      </c>
      <c r="I68" s="308"/>
    </row>
    <row r="69" spans="3:9" x14ac:dyDescent="0.35">
      <c r="C69" s="311" t="s">
        <v>761</v>
      </c>
      <c r="D69" s="307">
        <f t="shared" si="43"/>
        <v>1916666666.6666665</v>
      </c>
      <c r="E69" s="307">
        <f t="shared" si="40"/>
        <v>16666666.666666666</v>
      </c>
      <c r="F69" s="307">
        <f t="shared" si="41"/>
        <v>1899999999.9999998</v>
      </c>
      <c r="G69" s="307">
        <f t="shared" si="39"/>
        <v>14630555.555555552</v>
      </c>
      <c r="H69" s="558">
        <f t="shared" si="42"/>
        <v>8.3333333333333332E-3</v>
      </c>
      <c r="I69" s="308"/>
    </row>
    <row r="70" spans="3:9" x14ac:dyDescent="0.35">
      <c r="C70" s="311" t="s">
        <v>762</v>
      </c>
      <c r="D70" s="307">
        <f t="shared" si="43"/>
        <v>1899999999.9999998</v>
      </c>
      <c r="E70" s="307">
        <f t="shared" si="40"/>
        <v>16666666.666666666</v>
      </c>
      <c r="F70" s="307">
        <f t="shared" si="41"/>
        <v>1883333333.333333</v>
      </c>
      <c r="G70" s="307">
        <f t="shared" si="39"/>
        <v>14502777.777777776</v>
      </c>
      <c r="H70" s="558">
        <f t="shared" si="42"/>
        <v>8.3333333333333332E-3</v>
      </c>
      <c r="I70" s="308"/>
    </row>
    <row r="71" spans="3:9" x14ac:dyDescent="0.35">
      <c r="C71" s="311" t="s">
        <v>763</v>
      </c>
      <c r="D71" s="307">
        <f t="shared" si="43"/>
        <v>1883333333.333333</v>
      </c>
      <c r="E71" s="307">
        <f t="shared" si="40"/>
        <v>16666666.666666666</v>
      </c>
      <c r="F71" s="307">
        <f t="shared" si="41"/>
        <v>1866666666.6666663</v>
      </c>
      <c r="G71" s="307">
        <f t="shared" si="39"/>
        <v>14374999.999999994</v>
      </c>
      <c r="H71" s="558">
        <f t="shared" si="42"/>
        <v>8.3333333333333332E-3</v>
      </c>
      <c r="I71" s="308"/>
    </row>
    <row r="72" spans="3:9" x14ac:dyDescent="0.35">
      <c r="C72" s="311" t="s">
        <v>755</v>
      </c>
      <c r="D72" s="307">
        <f t="shared" si="43"/>
        <v>1866666666.6666663</v>
      </c>
      <c r="E72" s="307">
        <f t="shared" si="40"/>
        <v>16666666.666666666</v>
      </c>
      <c r="F72" s="307">
        <f t="shared" si="41"/>
        <v>1849999999.9999995</v>
      </c>
      <c r="G72" s="307">
        <f t="shared" si="39"/>
        <v>14247222.222222218</v>
      </c>
      <c r="H72" s="558">
        <f t="shared" si="42"/>
        <v>8.3333333333333332E-3</v>
      </c>
      <c r="I72" s="308"/>
    </row>
    <row r="73" spans="3:9" x14ac:dyDescent="0.35">
      <c r="C73" s="306" t="s">
        <v>772</v>
      </c>
      <c r="D73" s="307"/>
      <c r="E73" s="312"/>
      <c r="F73" s="312"/>
      <c r="G73" s="312"/>
      <c r="H73" s="309"/>
      <c r="I73" s="316"/>
    </row>
    <row r="74" spans="3:9" x14ac:dyDescent="0.35">
      <c r="C74" s="311" t="s">
        <v>765</v>
      </c>
      <c r="D74" s="307">
        <f>F72</f>
        <v>1849999999.9999995</v>
      </c>
      <c r="E74" s="307">
        <f t="shared" si="40"/>
        <v>16666666.666666666</v>
      </c>
      <c r="F74" s="307">
        <f>D74-E74</f>
        <v>1833333333.3333328</v>
      </c>
      <c r="G74" s="307">
        <f t="shared" ref="G74:G85" si="44">AVERAGE(D74,F74)*$D$18/12</f>
        <v>14119444.44444444</v>
      </c>
      <c r="H74" s="558">
        <f>10%/12</f>
        <v>8.3333333333333332E-3</v>
      </c>
      <c r="I74" s="308"/>
    </row>
    <row r="75" spans="3:9" x14ac:dyDescent="0.35">
      <c r="C75" s="311" t="s">
        <v>766</v>
      </c>
      <c r="D75" s="307">
        <f>F74</f>
        <v>1833333333.3333328</v>
      </c>
      <c r="E75" s="307">
        <f t="shared" si="40"/>
        <v>16666666.666666666</v>
      </c>
      <c r="F75" s="307">
        <f>D75-E75</f>
        <v>1816666666.666666</v>
      </c>
      <c r="G75" s="307">
        <f t="shared" si="44"/>
        <v>13991666.666666662</v>
      </c>
      <c r="H75" s="558">
        <f t="shared" ref="H75:H85" si="45">10%/12</f>
        <v>8.3333333333333332E-3</v>
      </c>
      <c r="I75" s="308"/>
    </row>
    <row r="76" spans="3:9" x14ac:dyDescent="0.35">
      <c r="C76" s="311" t="s">
        <v>767</v>
      </c>
      <c r="D76" s="307">
        <f>F75</f>
        <v>1816666666.666666</v>
      </c>
      <c r="E76" s="307">
        <f t="shared" si="40"/>
        <v>16666666.666666666</v>
      </c>
      <c r="F76" s="307">
        <f>D76-E76</f>
        <v>1799999999.9999993</v>
      </c>
      <c r="G76" s="307">
        <f t="shared" si="44"/>
        <v>13863888.888888882</v>
      </c>
      <c r="H76" s="558">
        <f t="shared" si="45"/>
        <v>8.3333333333333332E-3</v>
      </c>
    </row>
    <row r="77" spans="3:9" x14ac:dyDescent="0.35">
      <c r="C77" s="311" t="s">
        <v>756</v>
      </c>
      <c r="D77" s="307">
        <f>F76</f>
        <v>1799999999.9999993</v>
      </c>
      <c r="E77" s="307">
        <f t="shared" si="40"/>
        <v>16666666.666666666</v>
      </c>
      <c r="F77" s="307">
        <f>D77-E77</f>
        <v>1783333333.3333325</v>
      </c>
      <c r="G77" s="307">
        <f t="shared" si="44"/>
        <v>13736111.111111106</v>
      </c>
      <c r="H77" s="558">
        <f t="shared" si="45"/>
        <v>8.3333333333333332E-3</v>
      </c>
      <c r="I77" s="308"/>
    </row>
    <row r="78" spans="3:9" x14ac:dyDescent="0.35">
      <c r="C78" s="311" t="s">
        <v>757</v>
      </c>
      <c r="D78" s="307">
        <f>F77</f>
        <v>1783333333.3333325</v>
      </c>
      <c r="E78" s="307">
        <f t="shared" si="40"/>
        <v>16666666.666666666</v>
      </c>
      <c r="F78" s="307">
        <f t="shared" ref="F78:F85" si="46">D78-E78</f>
        <v>1766666666.6666658</v>
      </c>
      <c r="G78" s="307">
        <f t="shared" si="44"/>
        <v>13608333.333333327</v>
      </c>
      <c r="H78" s="558">
        <f t="shared" si="45"/>
        <v>8.3333333333333332E-3</v>
      </c>
      <c r="I78" s="308"/>
    </row>
    <row r="79" spans="3:9" x14ac:dyDescent="0.35">
      <c r="C79" s="311" t="s">
        <v>758</v>
      </c>
      <c r="D79" s="307">
        <f t="shared" ref="D79:D85" si="47">F78</f>
        <v>1766666666.6666658</v>
      </c>
      <c r="E79" s="307">
        <f t="shared" si="40"/>
        <v>16666666.666666666</v>
      </c>
      <c r="F79" s="307">
        <f t="shared" si="46"/>
        <v>1749999999.999999</v>
      </c>
      <c r="G79" s="307">
        <f t="shared" si="44"/>
        <v>13480555.55555555</v>
      </c>
      <c r="H79" s="558">
        <f t="shared" si="45"/>
        <v>8.3333333333333332E-3</v>
      </c>
      <c r="I79" s="308"/>
    </row>
    <row r="80" spans="3:9" x14ac:dyDescent="0.35">
      <c r="C80" s="311" t="s">
        <v>759</v>
      </c>
      <c r="D80" s="307">
        <f t="shared" si="47"/>
        <v>1749999999.999999</v>
      </c>
      <c r="E80" s="307">
        <f t="shared" si="40"/>
        <v>16666666.666666666</v>
      </c>
      <c r="F80" s="307">
        <f t="shared" si="46"/>
        <v>1733333333.3333323</v>
      </c>
      <c r="G80" s="307">
        <f t="shared" si="44"/>
        <v>13352777.777777769</v>
      </c>
      <c r="H80" s="558">
        <f t="shared" si="45"/>
        <v>8.3333333333333332E-3</v>
      </c>
      <c r="I80" s="308"/>
    </row>
    <row r="81" spans="3:9" x14ac:dyDescent="0.35">
      <c r="C81" s="311" t="s">
        <v>760</v>
      </c>
      <c r="D81" s="307">
        <f t="shared" si="47"/>
        <v>1733333333.3333323</v>
      </c>
      <c r="E81" s="307">
        <f t="shared" si="40"/>
        <v>16666666.666666666</v>
      </c>
      <c r="F81" s="307">
        <f t="shared" si="46"/>
        <v>1716666666.6666656</v>
      </c>
      <c r="G81" s="307">
        <f t="shared" si="44"/>
        <v>13224999.999999993</v>
      </c>
      <c r="H81" s="558">
        <f t="shared" si="45"/>
        <v>8.3333333333333332E-3</v>
      </c>
      <c r="I81" s="308"/>
    </row>
    <row r="82" spans="3:9" x14ac:dyDescent="0.35">
      <c r="C82" s="311" t="s">
        <v>761</v>
      </c>
      <c r="D82" s="307">
        <f t="shared" si="47"/>
        <v>1716666666.6666656</v>
      </c>
      <c r="E82" s="307">
        <f t="shared" si="40"/>
        <v>16666666.666666666</v>
      </c>
      <c r="F82" s="307">
        <f t="shared" si="46"/>
        <v>1699999999.9999988</v>
      </c>
      <c r="G82" s="307">
        <f t="shared" si="44"/>
        <v>13097222.222222211</v>
      </c>
      <c r="H82" s="558">
        <f t="shared" si="45"/>
        <v>8.3333333333333332E-3</v>
      </c>
      <c r="I82" s="308"/>
    </row>
    <row r="83" spans="3:9" x14ac:dyDescent="0.35">
      <c r="C83" s="311" t="s">
        <v>762</v>
      </c>
      <c r="D83" s="307">
        <f t="shared" si="47"/>
        <v>1699999999.9999988</v>
      </c>
      <c r="E83" s="307">
        <f t="shared" si="40"/>
        <v>16666666.666666666</v>
      </c>
      <c r="F83" s="307">
        <f t="shared" si="46"/>
        <v>1683333333.3333321</v>
      </c>
      <c r="G83" s="307">
        <f t="shared" si="44"/>
        <v>12969444.444444435</v>
      </c>
      <c r="H83" s="558">
        <f t="shared" si="45"/>
        <v>8.3333333333333332E-3</v>
      </c>
      <c r="I83" s="308"/>
    </row>
    <row r="84" spans="3:9" x14ac:dyDescent="0.35">
      <c r="C84" s="311" t="s">
        <v>763</v>
      </c>
      <c r="D84" s="307">
        <f t="shared" si="47"/>
        <v>1683333333.3333321</v>
      </c>
      <c r="E84" s="307">
        <f t="shared" si="40"/>
        <v>16666666.666666666</v>
      </c>
      <c r="F84" s="307">
        <f t="shared" si="46"/>
        <v>1666666666.6666653</v>
      </c>
      <c r="G84" s="307">
        <f t="shared" si="44"/>
        <v>12841666.666666655</v>
      </c>
      <c r="H84" s="558">
        <f t="shared" si="45"/>
        <v>8.3333333333333332E-3</v>
      </c>
      <c r="I84" s="308"/>
    </row>
    <row r="85" spans="3:9" x14ac:dyDescent="0.35">
      <c r="C85" s="311" t="s">
        <v>755</v>
      </c>
      <c r="D85" s="307">
        <f t="shared" si="47"/>
        <v>1666666666.6666653</v>
      </c>
      <c r="E85" s="307">
        <f t="shared" si="40"/>
        <v>16666666.666666666</v>
      </c>
      <c r="F85" s="307">
        <f t="shared" si="46"/>
        <v>1649999999.9999986</v>
      </c>
      <c r="G85" s="307">
        <f t="shared" si="44"/>
        <v>12713888.888888879</v>
      </c>
      <c r="H85" s="558">
        <f t="shared" si="45"/>
        <v>8.3333333333333332E-3</v>
      </c>
      <c r="I85" s="308"/>
    </row>
    <row r="86" spans="3:9" x14ac:dyDescent="0.35">
      <c r="C86" s="306" t="s">
        <v>773</v>
      </c>
      <c r="D86" s="307"/>
      <c r="E86" s="312"/>
      <c r="F86" s="312"/>
      <c r="G86" s="312"/>
      <c r="H86" s="309"/>
      <c r="I86" s="316"/>
    </row>
    <row r="87" spans="3:9" x14ac:dyDescent="0.35">
      <c r="C87" s="311" t="s">
        <v>765</v>
      </c>
      <c r="D87" s="307">
        <f>F85</f>
        <v>1649999999.9999986</v>
      </c>
      <c r="E87" s="307">
        <f t="shared" si="40"/>
        <v>20833333.333333332</v>
      </c>
      <c r="F87" s="307">
        <f>D87-E87</f>
        <v>1629166666.6666653</v>
      </c>
      <c r="G87" s="307">
        <f t="shared" ref="G87:G98" si="48">AVERAGE(D87,F87)*$D$18/12</f>
        <v>12570138.888888879</v>
      </c>
      <c r="H87" s="558">
        <f>12.5%/12</f>
        <v>1.0416666666666666E-2</v>
      </c>
      <c r="I87" s="308"/>
    </row>
    <row r="88" spans="3:9" x14ac:dyDescent="0.35">
      <c r="C88" s="311" t="s">
        <v>766</v>
      </c>
      <c r="D88" s="307">
        <f>F87</f>
        <v>1629166666.6666653</v>
      </c>
      <c r="E88" s="307">
        <f t="shared" si="40"/>
        <v>20833333.333333332</v>
      </c>
      <c r="F88" s="307">
        <f>D88-E88</f>
        <v>1608333333.3333321</v>
      </c>
      <c r="G88" s="307">
        <f t="shared" si="48"/>
        <v>12410416.666666655</v>
      </c>
      <c r="H88" s="558">
        <f t="shared" ref="H88:H98" si="49">12.5%/12</f>
        <v>1.0416666666666666E-2</v>
      </c>
      <c r="I88" s="308"/>
    </row>
    <row r="89" spans="3:9" x14ac:dyDescent="0.35">
      <c r="C89" s="311" t="s">
        <v>767</v>
      </c>
      <c r="D89" s="307">
        <f>F88</f>
        <v>1608333333.3333321</v>
      </c>
      <c r="E89" s="307">
        <f t="shared" si="40"/>
        <v>20833333.333333332</v>
      </c>
      <c r="F89" s="307">
        <f>D89-E89</f>
        <v>1587499999.9999988</v>
      </c>
      <c r="G89" s="307">
        <f t="shared" si="48"/>
        <v>12250694.444444435</v>
      </c>
      <c r="H89" s="558">
        <f t="shared" si="49"/>
        <v>1.0416666666666666E-2</v>
      </c>
    </row>
    <row r="90" spans="3:9" x14ac:dyDescent="0.35">
      <c r="C90" s="311" t="s">
        <v>756</v>
      </c>
      <c r="D90" s="307">
        <f>F89</f>
        <v>1587499999.9999988</v>
      </c>
      <c r="E90" s="307">
        <f t="shared" si="40"/>
        <v>20833333.333333332</v>
      </c>
      <c r="F90" s="307">
        <f>D90-E90</f>
        <v>1566666666.6666656</v>
      </c>
      <c r="G90" s="307">
        <f t="shared" si="48"/>
        <v>12090972.222222211</v>
      </c>
      <c r="H90" s="558">
        <f t="shared" si="49"/>
        <v>1.0416666666666666E-2</v>
      </c>
      <c r="I90" s="308"/>
    </row>
    <row r="91" spans="3:9" x14ac:dyDescent="0.35">
      <c r="C91" s="311" t="s">
        <v>757</v>
      </c>
      <c r="D91" s="307">
        <f>F90</f>
        <v>1566666666.6666656</v>
      </c>
      <c r="E91" s="307">
        <f t="shared" si="40"/>
        <v>20833333.333333332</v>
      </c>
      <c r="F91" s="307">
        <f t="shared" ref="F91:F98" si="50">D91-E91</f>
        <v>1545833333.3333323</v>
      </c>
      <c r="G91" s="307">
        <f t="shared" si="48"/>
        <v>11931249.999999993</v>
      </c>
      <c r="H91" s="558">
        <f t="shared" si="49"/>
        <v>1.0416666666666666E-2</v>
      </c>
      <c r="I91" s="308"/>
    </row>
    <row r="92" spans="3:9" x14ac:dyDescent="0.35">
      <c r="C92" s="311" t="s">
        <v>758</v>
      </c>
      <c r="D92" s="307">
        <f t="shared" ref="D92:D98" si="51">F91</f>
        <v>1545833333.3333323</v>
      </c>
      <c r="E92" s="307">
        <f t="shared" si="40"/>
        <v>20833333.333333332</v>
      </c>
      <c r="F92" s="307">
        <f t="shared" si="50"/>
        <v>1524999999.999999</v>
      </c>
      <c r="G92" s="307">
        <f t="shared" si="48"/>
        <v>11771527.777777769</v>
      </c>
      <c r="H92" s="558">
        <f t="shared" si="49"/>
        <v>1.0416666666666666E-2</v>
      </c>
      <c r="I92" s="308"/>
    </row>
    <row r="93" spans="3:9" x14ac:dyDescent="0.35">
      <c r="C93" s="311" t="s">
        <v>759</v>
      </c>
      <c r="D93" s="307">
        <f t="shared" si="51"/>
        <v>1524999999.999999</v>
      </c>
      <c r="E93" s="307">
        <f t="shared" si="40"/>
        <v>20833333.333333332</v>
      </c>
      <c r="F93" s="307">
        <f t="shared" si="50"/>
        <v>1504166666.6666658</v>
      </c>
      <c r="G93" s="307">
        <f t="shared" si="48"/>
        <v>11611805.55555555</v>
      </c>
      <c r="H93" s="558">
        <f t="shared" si="49"/>
        <v>1.0416666666666666E-2</v>
      </c>
      <c r="I93" s="308"/>
    </row>
    <row r="94" spans="3:9" x14ac:dyDescent="0.35">
      <c r="C94" s="311" t="s">
        <v>760</v>
      </c>
      <c r="D94" s="307">
        <f t="shared" si="51"/>
        <v>1504166666.6666658</v>
      </c>
      <c r="E94" s="307">
        <f t="shared" si="40"/>
        <v>20833333.333333332</v>
      </c>
      <c r="F94" s="307">
        <f t="shared" si="50"/>
        <v>1483333333.3333325</v>
      </c>
      <c r="G94" s="307">
        <f t="shared" si="48"/>
        <v>11452083.333333327</v>
      </c>
      <c r="H94" s="558">
        <f t="shared" si="49"/>
        <v>1.0416666666666666E-2</v>
      </c>
      <c r="I94" s="308"/>
    </row>
    <row r="95" spans="3:9" x14ac:dyDescent="0.35">
      <c r="C95" s="311" t="s">
        <v>761</v>
      </c>
      <c r="D95" s="307">
        <f t="shared" si="51"/>
        <v>1483333333.3333325</v>
      </c>
      <c r="E95" s="307">
        <f t="shared" si="40"/>
        <v>20833333.333333332</v>
      </c>
      <c r="F95" s="307">
        <f t="shared" si="50"/>
        <v>1462499999.9999993</v>
      </c>
      <c r="G95" s="307">
        <f t="shared" si="48"/>
        <v>11292361.111111106</v>
      </c>
      <c r="H95" s="558">
        <f t="shared" si="49"/>
        <v>1.0416666666666666E-2</v>
      </c>
      <c r="I95" s="308"/>
    </row>
    <row r="96" spans="3:9" x14ac:dyDescent="0.35">
      <c r="C96" s="311" t="s">
        <v>762</v>
      </c>
      <c r="D96" s="307">
        <f t="shared" si="51"/>
        <v>1462499999.9999993</v>
      </c>
      <c r="E96" s="307">
        <f t="shared" si="40"/>
        <v>20833333.333333332</v>
      </c>
      <c r="F96" s="307">
        <f t="shared" si="50"/>
        <v>1441666666.666666</v>
      </c>
      <c r="G96" s="307">
        <f t="shared" si="48"/>
        <v>11132638.888888882</v>
      </c>
      <c r="H96" s="558">
        <f t="shared" si="49"/>
        <v>1.0416666666666666E-2</v>
      </c>
      <c r="I96" s="308"/>
    </row>
    <row r="97" spans="3:9" x14ac:dyDescent="0.35">
      <c r="C97" s="311" t="s">
        <v>763</v>
      </c>
      <c r="D97" s="307">
        <f t="shared" si="51"/>
        <v>1441666666.666666</v>
      </c>
      <c r="E97" s="307">
        <f t="shared" si="40"/>
        <v>20833333.333333332</v>
      </c>
      <c r="F97" s="307">
        <f t="shared" si="50"/>
        <v>1420833333.3333328</v>
      </c>
      <c r="G97" s="307">
        <f t="shared" si="48"/>
        <v>10972916.666666662</v>
      </c>
      <c r="H97" s="558">
        <f t="shared" si="49"/>
        <v>1.0416666666666666E-2</v>
      </c>
      <c r="I97" s="308"/>
    </row>
    <row r="98" spans="3:9" x14ac:dyDescent="0.35">
      <c r="C98" s="311" t="s">
        <v>755</v>
      </c>
      <c r="D98" s="307">
        <f t="shared" si="51"/>
        <v>1420833333.3333328</v>
      </c>
      <c r="E98" s="307">
        <f t="shared" si="40"/>
        <v>20833333.333333332</v>
      </c>
      <c r="F98" s="307">
        <f t="shared" si="50"/>
        <v>1399999999.9999995</v>
      </c>
      <c r="G98" s="307">
        <f t="shared" si="48"/>
        <v>10813194.444444438</v>
      </c>
      <c r="H98" s="558">
        <f t="shared" si="49"/>
        <v>1.0416666666666666E-2</v>
      </c>
      <c r="I98" s="308"/>
    </row>
    <row r="99" spans="3:9" x14ac:dyDescent="0.35">
      <c r="C99" s="306" t="s">
        <v>774</v>
      </c>
      <c r="D99" s="307"/>
      <c r="E99" s="312"/>
      <c r="F99" s="312"/>
      <c r="G99" s="312"/>
      <c r="H99" s="309"/>
      <c r="I99" s="316"/>
    </row>
    <row r="100" spans="3:9" x14ac:dyDescent="0.35">
      <c r="C100" s="311" t="s">
        <v>765</v>
      </c>
      <c r="D100" s="307">
        <f>F98</f>
        <v>1399999999.9999995</v>
      </c>
      <c r="E100" s="307">
        <f t="shared" si="40"/>
        <v>24999999.999999996</v>
      </c>
      <c r="F100" s="307">
        <f>D100-E100</f>
        <v>1374999999.9999995</v>
      </c>
      <c r="G100" s="307">
        <f t="shared" ref="G100:G111" si="52">AVERAGE(D100,F100)*$D$18/12</f>
        <v>10637499.999999996</v>
      </c>
      <c r="H100" s="558">
        <f>15%/12</f>
        <v>1.2499999999999999E-2</v>
      </c>
      <c r="I100" s="308"/>
    </row>
    <row r="101" spans="3:9" x14ac:dyDescent="0.35">
      <c r="C101" s="311" t="s">
        <v>766</v>
      </c>
      <c r="D101" s="307">
        <f>F100</f>
        <v>1374999999.9999995</v>
      </c>
      <c r="E101" s="307">
        <f t="shared" si="40"/>
        <v>24999999.999999996</v>
      </c>
      <c r="F101" s="307">
        <f>D101-E101</f>
        <v>1349999999.9999995</v>
      </c>
      <c r="G101" s="307">
        <f t="shared" si="52"/>
        <v>10445833.33333333</v>
      </c>
      <c r="H101" s="558">
        <f t="shared" ref="H101:H124" si="53">15%/12</f>
        <v>1.2499999999999999E-2</v>
      </c>
      <c r="I101" s="308"/>
    </row>
    <row r="102" spans="3:9" x14ac:dyDescent="0.35">
      <c r="C102" s="311" t="s">
        <v>767</v>
      </c>
      <c r="D102" s="307">
        <f>F101</f>
        <v>1349999999.9999995</v>
      </c>
      <c r="E102" s="307">
        <f t="shared" si="40"/>
        <v>24999999.999999996</v>
      </c>
      <c r="F102" s="307">
        <f>D102-E102</f>
        <v>1324999999.9999995</v>
      </c>
      <c r="G102" s="307">
        <f t="shared" si="52"/>
        <v>10254166.666666662</v>
      </c>
      <c r="H102" s="558">
        <f t="shared" si="53"/>
        <v>1.2499999999999999E-2</v>
      </c>
    </row>
    <row r="103" spans="3:9" x14ac:dyDescent="0.35">
      <c r="C103" s="311" t="s">
        <v>756</v>
      </c>
      <c r="D103" s="307">
        <f>F102</f>
        <v>1324999999.9999995</v>
      </c>
      <c r="E103" s="307">
        <f t="shared" si="40"/>
        <v>24999999.999999996</v>
      </c>
      <c r="F103" s="307">
        <f>D103-E103</f>
        <v>1299999999.9999995</v>
      </c>
      <c r="G103" s="307">
        <f t="shared" si="52"/>
        <v>10062499.999999996</v>
      </c>
      <c r="H103" s="558">
        <f t="shared" si="53"/>
        <v>1.2499999999999999E-2</v>
      </c>
      <c r="I103" s="308"/>
    </row>
    <row r="104" spans="3:9" x14ac:dyDescent="0.35">
      <c r="C104" s="311" t="s">
        <v>757</v>
      </c>
      <c r="D104" s="307">
        <f>F103</f>
        <v>1299999999.9999995</v>
      </c>
      <c r="E104" s="307">
        <f t="shared" si="40"/>
        <v>24999999.999999996</v>
      </c>
      <c r="F104" s="307">
        <f t="shared" ref="F104:F111" si="54">D104-E104</f>
        <v>1274999999.9999995</v>
      </c>
      <c r="G104" s="307">
        <f t="shared" si="52"/>
        <v>9870833.3333333302</v>
      </c>
      <c r="H104" s="558">
        <f t="shared" si="53"/>
        <v>1.2499999999999999E-2</v>
      </c>
      <c r="I104" s="308"/>
    </row>
    <row r="105" spans="3:9" x14ac:dyDescent="0.35">
      <c r="C105" s="311" t="s">
        <v>758</v>
      </c>
      <c r="D105" s="307">
        <f t="shared" ref="D105:D111" si="55">F104</f>
        <v>1274999999.9999995</v>
      </c>
      <c r="E105" s="307">
        <f t="shared" si="40"/>
        <v>24999999.999999996</v>
      </c>
      <c r="F105" s="307">
        <f t="shared" si="54"/>
        <v>1249999999.9999995</v>
      </c>
      <c r="G105" s="307">
        <f t="shared" si="52"/>
        <v>9679166.6666666623</v>
      </c>
      <c r="H105" s="558">
        <f t="shared" si="53"/>
        <v>1.2499999999999999E-2</v>
      </c>
      <c r="I105" s="308"/>
    </row>
    <row r="106" spans="3:9" x14ac:dyDescent="0.35">
      <c r="C106" s="311" t="s">
        <v>759</v>
      </c>
      <c r="D106" s="307">
        <f t="shared" si="55"/>
        <v>1249999999.9999995</v>
      </c>
      <c r="E106" s="307">
        <f t="shared" si="40"/>
        <v>24999999.999999996</v>
      </c>
      <c r="F106" s="307">
        <f t="shared" si="54"/>
        <v>1224999999.9999995</v>
      </c>
      <c r="G106" s="307">
        <f t="shared" si="52"/>
        <v>9487499.9999999963</v>
      </c>
      <c r="H106" s="558">
        <f t="shared" si="53"/>
        <v>1.2499999999999999E-2</v>
      </c>
      <c r="I106" s="308"/>
    </row>
    <row r="107" spans="3:9" x14ac:dyDescent="0.35">
      <c r="C107" s="311" t="s">
        <v>760</v>
      </c>
      <c r="D107" s="307">
        <f t="shared" si="55"/>
        <v>1224999999.9999995</v>
      </c>
      <c r="E107" s="307">
        <f t="shared" si="40"/>
        <v>24999999.999999996</v>
      </c>
      <c r="F107" s="307">
        <f t="shared" si="54"/>
        <v>1199999999.9999995</v>
      </c>
      <c r="G107" s="307">
        <f t="shared" si="52"/>
        <v>9295833.3333333302</v>
      </c>
      <c r="H107" s="558">
        <f t="shared" si="53"/>
        <v>1.2499999999999999E-2</v>
      </c>
      <c r="I107" s="308"/>
    </row>
    <row r="108" spans="3:9" x14ac:dyDescent="0.35">
      <c r="C108" s="311" t="s">
        <v>761</v>
      </c>
      <c r="D108" s="307">
        <f t="shared" si="55"/>
        <v>1199999999.9999995</v>
      </c>
      <c r="E108" s="307">
        <f t="shared" si="40"/>
        <v>24999999.999999996</v>
      </c>
      <c r="F108" s="307">
        <f t="shared" si="54"/>
        <v>1174999999.9999995</v>
      </c>
      <c r="G108" s="307">
        <f t="shared" si="52"/>
        <v>9104166.6666666623</v>
      </c>
      <c r="H108" s="558">
        <f t="shared" si="53"/>
        <v>1.2499999999999999E-2</v>
      </c>
      <c r="I108" s="308"/>
    </row>
    <row r="109" spans="3:9" x14ac:dyDescent="0.35">
      <c r="C109" s="311" t="s">
        <v>762</v>
      </c>
      <c r="D109" s="307">
        <f t="shared" si="55"/>
        <v>1174999999.9999995</v>
      </c>
      <c r="E109" s="307">
        <f t="shared" si="40"/>
        <v>24999999.999999996</v>
      </c>
      <c r="F109" s="307">
        <f t="shared" si="54"/>
        <v>1149999999.9999995</v>
      </c>
      <c r="G109" s="307">
        <f t="shared" si="52"/>
        <v>8912499.9999999963</v>
      </c>
      <c r="H109" s="558">
        <f t="shared" si="53"/>
        <v>1.2499999999999999E-2</v>
      </c>
      <c r="I109" s="308"/>
    </row>
    <row r="110" spans="3:9" x14ac:dyDescent="0.35">
      <c r="C110" s="311" t="s">
        <v>763</v>
      </c>
      <c r="D110" s="307">
        <f t="shared" si="55"/>
        <v>1149999999.9999995</v>
      </c>
      <c r="E110" s="307">
        <f t="shared" si="40"/>
        <v>24999999.999999996</v>
      </c>
      <c r="F110" s="307">
        <f t="shared" si="54"/>
        <v>1124999999.9999995</v>
      </c>
      <c r="G110" s="307">
        <f t="shared" si="52"/>
        <v>8720833.3333333302</v>
      </c>
      <c r="H110" s="558">
        <f t="shared" si="53"/>
        <v>1.2499999999999999E-2</v>
      </c>
      <c r="I110" s="308"/>
    </row>
    <row r="111" spans="3:9" x14ac:dyDescent="0.35">
      <c r="C111" s="311" t="s">
        <v>755</v>
      </c>
      <c r="D111" s="307">
        <f t="shared" si="55"/>
        <v>1124999999.9999995</v>
      </c>
      <c r="E111" s="307">
        <f t="shared" si="40"/>
        <v>24999999.999999996</v>
      </c>
      <c r="F111" s="307">
        <f t="shared" si="54"/>
        <v>1099999999.9999995</v>
      </c>
      <c r="G111" s="307">
        <f t="shared" si="52"/>
        <v>8529166.6666666623</v>
      </c>
      <c r="H111" s="558">
        <f t="shared" si="53"/>
        <v>1.2499999999999999E-2</v>
      </c>
      <c r="I111" s="308"/>
    </row>
    <row r="112" spans="3:9" x14ac:dyDescent="0.35">
      <c r="C112" s="306" t="s">
        <v>775</v>
      </c>
      <c r="D112" s="307"/>
      <c r="E112" s="312"/>
      <c r="F112" s="312"/>
      <c r="G112" s="312"/>
      <c r="H112" s="309"/>
      <c r="I112" s="316"/>
    </row>
    <row r="113" spans="3:9" x14ac:dyDescent="0.35">
      <c r="C113" s="311" t="s">
        <v>765</v>
      </c>
      <c r="D113" s="307">
        <f>F111</f>
        <v>1099999999.9999995</v>
      </c>
      <c r="E113" s="307">
        <f t="shared" si="40"/>
        <v>24999999.999999996</v>
      </c>
      <c r="F113" s="307">
        <f>D113-E113</f>
        <v>1074999999.9999995</v>
      </c>
      <c r="G113" s="307">
        <f t="shared" ref="G113:G124" si="56">AVERAGE(D113,F113)*$D$18/12</f>
        <v>8337499.9999999963</v>
      </c>
      <c r="H113" s="558">
        <f t="shared" si="53"/>
        <v>1.2499999999999999E-2</v>
      </c>
      <c r="I113" s="308"/>
    </row>
    <row r="114" spans="3:9" x14ac:dyDescent="0.35">
      <c r="C114" s="311" t="s">
        <v>766</v>
      </c>
      <c r="D114" s="307">
        <f>F113</f>
        <v>1074999999.9999995</v>
      </c>
      <c r="E114" s="307">
        <f t="shared" si="40"/>
        <v>24999999.999999996</v>
      </c>
      <c r="F114" s="307">
        <f>D114-E114</f>
        <v>1049999999.9999995</v>
      </c>
      <c r="G114" s="307">
        <f t="shared" si="56"/>
        <v>8145833.3333333293</v>
      </c>
      <c r="H114" s="558">
        <f t="shared" si="53"/>
        <v>1.2499999999999999E-2</v>
      </c>
      <c r="I114" s="308"/>
    </row>
    <row r="115" spans="3:9" x14ac:dyDescent="0.35">
      <c r="C115" s="311" t="s">
        <v>767</v>
      </c>
      <c r="D115" s="307">
        <f>F114</f>
        <v>1049999999.9999995</v>
      </c>
      <c r="E115" s="307">
        <f t="shared" si="40"/>
        <v>24999999.999999996</v>
      </c>
      <c r="F115" s="307">
        <f>D115-E115</f>
        <v>1024999999.9999995</v>
      </c>
      <c r="G115" s="307">
        <f t="shared" si="56"/>
        <v>7954166.6666666633</v>
      </c>
      <c r="H115" s="558">
        <f t="shared" si="53"/>
        <v>1.2499999999999999E-2</v>
      </c>
    </row>
    <row r="116" spans="3:9" x14ac:dyDescent="0.35">
      <c r="C116" s="311" t="s">
        <v>756</v>
      </c>
      <c r="D116" s="307">
        <f>F115</f>
        <v>1024999999.9999995</v>
      </c>
      <c r="E116" s="307">
        <f t="shared" si="40"/>
        <v>24999999.999999996</v>
      </c>
      <c r="F116" s="307">
        <f>D116-E116</f>
        <v>999999999.99999952</v>
      </c>
      <c r="G116" s="307">
        <f t="shared" si="56"/>
        <v>7762499.9999999963</v>
      </c>
      <c r="H116" s="558">
        <f t="shared" si="53"/>
        <v>1.2499999999999999E-2</v>
      </c>
      <c r="I116" s="308"/>
    </row>
    <row r="117" spans="3:9" x14ac:dyDescent="0.35">
      <c r="C117" s="311" t="s">
        <v>757</v>
      </c>
      <c r="D117" s="307">
        <f>F116</f>
        <v>999999999.99999952</v>
      </c>
      <c r="E117" s="307">
        <f t="shared" si="40"/>
        <v>24999999.999999996</v>
      </c>
      <c r="F117" s="307">
        <f t="shared" ref="F117:F124" si="57">D117-E117</f>
        <v>974999999.99999952</v>
      </c>
      <c r="G117" s="307">
        <f t="shared" si="56"/>
        <v>7570833.3333333293</v>
      </c>
      <c r="H117" s="558">
        <f t="shared" si="53"/>
        <v>1.2499999999999999E-2</v>
      </c>
      <c r="I117" s="308"/>
    </row>
    <row r="118" spans="3:9" x14ac:dyDescent="0.35">
      <c r="C118" s="311" t="s">
        <v>758</v>
      </c>
      <c r="D118" s="307">
        <f t="shared" ref="D118:D124" si="58">F117</f>
        <v>974999999.99999952</v>
      </c>
      <c r="E118" s="307">
        <f t="shared" si="40"/>
        <v>24999999.999999996</v>
      </c>
      <c r="F118" s="307">
        <f t="shared" si="57"/>
        <v>949999999.99999952</v>
      </c>
      <c r="G118" s="307">
        <f t="shared" si="56"/>
        <v>7379166.6666666633</v>
      </c>
      <c r="H118" s="558">
        <f t="shared" si="53"/>
        <v>1.2499999999999999E-2</v>
      </c>
      <c r="I118" s="308"/>
    </row>
    <row r="119" spans="3:9" x14ac:dyDescent="0.35">
      <c r="C119" s="311" t="s">
        <v>759</v>
      </c>
      <c r="D119" s="307">
        <f t="shared" si="58"/>
        <v>949999999.99999952</v>
      </c>
      <c r="E119" s="307">
        <f t="shared" si="40"/>
        <v>24999999.999999996</v>
      </c>
      <c r="F119" s="307">
        <f t="shared" si="57"/>
        <v>924999999.99999952</v>
      </c>
      <c r="G119" s="307">
        <f t="shared" si="56"/>
        <v>7187499.9999999963</v>
      </c>
      <c r="H119" s="558">
        <f t="shared" si="53"/>
        <v>1.2499999999999999E-2</v>
      </c>
      <c r="I119" s="308"/>
    </row>
    <row r="120" spans="3:9" x14ac:dyDescent="0.35">
      <c r="C120" s="311" t="s">
        <v>760</v>
      </c>
      <c r="D120" s="307">
        <f t="shared" si="58"/>
        <v>924999999.99999952</v>
      </c>
      <c r="E120" s="307">
        <f t="shared" si="40"/>
        <v>24999999.999999996</v>
      </c>
      <c r="F120" s="307">
        <f t="shared" si="57"/>
        <v>899999999.99999952</v>
      </c>
      <c r="G120" s="307">
        <f t="shared" si="56"/>
        <v>6995833.3333333293</v>
      </c>
      <c r="H120" s="558">
        <f t="shared" si="53"/>
        <v>1.2499999999999999E-2</v>
      </c>
      <c r="I120" s="308"/>
    </row>
    <row r="121" spans="3:9" x14ac:dyDescent="0.35">
      <c r="C121" s="311" t="s">
        <v>761</v>
      </c>
      <c r="D121" s="307">
        <f t="shared" si="58"/>
        <v>899999999.99999952</v>
      </c>
      <c r="E121" s="307">
        <f t="shared" si="40"/>
        <v>24999999.999999996</v>
      </c>
      <c r="F121" s="307">
        <f t="shared" si="57"/>
        <v>874999999.99999952</v>
      </c>
      <c r="G121" s="307">
        <f t="shared" si="56"/>
        <v>6804166.6666666633</v>
      </c>
      <c r="H121" s="558">
        <f t="shared" si="53"/>
        <v>1.2499999999999999E-2</v>
      </c>
      <c r="I121" s="308"/>
    </row>
    <row r="122" spans="3:9" x14ac:dyDescent="0.35">
      <c r="C122" s="311" t="s">
        <v>762</v>
      </c>
      <c r="D122" s="307">
        <f t="shared" si="58"/>
        <v>874999999.99999952</v>
      </c>
      <c r="E122" s="307">
        <f t="shared" si="40"/>
        <v>24999999.999999996</v>
      </c>
      <c r="F122" s="307">
        <f t="shared" si="57"/>
        <v>849999999.99999952</v>
      </c>
      <c r="G122" s="307">
        <f t="shared" si="56"/>
        <v>6612499.9999999963</v>
      </c>
      <c r="H122" s="558">
        <f t="shared" si="53"/>
        <v>1.2499999999999999E-2</v>
      </c>
      <c r="I122" s="308"/>
    </row>
    <row r="123" spans="3:9" x14ac:dyDescent="0.35">
      <c r="C123" s="311" t="s">
        <v>763</v>
      </c>
      <c r="D123" s="307">
        <f t="shared" si="58"/>
        <v>849999999.99999952</v>
      </c>
      <c r="E123" s="307">
        <f t="shared" si="40"/>
        <v>24999999.999999996</v>
      </c>
      <c r="F123" s="307">
        <f t="shared" si="57"/>
        <v>824999999.99999952</v>
      </c>
      <c r="G123" s="307">
        <f t="shared" si="56"/>
        <v>6420833.3333333293</v>
      </c>
      <c r="H123" s="558">
        <f t="shared" si="53"/>
        <v>1.2499999999999999E-2</v>
      </c>
      <c r="I123" s="308"/>
    </row>
    <row r="124" spans="3:9" x14ac:dyDescent="0.35">
      <c r="C124" s="311" t="s">
        <v>755</v>
      </c>
      <c r="D124" s="307">
        <f t="shared" si="58"/>
        <v>824999999.99999952</v>
      </c>
      <c r="E124" s="307">
        <f t="shared" si="40"/>
        <v>24999999.999999996</v>
      </c>
      <c r="F124" s="307">
        <f t="shared" si="57"/>
        <v>799999999.99999952</v>
      </c>
      <c r="G124" s="307">
        <f t="shared" si="56"/>
        <v>6229166.6666666633</v>
      </c>
      <c r="H124" s="558">
        <f t="shared" si="53"/>
        <v>1.2499999999999999E-2</v>
      </c>
      <c r="I124" s="308"/>
    </row>
    <row r="125" spans="3:9" s="315" customFormat="1" x14ac:dyDescent="0.35">
      <c r="C125" s="306" t="s">
        <v>803</v>
      </c>
      <c r="D125" s="307"/>
      <c r="E125" s="312"/>
      <c r="F125" s="312"/>
      <c r="G125" s="312"/>
      <c r="H125" s="313"/>
      <c r="I125" s="323"/>
    </row>
    <row r="126" spans="3:9" x14ac:dyDescent="0.35">
      <c r="C126" s="311" t="s">
        <v>765</v>
      </c>
      <c r="D126" s="307">
        <f>F124</f>
        <v>799999999.99999952</v>
      </c>
      <c r="E126" s="307">
        <f t="shared" si="40"/>
        <v>29166666.666666664</v>
      </c>
      <c r="F126" s="307">
        <f>D126-E126</f>
        <v>770833333.3333329</v>
      </c>
      <c r="G126" s="307">
        <f t="shared" ref="G126:G137" si="59">AVERAGE(D126,F126)*$D$18/12</f>
        <v>6021527.7777777752</v>
      </c>
      <c r="H126" s="558">
        <f t="shared" ref="H126:H150" si="60">17.5%/12</f>
        <v>1.4583333333333332E-2</v>
      </c>
    </row>
    <row r="127" spans="3:9" x14ac:dyDescent="0.35">
      <c r="C127" s="311" t="s">
        <v>766</v>
      </c>
      <c r="D127" s="307">
        <f>F126</f>
        <v>770833333.3333329</v>
      </c>
      <c r="E127" s="307">
        <f t="shared" ref="E127:E154" si="61">$D$17*H127</f>
        <v>29166666.666666664</v>
      </c>
      <c r="F127" s="307">
        <f>D127-E127</f>
        <v>741666666.66666627</v>
      </c>
      <c r="G127" s="307">
        <f t="shared" si="59"/>
        <v>5797916.6666666633</v>
      </c>
      <c r="H127" s="558">
        <f t="shared" si="60"/>
        <v>1.4583333333333332E-2</v>
      </c>
    </row>
    <row r="128" spans="3:9" x14ac:dyDescent="0.35">
      <c r="C128" s="311" t="s">
        <v>767</v>
      </c>
      <c r="D128" s="307">
        <f>F127</f>
        <v>741666666.66666627</v>
      </c>
      <c r="E128" s="307">
        <f t="shared" si="61"/>
        <v>29166666.666666664</v>
      </c>
      <c r="F128" s="307">
        <f>D128-E128</f>
        <v>712499999.99999964</v>
      </c>
      <c r="G128" s="307">
        <f t="shared" si="59"/>
        <v>5574305.5555555532</v>
      </c>
      <c r="H128" s="558">
        <f t="shared" si="60"/>
        <v>1.4583333333333332E-2</v>
      </c>
    </row>
    <row r="129" spans="3:8" x14ac:dyDescent="0.35">
      <c r="C129" s="311" t="s">
        <v>756</v>
      </c>
      <c r="D129" s="307">
        <f>F128</f>
        <v>712499999.99999964</v>
      </c>
      <c r="E129" s="307">
        <f t="shared" si="61"/>
        <v>29166666.666666664</v>
      </c>
      <c r="F129" s="307">
        <f>D129-E129</f>
        <v>683333333.33333302</v>
      </c>
      <c r="G129" s="307">
        <f t="shared" si="59"/>
        <v>5350694.4444444412</v>
      </c>
      <c r="H129" s="558">
        <f t="shared" si="60"/>
        <v>1.4583333333333332E-2</v>
      </c>
    </row>
    <row r="130" spans="3:8" x14ac:dyDescent="0.35">
      <c r="C130" s="311" t="s">
        <v>757</v>
      </c>
      <c r="D130" s="307">
        <f>F129</f>
        <v>683333333.33333302</v>
      </c>
      <c r="E130" s="307">
        <f t="shared" si="61"/>
        <v>29166666.666666664</v>
      </c>
      <c r="F130" s="307">
        <f t="shared" ref="F130:F137" si="62">D130-E130</f>
        <v>654166666.66666639</v>
      </c>
      <c r="G130" s="307">
        <f t="shared" si="59"/>
        <v>5127083.3333333312</v>
      </c>
      <c r="H130" s="558">
        <f t="shared" si="60"/>
        <v>1.4583333333333332E-2</v>
      </c>
    </row>
    <row r="131" spans="3:8" x14ac:dyDescent="0.35">
      <c r="C131" s="311" t="s">
        <v>758</v>
      </c>
      <c r="D131" s="307">
        <f t="shared" ref="D131:D137" si="63">F130</f>
        <v>654166666.66666639</v>
      </c>
      <c r="E131" s="307">
        <f t="shared" si="61"/>
        <v>29166666.666666664</v>
      </c>
      <c r="F131" s="307">
        <f t="shared" si="62"/>
        <v>624999999.99999976</v>
      </c>
      <c r="G131" s="307">
        <f t="shared" si="59"/>
        <v>4903472.2222222192</v>
      </c>
      <c r="H131" s="558">
        <f t="shared" si="60"/>
        <v>1.4583333333333332E-2</v>
      </c>
    </row>
    <row r="132" spans="3:8" x14ac:dyDescent="0.35">
      <c r="C132" s="311" t="s">
        <v>759</v>
      </c>
      <c r="D132" s="307">
        <f t="shared" si="63"/>
        <v>624999999.99999976</v>
      </c>
      <c r="E132" s="307">
        <f t="shared" si="61"/>
        <v>29166666.666666664</v>
      </c>
      <c r="F132" s="307">
        <f t="shared" si="62"/>
        <v>595833333.33333313</v>
      </c>
      <c r="G132" s="307">
        <f t="shared" si="59"/>
        <v>4679861.1111111101</v>
      </c>
      <c r="H132" s="558">
        <f t="shared" si="60"/>
        <v>1.4583333333333332E-2</v>
      </c>
    </row>
    <row r="133" spans="3:8" x14ac:dyDescent="0.35">
      <c r="C133" s="311" t="s">
        <v>760</v>
      </c>
      <c r="D133" s="307">
        <f t="shared" si="63"/>
        <v>595833333.33333313</v>
      </c>
      <c r="E133" s="307">
        <f t="shared" si="61"/>
        <v>29166666.666666664</v>
      </c>
      <c r="F133" s="307">
        <f t="shared" si="62"/>
        <v>566666666.66666651</v>
      </c>
      <c r="G133" s="307">
        <f t="shared" si="59"/>
        <v>4456249.9999999981</v>
      </c>
      <c r="H133" s="558">
        <f t="shared" si="60"/>
        <v>1.4583333333333332E-2</v>
      </c>
    </row>
    <row r="134" spans="3:8" x14ac:dyDescent="0.35">
      <c r="C134" s="311" t="s">
        <v>761</v>
      </c>
      <c r="D134" s="307">
        <f t="shared" si="63"/>
        <v>566666666.66666651</v>
      </c>
      <c r="E134" s="307">
        <f t="shared" si="61"/>
        <v>29166666.666666664</v>
      </c>
      <c r="F134" s="307">
        <f t="shared" si="62"/>
        <v>537499999.99999988</v>
      </c>
      <c r="G134" s="307">
        <f t="shared" si="59"/>
        <v>4232638.8888888881</v>
      </c>
      <c r="H134" s="558">
        <f t="shared" si="60"/>
        <v>1.4583333333333332E-2</v>
      </c>
    </row>
    <row r="135" spans="3:8" x14ac:dyDescent="0.35">
      <c r="C135" s="311" t="s">
        <v>762</v>
      </c>
      <c r="D135" s="307">
        <f t="shared" si="63"/>
        <v>537499999.99999988</v>
      </c>
      <c r="E135" s="307">
        <f t="shared" si="61"/>
        <v>29166666.666666664</v>
      </c>
      <c r="F135" s="307">
        <f t="shared" si="62"/>
        <v>508333333.33333319</v>
      </c>
      <c r="G135" s="307">
        <f t="shared" si="59"/>
        <v>4009027.7777777766</v>
      </c>
      <c r="H135" s="558">
        <f t="shared" si="60"/>
        <v>1.4583333333333332E-2</v>
      </c>
    </row>
    <row r="136" spans="3:8" x14ac:dyDescent="0.35">
      <c r="C136" s="311" t="s">
        <v>763</v>
      </c>
      <c r="D136" s="307">
        <f t="shared" si="63"/>
        <v>508333333.33333319</v>
      </c>
      <c r="E136" s="307">
        <f t="shared" si="61"/>
        <v>29166666.666666664</v>
      </c>
      <c r="F136" s="307">
        <f t="shared" si="62"/>
        <v>479166666.66666651</v>
      </c>
      <c r="G136" s="307">
        <f t="shared" si="59"/>
        <v>3785416.6666666656</v>
      </c>
      <c r="H136" s="558">
        <f t="shared" si="60"/>
        <v>1.4583333333333332E-2</v>
      </c>
    </row>
    <row r="137" spans="3:8" x14ac:dyDescent="0.35">
      <c r="C137" s="311" t="s">
        <v>755</v>
      </c>
      <c r="D137" s="307">
        <f t="shared" si="63"/>
        <v>479166666.66666651</v>
      </c>
      <c r="E137" s="307">
        <f t="shared" si="61"/>
        <v>29166666.666666664</v>
      </c>
      <c r="F137" s="307">
        <f t="shared" si="62"/>
        <v>449999999.99999982</v>
      </c>
      <c r="G137" s="307">
        <f t="shared" si="59"/>
        <v>3561805.5555555541</v>
      </c>
      <c r="H137" s="558">
        <f t="shared" si="60"/>
        <v>1.4583333333333332E-2</v>
      </c>
    </row>
    <row r="138" spans="3:8" x14ac:dyDescent="0.35">
      <c r="C138" s="306" t="s">
        <v>804</v>
      </c>
      <c r="D138" s="307"/>
      <c r="E138" s="312"/>
      <c r="F138" s="312"/>
      <c r="G138" s="312"/>
    </row>
    <row r="139" spans="3:8" x14ac:dyDescent="0.35">
      <c r="C139" s="311" t="s">
        <v>765</v>
      </c>
      <c r="D139" s="307">
        <f>F137</f>
        <v>449999999.99999982</v>
      </c>
      <c r="E139" s="307">
        <f t="shared" si="61"/>
        <v>29166666.666666664</v>
      </c>
      <c r="F139" s="307">
        <f>D139-E139</f>
        <v>420833333.33333313</v>
      </c>
      <c r="G139" s="307">
        <f t="shared" ref="G139:G150" si="64">AVERAGE(D139,F139)*$D$18/12</f>
        <v>3338194.4444444436</v>
      </c>
      <c r="H139" s="558">
        <f t="shared" si="60"/>
        <v>1.4583333333333332E-2</v>
      </c>
    </row>
    <row r="140" spans="3:8" x14ac:dyDescent="0.35">
      <c r="C140" s="311" t="s">
        <v>766</v>
      </c>
      <c r="D140" s="307">
        <f>F139</f>
        <v>420833333.33333313</v>
      </c>
      <c r="E140" s="307">
        <f t="shared" si="61"/>
        <v>29166666.666666664</v>
      </c>
      <c r="F140" s="307">
        <f>D140-E140</f>
        <v>391666666.66666645</v>
      </c>
      <c r="G140" s="307">
        <f t="shared" si="64"/>
        <v>3114583.3333333316</v>
      </c>
      <c r="H140" s="558">
        <f t="shared" si="60"/>
        <v>1.4583333333333332E-2</v>
      </c>
    </row>
    <row r="141" spans="3:8" x14ac:dyDescent="0.35">
      <c r="C141" s="311" t="s">
        <v>767</v>
      </c>
      <c r="D141" s="307">
        <f>F140</f>
        <v>391666666.66666645</v>
      </c>
      <c r="E141" s="307">
        <f t="shared" si="61"/>
        <v>29166666.666666664</v>
      </c>
      <c r="F141" s="307">
        <f>D141-E141</f>
        <v>362499999.99999976</v>
      </c>
      <c r="G141" s="307">
        <f t="shared" si="64"/>
        <v>2890972.2222222206</v>
      </c>
      <c r="H141" s="558">
        <f t="shared" si="60"/>
        <v>1.4583333333333332E-2</v>
      </c>
    </row>
    <row r="142" spans="3:8" x14ac:dyDescent="0.35">
      <c r="C142" s="311" t="s">
        <v>756</v>
      </c>
      <c r="D142" s="307">
        <f>F141</f>
        <v>362499999.99999976</v>
      </c>
      <c r="E142" s="307">
        <f t="shared" si="61"/>
        <v>29166666.666666664</v>
      </c>
      <c r="F142" s="307">
        <f>D142-E142</f>
        <v>333333333.33333308</v>
      </c>
      <c r="G142" s="307">
        <f t="shared" si="64"/>
        <v>2667361.1111111087</v>
      </c>
      <c r="H142" s="558">
        <f t="shared" si="60"/>
        <v>1.4583333333333332E-2</v>
      </c>
    </row>
    <row r="143" spans="3:8" x14ac:dyDescent="0.35">
      <c r="C143" s="311" t="s">
        <v>757</v>
      </c>
      <c r="D143" s="307">
        <f>F142</f>
        <v>333333333.33333308</v>
      </c>
      <c r="E143" s="307">
        <f t="shared" si="61"/>
        <v>29166666.666666664</v>
      </c>
      <c r="F143" s="307">
        <f t="shared" ref="F143:F150" si="65">D143-E143</f>
        <v>304166666.66666639</v>
      </c>
      <c r="G143" s="307">
        <f t="shared" si="64"/>
        <v>2443749.9999999981</v>
      </c>
      <c r="H143" s="558">
        <f t="shared" si="60"/>
        <v>1.4583333333333332E-2</v>
      </c>
    </row>
    <row r="144" spans="3:8" x14ac:dyDescent="0.35">
      <c r="C144" s="311" t="s">
        <v>758</v>
      </c>
      <c r="D144" s="307">
        <f t="shared" ref="D144:D150" si="66">F143</f>
        <v>304166666.66666639</v>
      </c>
      <c r="E144" s="307">
        <f t="shared" si="61"/>
        <v>29166666.666666664</v>
      </c>
      <c r="F144" s="307">
        <f t="shared" si="65"/>
        <v>274999999.9999997</v>
      </c>
      <c r="G144" s="307">
        <f t="shared" si="64"/>
        <v>2220138.8888888867</v>
      </c>
      <c r="H144" s="558">
        <f t="shared" si="60"/>
        <v>1.4583333333333332E-2</v>
      </c>
    </row>
    <row r="145" spans="3:8" x14ac:dyDescent="0.35">
      <c r="C145" s="311" t="s">
        <v>759</v>
      </c>
      <c r="D145" s="307">
        <f t="shared" si="66"/>
        <v>274999999.9999997</v>
      </c>
      <c r="E145" s="307">
        <f t="shared" si="61"/>
        <v>29166666.666666664</v>
      </c>
      <c r="F145" s="307">
        <f t="shared" si="65"/>
        <v>245833333.33333305</v>
      </c>
      <c r="G145" s="307">
        <f t="shared" si="64"/>
        <v>1996527.7777777754</v>
      </c>
      <c r="H145" s="558">
        <f t="shared" si="60"/>
        <v>1.4583333333333332E-2</v>
      </c>
    </row>
    <row r="146" spans="3:8" x14ac:dyDescent="0.35">
      <c r="C146" s="311" t="s">
        <v>760</v>
      </c>
      <c r="D146" s="307">
        <f t="shared" si="66"/>
        <v>245833333.33333305</v>
      </c>
      <c r="E146" s="307">
        <f t="shared" si="61"/>
        <v>29166666.666666664</v>
      </c>
      <c r="F146" s="307">
        <f t="shared" si="65"/>
        <v>216666666.66666639</v>
      </c>
      <c r="G146" s="307">
        <f t="shared" si="64"/>
        <v>1772916.6666666644</v>
      </c>
      <c r="H146" s="558">
        <f t="shared" si="60"/>
        <v>1.4583333333333332E-2</v>
      </c>
    </row>
    <row r="147" spans="3:8" x14ac:dyDescent="0.35">
      <c r="C147" s="311" t="s">
        <v>761</v>
      </c>
      <c r="D147" s="307">
        <f t="shared" si="66"/>
        <v>216666666.66666639</v>
      </c>
      <c r="E147" s="307">
        <f t="shared" si="61"/>
        <v>29166666.666666664</v>
      </c>
      <c r="F147" s="307">
        <f t="shared" si="65"/>
        <v>187499999.99999973</v>
      </c>
      <c r="G147" s="307">
        <f t="shared" si="64"/>
        <v>1549305.5555555534</v>
      </c>
      <c r="H147" s="558">
        <f t="shared" si="60"/>
        <v>1.4583333333333332E-2</v>
      </c>
    </row>
    <row r="148" spans="3:8" x14ac:dyDescent="0.35">
      <c r="C148" s="311" t="s">
        <v>762</v>
      </c>
      <c r="D148" s="307">
        <f t="shared" si="66"/>
        <v>187499999.99999973</v>
      </c>
      <c r="E148" s="307">
        <f t="shared" si="61"/>
        <v>29166666.666666664</v>
      </c>
      <c r="F148" s="307">
        <f t="shared" si="65"/>
        <v>158333333.33333308</v>
      </c>
      <c r="G148" s="307">
        <f t="shared" si="64"/>
        <v>1325694.4444444424</v>
      </c>
      <c r="H148" s="558">
        <f t="shared" si="60"/>
        <v>1.4583333333333332E-2</v>
      </c>
    </row>
    <row r="149" spans="3:8" x14ac:dyDescent="0.35">
      <c r="C149" s="311" t="s">
        <v>763</v>
      </c>
      <c r="D149" s="307">
        <f t="shared" si="66"/>
        <v>158333333.33333308</v>
      </c>
      <c r="E149" s="307">
        <f t="shared" si="61"/>
        <v>29166666.666666664</v>
      </c>
      <c r="F149" s="307">
        <f t="shared" si="65"/>
        <v>129166666.66666642</v>
      </c>
      <c r="G149" s="307">
        <f t="shared" si="64"/>
        <v>1102083.3333333314</v>
      </c>
      <c r="H149" s="558">
        <f t="shared" si="60"/>
        <v>1.4583333333333332E-2</v>
      </c>
    </row>
    <row r="150" spans="3:8" x14ac:dyDescent="0.35">
      <c r="C150" s="311" t="s">
        <v>755</v>
      </c>
      <c r="D150" s="307">
        <f t="shared" si="66"/>
        <v>129166666.66666642</v>
      </c>
      <c r="E150" s="307">
        <f t="shared" si="61"/>
        <v>29166666.666666664</v>
      </c>
      <c r="F150" s="307">
        <f t="shared" si="65"/>
        <v>99999999.999999762</v>
      </c>
      <c r="G150" s="307">
        <f t="shared" si="64"/>
        <v>878472.22222222027</v>
      </c>
      <c r="H150" s="558">
        <f t="shared" si="60"/>
        <v>1.4583333333333332E-2</v>
      </c>
    </row>
    <row r="151" spans="3:8" x14ac:dyDescent="0.35">
      <c r="C151" s="306" t="s">
        <v>805</v>
      </c>
      <c r="D151" s="307"/>
      <c r="E151" s="312"/>
      <c r="F151" s="312"/>
      <c r="G151" s="312"/>
    </row>
    <row r="152" spans="3:8" x14ac:dyDescent="0.35">
      <c r="C152" s="311" t="s">
        <v>765</v>
      </c>
      <c r="D152" s="307">
        <f>F150</f>
        <v>99999999.999999762</v>
      </c>
      <c r="E152" s="307">
        <f t="shared" si="61"/>
        <v>33333333.333333332</v>
      </c>
      <c r="F152" s="307">
        <f>D152-E152</f>
        <v>66666666.666666433</v>
      </c>
      <c r="G152" s="307">
        <f t="shared" ref="G152:G163" si="67">AVERAGE(D152,F152)*$D$18/12</f>
        <v>638888.88888888713</v>
      </c>
      <c r="H152" s="558">
        <f>5%/3</f>
        <v>1.6666666666666666E-2</v>
      </c>
    </row>
    <row r="153" spans="3:8" x14ac:dyDescent="0.35">
      <c r="C153" s="311" t="s">
        <v>766</v>
      </c>
      <c r="D153" s="307">
        <f>F152</f>
        <v>66666666.666666433</v>
      </c>
      <c r="E153" s="307">
        <f t="shared" si="61"/>
        <v>33333333.333333332</v>
      </c>
      <c r="F153" s="307">
        <f>D153-E153</f>
        <v>33333333.333333101</v>
      </c>
      <c r="G153" s="307">
        <f t="shared" si="67"/>
        <v>383333.33333333157</v>
      </c>
      <c r="H153" s="558">
        <f t="shared" ref="H153:H154" si="68">5%/3</f>
        <v>1.6666666666666666E-2</v>
      </c>
    </row>
    <row r="154" spans="3:8" x14ac:dyDescent="0.35">
      <c r="C154" s="311" t="s">
        <v>767</v>
      </c>
      <c r="D154" s="307">
        <f>F153</f>
        <v>33333333.333333101</v>
      </c>
      <c r="E154" s="307">
        <f t="shared" si="61"/>
        <v>33333333.333333332</v>
      </c>
      <c r="F154" s="307">
        <f>D154-E154</f>
        <v>-2.3096799850463867E-7</v>
      </c>
      <c r="G154" s="307">
        <f t="shared" si="67"/>
        <v>127777.77777777601</v>
      </c>
      <c r="H154" s="558">
        <f t="shared" si="68"/>
        <v>1.6666666666666666E-2</v>
      </c>
    </row>
    <row r="155" spans="3:8" x14ac:dyDescent="0.35">
      <c r="C155" s="311" t="s">
        <v>756</v>
      </c>
      <c r="D155" s="307">
        <f>F154</f>
        <v>-2.3096799850463867E-7</v>
      </c>
      <c r="E155" s="307">
        <v>0</v>
      </c>
      <c r="F155" s="307">
        <f>D155-E155</f>
        <v>-2.3096799850463867E-7</v>
      </c>
      <c r="G155" s="307">
        <f t="shared" si="67"/>
        <v>-1.7707546552022298E-9</v>
      </c>
    </row>
    <row r="156" spans="3:8" x14ac:dyDescent="0.35">
      <c r="C156" s="311" t="s">
        <v>757</v>
      </c>
      <c r="D156" s="307">
        <f>F155</f>
        <v>-2.3096799850463867E-7</v>
      </c>
      <c r="E156" s="307">
        <f t="shared" ref="E156" si="69">E155</f>
        <v>0</v>
      </c>
      <c r="F156" s="307">
        <f t="shared" ref="F156:F163" si="70">D156-E156</f>
        <v>-2.3096799850463867E-7</v>
      </c>
      <c r="G156" s="307">
        <f t="shared" si="67"/>
        <v>-1.7707546552022298E-9</v>
      </c>
    </row>
    <row r="157" spans="3:8" x14ac:dyDescent="0.35">
      <c r="C157" s="311" t="s">
        <v>758</v>
      </c>
      <c r="D157" s="307">
        <f t="shared" ref="D157:D163" si="71">F156</f>
        <v>-2.3096799850463867E-7</v>
      </c>
      <c r="E157" s="307">
        <f>E156</f>
        <v>0</v>
      </c>
      <c r="F157" s="307">
        <f t="shared" si="70"/>
        <v>-2.3096799850463867E-7</v>
      </c>
      <c r="G157" s="307">
        <f t="shared" si="67"/>
        <v>-1.7707546552022298E-9</v>
      </c>
    </row>
    <row r="158" spans="3:8" x14ac:dyDescent="0.35">
      <c r="C158" s="311" t="s">
        <v>759</v>
      </c>
      <c r="D158" s="307">
        <f t="shared" si="71"/>
        <v>-2.3096799850463867E-7</v>
      </c>
      <c r="E158" s="307">
        <f t="shared" ref="E158:E163" si="72">E157</f>
        <v>0</v>
      </c>
      <c r="F158" s="307">
        <f t="shared" si="70"/>
        <v>-2.3096799850463867E-7</v>
      </c>
      <c r="G158" s="307">
        <f t="shared" si="67"/>
        <v>-1.7707546552022298E-9</v>
      </c>
    </row>
    <row r="159" spans="3:8" x14ac:dyDescent="0.35">
      <c r="C159" s="311" t="s">
        <v>760</v>
      </c>
      <c r="D159" s="307">
        <f t="shared" si="71"/>
        <v>-2.3096799850463867E-7</v>
      </c>
      <c r="E159" s="307">
        <f t="shared" si="72"/>
        <v>0</v>
      </c>
      <c r="F159" s="307">
        <f t="shared" si="70"/>
        <v>-2.3096799850463867E-7</v>
      </c>
      <c r="G159" s="307">
        <f t="shared" si="67"/>
        <v>-1.7707546552022298E-9</v>
      </c>
    </row>
    <row r="160" spans="3:8" x14ac:dyDescent="0.35">
      <c r="C160" s="311" t="s">
        <v>761</v>
      </c>
      <c r="D160" s="307">
        <f t="shared" si="71"/>
        <v>-2.3096799850463867E-7</v>
      </c>
      <c r="E160" s="307">
        <f t="shared" si="72"/>
        <v>0</v>
      </c>
      <c r="F160" s="307">
        <f t="shared" si="70"/>
        <v>-2.3096799850463867E-7</v>
      </c>
      <c r="G160" s="307">
        <f t="shared" si="67"/>
        <v>-1.7707546552022298E-9</v>
      </c>
    </row>
    <row r="161" spans="3:7" x14ac:dyDescent="0.35">
      <c r="C161" s="311" t="s">
        <v>762</v>
      </c>
      <c r="D161" s="307">
        <f t="shared" si="71"/>
        <v>-2.3096799850463867E-7</v>
      </c>
      <c r="E161" s="307">
        <f t="shared" si="72"/>
        <v>0</v>
      </c>
      <c r="F161" s="307">
        <f t="shared" si="70"/>
        <v>-2.3096799850463867E-7</v>
      </c>
      <c r="G161" s="307">
        <f t="shared" si="67"/>
        <v>-1.7707546552022298E-9</v>
      </c>
    </row>
    <row r="162" spans="3:7" x14ac:dyDescent="0.35">
      <c r="C162" s="311" t="s">
        <v>763</v>
      </c>
      <c r="D162" s="307">
        <f t="shared" si="71"/>
        <v>-2.3096799850463867E-7</v>
      </c>
      <c r="E162" s="307">
        <f t="shared" si="72"/>
        <v>0</v>
      </c>
      <c r="F162" s="307">
        <f t="shared" si="70"/>
        <v>-2.3096799850463867E-7</v>
      </c>
      <c r="G162" s="307">
        <f t="shared" si="67"/>
        <v>-1.7707546552022298E-9</v>
      </c>
    </row>
    <row r="163" spans="3:7" x14ac:dyDescent="0.35">
      <c r="C163" s="311" t="s">
        <v>755</v>
      </c>
      <c r="D163" s="307">
        <f t="shared" si="71"/>
        <v>-2.3096799850463867E-7</v>
      </c>
      <c r="E163" s="307">
        <f t="shared" si="72"/>
        <v>0</v>
      </c>
      <c r="F163" s="307">
        <f t="shared" si="70"/>
        <v>-2.3096799850463867E-7</v>
      </c>
      <c r="G163" s="307">
        <f t="shared" si="67"/>
        <v>-1.7707546552022298E-9</v>
      </c>
    </row>
    <row r="164" spans="3:7" x14ac:dyDescent="0.35">
      <c r="C164" s="306" t="s">
        <v>806</v>
      </c>
      <c r="D164" s="307"/>
      <c r="E164" s="312"/>
      <c r="F164" s="312"/>
      <c r="G164" s="312"/>
    </row>
    <row r="165" spans="3:7" x14ac:dyDescent="0.35">
      <c r="C165" s="311" t="s">
        <v>765</v>
      </c>
      <c r="D165" s="307">
        <f>F163</f>
        <v>-2.3096799850463867E-7</v>
      </c>
      <c r="E165" s="307">
        <f>E163</f>
        <v>0</v>
      </c>
      <c r="F165" s="307">
        <f>D165-E165</f>
        <v>-2.3096799850463867E-7</v>
      </c>
      <c r="G165" s="307">
        <f t="shared" ref="G165:G176" si="73">AVERAGE(D165,F165)*$D$18/12</f>
        <v>-1.7707546552022298E-9</v>
      </c>
    </row>
    <row r="166" spans="3:7" x14ac:dyDescent="0.35">
      <c r="C166" s="311" t="s">
        <v>766</v>
      </c>
      <c r="D166" s="307">
        <f>F165</f>
        <v>-2.3096799850463867E-7</v>
      </c>
      <c r="E166" s="307">
        <f>E165</f>
        <v>0</v>
      </c>
      <c r="F166" s="307">
        <f>D166-E166</f>
        <v>-2.3096799850463867E-7</v>
      </c>
      <c r="G166" s="307">
        <f t="shared" si="73"/>
        <v>-1.7707546552022298E-9</v>
      </c>
    </row>
    <row r="167" spans="3:7" x14ac:dyDescent="0.35">
      <c r="C167" s="311" t="s">
        <v>767</v>
      </c>
      <c r="D167" s="307">
        <f>F166</f>
        <v>-2.3096799850463867E-7</v>
      </c>
      <c r="E167" s="307">
        <f t="shared" ref="E167:E169" si="74">E166</f>
        <v>0</v>
      </c>
      <c r="F167" s="307">
        <f>D167-E167</f>
        <v>-2.3096799850463867E-7</v>
      </c>
      <c r="G167" s="307">
        <f t="shared" si="73"/>
        <v>-1.7707546552022298E-9</v>
      </c>
    </row>
    <row r="168" spans="3:7" x14ac:dyDescent="0.35">
      <c r="C168" s="311" t="s">
        <v>756</v>
      </c>
      <c r="D168" s="307">
        <f>F167</f>
        <v>-2.3096799850463867E-7</v>
      </c>
      <c r="E168" s="307">
        <f t="shared" si="74"/>
        <v>0</v>
      </c>
      <c r="F168" s="307">
        <f>D168-E168</f>
        <v>-2.3096799850463867E-7</v>
      </c>
      <c r="G168" s="307">
        <f t="shared" si="73"/>
        <v>-1.7707546552022298E-9</v>
      </c>
    </row>
    <row r="169" spans="3:7" x14ac:dyDescent="0.35">
      <c r="C169" s="311" t="s">
        <v>757</v>
      </c>
      <c r="D169" s="307">
        <f>F168</f>
        <v>-2.3096799850463867E-7</v>
      </c>
      <c r="E169" s="307">
        <f t="shared" si="74"/>
        <v>0</v>
      </c>
      <c r="F169" s="307">
        <f t="shared" ref="F169:F176" si="75">D169-E169</f>
        <v>-2.3096799850463867E-7</v>
      </c>
      <c r="G169" s="307">
        <f t="shared" si="73"/>
        <v>-1.7707546552022298E-9</v>
      </c>
    </row>
    <row r="170" spans="3:7" x14ac:dyDescent="0.35">
      <c r="C170" s="311" t="s">
        <v>758</v>
      </c>
      <c r="D170" s="307">
        <f t="shared" ref="D170:D176" si="76">F169</f>
        <v>-2.3096799850463867E-7</v>
      </c>
      <c r="E170" s="307">
        <f>E169</f>
        <v>0</v>
      </c>
      <c r="F170" s="307">
        <f t="shared" si="75"/>
        <v>-2.3096799850463867E-7</v>
      </c>
      <c r="G170" s="307">
        <f t="shared" si="73"/>
        <v>-1.7707546552022298E-9</v>
      </c>
    </row>
    <row r="171" spans="3:7" x14ac:dyDescent="0.35">
      <c r="C171" s="311" t="s">
        <v>759</v>
      </c>
      <c r="D171" s="307">
        <f t="shared" si="76"/>
        <v>-2.3096799850463867E-7</v>
      </c>
      <c r="E171" s="307">
        <f t="shared" ref="E171:E176" si="77">E170</f>
        <v>0</v>
      </c>
      <c r="F171" s="307">
        <f t="shared" si="75"/>
        <v>-2.3096799850463867E-7</v>
      </c>
      <c r="G171" s="307">
        <f t="shared" si="73"/>
        <v>-1.7707546552022298E-9</v>
      </c>
    </row>
    <row r="172" spans="3:7" x14ac:dyDescent="0.35">
      <c r="C172" s="311" t="s">
        <v>760</v>
      </c>
      <c r="D172" s="307">
        <f t="shared" si="76"/>
        <v>-2.3096799850463867E-7</v>
      </c>
      <c r="E172" s="307">
        <f t="shared" si="77"/>
        <v>0</v>
      </c>
      <c r="F172" s="307">
        <f t="shared" si="75"/>
        <v>-2.3096799850463867E-7</v>
      </c>
      <c r="G172" s="307">
        <f t="shared" si="73"/>
        <v>-1.7707546552022298E-9</v>
      </c>
    </row>
    <row r="173" spans="3:7" x14ac:dyDescent="0.35">
      <c r="C173" s="311" t="s">
        <v>761</v>
      </c>
      <c r="D173" s="307">
        <f t="shared" si="76"/>
        <v>-2.3096799850463867E-7</v>
      </c>
      <c r="E173" s="307">
        <f t="shared" si="77"/>
        <v>0</v>
      </c>
      <c r="F173" s="307">
        <f t="shared" si="75"/>
        <v>-2.3096799850463867E-7</v>
      </c>
      <c r="G173" s="307">
        <f t="shared" si="73"/>
        <v>-1.7707546552022298E-9</v>
      </c>
    </row>
    <row r="174" spans="3:7" x14ac:dyDescent="0.35">
      <c r="C174" s="311" t="s">
        <v>762</v>
      </c>
      <c r="D174" s="307">
        <f t="shared" si="76"/>
        <v>-2.3096799850463867E-7</v>
      </c>
      <c r="E174" s="307">
        <f t="shared" si="77"/>
        <v>0</v>
      </c>
      <c r="F174" s="307">
        <f t="shared" si="75"/>
        <v>-2.3096799850463867E-7</v>
      </c>
      <c r="G174" s="307">
        <f t="shared" si="73"/>
        <v>-1.7707546552022298E-9</v>
      </c>
    </row>
    <row r="175" spans="3:7" x14ac:dyDescent="0.35">
      <c r="C175" s="311" t="s">
        <v>763</v>
      </c>
      <c r="D175" s="307">
        <f t="shared" si="76"/>
        <v>-2.3096799850463867E-7</v>
      </c>
      <c r="E175" s="307">
        <f t="shared" si="77"/>
        <v>0</v>
      </c>
      <c r="F175" s="307">
        <f t="shared" si="75"/>
        <v>-2.3096799850463867E-7</v>
      </c>
      <c r="G175" s="307">
        <f t="shared" si="73"/>
        <v>-1.7707546552022298E-9</v>
      </c>
    </row>
    <row r="176" spans="3:7" x14ac:dyDescent="0.35">
      <c r="C176" s="311" t="s">
        <v>755</v>
      </c>
      <c r="D176" s="307">
        <f t="shared" si="76"/>
        <v>-2.3096799850463867E-7</v>
      </c>
      <c r="E176" s="307">
        <f t="shared" si="77"/>
        <v>0</v>
      </c>
      <c r="F176" s="307">
        <f t="shared" si="75"/>
        <v>-2.3096799850463867E-7</v>
      </c>
      <c r="G176" s="307">
        <f t="shared" si="73"/>
        <v>-1.7707546552022298E-9</v>
      </c>
    </row>
    <row r="177" spans="3:7" x14ac:dyDescent="0.35">
      <c r="C177" s="306" t="s">
        <v>807</v>
      </c>
      <c r="D177" s="307"/>
      <c r="E177" s="312"/>
      <c r="F177" s="312"/>
      <c r="G177" s="312"/>
    </row>
    <row r="178" spans="3:7" x14ac:dyDescent="0.35">
      <c r="C178" s="311" t="s">
        <v>765</v>
      </c>
      <c r="D178" s="307">
        <f>F176</f>
        <v>-2.3096799850463867E-7</v>
      </c>
      <c r="E178" s="307">
        <f>E176</f>
        <v>0</v>
      </c>
      <c r="F178" s="307">
        <f>D178-E178</f>
        <v>-2.3096799850463867E-7</v>
      </c>
      <c r="G178" s="307">
        <f t="shared" ref="G178:G189" si="78">AVERAGE(D178,F178)*$D$18/12</f>
        <v>-1.7707546552022298E-9</v>
      </c>
    </row>
    <row r="179" spans="3:7" x14ac:dyDescent="0.35">
      <c r="C179" s="311" t="s">
        <v>766</v>
      </c>
      <c r="D179" s="307">
        <f>F178</f>
        <v>-2.3096799850463867E-7</v>
      </c>
      <c r="E179" s="307">
        <f>E178</f>
        <v>0</v>
      </c>
      <c r="F179" s="307">
        <f>D179-E179</f>
        <v>-2.3096799850463867E-7</v>
      </c>
      <c r="G179" s="307">
        <f t="shared" si="78"/>
        <v>-1.7707546552022298E-9</v>
      </c>
    </row>
    <row r="180" spans="3:7" x14ac:dyDescent="0.35">
      <c r="C180" s="311" t="s">
        <v>767</v>
      </c>
      <c r="D180" s="307">
        <f>F179</f>
        <v>-2.3096799850463867E-7</v>
      </c>
      <c r="E180" s="307">
        <f t="shared" ref="E180:E182" si="79">E179</f>
        <v>0</v>
      </c>
      <c r="F180" s="307">
        <f>D180-E180</f>
        <v>-2.3096799850463867E-7</v>
      </c>
      <c r="G180" s="307">
        <f t="shared" si="78"/>
        <v>-1.7707546552022298E-9</v>
      </c>
    </row>
    <row r="181" spans="3:7" x14ac:dyDescent="0.35">
      <c r="C181" s="311" t="s">
        <v>756</v>
      </c>
      <c r="D181" s="307">
        <f>F180</f>
        <v>-2.3096799850463867E-7</v>
      </c>
      <c r="E181" s="307">
        <f t="shared" si="79"/>
        <v>0</v>
      </c>
      <c r="F181" s="307">
        <f>D181-E181</f>
        <v>-2.3096799850463867E-7</v>
      </c>
      <c r="G181" s="307">
        <f t="shared" si="78"/>
        <v>-1.7707546552022298E-9</v>
      </c>
    </row>
    <row r="182" spans="3:7" x14ac:dyDescent="0.35">
      <c r="C182" s="311" t="s">
        <v>757</v>
      </c>
      <c r="D182" s="307">
        <f>F181</f>
        <v>-2.3096799850463867E-7</v>
      </c>
      <c r="E182" s="307">
        <f t="shared" si="79"/>
        <v>0</v>
      </c>
      <c r="F182" s="307">
        <f t="shared" ref="F182:F189" si="80">D182-E182</f>
        <v>-2.3096799850463867E-7</v>
      </c>
      <c r="G182" s="307">
        <f t="shared" si="78"/>
        <v>-1.7707546552022298E-9</v>
      </c>
    </row>
    <row r="183" spans="3:7" x14ac:dyDescent="0.35">
      <c r="C183" s="311" t="s">
        <v>758</v>
      </c>
      <c r="D183" s="307">
        <f t="shared" ref="D183:D189" si="81">F182</f>
        <v>-2.3096799850463867E-7</v>
      </c>
      <c r="E183" s="307">
        <v>0</v>
      </c>
      <c r="F183" s="307">
        <f t="shared" si="80"/>
        <v>-2.3096799850463867E-7</v>
      </c>
      <c r="G183" s="307">
        <f t="shared" si="78"/>
        <v>-1.7707546552022298E-9</v>
      </c>
    </row>
    <row r="184" spans="3:7" x14ac:dyDescent="0.35">
      <c r="C184" s="311" t="s">
        <v>759</v>
      </c>
      <c r="D184" s="307">
        <f t="shared" si="81"/>
        <v>-2.3096799850463867E-7</v>
      </c>
      <c r="E184" s="307">
        <f t="shared" ref="E184:E189" si="82">E183</f>
        <v>0</v>
      </c>
      <c r="F184" s="307">
        <f t="shared" si="80"/>
        <v>-2.3096799850463867E-7</v>
      </c>
      <c r="G184" s="307">
        <f t="shared" si="78"/>
        <v>-1.7707546552022298E-9</v>
      </c>
    </row>
    <row r="185" spans="3:7" x14ac:dyDescent="0.35">
      <c r="C185" s="311" t="s">
        <v>760</v>
      </c>
      <c r="D185" s="307">
        <f t="shared" si="81"/>
        <v>-2.3096799850463867E-7</v>
      </c>
      <c r="E185" s="307">
        <f t="shared" si="82"/>
        <v>0</v>
      </c>
      <c r="F185" s="307">
        <f t="shared" si="80"/>
        <v>-2.3096799850463867E-7</v>
      </c>
      <c r="G185" s="307">
        <f t="shared" si="78"/>
        <v>-1.7707546552022298E-9</v>
      </c>
    </row>
    <row r="186" spans="3:7" x14ac:dyDescent="0.35">
      <c r="C186" s="311" t="s">
        <v>761</v>
      </c>
      <c r="D186" s="307">
        <f t="shared" si="81"/>
        <v>-2.3096799850463867E-7</v>
      </c>
      <c r="E186" s="307">
        <f t="shared" si="82"/>
        <v>0</v>
      </c>
      <c r="F186" s="307">
        <f t="shared" si="80"/>
        <v>-2.3096799850463867E-7</v>
      </c>
      <c r="G186" s="307">
        <f t="shared" si="78"/>
        <v>-1.7707546552022298E-9</v>
      </c>
    </row>
    <row r="187" spans="3:7" x14ac:dyDescent="0.35">
      <c r="C187" s="311" t="s">
        <v>762</v>
      </c>
      <c r="D187" s="307">
        <f t="shared" si="81"/>
        <v>-2.3096799850463867E-7</v>
      </c>
      <c r="E187" s="307">
        <f t="shared" si="82"/>
        <v>0</v>
      </c>
      <c r="F187" s="307">
        <f t="shared" si="80"/>
        <v>-2.3096799850463867E-7</v>
      </c>
      <c r="G187" s="307">
        <f t="shared" si="78"/>
        <v>-1.7707546552022298E-9</v>
      </c>
    </row>
    <row r="188" spans="3:7" x14ac:dyDescent="0.35">
      <c r="C188" s="311" t="s">
        <v>763</v>
      </c>
      <c r="D188" s="307">
        <f t="shared" si="81"/>
        <v>-2.3096799850463867E-7</v>
      </c>
      <c r="E188" s="307">
        <f t="shared" si="82"/>
        <v>0</v>
      </c>
      <c r="F188" s="307">
        <f t="shared" si="80"/>
        <v>-2.3096799850463867E-7</v>
      </c>
      <c r="G188" s="307">
        <f t="shared" si="78"/>
        <v>-1.7707546552022298E-9</v>
      </c>
    </row>
    <row r="189" spans="3:7" x14ac:dyDescent="0.35">
      <c r="C189" s="311" t="s">
        <v>755</v>
      </c>
      <c r="D189" s="307">
        <f t="shared" si="81"/>
        <v>-2.3096799850463867E-7</v>
      </c>
      <c r="E189" s="307">
        <f t="shared" si="82"/>
        <v>0</v>
      </c>
      <c r="F189" s="307">
        <f t="shared" si="80"/>
        <v>-2.3096799850463867E-7</v>
      </c>
      <c r="G189" s="307">
        <f t="shared" si="78"/>
        <v>-1.7707546552022298E-9</v>
      </c>
    </row>
  </sheetData>
  <mergeCells count="1">
    <mergeCell ref="E17:E18"/>
  </mergeCells>
  <dataValidations count="1">
    <dataValidation type="list" allowBlank="1" showInputMessage="1" showErrorMessage="1" sqref="D18" xr:uid="{7882B145-4564-49D1-BDE3-D03824583202}">
      <formula1>"9.2%,11.2%"</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C00000"/>
  </sheetPr>
  <dimension ref="B1:M53"/>
  <sheetViews>
    <sheetView showGridLines="0" topLeftCell="A2" zoomScaleNormal="100" workbookViewId="0">
      <pane xSplit="2" ySplit="4" topLeftCell="C28" activePane="bottomRight" state="frozen"/>
      <selection activeCell="A2" sqref="A2"/>
      <selection pane="topRight" activeCell="B2" sqref="B2"/>
      <selection pane="bottomLeft" activeCell="A3" sqref="A3"/>
      <selection pane="bottomRight" activeCell="E31" sqref="E31:M35"/>
    </sheetView>
  </sheetViews>
  <sheetFormatPr defaultColWidth="32.26953125" defaultRowHeight="14.5" x14ac:dyDescent="0.35"/>
  <cols>
    <col min="1" max="1" width="4.54296875" style="96" customWidth="1"/>
    <col min="2" max="2" width="42.81640625" style="51" customWidth="1"/>
    <col min="3" max="13" width="10.26953125" style="44" customWidth="1"/>
    <col min="14" max="16384" width="32.26953125" style="96"/>
  </cols>
  <sheetData>
    <row r="1" spans="2:13" s="97" customFormat="1" ht="26.25" customHeight="1" x14ac:dyDescent="0.35">
      <c r="B1" s="106" t="s">
        <v>13</v>
      </c>
      <c r="C1" s="47"/>
      <c r="D1" s="47"/>
      <c r="E1" s="47"/>
      <c r="F1" s="47"/>
      <c r="G1" s="47"/>
      <c r="H1" s="47"/>
      <c r="I1" s="47"/>
      <c r="J1" s="44"/>
      <c r="K1" s="44"/>
      <c r="L1" s="44"/>
      <c r="M1" s="44"/>
    </row>
    <row r="2" spans="2:13" s="97" customFormat="1" ht="16.5" customHeight="1" x14ac:dyDescent="0.35">
      <c r="B2" s="106"/>
      <c r="C2" s="47"/>
      <c r="D2" s="47"/>
      <c r="E2" s="47"/>
      <c r="F2" s="47"/>
      <c r="G2" s="47"/>
      <c r="H2" s="47"/>
      <c r="I2" s="47"/>
      <c r="J2" s="44"/>
      <c r="K2" s="44"/>
      <c r="L2" s="44"/>
      <c r="M2" s="44"/>
    </row>
    <row r="3" spans="2:13" s="97" customFormat="1" ht="17.25" customHeight="1" x14ac:dyDescent="0.35">
      <c r="B3" s="144" t="s">
        <v>588</v>
      </c>
      <c r="C3" s="185"/>
      <c r="D3" s="185"/>
      <c r="E3" s="185"/>
      <c r="F3" s="185"/>
      <c r="G3" s="185"/>
      <c r="H3" s="185"/>
      <c r="I3" s="185"/>
      <c r="J3" s="130"/>
      <c r="K3" s="130"/>
      <c r="L3" s="130"/>
      <c r="M3" s="130"/>
    </row>
    <row r="4" spans="2:13" s="97" customFormat="1" ht="12.75" customHeight="1" x14ac:dyDescent="0.35">
      <c r="B4" s="106"/>
      <c r="C4" s="47"/>
      <c r="D4" s="47"/>
      <c r="E4" s="47"/>
      <c r="F4" s="47"/>
      <c r="G4" s="47"/>
      <c r="H4" s="47"/>
      <c r="I4" s="47"/>
      <c r="J4" s="44"/>
      <c r="K4" s="44"/>
      <c r="L4" s="44"/>
      <c r="M4" s="44"/>
    </row>
    <row r="5" spans="2:13" s="58" customFormat="1" ht="20.25" customHeight="1" x14ac:dyDescent="0.35">
      <c r="B5" s="118" t="s">
        <v>11</v>
      </c>
      <c r="C5" s="94">
        <v>2025</v>
      </c>
      <c r="D5" s="94">
        <f>C5+1</f>
        <v>2026</v>
      </c>
      <c r="E5" s="94">
        <f t="shared" ref="E5:J5" si="0">D5+1</f>
        <v>2027</v>
      </c>
      <c r="F5" s="94">
        <f t="shared" si="0"/>
        <v>2028</v>
      </c>
      <c r="G5" s="94">
        <f t="shared" si="0"/>
        <v>2029</v>
      </c>
      <c r="H5" s="94">
        <f t="shared" si="0"/>
        <v>2030</v>
      </c>
      <c r="I5" s="94">
        <f t="shared" si="0"/>
        <v>2031</v>
      </c>
      <c r="J5" s="94">
        <f t="shared" si="0"/>
        <v>2032</v>
      </c>
      <c r="K5" s="94">
        <f t="shared" ref="K5" si="1">J5+1</f>
        <v>2033</v>
      </c>
      <c r="L5" s="94">
        <f t="shared" ref="L5:M5" si="2">K5+1</f>
        <v>2034</v>
      </c>
      <c r="M5" s="94">
        <f t="shared" si="2"/>
        <v>2035</v>
      </c>
    </row>
    <row r="6" spans="2:13" s="97" customFormat="1" ht="21" customHeight="1" x14ac:dyDescent="0.35">
      <c r="B6" s="51" t="s">
        <v>419</v>
      </c>
      <c r="C6" s="54">
        <f>'P &amp; L'!D23</f>
        <v>0</v>
      </c>
      <c r="D6" s="54">
        <f>'P &amp; L'!E23</f>
        <v>0</v>
      </c>
      <c r="E6" s="54">
        <f>'P &amp; L'!F23</f>
        <v>5902.8545677499988</v>
      </c>
      <c r="F6" s="54">
        <f>'P &amp; L'!G23</f>
        <v>9444.5673083999991</v>
      </c>
      <c r="G6" s="54">
        <f>'P &amp; L'!H23</f>
        <v>11946.174521163741</v>
      </c>
      <c r="H6" s="54">
        <f>'P &amp; L'!I23</f>
        <v>12543.483247221935</v>
      </c>
      <c r="I6" s="54">
        <f>'P &amp; L'!J23</f>
        <v>13170.657409583026</v>
      </c>
      <c r="J6" s="54">
        <f>'P &amp; L'!K23</f>
        <v>13829.19028006219</v>
      </c>
      <c r="K6" s="54">
        <f>'P &amp; L'!L23</f>
        <v>14520.649794065299</v>
      </c>
      <c r="L6" s="54">
        <f>'P &amp; L'!M23</f>
        <v>15246.682283768565</v>
      </c>
      <c r="M6" s="54">
        <f>'P &amp; L'!N23</f>
        <v>16009.016397956995</v>
      </c>
    </row>
    <row r="7" spans="2:13" s="97" customFormat="1" ht="21" customHeight="1" x14ac:dyDescent="0.35">
      <c r="B7" s="51" t="s">
        <v>420</v>
      </c>
      <c r="C7" s="54">
        <f>'P &amp; L'!D30+'P &amp; L'!D25</f>
        <v>0</v>
      </c>
      <c r="D7" s="54">
        <f>'P &amp; L'!E30+'P &amp; L'!E25</f>
        <v>0</v>
      </c>
      <c r="E7" s="54">
        <f>'P &amp; L'!F30+'P &amp; L'!F25</f>
        <v>5213.4250445848611</v>
      </c>
      <c r="F7" s="54">
        <f>'P &amp; L'!G30+'P &amp; L'!G25</f>
        <v>8735.3279441798149</v>
      </c>
      <c r="G7" s="54">
        <f>'P &amp; L'!H30+'P &amp; L'!H25</f>
        <v>11551.935156943557</v>
      </c>
      <c r="H7" s="54">
        <f>'P &amp; L'!I30+'P &amp; L'!I25</f>
        <v>12534.243883001749</v>
      </c>
      <c r="I7" s="54">
        <f>'P &amp; L'!J30+'P &amp; L'!J25</f>
        <v>13616.418045362841</v>
      </c>
      <c r="J7" s="54">
        <f>'P &amp; L'!K30+'P &amp; L'!K25</f>
        <v>14814.725915842007</v>
      </c>
      <c r="K7" s="54">
        <f>'P &amp; L'!L30+'P &amp; L'!L25</f>
        <v>16071.110429845116</v>
      </c>
      <c r="L7" s="54">
        <f>'P &amp; L'!M30+'P &amp; L'!M25</f>
        <v>17427.142919548383</v>
      </c>
      <c r="M7" s="54">
        <f>'P &amp; L'!N30+'P &amp; L'!N25</f>
        <v>18959.477033736814</v>
      </c>
    </row>
    <row r="8" spans="2:13" s="97" customFormat="1" ht="21" customHeight="1" x14ac:dyDescent="0.35">
      <c r="B8" s="51" t="s">
        <v>45</v>
      </c>
      <c r="C8" s="54">
        <f>'P &amp; L'!D30</f>
        <v>0</v>
      </c>
      <c r="D8" s="54">
        <f>'P &amp; L'!E30</f>
        <v>0</v>
      </c>
      <c r="E8" s="54">
        <f>'P &amp; L'!F30</f>
        <v>3848.7583779181941</v>
      </c>
      <c r="F8" s="54">
        <f>'P &amp; L'!G30</f>
        <v>6947.0779441798159</v>
      </c>
      <c r="G8" s="54">
        <f>'P &amp; L'!H30</f>
        <v>9941.9351569435585</v>
      </c>
      <c r="H8" s="54">
        <f>'P &amp; L'!I30</f>
        <v>11131.243883001751</v>
      </c>
      <c r="I8" s="54">
        <f>'P &amp; L'!J30</f>
        <v>12466.418045362841</v>
      </c>
      <c r="J8" s="54">
        <f>'P &amp; L'!K30</f>
        <v>13940.725915842007</v>
      </c>
      <c r="K8" s="54">
        <f>'P &amp; L'!L30</f>
        <v>15496.110429845116</v>
      </c>
      <c r="L8" s="54">
        <f>'P &amp; L'!M30</f>
        <v>17174.142919548383</v>
      </c>
      <c r="M8" s="54">
        <f>'P &amp; L'!N30</f>
        <v>18947.977033736814</v>
      </c>
    </row>
    <row r="9" spans="2:13" s="97" customFormat="1" ht="21" customHeight="1" x14ac:dyDescent="0.35">
      <c r="B9" s="51" t="s">
        <v>56</v>
      </c>
      <c r="C9" s="54">
        <f>'P &amp; L'!D33</f>
        <v>0</v>
      </c>
      <c r="D9" s="54">
        <f>'P &amp; L'!E33</f>
        <v>0</v>
      </c>
      <c r="E9" s="54">
        <f>'P &amp; L'!F33</f>
        <v>2880.1028693637431</v>
      </c>
      <c r="F9" s="54">
        <f>'P &amp; L'!G33</f>
        <v>5198.6373671886404</v>
      </c>
      <c r="G9" s="54">
        <f>'P &amp; L'!H33</f>
        <v>7439.7489166440037</v>
      </c>
      <c r="H9" s="54">
        <f>'P &amp; L'!I33</f>
        <v>8329.7324225278717</v>
      </c>
      <c r="I9" s="54">
        <f>'P &amp; L'!J33</f>
        <v>9328.8699517059231</v>
      </c>
      <c r="J9" s="54">
        <f>'P &amp; L'!K33</f>
        <v>10432.124017342891</v>
      </c>
      <c r="K9" s="54">
        <f>'P &amp; L'!L33</f>
        <v>11596.049356861697</v>
      </c>
      <c r="L9" s="54">
        <f>'P &amp; L'!M33</f>
        <v>12851.754629556444</v>
      </c>
      <c r="M9" s="54">
        <f>'P &amp; L'!N33</f>
        <v>14179.15017388593</v>
      </c>
    </row>
    <row r="10" spans="2:13" s="97" customFormat="1" ht="21" customHeight="1" x14ac:dyDescent="0.35">
      <c r="B10" s="51" t="s">
        <v>421</v>
      </c>
      <c r="C10" s="54">
        <f>'P &amp; L'!D25</f>
        <v>0</v>
      </c>
      <c r="D10" s="54">
        <f>'P &amp; L'!E25</f>
        <v>0</v>
      </c>
      <c r="E10" s="54">
        <f>'P &amp; L'!F25</f>
        <v>1364.6666666666672</v>
      </c>
      <c r="F10" s="54">
        <f>'P &amp; L'!G25</f>
        <v>1788.25</v>
      </c>
      <c r="G10" s="54">
        <f>'P &amp; L'!H25</f>
        <v>1609.9999999999991</v>
      </c>
      <c r="H10" s="54">
        <f>'P &amp; L'!I25</f>
        <v>1402.9999999999991</v>
      </c>
      <c r="I10" s="54">
        <f>'P &amp; L'!J25</f>
        <v>1149.9999999999993</v>
      </c>
      <c r="J10" s="54">
        <f>'P &amp; L'!K25</f>
        <v>873.99999999999943</v>
      </c>
      <c r="K10" s="54">
        <f>'P &amp; L'!L25</f>
        <v>574.99999999999977</v>
      </c>
      <c r="L10" s="54">
        <f>'P &amp; L'!M25</f>
        <v>252.99999999999977</v>
      </c>
      <c r="M10" s="54">
        <f>'P &amp; L'!N25</f>
        <v>11.499999999999782</v>
      </c>
    </row>
    <row r="11" spans="2:13" s="97" customFormat="1" ht="21" customHeight="1" x14ac:dyDescent="0.35">
      <c r="B11" s="51" t="s">
        <v>422</v>
      </c>
      <c r="C11" s="54">
        <f>SUM(BS!C6:C9)</f>
        <v>5000</v>
      </c>
      <c r="D11" s="54">
        <f>SUM(BS!D6:D9)</f>
        <v>20500</v>
      </c>
      <c r="E11" s="54">
        <f>SUM(BS!E6:E9)</f>
        <v>31380.102869363742</v>
      </c>
      <c r="F11" s="54">
        <f>SUM(BS!F6:F9)</f>
        <v>34578.740236552374</v>
      </c>
      <c r="G11" s="54">
        <f>SUM(BS!G6:G9)</f>
        <v>39518.48915319638</v>
      </c>
      <c r="H11" s="54">
        <f>SUM(BS!H6:H9)</f>
        <v>44848.221575724252</v>
      </c>
      <c r="I11" s="54">
        <f>SUM(BS!I6:I9)</f>
        <v>51177.091527430181</v>
      </c>
      <c r="J11" s="54">
        <f>SUM(BS!J6:J9)</f>
        <v>58109.215544773062</v>
      </c>
      <c r="K11" s="54">
        <f>SUM(BS!K6:K9)</f>
        <v>66205.264901634757</v>
      </c>
      <c r="L11" s="54">
        <f>SUM(BS!L6:L9)</f>
        <v>78057.01953119121</v>
      </c>
      <c r="M11" s="54">
        <f>SUM(BS!M6:M9)</f>
        <v>92236.169705077133</v>
      </c>
    </row>
    <row r="12" spans="2:13" s="97" customFormat="1" ht="21" customHeight="1" x14ac:dyDescent="0.35">
      <c r="B12" s="51" t="s">
        <v>423</v>
      </c>
      <c r="C12" s="54">
        <f>BS!C6+BS!C8</f>
        <v>2500</v>
      </c>
      <c r="D12" s="54">
        <f>BS!D6+BS!D8</f>
        <v>18000</v>
      </c>
      <c r="E12" s="54">
        <f>BS!E6+BS!E8</f>
        <v>28499.999999999996</v>
      </c>
      <c r="F12" s="54">
        <f>BS!F6+BS!F8</f>
        <v>26499.999999999996</v>
      </c>
      <c r="G12" s="54">
        <f>BS!G6+BS!G8</f>
        <v>23999.999999999996</v>
      </c>
      <c r="H12" s="54">
        <f>BS!H6+BS!H8</f>
        <v>20999.999999999996</v>
      </c>
      <c r="I12" s="54">
        <f>BS!I6+BS!I8</f>
        <v>17999.999999999996</v>
      </c>
      <c r="J12" s="54">
        <f>BS!J6+BS!J8</f>
        <v>14499.999999999996</v>
      </c>
      <c r="K12" s="54">
        <f>BS!K6+BS!K8</f>
        <v>10999.999999999996</v>
      </c>
      <c r="L12" s="54">
        <f>BS!L6+BS!L8</f>
        <v>9999.9999999999964</v>
      </c>
      <c r="M12" s="54">
        <f>BS!M6+BS!M8</f>
        <v>9999.9999999999964</v>
      </c>
    </row>
    <row r="13" spans="2:13" s="97" customFormat="1" ht="21" customHeight="1" x14ac:dyDescent="0.35">
      <c r="B13" s="51" t="s">
        <v>424</v>
      </c>
      <c r="C13" s="54">
        <f>BS!C6+BS!C7</f>
        <v>2500</v>
      </c>
      <c r="D13" s="54">
        <f>BS!D6+BS!D7</f>
        <v>7500</v>
      </c>
      <c r="E13" s="54">
        <f>BS!E6+BS!E7</f>
        <v>12880.102869363744</v>
      </c>
      <c r="F13" s="54">
        <f>BS!F6+BS!F7</f>
        <v>18078.740236552381</v>
      </c>
      <c r="G13" s="54">
        <f>BS!G6+BS!G7</f>
        <v>25518.489153196388</v>
      </c>
      <c r="H13" s="54">
        <f>BS!H6+BS!H7</f>
        <v>33848.221575724259</v>
      </c>
      <c r="I13" s="54">
        <f>BS!I6+BS!I7</f>
        <v>43177.091527430181</v>
      </c>
      <c r="J13" s="54">
        <f>BS!J6+BS!J7</f>
        <v>53609.215544773069</v>
      </c>
      <c r="K13" s="54">
        <f>BS!K6+BS!K7</f>
        <v>65205.264901634764</v>
      </c>
      <c r="L13" s="54">
        <f>BS!L6+BS!L7</f>
        <v>78057.01953119121</v>
      </c>
      <c r="M13" s="54">
        <f>BS!M6+BS!M7</f>
        <v>92236.169705077133</v>
      </c>
    </row>
    <row r="14" spans="2:13" s="97" customFormat="1" ht="21" customHeight="1" x14ac:dyDescent="0.35">
      <c r="B14" s="51" t="s">
        <v>454</v>
      </c>
      <c r="C14" s="54">
        <f>BS!C8</f>
        <v>0</v>
      </c>
      <c r="D14" s="54">
        <f>BS!D8</f>
        <v>10499.999999999998</v>
      </c>
      <c r="E14" s="54">
        <f>BS!E8</f>
        <v>18499.999999999996</v>
      </c>
      <c r="F14" s="54">
        <f>BS!F8</f>
        <v>16499.999999999996</v>
      </c>
      <c r="G14" s="54">
        <f>BS!G8</f>
        <v>13999.999999999996</v>
      </c>
      <c r="H14" s="54">
        <f>BS!H8</f>
        <v>10999.999999999996</v>
      </c>
      <c r="I14" s="54">
        <f>BS!I8</f>
        <v>7999.9999999999964</v>
      </c>
      <c r="J14" s="54">
        <f>BS!J8</f>
        <v>4499.9999999999964</v>
      </c>
      <c r="K14" s="54">
        <f>BS!K8</f>
        <v>999.99999999999636</v>
      </c>
      <c r="L14" s="54">
        <f>BS!L8</f>
        <v>-3.637978807091713E-12</v>
      </c>
      <c r="M14" s="54">
        <f>BS!M8</f>
        <v>-3.637978807091713E-12</v>
      </c>
    </row>
    <row r="15" spans="2:13" s="97" customFormat="1" ht="21" customHeight="1" x14ac:dyDescent="0.35">
      <c r="B15" s="51" t="s">
        <v>545</v>
      </c>
      <c r="C15" s="54">
        <f>C14+BS!C12+BS!C13</f>
        <v>0</v>
      </c>
      <c r="D15" s="54">
        <f>D14+BS!D12+BS!D13</f>
        <v>10499.999999999998</v>
      </c>
      <c r="E15" s="54">
        <f>E14+BS!E12+BS!E13</f>
        <v>20958.187270249997</v>
      </c>
      <c r="F15" s="54">
        <f>F14+BS!F12+BS!F13</f>
        <v>19649.824724299997</v>
      </c>
      <c r="G15" s="54">
        <f>G14+BS!G12+BS!G13</f>
        <v>17798.666681569684</v>
      </c>
      <c r="H15" s="54">
        <f>H14+BS!H12+BS!H13</f>
        <v>15363.600015648168</v>
      </c>
      <c r="I15" s="54">
        <f>I14+BS!I12+BS!I13</f>
        <v>12431.780016430577</v>
      </c>
      <c r="J15" s="54">
        <f>J14+BS!J12+BS!J13</f>
        <v>9503.3690172521056</v>
      </c>
      <c r="K15" s="54">
        <f>K14+BS!K12+BS!K13</f>
        <v>6078.5374681147123</v>
      </c>
      <c r="L15" s="54">
        <f>L14+BS!L12+BS!L13</f>
        <v>2657.4643415204473</v>
      </c>
      <c r="M15" s="54">
        <f>M14+BS!M12+BS!M13</f>
        <v>1740.3375585964702</v>
      </c>
    </row>
    <row r="16" spans="2:13" s="97" customFormat="1" ht="21" customHeight="1" x14ac:dyDescent="0.35">
      <c r="B16" s="51" t="s">
        <v>546</v>
      </c>
      <c r="C16" s="54">
        <f>C13+BS!C9</f>
        <v>5000</v>
      </c>
      <c r="D16" s="54">
        <f>D13+BS!D9</f>
        <v>10000</v>
      </c>
      <c r="E16" s="54">
        <f>E13+BS!E9</f>
        <v>12880.102869363744</v>
      </c>
      <c r="F16" s="54">
        <f>F13+BS!F9</f>
        <v>18078.740236552381</v>
      </c>
      <c r="G16" s="54">
        <f>G13+BS!G9</f>
        <v>25518.489153196388</v>
      </c>
      <c r="H16" s="54">
        <f>H13+BS!H9</f>
        <v>33848.221575724259</v>
      </c>
      <c r="I16" s="54">
        <f>I13+BS!I9</f>
        <v>43177.091527430181</v>
      </c>
      <c r="J16" s="54">
        <f>J13+BS!J9</f>
        <v>53609.215544773069</v>
      </c>
      <c r="K16" s="54">
        <f>K13+BS!K9</f>
        <v>65205.264901634764</v>
      </c>
      <c r="L16" s="54">
        <f>L13+BS!L9</f>
        <v>78057.01953119121</v>
      </c>
      <c r="M16" s="54">
        <f>M13+BS!M9</f>
        <v>92236.169705077133</v>
      </c>
    </row>
    <row r="17" spans="2:13" s="97" customFormat="1" ht="21" customHeight="1" x14ac:dyDescent="0.35">
      <c r="B17" s="51" t="s">
        <v>425</v>
      </c>
      <c r="C17" s="54">
        <f>'P &amp; L'!D9</f>
        <v>0</v>
      </c>
      <c r="D17" s="54">
        <f>'P &amp; L'!E9</f>
        <v>0</v>
      </c>
      <c r="E17" s="54">
        <f>'P &amp; L'!F9</f>
        <v>14883.75</v>
      </c>
      <c r="F17" s="54">
        <f>'P &amp; L'!G9</f>
        <v>23814</v>
      </c>
      <c r="G17" s="54">
        <f>'P &amp; L'!H9</f>
        <v>28130.287499999999</v>
      </c>
      <c r="H17" s="54">
        <f>'P &amp; L'!I9</f>
        <v>29536.801875000005</v>
      </c>
      <c r="I17" s="54">
        <f>'P &amp; L'!J9</f>
        <v>31013.641968749998</v>
      </c>
      <c r="J17" s="54">
        <f>'P &amp; L'!K9</f>
        <v>32564.32406718751</v>
      </c>
      <c r="K17" s="54">
        <f>'P &amp; L'!L9</f>
        <v>34192.540270546888</v>
      </c>
      <c r="L17" s="54">
        <f>'P &amp; L'!M9</f>
        <v>35902.167284074232</v>
      </c>
      <c r="M17" s="54">
        <f>'P &amp; L'!N9</f>
        <v>37697.275648277944</v>
      </c>
    </row>
    <row r="18" spans="2:13" s="97" customFormat="1" ht="21" customHeight="1" x14ac:dyDescent="0.35">
      <c r="B18" s="51" t="s">
        <v>409</v>
      </c>
      <c r="C18" s="54">
        <f>BS!C25</f>
        <v>5000</v>
      </c>
      <c r="D18" s="54">
        <f>BS!D25</f>
        <v>20345</v>
      </c>
      <c r="E18" s="54">
        <f>BS!E25</f>
        <v>28371.845476834864</v>
      </c>
      <c r="F18" s="54">
        <f>BS!F25</f>
        <v>27332.306112614679</v>
      </c>
      <c r="G18" s="54">
        <f>BS!G25</f>
        <v>26292.766748394497</v>
      </c>
      <c r="H18" s="54">
        <f>BS!H25</f>
        <v>25253.227384174312</v>
      </c>
      <c r="I18" s="54">
        <f>BS!I25</f>
        <v>24213.688019954127</v>
      </c>
      <c r="J18" s="54">
        <f>BS!J25</f>
        <v>23174.148655733945</v>
      </c>
      <c r="K18" s="54">
        <f>BS!K25</f>
        <v>22134.609291513763</v>
      </c>
      <c r="L18" s="54">
        <f>BS!L25</f>
        <v>21095.069927293578</v>
      </c>
      <c r="M18" s="54">
        <f>BS!M25</f>
        <v>20055.530563073393</v>
      </c>
    </row>
    <row r="19" spans="2:13" s="97" customFormat="1" ht="21" customHeight="1" x14ac:dyDescent="0.35">
      <c r="B19" s="51" t="s">
        <v>432</v>
      </c>
      <c r="C19" s="54">
        <f>C14</f>
        <v>0</v>
      </c>
      <c r="D19" s="54">
        <f t="shared" ref="D19:J19" si="3">D14</f>
        <v>10499.999999999998</v>
      </c>
      <c r="E19" s="54">
        <f t="shared" si="3"/>
        <v>18499.999999999996</v>
      </c>
      <c r="F19" s="54">
        <f t="shared" si="3"/>
        <v>16499.999999999996</v>
      </c>
      <c r="G19" s="54">
        <f t="shared" si="3"/>
        <v>13999.999999999996</v>
      </c>
      <c r="H19" s="54">
        <f t="shared" si="3"/>
        <v>10999.999999999996</v>
      </c>
      <c r="I19" s="54">
        <f t="shared" si="3"/>
        <v>7999.9999999999964</v>
      </c>
      <c r="J19" s="54">
        <f t="shared" si="3"/>
        <v>4499.9999999999964</v>
      </c>
      <c r="K19" s="54">
        <f t="shared" ref="K19:L19" si="4">K14</f>
        <v>999.99999999999636</v>
      </c>
      <c r="L19" s="54">
        <f t="shared" si="4"/>
        <v>-3.637978807091713E-12</v>
      </c>
      <c r="M19" s="54">
        <f t="shared" ref="M19" si="5">M14</f>
        <v>-3.637978807091713E-12</v>
      </c>
    </row>
    <row r="20" spans="2:13" s="97" customFormat="1" ht="21" customHeight="1" x14ac:dyDescent="0.35">
      <c r="B20" s="51" t="s">
        <v>581</v>
      </c>
      <c r="C20" s="54">
        <f>BS!C8+BS!C13</f>
        <v>0</v>
      </c>
      <c r="D20" s="54">
        <f>BS!D8+BS!D13</f>
        <v>10499.999999999998</v>
      </c>
      <c r="E20" s="54">
        <f>BS!E8+BS!E13</f>
        <v>19999.999999999996</v>
      </c>
      <c r="F20" s="54">
        <f>BS!F8+BS!F13</f>
        <v>18499.999999999996</v>
      </c>
      <c r="G20" s="54">
        <f>BS!G8+BS!G13</f>
        <v>16499.999999999996</v>
      </c>
      <c r="H20" s="54">
        <f>BS!H8+BS!H13</f>
        <v>13999.999999999996</v>
      </c>
      <c r="I20" s="54">
        <f>BS!I8+BS!I13</f>
        <v>10999.999999999996</v>
      </c>
      <c r="J20" s="54">
        <f>BS!J8+BS!J13</f>
        <v>7999.9999999999964</v>
      </c>
      <c r="K20" s="54">
        <f>BS!K8+BS!K13</f>
        <v>4499.9999999999964</v>
      </c>
      <c r="L20" s="54">
        <f>BS!L8+BS!L13</f>
        <v>999.99999999999636</v>
      </c>
      <c r="M20" s="54">
        <f>BS!M8+BS!M13</f>
        <v>-3.637978807091713E-12</v>
      </c>
    </row>
    <row r="21" spans="2:13" s="97" customFormat="1" ht="21" customHeight="1" x14ac:dyDescent="0.35">
      <c r="B21" s="51" t="s">
        <v>582</v>
      </c>
      <c r="C21" s="54">
        <f>BS!C6</f>
        <v>2500</v>
      </c>
      <c r="D21" s="54">
        <f>BS!D6</f>
        <v>7500</v>
      </c>
      <c r="E21" s="54">
        <f>BS!E6</f>
        <v>10000</v>
      </c>
      <c r="F21" s="54">
        <f>BS!F6</f>
        <v>10000</v>
      </c>
      <c r="G21" s="54">
        <f>BS!G6</f>
        <v>10000</v>
      </c>
      <c r="H21" s="54">
        <f>BS!H6</f>
        <v>10000</v>
      </c>
      <c r="I21" s="54">
        <f>BS!I6</f>
        <v>10000</v>
      </c>
      <c r="J21" s="54">
        <f>BS!J6</f>
        <v>10000</v>
      </c>
      <c r="K21" s="54">
        <f>BS!K6</f>
        <v>10000</v>
      </c>
      <c r="L21" s="54">
        <f>BS!L6</f>
        <v>10000</v>
      </c>
      <c r="M21" s="54">
        <f>BS!M6</f>
        <v>10000</v>
      </c>
    </row>
    <row r="22" spans="2:13" s="97" customFormat="1" ht="21" customHeight="1" x14ac:dyDescent="0.35">
      <c r="B22" s="51"/>
      <c r="C22" s="54"/>
      <c r="D22" s="54"/>
      <c r="E22" s="54"/>
      <c r="F22" s="54"/>
      <c r="G22" s="54"/>
      <c r="H22" s="54"/>
      <c r="I22" s="44"/>
      <c r="J22" s="44"/>
      <c r="K22" s="44"/>
      <c r="L22" s="44"/>
      <c r="M22" s="44"/>
    </row>
    <row r="23" spans="2:13" s="97" customFormat="1" ht="21" customHeight="1" x14ac:dyDescent="0.35">
      <c r="B23" s="51" t="s">
        <v>398</v>
      </c>
      <c r="C23" s="100">
        <f>BS!C27+BS!C29+BS!C31</f>
        <v>0</v>
      </c>
      <c r="D23" s="100">
        <f>BS!D27+BS!D29+BS!D31</f>
        <v>56.499999999998181</v>
      </c>
      <c r="E23" s="100">
        <f>BS!E27+BS!E29+BS!E31</f>
        <v>3283.2120241624707</v>
      </c>
      <c r="F23" s="100">
        <f>BS!F27+BS!F29+BS!F31</f>
        <v>4851.4865665193929</v>
      </c>
      <c r="G23" s="100">
        <f>BS!G27+BS!G29+BS!G31</f>
        <v>7038.8740122925628</v>
      </c>
      <c r="H23" s="100">
        <f>BS!H27+BS!H29+BS!H31</f>
        <v>8370.1989873902567</v>
      </c>
      <c r="I23" s="100">
        <f>BS!I27+BS!I29+BS!I31</f>
        <v>9113.019209858734</v>
      </c>
      <c r="J23" s="100">
        <f>BS!J27+BS!J29+BS!J31</f>
        <v>9870.2263081837154</v>
      </c>
      <c r="K23" s="100">
        <f>BS!K27+BS!K29+BS!K31</f>
        <v>11223.928723914654</v>
      </c>
      <c r="L23" s="100">
        <f>BS!L27+BS!L29+BS!L31</f>
        <v>11780.748611466328</v>
      </c>
      <c r="M23" s="100">
        <f>BS!M27+BS!M29+BS!M31</f>
        <v>14120.872969507791</v>
      </c>
    </row>
    <row r="24" spans="2:13" s="97" customFormat="1" ht="21" customHeight="1" x14ac:dyDescent="0.35">
      <c r="B24" s="51" t="s">
        <v>447</v>
      </c>
      <c r="C24" s="100">
        <f>BS!C12+BS!C13</f>
        <v>0</v>
      </c>
      <c r="D24" s="100">
        <f>BS!D12+BS!D13</f>
        <v>0</v>
      </c>
      <c r="E24" s="100">
        <f>BS!E12+BS!E13</f>
        <v>2458.18727025</v>
      </c>
      <c r="F24" s="100">
        <f>BS!F12+BS!F13</f>
        <v>3149.8247242999996</v>
      </c>
      <c r="G24" s="100">
        <f>BS!G12+BS!G13</f>
        <v>3798.6666815696885</v>
      </c>
      <c r="H24" s="100">
        <f>BS!H12+BS!H13</f>
        <v>4363.6000156481714</v>
      </c>
      <c r="I24" s="100">
        <f>BS!I12+BS!I13</f>
        <v>4431.7800164305809</v>
      </c>
      <c r="J24" s="100">
        <f>BS!J12+BS!J13</f>
        <v>5003.3690172521101</v>
      </c>
      <c r="K24" s="100">
        <f>BS!K12+BS!K13</f>
        <v>5078.5374681147159</v>
      </c>
      <c r="L24" s="100">
        <f>BS!L12+BS!L13</f>
        <v>2657.4643415204509</v>
      </c>
      <c r="M24" s="100">
        <f>BS!M12+BS!M13</f>
        <v>1740.3375585964739</v>
      </c>
    </row>
    <row r="25" spans="2:13" s="97" customFormat="1" ht="21" customHeight="1" x14ac:dyDescent="0.35">
      <c r="B25" s="51"/>
      <c r="C25" s="100"/>
      <c r="D25" s="100"/>
      <c r="E25" s="100"/>
      <c r="F25" s="100"/>
      <c r="G25" s="100"/>
      <c r="H25" s="100"/>
      <c r="I25" s="44"/>
      <c r="J25" s="44"/>
      <c r="K25" s="44"/>
      <c r="L25" s="44"/>
      <c r="M25" s="44"/>
    </row>
    <row r="26" spans="2:13" s="97" customFormat="1" ht="21" customHeight="1" x14ac:dyDescent="0.35">
      <c r="B26" s="186" t="s">
        <v>426</v>
      </c>
      <c r="C26" s="187" t="e">
        <f t="shared" ref="C26:J26" si="6">C9/C17</f>
        <v>#DIV/0!</v>
      </c>
      <c r="D26" s="187" t="e">
        <f t="shared" si="6"/>
        <v>#DIV/0!</v>
      </c>
      <c r="E26" s="187">
        <f t="shared" si="6"/>
        <v>0.19350653359292808</v>
      </c>
      <c r="F26" s="187">
        <f t="shared" si="6"/>
        <v>0.21830172869692788</v>
      </c>
      <c r="G26" s="187">
        <f t="shared" si="6"/>
        <v>0.2644746846843995</v>
      </c>
      <c r="H26" s="187">
        <f t="shared" si="6"/>
        <v>0.28201199499456203</v>
      </c>
      <c r="I26" s="187">
        <f t="shared" si="6"/>
        <v>0.30079891813756959</v>
      </c>
      <c r="J26" s="187">
        <f t="shared" si="6"/>
        <v>0.32035438524131737</v>
      </c>
      <c r="K26" s="187">
        <f t="shared" ref="K26:L26" si="7">K9/K17</f>
        <v>0.33913974408185221</v>
      </c>
      <c r="L26" s="187">
        <f t="shared" si="7"/>
        <v>0.35796598372091393</v>
      </c>
      <c r="M26" s="187">
        <f t="shared" ref="M26" si="8">M9/M17</f>
        <v>0.3761319599373662</v>
      </c>
    </row>
    <row r="27" spans="2:13" s="97" customFormat="1" ht="21" customHeight="1" x14ac:dyDescent="0.35">
      <c r="B27" s="186" t="s">
        <v>427</v>
      </c>
      <c r="C27" s="187">
        <f t="shared" ref="C27:J27" si="9">C7/C11</f>
        <v>0</v>
      </c>
      <c r="D27" s="187">
        <f t="shared" si="9"/>
        <v>0</v>
      </c>
      <c r="E27" s="187">
        <f t="shared" si="9"/>
        <v>0.1661379207801994</v>
      </c>
      <c r="F27" s="187">
        <f t="shared" si="9"/>
        <v>0.25262134723305812</v>
      </c>
      <c r="G27" s="187">
        <f t="shared" si="9"/>
        <v>0.29231722680899097</v>
      </c>
      <c r="H27" s="187">
        <f t="shared" si="9"/>
        <v>0.27948140288769818</v>
      </c>
      <c r="I27" s="187">
        <f t="shared" si="9"/>
        <v>0.26606471057591535</v>
      </c>
      <c r="J27" s="187">
        <f t="shared" si="9"/>
        <v>0.25494623833679675</v>
      </c>
      <c r="K27" s="187">
        <f t="shared" ref="K27:L27" si="10">K7/K11</f>
        <v>0.24274671287431529</v>
      </c>
      <c r="L27" s="187">
        <f t="shared" si="10"/>
        <v>0.22326170053911143</v>
      </c>
      <c r="M27" s="187">
        <f t="shared" ref="M27" si="11">M7/M11</f>
        <v>0.20555360325953767</v>
      </c>
    </row>
    <row r="28" spans="2:13" s="97" customFormat="1" ht="21" customHeight="1" x14ac:dyDescent="0.35">
      <c r="B28" s="186" t="s">
        <v>428</v>
      </c>
      <c r="C28" s="187">
        <f t="shared" ref="C28:J28" si="12">C9/C12</f>
        <v>0</v>
      </c>
      <c r="D28" s="187">
        <f t="shared" si="12"/>
        <v>0</v>
      </c>
      <c r="E28" s="187">
        <f t="shared" si="12"/>
        <v>0.10105624103030679</v>
      </c>
      <c r="F28" s="187">
        <f t="shared" si="12"/>
        <v>0.19617499498825061</v>
      </c>
      <c r="G28" s="187">
        <f t="shared" si="12"/>
        <v>0.30998953819350022</v>
      </c>
      <c r="H28" s="187">
        <f t="shared" si="12"/>
        <v>0.39665392488227968</v>
      </c>
      <c r="I28" s="187">
        <f t="shared" si="12"/>
        <v>0.51827055287255142</v>
      </c>
      <c r="J28" s="187">
        <f t="shared" si="12"/>
        <v>0.71945682878226846</v>
      </c>
      <c r="K28" s="187">
        <f t="shared" ref="K28:L28" si="13">K9/K12</f>
        <v>1.0541863051692455</v>
      </c>
      <c r="L28" s="187">
        <f t="shared" si="13"/>
        <v>1.2851754629556449</v>
      </c>
      <c r="M28" s="187">
        <f t="shared" ref="M28" si="14">M9/M12</f>
        <v>1.4179150173885935</v>
      </c>
    </row>
    <row r="29" spans="2:13" s="97" customFormat="1" ht="21" customHeight="1" x14ac:dyDescent="0.35">
      <c r="B29" s="186" t="s">
        <v>429</v>
      </c>
      <c r="C29" s="187">
        <f t="shared" ref="C29:J29" si="15">C9/C13</f>
        <v>0</v>
      </c>
      <c r="D29" s="187">
        <f t="shared" si="15"/>
        <v>0</v>
      </c>
      <c r="E29" s="187">
        <f t="shared" si="15"/>
        <v>0.22360868531681344</v>
      </c>
      <c r="F29" s="187">
        <f t="shared" si="15"/>
        <v>0.28755528865212687</v>
      </c>
      <c r="G29" s="187">
        <f t="shared" si="15"/>
        <v>0.29154347155823362</v>
      </c>
      <c r="H29" s="187">
        <f t="shared" si="15"/>
        <v>0.24609069649029672</v>
      </c>
      <c r="I29" s="187">
        <f t="shared" si="15"/>
        <v>0.21606063821550697</v>
      </c>
      <c r="J29" s="187">
        <f t="shared" si="15"/>
        <v>0.19459572223417898</v>
      </c>
      <c r="K29" s="187">
        <f t="shared" ref="K29:L29" si="16">K9/K13</f>
        <v>0.17783915722687252</v>
      </c>
      <c r="L29" s="187">
        <f t="shared" si="16"/>
        <v>0.16464572573669617</v>
      </c>
      <c r="M29" s="187">
        <f t="shared" ref="M29" si="17">M9/M13</f>
        <v>0.15372657189932551</v>
      </c>
    </row>
    <row r="30" spans="2:13" s="97" customFormat="1" ht="21" customHeight="1" x14ac:dyDescent="0.35">
      <c r="B30" s="186" t="s">
        <v>430</v>
      </c>
      <c r="C30" s="188" t="e">
        <f>DSCR!C16</f>
        <v>#DIV/0!</v>
      </c>
      <c r="D30" s="188" t="e">
        <f>DSCR!D16</f>
        <v>#DIV/0!</v>
      </c>
      <c r="E30" s="188">
        <f>DSCR!E16</f>
        <v>4.1437951646987248</v>
      </c>
      <c r="F30" s="188">
        <f>DSCR!F16</f>
        <v>2.5430847206668057</v>
      </c>
      <c r="G30" s="188">
        <f>DSCR!G16</f>
        <v>2.8202057289800271</v>
      </c>
      <c r="H30" s="188">
        <f>DSCR!H16</f>
        <v>2.7483355743007127</v>
      </c>
      <c r="I30" s="188">
        <f>DSCR!I16</f>
        <v>2.7379696205357216</v>
      </c>
      <c r="J30" s="188">
        <f>DSCR!J16</f>
        <v>3.0917808357804883</v>
      </c>
      <c r="K30" s="188">
        <f>DSCR!K16</f>
        <v>3.1246435816538622</v>
      </c>
      <c r="L30" s="188">
        <f>DSCR!L16</f>
        <v>3.5814876789139021</v>
      </c>
      <c r="M30" s="188">
        <f>DSCR!M16</f>
        <v>3.5777067454850542</v>
      </c>
    </row>
    <row r="31" spans="2:13" s="97" customFormat="1" ht="21" customHeight="1" x14ac:dyDescent="0.35">
      <c r="B31" s="186" t="s">
        <v>431</v>
      </c>
      <c r="C31" s="189" t="e">
        <f t="shared" ref="C31" si="18">C18/C19</f>
        <v>#DIV/0!</v>
      </c>
      <c r="D31" s="189">
        <f t="shared" ref="D31:J31" si="19">D18/D19</f>
        <v>1.937619047619048</v>
      </c>
      <c r="E31" s="189">
        <f t="shared" si="19"/>
        <v>1.533613269018101</v>
      </c>
      <c r="F31" s="189">
        <f t="shared" si="19"/>
        <v>1.6565034007645263</v>
      </c>
      <c r="G31" s="189">
        <f t="shared" si="19"/>
        <v>1.8780547677424646</v>
      </c>
      <c r="H31" s="189">
        <f t="shared" si="19"/>
        <v>2.2957479440158473</v>
      </c>
      <c r="I31" s="189">
        <f t="shared" si="19"/>
        <v>3.0267110024942672</v>
      </c>
      <c r="J31" s="189">
        <f t="shared" si="19"/>
        <v>5.1498108123853257</v>
      </c>
      <c r="K31" s="189">
        <f t="shared" ref="K31:L31" si="20">K18/K19</f>
        <v>22.134609291513843</v>
      </c>
      <c r="L31" s="189">
        <f t="shared" si="20"/>
        <v>-5798568668451777</v>
      </c>
      <c r="M31" s="189">
        <f t="shared" ref="M31" si="21">M18/M19</f>
        <v>-5512822263829036</v>
      </c>
    </row>
    <row r="32" spans="2:13" s="97" customFormat="1" ht="21" customHeight="1" x14ac:dyDescent="0.35">
      <c r="B32" s="186" t="s">
        <v>446</v>
      </c>
      <c r="C32" s="189" t="e">
        <f>C6/(C10)</f>
        <v>#DIV/0!</v>
      </c>
      <c r="D32" s="189" t="e">
        <f t="shared" ref="D32:J32" si="22">D6/(D10)</f>
        <v>#DIV/0!</v>
      </c>
      <c r="E32" s="189">
        <f t="shared" si="22"/>
        <v>4.3254918669394211</v>
      </c>
      <c r="F32" s="189">
        <f t="shared" si="22"/>
        <v>5.2814580223123162</v>
      </c>
      <c r="G32" s="189">
        <f t="shared" si="22"/>
        <v>7.4199841746358679</v>
      </c>
      <c r="H32" s="189">
        <f t="shared" si="22"/>
        <v>8.9404727350120758</v>
      </c>
      <c r="I32" s="189">
        <f t="shared" si="22"/>
        <v>11.452745573550464</v>
      </c>
      <c r="J32" s="189">
        <f t="shared" si="22"/>
        <v>15.82287217398421</v>
      </c>
      <c r="K32" s="189">
        <f t="shared" ref="K32:L32" si="23">K6/(K10)</f>
        <v>25.253303989678791</v>
      </c>
      <c r="L32" s="189">
        <f t="shared" si="23"/>
        <v>60.263566339006239</v>
      </c>
      <c r="M32" s="189">
        <f t="shared" ref="M32" si="24">M6/(M10)</f>
        <v>1392.0883824310695</v>
      </c>
    </row>
    <row r="33" spans="2:13" s="97" customFormat="1" ht="21" customHeight="1" x14ac:dyDescent="0.35">
      <c r="B33" s="186" t="s">
        <v>448</v>
      </c>
      <c r="C33" s="189" t="e">
        <f t="shared" ref="C33" si="25">C23/C24</f>
        <v>#DIV/0!</v>
      </c>
      <c r="D33" s="189" t="e">
        <f t="shared" ref="D33:J33" si="26">D23/D24</f>
        <v>#DIV/0!</v>
      </c>
      <c r="E33" s="189">
        <f t="shared" si="26"/>
        <v>1.3356232309463407</v>
      </c>
      <c r="F33" s="189">
        <f t="shared" si="26"/>
        <v>1.5402401692676921</v>
      </c>
      <c r="G33" s="189">
        <f t="shared" si="26"/>
        <v>1.8529854294517762</v>
      </c>
      <c r="H33" s="189">
        <f t="shared" si="26"/>
        <v>1.9181865792864021</v>
      </c>
      <c r="I33" s="189">
        <f t="shared" si="26"/>
        <v>2.0562887092934927</v>
      </c>
      <c r="J33" s="189">
        <f t="shared" si="26"/>
        <v>1.9727160387631217</v>
      </c>
      <c r="K33" s="189">
        <f t="shared" ref="K33:L33" si="27">K23/K24</f>
        <v>2.2100710675826254</v>
      </c>
      <c r="L33" s="189">
        <f t="shared" si="27"/>
        <v>4.4330787162043537</v>
      </c>
      <c r="M33" s="189">
        <f t="shared" ref="M33" si="28">M23/M24</f>
        <v>8.1138701510848392</v>
      </c>
    </row>
    <row r="34" spans="2:13" s="97" customFormat="1" ht="21" customHeight="1" x14ac:dyDescent="0.35">
      <c r="B34" s="186" t="s">
        <v>544</v>
      </c>
      <c r="C34" s="189">
        <f t="shared" ref="C34" si="29">C15/C16</f>
        <v>0</v>
      </c>
      <c r="D34" s="189">
        <f t="shared" ref="D34:J34" si="30">D15/D16</f>
        <v>1.0499999999999998</v>
      </c>
      <c r="E34" s="189">
        <f t="shared" si="30"/>
        <v>1.627175456812582</v>
      </c>
      <c r="F34" s="189">
        <f t="shared" si="30"/>
        <v>1.0869023210240683</v>
      </c>
      <c r="G34" s="189">
        <f t="shared" si="30"/>
        <v>0.69748120959348658</v>
      </c>
      <c r="H34" s="189">
        <f t="shared" si="30"/>
        <v>0.45389681644801244</v>
      </c>
      <c r="I34" s="189">
        <f t="shared" si="30"/>
        <v>0.28792536914008515</v>
      </c>
      <c r="J34" s="189">
        <f t="shared" si="30"/>
        <v>0.17727118221521318</v>
      </c>
      <c r="K34" s="189">
        <f t="shared" ref="K34:L34" si="31">K15/K16</f>
        <v>9.322157462720955E-2</v>
      </c>
      <c r="L34" s="189">
        <f t="shared" si="31"/>
        <v>3.404516797440027E-2</v>
      </c>
      <c r="M34" s="189">
        <f t="shared" ref="M34" si="32">M15/M16</f>
        <v>1.8868276557462833E-2</v>
      </c>
    </row>
    <row r="35" spans="2:13" s="97" customFormat="1" ht="21" customHeight="1" x14ac:dyDescent="0.35">
      <c r="B35" s="186" t="s">
        <v>455</v>
      </c>
      <c r="C35" s="189">
        <f>C20/C21</f>
        <v>0</v>
      </c>
      <c r="D35" s="189">
        <f t="shared" ref="D35:J35" si="33">D20/D21</f>
        <v>1.3999999999999997</v>
      </c>
      <c r="E35" s="189">
        <f t="shared" si="33"/>
        <v>1.9999999999999996</v>
      </c>
      <c r="F35" s="189">
        <f t="shared" si="33"/>
        <v>1.8499999999999996</v>
      </c>
      <c r="G35" s="189">
        <f t="shared" si="33"/>
        <v>1.6499999999999997</v>
      </c>
      <c r="H35" s="189">
        <f t="shared" si="33"/>
        <v>1.3999999999999997</v>
      </c>
      <c r="I35" s="189">
        <f t="shared" si="33"/>
        <v>1.0999999999999996</v>
      </c>
      <c r="J35" s="189">
        <f t="shared" si="33"/>
        <v>0.7999999999999996</v>
      </c>
      <c r="K35" s="189">
        <f t="shared" ref="K35:L35" si="34">K20/K21</f>
        <v>0.44999999999999962</v>
      </c>
      <c r="L35" s="189">
        <f t="shared" si="34"/>
        <v>9.9999999999999631E-2</v>
      </c>
      <c r="M35" s="189">
        <f t="shared" ref="M35" si="35">M20/M21</f>
        <v>-3.6379788070917131E-16</v>
      </c>
    </row>
    <row r="36" spans="2:13" s="97" customFormat="1" ht="21" customHeight="1" x14ac:dyDescent="0.35">
      <c r="B36" s="127" t="s">
        <v>433</v>
      </c>
      <c r="C36" s="190"/>
      <c r="D36" s="190"/>
      <c r="E36" s="190"/>
      <c r="F36" s="190"/>
      <c r="G36" s="190"/>
      <c r="H36" s="190"/>
      <c r="I36" s="73"/>
      <c r="J36" s="73"/>
      <c r="K36" s="73"/>
      <c r="L36" s="73"/>
      <c r="M36" s="73"/>
    </row>
    <row r="37" spans="2:13" s="97" customFormat="1" ht="20.25" customHeight="1" x14ac:dyDescent="0.35">
      <c r="B37" s="51" t="s">
        <v>25</v>
      </c>
      <c r="C37" s="100">
        <f>'P &amp; L'!D9</f>
        <v>0</v>
      </c>
      <c r="D37" s="100">
        <f>'P &amp; L'!E9</f>
        <v>0</v>
      </c>
      <c r="E37" s="100">
        <f>'P &amp; L'!F9</f>
        <v>14883.75</v>
      </c>
      <c r="F37" s="100">
        <f>'P &amp; L'!G9</f>
        <v>23814</v>
      </c>
      <c r="G37" s="100">
        <f>'P &amp; L'!H9</f>
        <v>28130.287499999999</v>
      </c>
      <c r="H37" s="100">
        <f>'P &amp; L'!I9</f>
        <v>29536.801875000005</v>
      </c>
      <c r="I37" s="100">
        <f>'P &amp; L'!J9</f>
        <v>31013.641968749998</v>
      </c>
      <c r="J37" s="100">
        <f>'P &amp; L'!K9</f>
        <v>32564.32406718751</v>
      </c>
      <c r="K37" s="100">
        <f>'P &amp; L'!L9</f>
        <v>34192.540270546888</v>
      </c>
      <c r="L37" s="100">
        <f>'P &amp; L'!M9</f>
        <v>35902.167284074232</v>
      </c>
      <c r="M37" s="100">
        <f>'P &amp; L'!N9</f>
        <v>37697.275648277944</v>
      </c>
    </row>
    <row r="38" spans="2:13" s="97" customFormat="1" ht="20.25" customHeight="1" x14ac:dyDescent="0.35">
      <c r="B38" s="51" t="s">
        <v>26</v>
      </c>
      <c r="C38" s="100">
        <f>'P &amp; L'!D17</f>
        <v>0</v>
      </c>
      <c r="D38" s="100">
        <f>'P &amp; L'!E17</f>
        <v>0</v>
      </c>
      <c r="E38" s="100">
        <f>'P &amp; L'!F17</f>
        <v>8028.3354322500008</v>
      </c>
      <c r="F38" s="100">
        <f>'P &amp; L'!G17</f>
        <v>12845.336691600001</v>
      </c>
      <c r="G38" s="100">
        <f>'P &amp; L'!H17</f>
        <v>14583.812178836257</v>
      </c>
      <c r="H38" s="100">
        <f>'P &amp; L'!I17</f>
        <v>15313.002787778069</v>
      </c>
      <c r="I38" s="100">
        <f>'P &amp; L'!J17</f>
        <v>16078.652927166971</v>
      </c>
      <c r="J38" s="100">
        <f>'P &amp; L'!K17</f>
        <v>16882.585573525321</v>
      </c>
      <c r="K38" s="100">
        <f>'P &amp; L'!L17</f>
        <v>17726.714852201589</v>
      </c>
      <c r="L38" s="100">
        <f>'P &amp; L'!M17</f>
        <v>18613.050594811666</v>
      </c>
      <c r="M38" s="100">
        <f>'P &amp; L'!N17</f>
        <v>19543.703124552248</v>
      </c>
    </row>
    <row r="39" spans="2:13" s="97" customFormat="1" ht="20.25" customHeight="1" x14ac:dyDescent="0.35">
      <c r="B39" s="51" t="s">
        <v>27</v>
      </c>
      <c r="C39" s="100">
        <f t="shared" ref="C39" si="36">C37-C38</f>
        <v>0</v>
      </c>
      <c r="D39" s="100">
        <f t="shared" ref="D39:J39" si="37">D37-D38</f>
        <v>0</v>
      </c>
      <c r="E39" s="100">
        <f t="shared" si="37"/>
        <v>6855.4145677499992</v>
      </c>
      <c r="F39" s="100">
        <f t="shared" si="37"/>
        <v>10968.663308399999</v>
      </c>
      <c r="G39" s="100">
        <f t="shared" si="37"/>
        <v>13546.475321163742</v>
      </c>
      <c r="H39" s="100">
        <f t="shared" si="37"/>
        <v>14223.799087221936</v>
      </c>
      <c r="I39" s="100">
        <f t="shared" si="37"/>
        <v>14934.989041583027</v>
      </c>
      <c r="J39" s="100">
        <f t="shared" si="37"/>
        <v>15681.738493662189</v>
      </c>
      <c r="K39" s="100">
        <f t="shared" ref="K39:L39" si="38">K37-K38</f>
        <v>16465.825418345299</v>
      </c>
      <c r="L39" s="100">
        <f t="shared" si="38"/>
        <v>17289.116689262566</v>
      </c>
      <c r="M39" s="100">
        <f t="shared" ref="M39" si="39">M37-M38</f>
        <v>18153.572523725696</v>
      </c>
    </row>
    <row r="40" spans="2:13" s="97" customFormat="1" ht="20.25" customHeight="1" x14ac:dyDescent="0.35">
      <c r="B40" s="51" t="s">
        <v>28</v>
      </c>
      <c r="C40" s="100">
        <f>'P &amp; L'!D21</f>
        <v>0</v>
      </c>
      <c r="D40" s="100">
        <f>'P &amp; L'!E21</f>
        <v>0</v>
      </c>
      <c r="E40" s="100">
        <f>'P &amp; L'!F21</f>
        <v>952.56000000000006</v>
      </c>
      <c r="F40" s="100">
        <f>'P &amp; L'!G21</f>
        <v>1524.096</v>
      </c>
      <c r="G40" s="100">
        <f>'P &amp; L'!H21</f>
        <v>1600.3008000000002</v>
      </c>
      <c r="H40" s="100">
        <f>'P &amp; L'!I21</f>
        <v>1680.3158400000004</v>
      </c>
      <c r="I40" s="100">
        <f>'P &amp; L'!J21</f>
        <v>1764.3316320000006</v>
      </c>
      <c r="J40" s="100">
        <f>'P &amp; L'!K21</f>
        <v>1852.5482136000005</v>
      </c>
      <c r="K40" s="100">
        <f>'P &amp; L'!L21</f>
        <v>1945.1756242800006</v>
      </c>
      <c r="L40" s="100">
        <f>'P &amp; L'!M21</f>
        <v>2042.4344054940002</v>
      </c>
      <c r="M40" s="100">
        <f>'P &amp; L'!N21</f>
        <v>2144.5561257687004</v>
      </c>
    </row>
    <row r="41" spans="2:13" s="97" customFormat="1" ht="20.25" customHeight="1" x14ac:dyDescent="0.35">
      <c r="B41" s="51" t="s">
        <v>29</v>
      </c>
      <c r="C41" s="100">
        <f>'P &amp; L'!D25</f>
        <v>0</v>
      </c>
      <c r="D41" s="100">
        <f>'P &amp; L'!E25</f>
        <v>0</v>
      </c>
      <c r="E41" s="100">
        <f>'P &amp; L'!F25</f>
        <v>1364.6666666666672</v>
      </c>
      <c r="F41" s="100">
        <f>'P &amp; L'!G25</f>
        <v>1788.25</v>
      </c>
      <c r="G41" s="100">
        <f>'P &amp; L'!H25</f>
        <v>1609.9999999999991</v>
      </c>
      <c r="H41" s="100">
        <f>'P &amp; L'!I25</f>
        <v>1402.9999999999991</v>
      </c>
      <c r="I41" s="100">
        <f>'P &amp; L'!J25</f>
        <v>1149.9999999999993</v>
      </c>
      <c r="J41" s="100">
        <f>'P &amp; L'!K25</f>
        <v>873.99999999999943</v>
      </c>
      <c r="K41" s="100">
        <f>'P &amp; L'!L25</f>
        <v>574.99999999999977</v>
      </c>
      <c r="L41" s="100">
        <f>'P &amp; L'!M25</f>
        <v>252.99999999999977</v>
      </c>
      <c r="M41" s="100">
        <f>'P &amp; L'!N25</f>
        <v>11.499999999999782</v>
      </c>
    </row>
    <row r="42" spans="2:13" s="97" customFormat="1" ht="20.25" customHeight="1" x14ac:dyDescent="0.35">
      <c r="B42" s="51" t="s">
        <v>30</v>
      </c>
      <c r="C42" s="100">
        <f>'P &amp; L'!D28</f>
        <v>0</v>
      </c>
      <c r="D42" s="100">
        <f>'P &amp; L'!E28</f>
        <v>0</v>
      </c>
      <c r="E42" s="100">
        <f>'P &amp; L'!F28</f>
        <v>779.65452316513756</v>
      </c>
      <c r="F42" s="100">
        <f>'P &amp; L'!G28</f>
        <v>1039.5393642201834</v>
      </c>
      <c r="G42" s="100">
        <f>'P &amp; L'!H28</f>
        <v>1039.5393642201834</v>
      </c>
      <c r="H42" s="100">
        <f>'P &amp; L'!I28</f>
        <v>1039.5393642201834</v>
      </c>
      <c r="I42" s="100">
        <f>'P &amp; L'!J28</f>
        <v>1039.5393642201834</v>
      </c>
      <c r="J42" s="100">
        <f>'P &amp; L'!K28</f>
        <v>1039.5393642201834</v>
      </c>
      <c r="K42" s="100">
        <f>'P &amp; L'!L28</f>
        <v>1039.5393642201834</v>
      </c>
      <c r="L42" s="100">
        <f>'P &amp; L'!M28</f>
        <v>1039.5393642201834</v>
      </c>
      <c r="M42" s="100">
        <f>'P &amp; L'!N28</f>
        <v>1039.5393642201834</v>
      </c>
    </row>
    <row r="43" spans="2:13" s="97" customFormat="1" ht="20.25" customHeight="1" x14ac:dyDescent="0.35">
      <c r="B43" s="51" t="s">
        <v>31</v>
      </c>
      <c r="C43" s="100">
        <f t="shared" ref="C43" si="40">C40+C41+C42</f>
        <v>0</v>
      </c>
      <c r="D43" s="100">
        <f t="shared" ref="D43:J43" si="41">D40+D41+D42</f>
        <v>0</v>
      </c>
      <c r="E43" s="100">
        <f t="shared" si="41"/>
        <v>3096.8811898318049</v>
      </c>
      <c r="F43" s="100">
        <f t="shared" si="41"/>
        <v>4351.885364220183</v>
      </c>
      <c r="G43" s="100">
        <f t="shared" si="41"/>
        <v>4249.8401642201825</v>
      </c>
      <c r="H43" s="100">
        <f t="shared" si="41"/>
        <v>4122.8552042201827</v>
      </c>
      <c r="I43" s="100">
        <f t="shared" si="41"/>
        <v>3953.8709962201833</v>
      </c>
      <c r="J43" s="100">
        <f t="shared" si="41"/>
        <v>3766.0875778201835</v>
      </c>
      <c r="K43" s="100">
        <f t="shared" ref="K43:L43" si="42">K40+K41+K42</f>
        <v>3559.7149885001836</v>
      </c>
      <c r="L43" s="100">
        <f t="shared" si="42"/>
        <v>3334.9737697141836</v>
      </c>
      <c r="M43" s="100">
        <f t="shared" ref="M43" si="43">M40+M41+M42</f>
        <v>3195.5954899888839</v>
      </c>
    </row>
    <row r="44" spans="2:13" ht="20.25" hidden="1" customHeight="1" x14ac:dyDescent="0.35">
      <c r="B44" s="51" t="s">
        <v>32</v>
      </c>
    </row>
    <row r="45" spans="2:13" ht="20.25" hidden="1" customHeight="1" x14ac:dyDescent="0.35">
      <c r="B45" s="51" t="s">
        <v>33</v>
      </c>
    </row>
    <row r="46" spans="2:13" ht="20.25" hidden="1" customHeight="1" x14ac:dyDescent="0.35">
      <c r="B46" s="51" t="s">
        <v>34</v>
      </c>
    </row>
    <row r="47" spans="2:13" ht="20.25" hidden="1" customHeight="1" x14ac:dyDescent="0.35">
      <c r="B47" s="51" t="s">
        <v>35</v>
      </c>
    </row>
    <row r="48" spans="2:13" ht="20.25" hidden="1" customHeight="1" x14ac:dyDescent="0.35">
      <c r="B48" s="51" t="s">
        <v>36</v>
      </c>
    </row>
    <row r="49" spans="2:13" ht="20.25" hidden="1" customHeight="1" x14ac:dyDescent="0.35">
      <c r="B49" s="51" t="s">
        <v>37</v>
      </c>
    </row>
    <row r="50" spans="2:13" ht="20.25" customHeight="1" x14ac:dyDescent="0.35">
      <c r="B50" s="146" t="s">
        <v>434</v>
      </c>
      <c r="C50" s="100">
        <f t="shared" ref="C50" si="44">C39-C43</f>
        <v>0</v>
      </c>
      <c r="D50" s="100">
        <f t="shared" ref="D50:J50" si="45">D39-D43</f>
        <v>0</v>
      </c>
      <c r="E50" s="100">
        <f t="shared" si="45"/>
        <v>3758.5333779181942</v>
      </c>
      <c r="F50" s="100">
        <f t="shared" si="45"/>
        <v>6616.7779441798157</v>
      </c>
      <c r="G50" s="100">
        <f t="shared" si="45"/>
        <v>9296.6351569435592</v>
      </c>
      <c r="H50" s="100">
        <f t="shared" si="45"/>
        <v>10100.943883001753</v>
      </c>
      <c r="I50" s="100">
        <f t="shared" si="45"/>
        <v>10981.118045362844</v>
      </c>
      <c r="J50" s="100">
        <f t="shared" si="45"/>
        <v>11915.650915842005</v>
      </c>
      <c r="K50" s="100">
        <f t="shared" ref="K50:L50" si="46">K39-K43</f>
        <v>12906.110429845116</v>
      </c>
      <c r="L50" s="100">
        <f t="shared" si="46"/>
        <v>13954.142919548383</v>
      </c>
      <c r="M50" s="100">
        <f t="shared" ref="M50" si="47">M39-M43</f>
        <v>14957.977033736812</v>
      </c>
    </row>
    <row r="51" spans="2:13" ht="20.25" customHeight="1" x14ac:dyDescent="0.35">
      <c r="B51" s="146" t="s">
        <v>435</v>
      </c>
      <c r="C51" s="183" t="e">
        <f t="shared" ref="C51" si="48">C39/C37</f>
        <v>#DIV/0!</v>
      </c>
      <c r="D51" s="183" t="e">
        <f t="shared" ref="D51:J51" si="49">D39/D37</f>
        <v>#DIV/0!</v>
      </c>
      <c r="E51" s="183">
        <f t="shared" si="49"/>
        <v>0.46059726666666662</v>
      </c>
      <c r="F51" s="183">
        <f t="shared" si="49"/>
        <v>0.46059726666666662</v>
      </c>
      <c r="G51" s="183">
        <f t="shared" si="49"/>
        <v>0.48156192222222194</v>
      </c>
      <c r="H51" s="183">
        <f t="shared" si="49"/>
        <v>0.48156192222222211</v>
      </c>
      <c r="I51" s="183">
        <f t="shared" si="49"/>
        <v>0.48156192222222199</v>
      </c>
      <c r="J51" s="183">
        <f t="shared" si="49"/>
        <v>0.48156192222222216</v>
      </c>
      <c r="K51" s="183">
        <f t="shared" ref="K51:L51" si="50">K39/K37</f>
        <v>0.48156192222222216</v>
      </c>
      <c r="L51" s="183">
        <f t="shared" si="50"/>
        <v>0.48156192222222222</v>
      </c>
      <c r="M51" s="183">
        <f t="shared" ref="M51" si="51">M39/M37</f>
        <v>0.48156192222222222</v>
      </c>
    </row>
    <row r="52" spans="2:13" ht="20.25" customHeight="1" x14ac:dyDescent="0.35">
      <c r="B52" s="191" t="s">
        <v>436</v>
      </c>
      <c r="C52" s="192" t="e">
        <f t="shared" ref="C52" si="52">(C40/C39)*C37</f>
        <v>#DIV/0!</v>
      </c>
      <c r="D52" s="192" t="e">
        <f t="shared" ref="D52:J52" si="53">(D40/D39)*D37</f>
        <v>#DIV/0!</v>
      </c>
      <c r="E52" s="192">
        <f t="shared" si="53"/>
        <v>2068.097379069698</v>
      </c>
      <c r="F52" s="192">
        <f t="shared" si="53"/>
        <v>3308.955806511517</v>
      </c>
      <c r="G52" s="192">
        <f t="shared" si="53"/>
        <v>3323.1464660146535</v>
      </c>
      <c r="H52" s="192">
        <f t="shared" si="53"/>
        <v>3489.3037893153851</v>
      </c>
      <c r="I52" s="192">
        <f t="shared" si="53"/>
        <v>3663.768978781156</v>
      </c>
      <c r="J52" s="192">
        <f t="shared" si="53"/>
        <v>3846.9574277202119</v>
      </c>
      <c r="K52" s="192">
        <f t="shared" ref="K52:L52" si="54">(K40/K39)*K37</f>
        <v>4039.3052991062227</v>
      </c>
      <c r="L52" s="192">
        <f t="shared" si="54"/>
        <v>4241.2705640615322</v>
      </c>
      <c r="M52" s="192">
        <f t="shared" ref="M52" si="55">(M40/M39)*M37</f>
        <v>4453.3340922646094</v>
      </c>
    </row>
    <row r="53" spans="2:13" ht="20.25" customHeight="1" x14ac:dyDescent="0.35">
      <c r="B53" s="193" t="s">
        <v>437</v>
      </c>
      <c r="C53" s="194" t="e">
        <f t="shared" ref="C53" si="56">C52/C37</f>
        <v>#DIV/0!</v>
      </c>
      <c r="D53" s="194" t="e">
        <f t="shared" ref="D53:J53" si="57">D52/D37</f>
        <v>#DIV/0!</v>
      </c>
      <c r="E53" s="194">
        <f t="shared" si="57"/>
        <v>0.13895002126948505</v>
      </c>
      <c r="F53" s="194">
        <f t="shared" si="57"/>
        <v>0.13895002126948505</v>
      </c>
      <c r="G53" s="194">
        <f t="shared" si="57"/>
        <v>0.11813410957903127</v>
      </c>
      <c r="H53" s="194">
        <f t="shared" si="57"/>
        <v>0.11813410957903121</v>
      </c>
      <c r="I53" s="194">
        <f t="shared" si="57"/>
        <v>0.11813410957903128</v>
      </c>
      <c r="J53" s="194">
        <f t="shared" si="57"/>
        <v>0.11813410957903119</v>
      </c>
      <c r="K53" s="194">
        <f t="shared" ref="K53:L53" si="58">K52/K37</f>
        <v>0.11813410957903119</v>
      </c>
      <c r="L53" s="194">
        <f t="shared" si="58"/>
        <v>0.11813410957903114</v>
      </c>
      <c r="M53" s="194">
        <f t="shared" ref="M53" si="59">M52/M37</f>
        <v>0.11813410957903116</v>
      </c>
    </row>
  </sheetData>
  <customSheetViews>
    <customSheetView guid="{22475485-DA09-46DB-978D-BB94CE1E5597}" hiddenRows="1" topLeftCell="A8">
      <selection activeCell="A20" sqref="A20"/>
      <pageMargins left="0.7" right="0.7" top="0.75" bottom="0.75" header="0.3" footer="0.3"/>
      <pageSetup paperSize="9" orientation="landscape" verticalDpi="300" r:id="rId1"/>
    </customSheetView>
  </customSheetViews>
  <pageMargins left="0.7" right="0.7" top="0.75" bottom="0.75" header="0.3" footer="0.3"/>
  <pageSetup paperSize="9" orientation="landscape" verticalDpi="300"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2" tint="-0.749992370372631"/>
  </sheetPr>
  <dimension ref="B2:N45"/>
  <sheetViews>
    <sheetView showGridLines="0" workbookViewId="0">
      <pane xSplit="2" ySplit="5" topLeftCell="D33" activePane="bottomRight" state="frozen"/>
      <selection activeCell="B8" sqref="B8"/>
      <selection pane="topRight" activeCell="B8" sqref="B8"/>
      <selection pane="bottomLeft" activeCell="B8" sqref="B8"/>
      <selection pane="bottomRight" activeCell="F35" sqref="F35:N37"/>
    </sheetView>
  </sheetViews>
  <sheetFormatPr defaultColWidth="9.1796875" defaultRowHeight="14.5" x14ac:dyDescent="0.35"/>
  <cols>
    <col min="1" max="1" width="5.453125" style="97" customWidth="1"/>
    <col min="2" max="2" width="36.54296875" style="51" customWidth="1"/>
    <col min="3" max="14" width="10.54296875" style="44" customWidth="1"/>
    <col min="15" max="16384" width="9.1796875" style="97"/>
  </cols>
  <sheetData>
    <row r="2" spans="2:14" x14ac:dyDescent="0.35">
      <c r="B2" s="144" t="s">
        <v>438</v>
      </c>
      <c r="C2" s="130"/>
      <c r="D2" s="130"/>
      <c r="E2" s="130"/>
      <c r="F2" s="130"/>
      <c r="G2" s="130"/>
      <c r="H2" s="130"/>
      <c r="I2" s="130"/>
      <c r="J2" s="130"/>
      <c r="K2" s="130"/>
      <c r="L2" s="130"/>
      <c r="M2" s="130"/>
      <c r="N2" s="130"/>
    </row>
    <row r="3" spans="2:14" x14ac:dyDescent="0.35">
      <c r="B3" s="106"/>
    </row>
    <row r="4" spans="2:14" x14ac:dyDescent="0.35">
      <c r="B4" s="169" t="s">
        <v>325</v>
      </c>
      <c r="C4" s="112"/>
      <c r="D4" s="112">
        <v>0</v>
      </c>
      <c r="E4" s="112">
        <v>0</v>
      </c>
      <c r="F4" s="112">
        <v>9</v>
      </c>
      <c r="G4" s="112">
        <v>12</v>
      </c>
      <c r="H4" s="112">
        <v>12</v>
      </c>
      <c r="I4" s="112">
        <v>12</v>
      </c>
      <c r="J4" s="112">
        <v>12</v>
      </c>
      <c r="K4" s="112">
        <v>12</v>
      </c>
      <c r="L4" s="112">
        <v>12</v>
      </c>
      <c r="M4" s="112">
        <v>12</v>
      </c>
      <c r="N4" s="112">
        <v>12</v>
      </c>
    </row>
    <row r="5" spans="2:14" x14ac:dyDescent="0.35">
      <c r="B5" s="117" t="s">
        <v>589</v>
      </c>
      <c r="C5" s="94">
        <v>2024</v>
      </c>
      <c r="D5" s="94">
        <f>C5+1</f>
        <v>2025</v>
      </c>
      <c r="E5" s="94">
        <f t="shared" ref="E5:K5" si="0">D5+1</f>
        <v>2026</v>
      </c>
      <c r="F5" s="94">
        <f t="shared" si="0"/>
        <v>2027</v>
      </c>
      <c r="G5" s="94">
        <f t="shared" si="0"/>
        <v>2028</v>
      </c>
      <c r="H5" s="94">
        <f t="shared" si="0"/>
        <v>2029</v>
      </c>
      <c r="I5" s="94">
        <f t="shared" si="0"/>
        <v>2030</v>
      </c>
      <c r="J5" s="94">
        <f t="shared" si="0"/>
        <v>2031</v>
      </c>
      <c r="K5" s="94">
        <f t="shared" si="0"/>
        <v>2032</v>
      </c>
      <c r="L5" s="94">
        <f t="shared" ref="L5" si="1">K5+1</f>
        <v>2033</v>
      </c>
      <c r="M5" s="94">
        <f t="shared" ref="M5:N5" si="2">L5+1</f>
        <v>2034</v>
      </c>
      <c r="N5" s="94">
        <f t="shared" si="2"/>
        <v>2035</v>
      </c>
    </row>
    <row r="6" spans="2:14" ht="16.5" customHeight="1" x14ac:dyDescent="0.35">
      <c r="B6" s="51" t="s">
        <v>440</v>
      </c>
      <c r="C6" s="48"/>
      <c r="D6" s="301">
        <f>'P &amp; L'!D9</f>
        <v>0</v>
      </c>
      <c r="E6" s="301">
        <f>'P &amp; L'!E9</f>
        <v>0</v>
      </c>
      <c r="F6" s="301">
        <f>'P &amp; L'!F9</f>
        <v>14883.75</v>
      </c>
      <c r="G6" s="301">
        <f>'P &amp; L'!G9</f>
        <v>23814</v>
      </c>
      <c r="H6" s="301">
        <f>'P &amp; L'!H9</f>
        <v>28130.287499999999</v>
      </c>
      <c r="I6" s="301">
        <f>'P &amp; L'!I9</f>
        <v>29536.801875000005</v>
      </c>
      <c r="J6" s="301">
        <f>'P &amp; L'!J9</f>
        <v>31013.641968749998</v>
      </c>
      <c r="K6" s="301">
        <f>'P &amp; L'!K9</f>
        <v>32564.32406718751</v>
      </c>
      <c r="L6" s="301">
        <f>'P &amp; L'!L9</f>
        <v>34192.540270546888</v>
      </c>
      <c r="M6" s="301">
        <f>'P &amp; L'!M9</f>
        <v>35902.167284074232</v>
      </c>
      <c r="N6" s="301">
        <f>'P &amp; L'!N9</f>
        <v>37697.275648277944</v>
      </c>
    </row>
    <row r="7" spans="2:14" ht="16.5" customHeight="1" x14ac:dyDescent="0.35">
      <c r="B7" s="51" t="s">
        <v>1776</v>
      </c>
      <c r="C7" s="48"/>
      <c r="D7" s="301">
        <f>'P &amp; L'!D12</f>
        <v>0</v>
      </c>
      <c r="E7" s="301">
        <f>'P &amp; L'!E12</f>
        <v>0</v>
      </c>
      <c r="F7" s="301">
        <f>'P &amp; L'!F12</f>
        <v>5220.0412031250007</v>
      </c>
      <c r="G7" s="301">
        <f>'P &amp; L'!G12</f>
        <v>8352.0659250000008</v>
      </c>
      <c r="H7" s="301">
        <f>'P &amp; L'!H12</f>
        <v>9865.8778739062545</v>
      </c>
      <c r="I7" s="301">
        <f>'P &amp; L'!I12</f>
        <v>10359.171767601567</v>
      </c>
      <c r="J7" s="301">
        <f>'P &amp; L'!J12</f>
        <v>10877.130355981646</v>
      </c>
      <c r="K7" s="301">
        <f>'P &amp; L'!K12</f>
        <v>11420.986873780726</v>
      </c>
      <c r="L7" s="301">
        <f>'P &amp; L'!L12</f>
        <v>11992.036217469764</v>
      </c>
      <c r="M7" s="301">
        <f>'P &amp; L'!M12</f>
        <v>12591.638028343252</v>
      </c>
      <c r="N7" s="301">
        <f>'P &amp; L'!N12</f>
        <v>13221.219929760415</v>
      </c>
    </row>
    <row r="8" spans="2:14" ht="16.5" customHeight="1" x14ac:dyDescent="0.35">
      <c r="B8" s="51" t="s">
        <v>1777</v>
      </c>
      <c r="C8" s="100"/>
      <c r="D8" s="301">
        <f>'P &amp; L'!D13</f>
        <v>0</v>
      </c>
      <c r="E8" s="301">
        <f>'P &amp; L'!E13</f>
        <v>0</v>
      </c>
      <c r="F8" s="301">
        <f>'P &amp; L'!F13</f>
        <v>2451.0842291250001</v>
      </c>
      <c r="G8" s="301">
        <f>'P &amp; L'!G13</f>
        <v>3921.7347666000001</v>
      </c>
      <c r="H8" s="301">
        <f>'P &amp; L'!H13</f>
        <v>4117.8215049300006</v>
      </c>
      <c r="I8" s="301">
        <f>'P &amp; L'!I13</f>
        <v>4323.7125801765005</v>
      </c>
      <c r="J8" s="301">
        <f>'P &amp; L'!J13</f>
        <v>4539.8982091853259</v>
      </c>
      <c r="K8" s="301">
        <f>'P &amp; L'!K13</f>
        <v>4766.8931196445928</v>
      </c>
      <c r="L8" s="301">
        <f>'P &amp; L'!L13</f>
        <v>5005.2377756268224</v>
      </c>
      <c r="M8" s="301">
        <f>'P &amp; L'!M13</f>
        <v>5255.499664408163</v>
      </c>
      <c r="N8" s="301">
        <f>'P &amp; L'!N13</f>
        <v>5518.274647628572</v>
      </c>
    </row>
    <row r="9" spans="2:14" ht="16.5" customHeight="1" x14ac:dyDescent="0.35">
      <c r="B9" s="51" t="s">
        <v>710</v>
      </c>
      <c r="C9" s="100"/>
      <c r="D9" s="301">
        <f>'P &amp; L'!D21</f>
        <v>0</v>
      </c>
      <c r="E9" s="301">
        <f>'P &amp; L'!E21</f>
        <v>0</v>
      </c>
      <c r="F9" s="301">
        <f>'P &amp; L'!F21</f>
        <v>952.56000000000006</v>
      </c>
      <c r="G9" s="301">
        <f>'P &amp; L'!G21</f>
        <v>1524.096</v>
      </c>
      <c r="H9" s="301">
        <f>'P &amp; L'!H21</f>
        <v>1600.3008000000002</v>
      </c>
      <c r="I9" s="301">
        <f>'P &amp; L'!I21</f>
        <v>1680.3158400000004</v>
      </c>
      <c r="J9" s="301">
        <f>'P &amp; L'!J21</f>
        <v>1764.3316320000006</v>
      </c>
      <c r="K9" s="301">
        <f>'P &amp; L'!K21</f>
        <v>1852.5482136000005</v>
      </c>
      <c r="L9" s="301">
        <f>'P &amp; L'!L21</f>
        <v>1945.1756242800006</v>
      </c>
      <c r="M9" s="301">
        <f>'P &amp; L'!M21</f>
        <v>2042.4344054940002</v>
      </c>
      <c r="N9" s="301">
        <f>'P &amp; L'!N21</f>
        <v>2144.5561257687004</v>
      </c>
    </row>
    <row r="10" spans="2:14" ht="16.5" customHeight="1" x14ac:dyDescent="0.35">
      <c r="C10" s="100"/>
      <c r="D10" s="100"/>
      <c r="E10" s="100"/>
      <c r="F10" s="100"/>
      <c r="G10" s="100"/>
      <c r="H10" s="100"/>
      <c r="I10" s="100"/>
      <c r="J10" s="100"/>
      <c r="K10" s="100"/>
      <c r="L10" s="100"/>
      <c r="M10" s="100"/>
      <c r="N10" s="100"/>
    </row>
    <row r="11" spans="2:14" ht="16.5" customHeight="1" x14ac:dyDescent="0.35">
      <c r="C11" s="100"/>
      <c r="D11" s="100"/>
      <c r="E11" s="100"/>
      <c r="F11" s="100"/>
      <c r="G11" s="100"/>
      <c r="H11" s="100"/>
      <c r="I11" s="100"/>
      <c r="J11" s="100"/>
      <c r="K11" s="100"/>
      <c r="L11" s="100"/>
      <c r="M11" s="100"/>
      <c r="N11" s="100"/>
    </row>
    <row r="12" spans="2:14" ht="16.5" customHeight="1" x14ac:dyDescent="0.35">
      <c r="B12" s="51" t="s">
        <v>371</v>
      </c>
      <c r="D12" s="184">
        <f>C14</f>
        <v>0</v>
      </c>
      <c r="E12" s="184">
        <f t="shared" ref="E12:K12" si="3">D14</f>
        <v>0</v>
      </c>
      <c r="F12" s="184">
        <f t="shared" si="3"/>
        <v>0</v>
      </c>
      <c r="G12" s="184">
        <f t="shared" si="3"/>
        <v>1740.0137343750002</v>
      </c>
      <c r="H12" s="184">
        <f t="shared" si="3"/>
        <v>2088.0164812500002</v>
      </c>
      <c r="I12" s="184">
        <f t="shared" si="3"/>
        <v>2466.4694684765636</v>
      </c>
      <c r="J12" s="184">
        <f t="shared" si="3"/>
        <v>2589.7929419003917</v>
      </c>
      <c r="K12" s="184">
        <f t="shared" si="3"/>
        <v>2719.2825889954115</v>
      </c>
      <c r="L12" s="184">
        <f t="shared" ref="L12" si="4">K14</f>
        <v>2855.2467184451816</v>
      </c>
      <c r="M12" s="184">
        <f t="shared" ref="M12:N12" si="5">L14</f>
        <v>2998.009054367441</v>
      </c>
      <c r="N12" s="184">
        <f t="shared" si="5"/>
        <v>3147.9095070858129</v>
      </c>
    </row>
    <row r="13" spans="2:14" ht="16.5" customHeight="1" x14ac:dyDescent="0.35">
      <c r="B13" s="45" t="s">
        <v>372</v>
      </c>
      <c r="C13" s="54"/>
      <c r="D13" s="184">
        <f t="shared" ref="D13:K13" si="6">D7</f>
        <v>0</v>
      </c>
      <c r="E13" s="184">
        <f t="shared" si="6"/>
        <v>0</v>
      </c>
      <c r="F13" s="184">
        <f t="shared" si="6"/>
        <v>5220.0412031250007</v>
      </c>
      <c r="G13" s="184">
        <f t="shared" si="6"/>
        <v>8352.0659250000008</v>
      </c>
      <c r="H13" s="184">
        <f t="shared" si="6"/>
        <v>9865.8778739062545</v>
      </c>
      <c r="I13" s="184">
        <f t="shared" si="6"/>
        <v>10359.171767601567</v>
      </c>
      <c r="J13" s="184">
        <f t="shared" si="6"/>
        <v>10877.130355981646</v>
      </c>
      <c r="K13" s="184">
        <f t="shared" si="6"/>
        <v>11420.986873780726</v>
      </c>
      <c r="L13" s="184">
        <f t="shared" ref="L13:M13" si="7">L7</f>
        <v>11992.036217469764</v>
      </c>
      <c r="M13" s="184">
        <f t="shared" si="7"/>
        <v>12591.638028343252</v>
      </c>
      <c r="N13" s="184">
        <f t="shared" ref="N13" si="8">N7</f>
        <v>13221.219929760415</v>
      </c>
    </row>
    <row r="14" spans="2:14" ht="16.5" customHeight="1" x14ac:dyDescent="0.35">
      <c r="B14" s="51" t="s">
        <v>373</v>
      </c>
      <c r="C14" s="184"/>
      <c r="D14" s="184">
        <f>D16*D15/365</f>
        <v>0</v>
      </c>
      <c r="E14" s="184">
        <f t="shared" ref="E14" si="9">E16*E15/365</f>
        <v>0</v>
      </c>
      <c r="F14" s="285">
        <f>F16*F15/270</f>
        <v>1740.0137343750002</v>
      </c>
      <c r="G14" s="184">
        <f>G16*G15/360</f>
        <v>2088.0164812500002</v>
      </c>
      <c r="H14" s="184">
        <f t="shared" ref="H14:N14" si="10">H16*H15/360</f>
        <v>2466.4694684765636</v>
      </c>
      <c r="I14" s="184">
        <f t="shared" si="10"/>
        <v>2589.7929419003917</v>
      </c>
      <c r="J14" s="184">
        <f t="shared" si="10"/>
        <v>2719.2825889954115</v>
      </c>
      <c r="K14" s="184">
        <f t="shared" si="10"/>
        <v>2855.2467184451816</v>
      </c>
      <c r="L14" s="184">
        <f t="shared" si="10"/>
        <v>2998.009054367441</v>
      </c>
      <c r="M14" s="184">
        <f t="shared" si="10"/>
        <v>3147.9095070858129</v>
      </c>
      <c r="N14" s="184">
        <f t="shared" si="10"/>
        <v>3305.3049824401037</v>
      </c>
    </row>
    <row r="15" spans="2:14" ht="16.5" customHeight="1" x14ac:dyDescent="0.35">
      <c r="B15" s="51" t="s">
        <v>141</v>
      </c>
      <c r="D15" s="251">
        <v>90</v>
      </c>
      <c r="E15" s="251">
        <f>D15</f>
        <v>90</v>
      </c>
      <c r="F15" s="251">
        <f t="shared" ref="F15:K15" si="11">E15</f>
        <v>90</v>
      </c>
      <c r="G15" s="251">
        <f t="shared" si="11"/>
        <v>90</v>
      </c>
      <c r="H15" s="251">
        <f t="shared" si="11"/>
        <v>90</v>
      </c>
      <c r="I15" s="251">
        <f t="shared" si="11"/>
        <v>90</v>
      </c>
      <c r="J15" s="251">
        <f t="shared" si="11"/>
        <v>90</v>
      </c>
      <c r="K15" s="251">
        <f t="shared" si="11"/>
        <v>90</v>
      </c>
      <c r="L15" s="251">
        <f t="shared" ref="L15:N15" si="12">K15</f>
        <v>90</v>
      </c>
      <c r="M15" s="251">
        <f t="shared" si="12"/>
        <v>90</v>
      </c>
      <c r="N15" s="251">
        <f t="shared" si="12"/>
        <v>90</v>
      </c>
    </row>
    <row r="16" spans="2:14" ht="16.5" customHeight="1" x14ac:dyDescent="0.35">
      <c r="B16" s="51" t="s">
        <v>374</v>
      </c>
      <c r="C16" s="54"/>
      <c r="D16" s="184">
        <f t="shared" ref="D16:K16" si="13">D7</f>
        <v>0</v>
      </c>
      <c r="E16" s="184">
        <f t="shared" si="13"/>
        <v>0</v>
      </c>
      <c r="F16" s="184">
        <f t="shared" si="13"/>
        <v>5220.0412031250007</v>
      </c>
      <c r="G16" s="184">
        <f t="shared" si="13"/>
        <v>8352.0659250000008</v>
      </c>
      <c r="H16" s="184">
        <f t="shared" si="13"/>
        <v>9865.8778739062545</v>
      </c>
      <c r="I16" s="184">
        <f t="shared" si="13"/>
        <v>10359.171767601567</v>
      </c>
      <c r="J16" s="184">
        <f t="shared" si="13"/>
        <v>10877.130355981646</v>
      </c>
      <c r="K16" s="184">
        <f t="shared" si="13"/>
        <v>11420.986873780726</v>
      </c>
      <c r="L16" s="184">
        <f t="shared" ref="L16:M16" si="14">L7</f>
        <v>11992.036217469764</v>
      </c>
      <c r="M16" s="184">
        <f t="shared" si="14"/>
        <v>12591.638028343252</v>
      </c>
      <c r="N16" s="184">
        <f t="shared" ref="N16" si="15">N7</f>
        <v>13221.219929760415</v>
      </c>
    </row>
    <row r="17" spans="2:14" ht="16.5" customHeight="1" x14ac:dyDescent="0.35"/>
    <row r="18" spans="2:14" ht="16.5" customHeight="1" x14ac:dyDescent="0.35">
      <c r="B18" s="51" t="s">
        <v>141</v>
      </c>
    </row>
    <row r="19" spans="2:14" ht="16.5" customHeight="1" x14ac:dyDescent="0.35">
      <c r="B19" s="51" t="s">
        <v>711</v>
      </c>
      <c r="C19" s="100"/>
      <c r="D19" s="184">
        <f t="shared" ref="D19:E19" si="16">D13*D20/365</f>
        <v>0</v>
      </c>
      <c r="E19" s="184">
        <f t="shared" si="16"/>
        <v>0</v>
      </c>
      <c r="F19" s="285">
        <f>F13*F20/270</f>
        <v>580.00457812500008</v>
      </c>
      <c r="G19" s="184">
        <f>G13*G20/360</f>
        <v>696.00549375000003</v>
      </c>
      <c r="H19" s="184">
        <f t="shared" ref="H19:N19" si="17">H13*H20/360</f>
        <v>822.15648949218792</v>
      </c>
      <c r="I19" s="184">
        <f t="shared" si="17"/>
        <v>863.2643139667972</v>
      </c>
      <c r="J19" s="184">
        <f t="shared" si="17"/>
        <v>906.42752966513717</v>
      </c>
      <c r="K19" s="184">
        <f t="shared" si="17"/>
        <v>951.74890614839387</v>
      </c>
      <c r="L19" s="184">
        <f t="shared" si="17"/>
        <v>999.33635145581377</v>
      </c>
      <c r="M19" s="184">
        <f t="shared" si="17"/>
        <v>1049.3031690286043</v>
      </c>
      <c r="N19" s="184">
        <f t="shared" si="17"/>
        <v>1101.7683274800345</v>
      </c>
    </row>
    <row r="20" spans="2:14" ht="16.5" customHeight="1" x14ac:dyDescent="0.35">
      <c r="B20" s="51" t="s">
        <v>375</v>
      </c>
      <c r="C20" s="54"/>
      <c r="D20" s="320">
        <v>30</v>
      </c>
      <c r="E20" s="320">
        <f>D20</f>
        <v>30</v>
      </c>
      <c r="F20" s="320">
        <f t="shared" ref="F20:K20" si="18">E20</f>
        <v>30</v>
      </c>
      <c r="G20" s="320">
        <f t="shared" si="18"/>
        <v>30</v>
      </c>
      <c r="H20" s="320">
        <f t="shared" si="18"/>
        <v>30</v>
      </c>
      <c r="I20" s="320">
        <f t="shared" si="18"/>
        <v>30</v>
      </c>
      <c r="J20" s="320">
        <f t="shared" si="18"/>
        <v>30</v>
      </c>
      <c r="K20" s="320">
        <f t="shared" si="18"/>
        <v>30</v>
      </c>
      <c r="L20" s="320">
        <f t="shared" ref="L20:N20" si="19">K20</f>
        <v>30</v>
      </c>
      <c r="M20" s="320">
        <f t="shared" si="19"/>
        <v>30</v>
      </c>
      <c r="N20" s="320">
        <f t="shared" si="19"/>
        <v>30</v>
      </c>
    </row>
    <row r="21" spans="2:14" ht="16.5" customHeight="1" x14ac:dyDescent="0.35">
      <c r="B21" s="51" t="s">
        <v>1777</v>
      </c>
      <c r="C21" s="100"/>
      <c r="D21" s="184">
        <f t="shared" ref="D21:E21" si="20">D8*D22/365</f>
        <v>0</v>
      </c>
      <c r="E21" s="184">
        <f t="shared" si="20"/>
        <v>0</v>
      </c>
      <c r="F21" s="285">
        <f>F8*F22/270</f>
        <v>272.34269212499999</v>
      </c>
      <c r="G21" s="184">
        <f>G8*G22/360</f>
        <v>326.81123055</v>
      </c>
      <c r="H21" s="184">
        <f t="shared" ref="H21:N21" si="21">H8*H22/360</f>
        <v>343.15179207750009</v>
      </c>
      <c r="I21" s="184">
        <f t="shared" si="21"/>
        <v>360.30938168137504</v>
      </c>
      <c r="J21" s="184">
        <f t="shared" si="21"/>
        <v>378.32485076544384</v>
      </c>
      <c r="K21" s="184">
        <f t="shared" si="21"/>
        <v>397.24109330371607</v>
      </c>
      <c r="L21" s="184">
        <f t="shared" si="21"/>
        <v>417.10314796890185</v>
      </c>
      <c r="M21" s="184">
        <f t="shared" si="21"/>
        <v>437.9583053673469</v>
      </c>
      <c r="N21" s="184">
        <f t="shared" si="21"/>
        <v>459.85622063571435</v>
      </c>
    </row>
    <row r="22" spans="2:14" ht="16.5" customHeight="1" x14ac:dyDescent="0.35">
      <c r="B22" s="51" t="s">
        <v>375</v>
      </c>
      <c r="C22" s="54"/>
      <c r="D22" s="251">
        <v>30</v>
      </c>
      <c r="E22" s="251">
        <f>D22</f>
        <v>30</v>
      </c>
      <c r="F22" s="251">
        <f t="shared" ref="F22:K22" si="22">E22</f>
        <v>30</v>
      </c>
      <c r="G22" s="251">
        <f t="shared" si="22"/>
        <v>30</v>
      </c>
      <c r="H22" s="251">
        <f t="shared" si="22"/>
        <v>30</v>
      </c>
      <c r="I22" s="251">
        <f t="shared" si="22"/>
        <v>30</v>
      </c>
      <c r="J22" s="251">
        <f t="shared" si="22"/>
        <v>30</v>
      </c>
      <c r="K22" s="251">
        <f t="shared" si="22"/>
        <v>30</v>
      </c>
      <c r="L22" s="251">
        <f t="shared" ref="L22:N22" si="23">K22</f>
        <v>30</v>
      </c>
      <c r="M22" s="251">
        <f t="shared" si="23"/>
        <v>30</v>
      </c>
      <c r="N22" s="251">
        <f t="shared" si="23"/>
        <v>30</v>
      </c>
    </row>
    <row r="23" spans="2:14" ht="16.5" customHeight="1" x14ac:dyDescent="0.35">
      <c r="B23" s="51" t="s">
        <v>378</v>
      </c>
      <c r="C23" s="100"/>
      <c r="D23" s="184">
        <f t="shared" ref="D23:E23" si="24">D9*D24/365</f>
        <v>0</v>
      </c>
      <c r="E23" s="184">
        <f t="shared" si="24"/>
        <v>0</v>
      </c>
      <c r="F23" s="285">
        <f>F9*F24/270</f>
        <v>105.84000000000002</v>
      </c>
      <c r="G23" s="184">
        <f>G9*G24/360</f>
        <v>127.008</v>
      </c>
      <c r="H23" s="184">
        <f t="shared" ref="H23:N23" si="25">H9*H24/360</f>
        <v>133.35840000000002</v>
      </c>
      <c r="I23" s="184">
        <f t="shared" si="25"/>
        <v>140.02632000000006</v>
      </c>
      <c r="J23" s="184">
        <f t="shared" si="25"/>
        <v>147.02763600000006</v>
      </c>
      <c r="K23" s="184">
        <f t="shared" si="25"/>
        <v>154.37901780000004</v>
      </c>
      <c r="L23" s="184">
        <f t="shared" si="25"/>
        <v>162.09796869000004</v>
      </c>
      <c r="M23" s="184">
        <f t="shared" si="25"/>
        <v>170.20286712450002</v>
      </c>
      <c r="N23" s="184">
        <f t="shared" si="25"/>
        <v>178.71301048072505</v>
      </c>
    </row>
    <row r="24" spans="2:14" ht="16.5" customHeight="1" x14ac:dyDescent="0.35">
      <c r="B24" s="51" t="s">
        <v>375</v>
      </c>
      <c r="C24" s="54"/>
      <c r="D24" s="251">
        <v>30</v>
      </c>
      <c r="E24" s="251">
        <f t="shared" ref="E24:K24" si="26">D24</f>
        <v>30</v>
      </c>
      <c r="F24" s="251">
        <f t="shared" si="26"/>
        <v>30</v>
      </c>
      <c r="G24" s="251">
        <f t="shared" si="26"/>
        <v>30</v>
      </c>
      <c r="H24" s="251">
        <f t="shared" si="26"/>
        <v>30</v>
      </c>
      <c r="I24" s="251">
        <f t="shared" si="26"/>
        <v>30</v>
      </c>
      <c r="J24" s="251">
        <f t="shared" si="26"/>
        <v>30</v>
      </c>
      <c r="K24" s="251">
        <f t="shared" si="26"/>
        <v>30</v>
      </c>
      <c r="L24" s="251">
        <f t="shared" ref="L24" si="27">K24</f>
        <v>30</v>
      </c>
      <c r="M24" s="251">
        <f t="shared" ref="M24:N24" si="28">L24</f>
        <v>30</v>
      </c>
      <c r="N24" s="251">
        <f t="shared" si="28"/>
        <v>30</v>
      </c>
    </row>
    <row r="25" spans="2:14" ht="16.5" customHeight="1" x14ac:dyDescent="0.35">
      <c r="C25" s="100"/>
      <c r="D25" s="100"/>
      <c r="E25" s="100"/>
      <c r="F25" s="100"/>
      <c r="G25" s="100"/>
      <c r="H25" s="100"/>
      <c r="I25" s="100"/>
      <c r="J25" s="100"/>
      <c r="K25" s="100"/>
      <c r="L25" s="100"/>
      <c r="M25" s="100"/>
      <c r="N25" s="100"/>
    </row>
    <row r="26" spans="2:14" ht="16.5" customHeight="1" x14ac:dyDescent="0.35">
      <c r="B26" s="106" t="s">
        <v>786</v>
      </c>
      <c r="C26" s="113"/>
      <c r="D26" s="290">
        <f>D19+D21+D23</f>
        <v>0</v>
      </c>
      <c r="E26" s="290">
        <f t="shared" ref="E26:K26" si="29">E19+E21+E23</f>
        <v>0</v>
      </c>
      <c r="F26" s="290">
        <f t="shared" si="29"/>
        <v>958.1872702500001</v>
      </c>
      <c r="G26" s="290">
        <f t="shared" si="29"/>
        <v>1149.8247243000001</v>
      </c>
      <c r="H26" s="290">
        <f t="shared" si="29"/>
        <v>1298.6666815696881</v>
      </c>
      <c r="I26" s="290">
        <f t="shared" si="29"/>
        <v>1363.6000156481723</v>
      </c>
      <c r="J26" s="290">
        <f t="shared" si="29"/>
        <v>1431.7800164305811</v>
      </c>
      <c r="K26" s="290">
        <f t="shared" si="29"/>
        <v>1503.3690172521101</v>
      </c>
      <c r="L26" s="290">
        <f t="shared" ref="L26:M26" si="30">L19+L21+L23</f>
        <v>1578.5374681147157</v>
      </c>
      <c r="M26" s="290">
        <f t="shared" si="30"/>
        <v>1657.4643415204512</v>
      </c>
      <c r="N26" s="290">
        <f t="shared" ref="N26" si="31">N19+N21+N23</f>
        <v>1740.3375585964739</v>
      </c>
    </row>
    <row r="27" spans="2:14" ht="16.5" customHeight="1" x14ac:dyDescent="0.35">
      <c r="C27" s="100"/>
      <c r="D27" s="100"/>
      <c r="E27" s="100"/>
      <c r="F27" s="100"/>
      <c r="G27" s="100"/>
      <c r="H27" s="100"/>
      <c r="I27" s="100"/>
      <c r="J27" s="100"/>
      <c r="K27" s="100"/>
      <c r="L27" s="100"/>
      <c r="M27" s="100"/>
      <c r="N27" s="100"/>
    </row>
    <row r="28" spans="2:14" ht="16.5" customHeight="1" x14ac:dyDescent="0.35">
      <c r="C28" s="100"/>
      <c r="D28" s="100"/>
      <c r="E28" s="100"/>
      <c r="F28" s="100"/>
      <c r="G28" s="100"/>
      <c r="H28" s="100"/>
      <c r="I28" s="100"/>
      <c r="J28" s="100"/>
      <c r="K28" s="100"/>
      <c r="L28" s="100"/>
      <c r="M28" s="100"/>
      <c r="N28" s="100"/>
    </row>
    <row r="29" spans="2:14" ht="16.5" customHeight="1" x14ac:dyDescent="0.35">
      <c r="B29" s="51" t="s">
        <v>376</v>
      </c>
      <c r="C29" s="100"/>
      <c r="D29" s="184">
        <f t="shared" ref="D29:E29" si="32">D6*D30/365</f>
        <v>0</v>
      </c>
      <c r="E29" s="184">
        <f t="shared" si="32"/>
        <v>0</v>
      </c>
      <c r="F29" s="285">
        <f>F6*F30/270</f>
        <v>1653.75</v>
      </c>
      <c r="G29" s="184">
        <f>G6*G30/360</f>
        <v>1984.5</v>
      </c>
      <c r="H29" s="184">
        <f t="shared" ref="H29:N29" si="33">H6*H30/360</f>
        <v>2344.1906250000002</v>
      </c>
      <c r="I29" s="184">
        <f t="shared" si="33"/>
        <v>2461.4001562500002</v>
      </c>
      <c r="J29" s="184">
        <f t="shared" si="33"/>
        <v>2584.4701640624999</v>
      </c>
      <c r="K29" s="184">
        <f t="shared" si="33"/>
        <v>2713.693672265626</v>
      </c>
      <c r="L29" s="184">
        <f t="shared" si="33"/>
        <v>2849.3783558789073</v>
      </c>
      <c r="M29" s="184">
        <f t="shared" si="33"/>
        <v>2991.8472736728527</v>
      </c>
      <c r="N29" s="184">
        <f t="shared" si="33"/>
        <v>3141.4396373564955</v>
      </c>
    </row>
    <row r="30" spans="2:14" ht="16.5" customHeight="1" x14ac:dyDescent="0.35">
      <c r="B30" s="51" t="s">
        <v>375</v>
      </c>
      <c r="C30" s="54"/>
      <c r="D30" s="251">
        <v>30</v>
      </c>
      <c r="E30" s="251">
        <f>D30</f>
        <v>30</v>
      </c>
      <c r="F30" s="251">
        <f t="shared" ref="F30:K30" si="34">E30</f>
        <v>30</v>
      </c>
      <c r="G30" s="251">
        <f t="shared" si="34"/>
        <v>30</v>
      </c>
      <c r="H30" s="251">
        <f t="shared" si="34"/>
        <v>30</v>
      </c>
      <c r="I30" s="251">
        <f t="shared" si="34"/>
        <v>30</v>
      </c>
      <c r="J30" s="251">
        <f t="shared" si="34"/>
        <v>30</v>
      </c>
      <c r="K30" s="251">
        <f t="shared" si="34"/>
        <v>30</v>
      </c>
      <c r="L30" s="251">
        <f t="shared" ref="L30" si="35">K30</f>
        <v>30</v>
      </c>
      <c r="M30" s="251">
        <f t="shared" ref="M30:N30" si="36">L30</f>
        <v>30</v>
      </c>
      <c r="N30" s="251">
        <f t="shared" si="36"/>
        <v>30</v>
      </c>
    </row>
    <row r="31" spans="2:14" ht="16.5" customHeight="1" x14ac:dyDescent="0.35">
      <c r="B31" s="51" t="s">
        <v>377</v>
      </c>
      <c r="C31" s="184"/>
      <c r="D31" s="184">
        <f t="shared" ref="D31:K31" si="37">D14</f>
        <v>0</v>
      </c>
      <c r="E31" s="184">
        <f t="shared" si="37"/>
        <v>0</v>
      </c>
      <c r="F31" s="184">
        <f t="shared" si="37"/>
        <v>1740.0137343750002</v>
      </c>
      <c r="G31" s="184">
        <f t="shared" si="37"/>
        <v>2088.0164812500002</v>
      </c>
      <c r="H31" s="184">
        <f t="shared" si="37"/>
        <v>2466.4694684765636</v>
      </c>
      <c r="I31" s="184">
        <f t="shared" si="37"/>
        <v>2589.7929419003917</v>
      </c>
      <c r="J31" s="184">
        <f t="shared" si="37"/>
        <v>2719.2825889954115</v>
      </c>
      <c r="K31" s="184">
        <f t="shared" si="37"/>
        <v>2855.2467184451816</v>
      </c>
      <c r="L31" s="184">
        <f t="shared" ref="L31:M31" si="38">L14</f>
        <v>2998.009054367441</v>
      </c>
      <c r="M31" s="184">
        <f t="shared" si="38"/>
        <v>3147.9095070858129</v>
      </c>
      <c r="N31" s="184">
        <f t="shared" ref="N31" si="39">N14</f>
        <v>3305.3049824401037</v>
      </c>
    </row>
    <row r="32" spans="2:14" ht="16.5" customHeight="1" x14ac:dyDescent="0.35">
      <c r="D32" s="184"/>
      <c r="E32" s="184"/>
      <c r="F32" s="184"/>
      <c r="G32" s="184"/>
      <c r="H32" s="184"/>
      <c r="I32" s="184"/>
      <c r="J32" s="184"/>
      <c r="K32" s="184"/>
      <c r="L32" s="184"/>
      <c r="M32" s="184"/>
      <c r="N32" s="184"/>
    </row>
    <row r="33" spans="2:14" ht="16.5" customHeight="1" x14ac:dyDescent="0.35">
      <c r="B33" s="51" t="s">
        <v>379</v>
      </c>
      <c r="C33" s="113"/>
      <c r="D33" s="290">
        <f t="shared" ref="D33:I33" si="40">D29+D31</f>
        <v>0</v>
      </c>
      <c r="E33" s="290">
        <f t="shared" si="40"/>
        <v>0</v>
      </c>
      <c r="F33" s="290">
        <f t="shared" si="40"/>
        <v>3393.7637343750002</v>
      </c>
      <c r="G33" s="290">
        <f t="shared" si="40"/>
        <v>4072.5164812500002</v>
      </c>
      <c r="H33" s="290">
        <f t="shared" si="40"/>
        <v>4810.6600934765638</v>
      </c>
      <c r="I33" s="290">
        <f t="shared" si="40"/>
        <v>5051.193098150392</v>
      </c>
      <c r="J33" s="290">
        <f t="shared" ref="J33:K33" si="41">J29+J31</f>
        <v>5303.7527530579118</v>
      </c>
      <c r="K33" s="290">
        <f t="shared" si="41"/>
        <v>5568.9403907108081</v>
      </c>
      <c r="L33" s="290">
        <f t="shared" ref="L33:M33" si="42">L29+L31</f>
        <v>5847.3874102463487</v>
      </c>
      <c r="M33" s="290">
        <f t="shared" si="42"/>
        <v>6139.7567807586656</v>
      </c>
      <c r="N33" s="290">
        <f t="shared" ref="N33" si="43">N29+N31</f>
        <v>6446.7446197965992</v>
      </c>
    </row>
    <row r="34" spans="2:14" ht="16.5" customHeight="1" x14ac:dyDescent="0.35">
      <c r="C34" s="100"/>
      <c r="D34" s="184"/>
      <c r="E34" s="184"/>
      <c r="F34" s="184"/>
      <c r="G34" s="184"/>
      <c r="H34" s="184"/>
      <c r="I34" s="184"/>
      <c r="J34" s="184"/>
      <c r="K34" s="184"/>
      <c r="L34" s="184"/>
      <c r="M34" s="184"/>
      <c r="N34" s="184"/>
    </row>
    <row r="35" spans="2:14" ht="16.5" customHeight="1" x14ac:dyDescent="0.35">
      <c r="B35" s="51" t="s">
        <v>417</v>
      </c>
      <c r="C35" s="100"/>
      <c r="D35" s="184">
        <f t="shared" ref="D35:I35" si="44">D33-D26</f>
        <v>0</v>
      </c>
      <c r="E35" s="184">
        <f t="shared" si="44"/>
        <v>0</v>
      </c>
      <c r="F35" s="184">
        <f t="shared" si="44"/>
        <v>2435.5764641250003</v>
      </c>
      <c r="G35" s="184">
        <f t="shared" si="44"/>
        <v>2922.6917569500001</v>
      </c>
      <c r="H35" s="184">
        <f t="shared" si="44"/>
        <v>3511.9934119068757</v>
      </c>
      <c r="I35" s="184">
        <f t="shared" si="44"/>
        <v>3687.5930825022197</v>
      </c>
      <c r="J35" s="184">
        <f t="shared" ref="J35:K35" si="45">J33-J26</f>
        <v>3871.972736627331</v>
      </c>
      <c r="K35" s="184">
        <f t="shared" si="45"/>
        <v>4065.571373458698</v>
      </c>
      <c r="L35" s="184">
        <f t="shared" ref="L35:M35" si="46">L33-L26</f>
        <v>4268.8499421316328</v>
      </c>
      <c r="M35" s="184">
        <f t="shared" si="46"/>
        <v>4482.2924392382147</v>
      </c>
      <c r="N35" s="184">
        <f t="shared" ref="N35" si="47">N33-N26</f>
        <v>4706.4070612001251</v>
      </c>
    </row>
    <row r="36" spans="2:14" ht="16.5" customHeight="1" x14ac:dyDescent="0.35">
      <c r="B36" s="51" t="s">
        <v>418</v>
      </c>
      <c r="C36" s="100"/>
      <c r="D36" s="184">
        <f t="shared" ref="D36:I36" si="48">D35*25%</f>
        <v>0</v>
      </c>
      <c r="E36" s="184">
        <f t="shared" si="48"/>
        <v>0</v>
      </c>
      <c r="F36" s="184">
        <f t="shared" si="48"/>
        <v>608.89411603125006</v>
      </c>
      <c r="G36" s="184">
        <f t="shared" si="48"/>
        <v>730.67293923750003</v>
      </c>
      <c r="H36" s="184">
        <f t="shared" si="48"/>
        <v>877.99835297671893</v>
      </c>
      <c r="I36" s="184">
        <f t="shared" si="48"/>
        <v>921.89827062555491</v>
      </c>
      <c r="J36" s="184">
        <f t="shared" ref="J36:K36" si="49">J35*25%</f>
        <v>967.99318415683274</v>
      </c>
      <c r="K36" s="184">
        <f t="shared" si="49"/>
        <v>1016.3928433646745</v>
      </c>
      <c r="L36" s="184">
        <f t="shared" ref="L36:M36" si="50">L35*25%</f>
        <v>1067.2124855329082</v>
      </c>
      <c r="M36" s="184">
        <f t="shared" si="50"/>
        <v>1120.5731098095537</v>
      </c>
      <c r="N36" s="184">
        <f t="shared" ref="N36" si="51">N35*25%</f>
        <v>1176.6017653000313</v>
      </c>
    </row>
    <row r="37" spans="2:14" ht="16.5" customHeight="1" x14ac:dyDescent="0.35">
      <c r="B37" s="51" t="s">
        <v>441</v>
      </c>
      <c r="C37" s="100"/>
      <c r="D37" s="184">
        <f>D35-D36</f>
        <v>0</v>
      </c>
      <c r="E37" s="184">
        <f>E35-E36</f>
        <v>0</v>
      </c>
      <c r="F37" s="184">
        <f>F35-F36</f>
        <v>1826.6823480937501</v>
      </c>
      <c r="G37" s="184">
        <f t="shared" ref="G37:K37" si="52">G35-G36</f>
        <v>2192.0188177125001</v>
      </c>
      <c r="H37" s="184">
        <f t="shared" si="52"/>
        <v>2633.995058930157</v>
      </c>
      <c r="I37" s="184">
        <f t="shared" si="52"/>
        <v>2765.694811876665</v>
      </c>
      <c r="J37" s="184">
        <f t="shared" si="52"/>
        <v>2903.9795524704982</v>
      </c>
      <c r="K37" s="184">
        <f t="shared" si="52"/>
        <v>3049.1785300940237</v>
      </c>
      <c r="L37" s="184">
        <f t="shared" ref="L37:M37" si="53">L35-L36</f>
        <v>3201.6374565987244</v>
      </c>
      <c r="M37" s="184">
        <f t="shared" si="53"/>
        <v>3361.7193294286608</v>
      </c>
      <c r="N37" s="184">
        <f t="shared" ref="N37" si="54">N35-N36</f>
        <v>3529.8052959000938</v>
      </c>
    </row>
    <row r="38" spans="2:14" ht="16.5" customHeight="1" x14ac:dyDescent="0.35">
      <c r="C38" s="100"/>
      <c r="D38" s="184"/>
      <c r="E38" s="184"/>
      <c r="F38" s="184"/>
      <c r="G38" s="184"/>
      <c r="H38" s="184"/>
      <c r="I38" s="184"/>
      <c r="J38" s="184"/>
      <c r="K38" s="184"/>
      <c r="L38" s="184"/>
      <c r="M38" s="184"/>
      <c r="N38" s="184"/>
    </row>
    <row r="39" spans="2:14" ht="16.5" customHeight="1" x14ac:dyDescent="0.35">
      <c r="B39" s="51" t="s">
        <v>1778</v>
      </c>
      <c r="C39" s="353">
        <f>'term loans repayments'!E7</f>
        <v>9.1999999999999998E-2</v>
      </c>
      <c r="D39" s="184">
        <f>AVERAGE(C37:D37)*$C$39</f>
        <v>0</v>
      </c>
      <c r="E39" s="184">
        <f t="shared" ref="E39:N39" si="55">AVERAGE(D37:E37)*$C$39</f>
        <v>0</v>
      </c>
      <c r="F39" s="184">
        <f>AVERAGE(E37:F37)*$C$39*9/12</f>
        <v>63.020541009234371</v>
      </c>
      <c r="G39" s="184">
        <f t="shared" si="55"/>
        <v>184.8602536270875</v>
      </c>
      <c r="H39" s="184">
        <f t="shared" si="55"/>
        <v>221.99663832556223</v>
      </c>
      <c r="I39" s="184">
        <f t="shared" si="55"/>
        <v>248.38573405711381</v>
      </c>
      <c r="J39" s="184">
        <f t="shared" si="55"/>
        <v>260.80502075996952</v>
      </c>
      <c r="K39" s="184">
        <f t="shared" si="55"/>
        <v>273.845271797968</v>
      </c>
      <c r="L39" s="184">
        <f t="shared" si="55"/>
        <v>287.5375353878664</v>
      </c>
      <c r="M39" s="184">
        <f t="shared" si="55"/>
        <v>301.91441215725973</v>
      </c>
      <c r="N39" s="184">
        <f t="shared" si="55"/>
        <v>317.01013276512271</v>
      </c>
    </row>
    <row r="41" spans="2:14" x14ac:dyDescent="0.35">
      <c r="B41" s="51" t="s">
        <v>789</v>
      </c>
      <c r="D41" s="100">
        <f>D35</f>
        <v>0</v>
      </c>
      <c r="E41" s="184">
        <f>E35-D35</f>
        <v>0</v>
      </c>
      <c r="F41" s="184">
        <f t="shared" ref="F41:K41" si="56">F35-E35</f>
        <v>2435.5764641250003</v>
      </c>
      <c r="G41" s="184">
        <f t="shared" si="56"/>
        <v>487.11529282499987</v>
      </c>
      <c r="H41" s="184">
        <f t="shared" si="56"/>
        <v>589.30165495687561</v>
      </c>
      <c r="I41" s="184">
        <f t="shared" si="56"/>
        <v>175.59967059534392</v>
      </c>
      <c r="J41" s="184">
        <f t="shared" si="56"/>
        <v>184.3796541251113</v>
      </c>
      <c r="K41" s="184">
        <f t="shared" si="56"/>
        <v>193.598636831367</v>
      </c>
      <c r="L41" s="184">
        <f t="shared" ref="L41" si="57">L35-K35</f>
        <v>203.27856867293485</v>
      </c>
      <c r="M41" s="184">
        <f t="shared" ref="M41:N41" si="58">M35-L35</f>
        <v>213.44249710658187</v>
      </c>
      <c r="N41" s="184">
        <f t="shared" si="58"/>
        <v>224.11462196191042</v>
      </c>
    </row>
    <row r="42" spans="2:14" x14ac:dyDescent="0.35">
      <c r="D42" s="100"/>
      <c r="E42" s="241"/>
    </row>
    <row r="43" spans="2:14" x14ac:dyDescent="0.35">
      <c r="D43" s="100"/>
    </row>
    <row r="45" spans="2:14" x14ac:dyDescent="0.35">
      <c r="D45" s="195"/>
    </row>
  </sheetData>
  <customSheetViews>
    <customSheetView guid="{22475485-DA09-46DB-978D-BB94CE1E5597}">
      <pane xSplit="1" ySplit="5" topLeftCell="B9" activePane="bottomRight" state="frozen"/>
      <selection pane="bottomRight" activeCell="B22" sqref="B22"/>
      <pageMargins left="0.7" right="0.7" top="0.75" bottom="0.75" header="0.3" footer="0.3"/>
      <pageSetup paperSize="9" orientation="portrait" verticalDpi="0" r:id="rId1"/>
    </customSheetView>
  </customSheetView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K25"/>
  <sheetViews>
    <sheetView workbookViewId="0">
      <selection activeCell="I13" sqref="I13:J13"/>
    </sheetView>
  </sheetViews>
  <sheetFormatPr defaultColWidth="32.26953125" defaultRowHeight="14" x14ac:dyDescent="0.3"/>
  <cols>
    <col min="1" max="1" width="34.7265625" style="1" customWidth="1"/>
    <col min="2" max="2" width="8.7265625" style="1" customWidth="1"/>
    <col min="3" max="3" width="12.1796875" style="1" bestFit="1" customWidth="1"/>
    <col min="4" max="4" width="10.26953125" style="1" bestFit="1" customWidth="1"/>
    <col min="5" max="11" width="8.7265625" style="1" customWidth="1"/>
    <col min="12" max="12" width="40.453125" style="1" customWidth="1"/>
    <col min="13" max="16384" width="32.26953125" style="1"/>
  </cols>
  <sheetData>
    <row r="1" spans="1:11" ht="26.25" customHeight="1" x14ac:dyDescent="0.35">
      <c r="A1" s="1008" t="s">
        <v>14</v>
      </c>
      <c r="B1" s="1008"/>
      <c r="C1" s="1008"/>
      <c r="D1" s="1008"/>
      <c r="E1" s="1009"/>
      <c r="F1" s="1009"/>
      <c r="G1" s="1009"/>
      <c r="H1" s="1009"/>
      <c r="I1" s="1009"/>
      <c r="J1" s="1009"/>
      <c r="K1" s="1009"/>
    </row>
    <row r="2" spans="1:11" s="2" customFormat="1" ht="21.75" customHeight="1" x14ac:dyDescent="0.35">
      <c r="A2" s="8" t="s">
        <v>11</v>
      </c>
      <c r="B2" s="9" t="s">
        <v>12</v>
      </c>
      <c r="C2" s="9" t="s">
        <v>105</v>
      </c>
      <c r="D2" s="9" t="s">
        <v>106</v>
      </c>
      <c r="E2" s="9" t="s">
        <v>107</v>
      </c>
      <c r="F2" s="9" t="s">
        <v>108</v>
      </c>
      <c r="G2" s="9" t="s">
        <v>109</v>
      </c>
      <c r="H2" s="9" t="s">
        <v>110</v>
      </c>
      <c r="I2" s="9" t="s">
        <v>111</v>
      </c>
      <c r="J2" s="9" t="s">
        <v>112</v>
      </c>
      <c r="K2" s="9" t="s">
        <v>113</v>
      </c>
    </row>
    <row r="3" spans="1:11" s="2" customFormat="1" ht="23.25" customHeight="1" x14ac:dyDescent="0.35">
      <c r="A3" s="1011" t="s">
        <v>15</v>
      </c>
      <c r="B3" s="1011"/>
      <c r="C3" s="1011"/>
      <c r="D3" s="1011"/>
      <c r="E3" s="1011"/>
      <c r="F3" s="1011"/>
      <c r="G3" s="1011"/>
      <c r="H3" s="1011"/>
      <c r="I3" s="1011"/>
      <c r="J3" s="1011"/>
      <c r="K3" s="1011"/>
    </row>
    <row r="4" spans="1:11" ht="22.5" customHeight="1" x14ac:dyDescent="0.3">
      <c r="A4" s="1010" t="s">
        <v>16</v>
      </c>
      <c r="B4" s="1010"/>
      <c r="C4" s="1010"/>
      <c r="D4" s="1010"/>
      <c r="E4" s="1010"/>
      <c r="F4" s="1010"/>
      <c r="G4" s="1010"/>
      <c r="H4" s="1010"/>
      <c r="I4" s="1010"/>
      <c r="J4" s="1010"/>
      <c r="K4" s="1010"/>
    </row>
    <row r="5" spans="1:11" ht="21" customHeight="1" x14ac:dyDescent="0.3">
      <c r="A5" s="10" t="s">
        <v>17</v>
      </c>
      <c r="B5" s="31">
        <f>'CoP-MoF'!D24/A</f>
        <v>0.3</v>
      </c>
      <c r="C5" s="32">
        <f>'CoP-MoF'!D22/A</f>
        <v>0.2</v>
      </c>
      <c r="D5" s="10"/>
      <c r="E5" s="10"/>
      <c r="F5" s="10"/>
      <c r="G5" s="10"/>
      <c r="H5" s="10"/>
      <c r="I5" s="10"/>
      <c r="J5" s="10"/>
      <c r="K5" s="10"/>
    </row>
    <row r="6" spans="1:11" ht="18.75" customHeight="1" x14ac:dyDescent="0.3">
      <c r="A6" s="10" t="s">
        <v>413</v>
      </c>
      <c r="B6" s="32">
        <f>'P &amp; L'!C33+'P &amp; L'!C28</f>
        <v>0</v>
      </c>
      <c r="C6" s="32">
        <f>'P &amp; L'!D33+'P &amp; L'!D28</f>
        <v>0</v>
      </c>
      <c r="D6" s="32">
        <f>'P &amp; L'!E33+'P &amp; L'!E28</f>
        <v>0</v>
      </c>
      <c r="E6" s="32">
        <f>'P &amp; L'!F33+'P &amp; L'!F28</f>
        <v>3659.7573925288807</v>
      </c>
      <c r="F6" s="32">
        <f>'P &amp; L'!G33+'P &amp; L'!G28</f>
        <v>6238.1767314088238</v>
      </c>
      <c r="G6" s="32">
        <f>'P &amp; L'!H33+'P &amp; L'!H28</f>
        <v>8479.288280864188</v>
      </c>
      <c r="H6" s="32">
        <f>'P &amp; L'!I33+'P &amp; L'!I28</f>
        <v>9369.2717867480551</v>
      </c>
      <c r="I6" s="32" t="e">
        <f>'P &amp; L'!#REF!+'P &amp; L'!#REF!</f>
        <v>#REF!</v>
      </c>
      <c r="J6" s="32" t="e">
        <f>'P &amp; L'!#REF!+'P &amp; L'!#REF!</f>
        <v>#REF!</v>
      </c>
      <c r="K6" s="32" t="e">
        <f>'P &amp; L'!#REF!+'P &amp; L'!#REF!</f>
        <v>#REF!</v>
      </c>
    </row>
    <row r="7" spans="1:11" ht="18.75" customHeight="1" x14ac:dyDescent="0.3">
      <c r="A7" s="10" t="s">
        <v>416</v>
      </c>
      <c r="B7" s="32" t="e">
        <f>'Cash Flow'!#REF!</f>
        <v>#REF!</v>
      </c>
      <c r="C7" s="32" t="e">
        <f>'Cash Flow'!#REF!</f>
        <v>#REF!</v>
      </c>
      <c r="D7" s="32">
        <f>'Cash Flow'!C18</f>
        <v>0</v>
      </c>
      <c r="E7" s="32">
        <f>'Cash Flow'!D18</f>
        <v>0</v>
      </c>
      <c r="F7" s="32">
        <f>'Cash Flow'!E18</f>
        <v>0</v>
      </c>
      <c r="G7" s="32">
        <f>'Cash Flow'!F18</f>
        <v>0</v>
      </c>
      <c r="H7" s="32">
        <f>'Cash Flow'!G18</f>
        <v>0</v>
      </c>
      <c r="I7" s="32"/>
      <c r="J7" s="32"/>
      <c r="K7" s="32"/>
    </row>
    <row r="8" spans="1:11" ht="18.75" customHeight="1" x14ac:dyDescent="0.3">
      <c r="A8" s="10" t="s">
        <v>414</v>
      </c>
      <c r="B8" s="32" t="e">
        <f>+B6+B7</f>
        <v>#REF!</v>
      </c>
      <c r="C8" s="32" t="e">
        <f t="shared" ref="C8:H8" si="0">B8+C6+C7</f>
        <v>#REF!</v>
      </c>
      <c r="D8" s="32" t="e">
        <f t="shared" si="0"/>
        <v>#REF!</v>
      </c>
      <c r="E8" s="32" t="e">
        <f t="shared" si="0"/>
        <v>#REF!</v>
      </c>
      <c r="F8" s="32" t="e">
        <f t="shared" si="0"/>
        <v>#REF!</v>
      </c>
      <c r="G8" s="32" t="e">
        <f t="shared" si="0"/>
        <v>#REF!</v>
      </c>
      <c r="H8" s="32" t="e">
        <f t="shared" si="0"/>
        <v>#REF!</v>
      </c>
      <c r="I8" s="32" t="e">
        <f t="shared" ref="I8:K8" si="1">H8+I6</f>
        <v>#REF!</v>
      </c>
      <c r="J8" s="32" t="e">
        <f t="shared" si="1"/>
        <v>#REF!</v>
      </c>
      <c r="K8" s="32" t="e">
        <f t="shared" si="1"/>
        <v>#REF!</v>
      </c>
    </row>
    <row r="9" spans="1:11" ht="18.75" customHeight="1" x14ac:dyDescent="0.3">
      <c r="A9" s="10" t="s">
        <v>248</v>
      </c>
      <c r="B9" s="10"/>
      <c r="C9" s="32" t="e">
        <f>((C5-D8)/E6)+3</f>
        <v>#REF!</v>
      </c>
      <c r="D9" s="33" t="e">
        <f>((B5-D8)/E6)+3</f>
        <v>#REF!</v>
      </c>
      <c r="E9" s="10"/>
      <c r="F9" s="10"/>
      <c r="G9" s="10"/>
      <c r="H9" s="10"/>
      <c r="I9" s="10"/>
      <c r="J9" s="10"/>
      <c r="K9" s="10"/>
    </row>
    <row r="10" spans="1:11" ht="18.75" customHeight="1" x14ac:dyDescent="0.3">
      <c r="A10" s="1010" t="s">
        <v>18</v>
      </c>
      <c r="B10" s="1012"/>
      <c r="C10" s="1012"/>
      <c r="D10" s="1012"/>
      <c r="E10" s="1012"/>
      <c r="F10" s="1012"/>
      <c r="G10" s="1012"/>
      <c r="H10" s="1012"/>
      <c r="I10" s="1012"/>
      <c r="J10" s="1012"/>
      <c r="K10" s="1012"/>
    </row>
    <row r="11" spans="1:11" ht="21" customHeight="1" x14ac:dyDescent="0.3">
      <c r="A11" s="10" t="s">
        <v>252</v>
      </c>
      <c r="B11" s="34">
        <f>B5</f>
        <v>0.3</v>
      </c>
      <c r="C11" s="10"/>
      <c r="D11" s="10"/>
      <c r="E11" s="10"/>
      <c r="F11" s="10"/>
      <c r="G11" s="10"/>
      <c r="H11" s="10"/>
      <c r="I11" s="10"/>
      <c r="J11" s="10"/>
      <c r="K11" s="10"/>
    </row>
    <row r="12" spans="1:11" ht="18.75" customHeight="1" x14ac:dyDescent="0.3">
      <c r="A12" s="10" t="s">
        <v>413</v>
      </c>
      <c r="B12" s="32" t="e">
        <f>B6+B7</f>
        <v>#REF!</v>
      </c>
      <c r="C12" s="32" t="e">
        <f t="shared" ref="C12:K12" si="2">C6+C7</f>
        <v>#REF!</v>
      </c>
      <c r="D12" s="32">
        <f t="shared" si="2"/>
        <v>0</v>
      </c>
      <c r="E12" s="32">
        <f t="shared" si="2"/>
        <v>3659.7573925288807</v>
      </c>
      <c r="F12" s="32">
        <f t="shared" si="2"/>
        <v>6238.1767314088238</v>
      </c>
      <c r="G12" s="32">
        <f t="shared" si="2"/>
        <v>8479.288280864188</v>
      </c>
      <c r="H12" s="32">
        <f t="shared" si="2"/>
        <v>9369.2717867480551</v>
      </c>
      <c r="I12" s="32" t="e">
        <f t="shared" si="2"/>
        <v>#REF!</v>
      </c>
      <c r="J12" s="32" t="e">
        <f t="shared" si="2"/>
        <v>#REF!</v>
      </c>
      <c r="K12" s="32" t="e">
        <f t="shared" si="2"/>
        <v>#REF!</v>
      </c>
    </row>
    <row r="13" spans="1:11" ht="18.75" customHeight="1" x14ac:dyDescent="0.3">
      <c r="A13" s="41" t="s">
        <v>415</v>
      </c>
      <c r="B13" s="31" t="e">
        <f>B12-B11</f>
        <v>#REF!</v>
      </c>
      <c r="C13" s="31" t="e">
        <f t="shared" ref="C13:K13" si="3">C12-C11</f>
        <v>#REF!</v>
      </c>
      <c r="D13" s="31">
        <f t="shared" si="3"/>
        <v>0</v>
      </c>
      <c r="E13" s="31">
        <f t="shared" si="3"/>
        <v>3659.7573925288807</v>
      </c>
      <c r="F13" s="31">
        <f t="shared" si="3"/>
        <v>6238.1767314088238</v>
      </c>
      <c r="G13" s="31">
        <f t="shared" si="3"/>
        <v>8479.288280864188</v>
      </c>
      <c r="H13" s="31">
        <f t="shared" si="3"/>
        <v>9369.2717867480551</v>
      </c>
      <c r="I13" s="31" t="e">
        <f t="shared" si="3"/>
        <v>#REF!</v>
      </c>
      <c r="J13" s="31" t="e">
        <f t="shared" si="3"/>
        <v>#REF!</v>
      </c>
      <c r="K13" s="31" t="e">
        <f t="shared" si="3"/>
        <v>#REF!</v>
      </c>
    </row>
    <row r="14" spans="1:11" ht="18.75" customHeight="1" x14ac:dyDescent="0.3">
      <c r="A14" s="14" t="s">
        <v>255</v>
      </c>
      <c r="B14" s="10"/>
      <c r="C14" s="10"/>
      <c r="D14" s="10"/>
      <c r="E14" s="10"/>
      <c r="F14" s="10"/>
      <c r="G14" s="10"/>
      <c r="H14" s="42" t="e">
        <f>IRR(#REF!)</f>
        <v>#REF!</v>
      </c>
      <c r="I14" s="10"/>
      <c r="J14" s="10"/>
      <c r="K14" s="42" t="e">
        <f>IRR(B13:K13)</f>
        <v>#VALUE!</v>
      </c>
    </row>
    <row r="15" spans="1:11" ht="18.75" hidden="1" customHeight="1" x14ac:dyDescent="0.35">
      <c r="A15" s="1010" t="s">
        <v>23</v>
      </c>
      <c r="B15" s="1013"/>
      <c r="C15" s="1013"/>
      <c r="D15" s="1013"/>
      <c r="E15" s="1013"/>
      <c r="F15" s="1013"/>
      <c r="G15" s="1013"/>
      <c r="H15" s="1013"/>
      <c r="I15" s="1013"/>
      <c r="J15" s="1013"/>
      <c r="K15" s="1013"/>
    </row>
    <row r="16" spans="1:11" ht="18.75" hidden="1" customHeight="1" x14ac:dyDescent="0.3">
      <c r="A16" s="10" t="s">
        <v>24</v>
      </c>
      <c r="B16" s="7"/>
      <c r="C16" s="7"/>
      <c r="D16" s="7"/>
      <c r="E16" s="7"/>
      <c r="F16" s="7"/>
      <c r="G16" s="7"/>
      <c r="H16" s="7"/>
      <c r="I16" s="7"/>
      <c r="J16" s="7"/>
      <c r="K16" s="7"/>
    </row>
    <row r="17" spans="1:11" ht="18.75" hidden="1" customHeight="1" x14ac:dyDescent="0.3">
      <c r="A17" s="10" t="s">
        <v>19</v>
      </c>
      <c r="B17" s="7"/>
      <c r="C17" s="7"/>
      <c r="D17" s="7"/>
      <c r="E17" s="7"/>
      <c r="F17" s="7"/>
      <c r="G17" s="7"/>
      <c r="H17" s="7"/>
      <c r="I17" s="7"/>
      <c r="J17" s="7"/>
      <c r="K17" s="7"/>
    </row>
    <row r="18" spans="1:11" ht="18.75" hidden="1" customHeight="1" x14ac:dyDescent="0.3">
      <c r="A18" s="10" t="s">
        <v>20</v>
      </c>
      <c r="B18" s="7"/>
      <c r="C18" s="7"/>
      <c r="D18" s="7"/>
      <c r="E18" s="7"/>
      <c r="F18" s="7"/>
      <c r="G18" s="7"/>
      <c r="H18" s="7"/>
      <c r="I18" s="7"/>
      <c r="J18" s="7"/>
      <c r="K18" s="7"/>
    </row>
    <row r="19" spans="1:11" ht="18.75" hidden="1" customHeight="1" x14ac:dyDescent="0.3">
      <c r="A19" s="10" t="s">
        <v>22</v>
      </c>
      <c r="B19" s="7"/>
      <c r="C19" s="7"/>
      <c r="D19" s="7"/>
      <c r="E19" s="7"/>
      <c r="F19" s="7"/>
      <c r="G19" s="7"/>
      <c r="H19" s="7"/>
      <c r="I19" s="7"/>
      <c r="J19" s="7"/>
      <c r="K19" s="7"/>
    </row>
    <row r="20" spans="1:11" ht="18.75" hidden="1" customHeight="1" x14ac:dyDescent="0.3">
      <c r="A20" s="10" t="s">
        <v>21</v>
      </c>
      <c r="B20" s="7"/>
      <c r="C20" s="7"/>
      <c r="D20" s="7"/>
      <c r="E20" s="7"/>
      <c r="F20" s="7"/>
      <c r="G20" s="7"/>
      <c r="H20" s="7"/>
      <c r="I20" s="7"/>
      <c r="J20" s="7"/>
      <c r="K20" s="7"/>
    </row>
    <row r="21" spans="1:11" ht="18.75" hidden="1" customHeight="1" x14ac:dyDescent="0.3">
      <c r="A21" s="3"/>
    </row>
    <row r="22" spans="1:11" ht="18.75" customHeight="1" x14ac:dyDescent="0.3">
      <c r="A22" s="3"/>
    </row>
    <row r="23" spans="1:11" ht="18.75" customHeight="1" x14ac:dyDescent="0.3"/>
    <row r="24" spans="1:11" ht="18.75" customHeight="1" x14ac:dyDescent="0.3"/>
    <row r="25" spans="1:11" ht="18.75" customHeight="1" x14ac:dyDescent="0.3"/>
  </sheetData>
  <customSheetViews>
    <customSheetView guid="{22475485-DA09-46DB-978D-BB94CE1E5597}" hiddenRows="1">
      <selection activeCell="D25" sqref="D25"/>
      <pageMargins left="0.7" right="0.7" top="0.75" bottom="0.75" header="0.3" footer="0.3"/>
      <pageSetup paperSize="9" orientation="landscape" verticalDpi="300" r:id="rId1"/>
    </customSheetView>
  </customSheetViews>
  <mergeCells count="5">
    <mergeCell ref="A1:K1"/>
    <mergeCell ref="A4:K4"/>
    <mergeCell ref="A3:K3"/>
    <mergeCell ref="A10:K10"/>
    <mergeCell ref="A15:K15"/>
  </mergeCells>
  <pageMargins left="0.7" right="0.7" top="0.75" bottom="0.75" header="0.3" footer="0.3"/>
  <pageSetup paperSize="9" orientation="landscape" verticalDpi="3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B2:Q37"/>
  <sheetViews>
    <sheetView view="pageBreakPreview" topLeftCell="A8" zoomScaleSheetLayoutView="100" workbookViewId="0">
      <selection activeCell="D31" sqref="D31"/>
    </sheetView>
  </sheetViews>
  <sheetFormatPr defaultColWidth="8.81640625" defaultRowHeight="14.5" x14ac:dyDescent="0.35"/>
  <cols>
    <col min="5" max="5" width="11.1796875" bestFit="1" customWidth="1"/>
    <col min="6" max="6" width="17.81640625" customWidth="1"/>
  </cols>
  <sheetData>
    <row r="2" spans="2:17" x14ac:dyDescent="0.35">
      <c r="B2" t="s">
        <v>254</v>
      </c>
    </row>
    <row r="3" spans="2:17" x14ac:dyDescent="0.35">
      <c r="C3" s="24" t="s">
        <v>245</v>
      </c>
      <c r="D3" s="24" t="s">
        <v>247</v>
      </c>
      <c r="E3" s="24" t="s">
        <v>249</v>
      </c>
      <c r="F3" s="24" t="s">
        <v>250</v>
      </c>
    </row>
    <row r="4" spans="2:17" x14ac:dyDescent="0.35">
      <c r="C4" s="24"/>
      <c r="D4" s="24"/>
      <c r="E4" s="25">
        <v>0.12</v>
      </c>
      <c r="F4" s="24"/>
    </row>
    <row r="5" spans="2:17" x14ac:dyDescent="0.35">
      <c r="C5" s="24">
        <v>1</v>
      </c>
      <c r="D5" s="40" t="e">
        <f t="array" ref="D5:D14">TRANSPOSE('PBP-IRR'!B12:K12)</f>
        <v>#REF!</v>
      </c>
      <c r="E5" s="26">
        <f>(1/(1+$E$4))^C5</f>
        <v>0.89285714285714279</v>
      </c>
      <c r="F5" s="26" t="e">
        <f>E5*D5</f>
        <v>#REF!</v>
      </c>
      <c r="G5" s="23"/>
      <c r="H5" s="23"/>
      <c r="I5" s="23"/>
      <c r="J5" s="23"/>
      <c r="K5" s="23"/>
      <c r="L5" s="23"/>
      <c r="M5" s="23"/>
      <c r="N5" s="23"/>
      <c r="O5" s="23"/>
      <c r="P5" s="23"/>
      <c r="Q5" s="23"/>
    </row>
    <row r="6" spans="2:17" x14ac:dyDescent="0.35">
      <c r="C6" s="24">
        <f>C5+1</f>
        <v>2</v>
      </c>
      <c r="D6" s="40" t="e">
        <v>#REF!</v>
      </c>
      <c r="E6" s="26">
        <f t="shared" ref="E6:E14" si="0">(1/(1+$E$4))^C6</f>
        <v>0.79719387755102034</v>
      </c>
      <c r="F6" s="26" t="e">
        <f t="shared" ref="F6:F14" si="1">E6*D6</f>
        <v>#REF!</v>
      </c>
    </row>
    <row r="7" spans="2:17" x14ac:dyDescent="0.35">
      <c r="C7" s="24">
        <f t="shared" ref="C7:C14" si="2">C6+1</f>
        <v>3</v>
      </c>
      <c r="D7" s="40">
        <v>0</v>
      </c>
      <c r="E7" s="26">
        <f t="shared" si="0"/>
        <v>0.71178024781341098</v>
      </c>
      <c r="F7" s="26">
        <f t="shared" si="1"/>
        <v>0</v>
      </c>
    </row>
    <row r="8" spans="2:17" x14ac:dyDescent="0.35">
      <c r="C8" s="24">
        <f t="shared" si="2"/>
        <v>4</v>
      </c>
      <c r="D8" s="40">
        <v>3659.7573925288807</v>
      </c>
      <c r="E8" s="26">
        <f t="shared" si="0"/>
        <v>0.63551807840483121</v>
      </c>
      <c r="F8" s="26">
        <f t="shared" si="1"/>
        <v>2325.8419855278298</v>
      </c>
    </row>
    <row r="9" spans="2:17" x14ac:dyDescent="0.35">
      <c r="C9" s="24">
        <f t="shared" si="2"/>
        <v>5</v>
      </c>
      <c r="D9" s="40">
        <v>6238.1767314088238</v>
      </c>
      <c r="E9" s="26">
        <f t="shared" si="0"/>
        <v>0.5674268557185993</v>
      </c>
      <c r="F9" s="26">
        <f t="shared" si="1"/>
        <v>3539.7090081202382</v>
      </c>
    </row>
    <row r="10" spans="2:17" x14ac:dyDescent="0.35">
      <c r="C10" s="24">
        <f t="shared" si="2"/>
        <v>6</v>
      </c>
      <c r="D10" s="40">
        <v>8479.288280864188</v>
      </c>
      <c r="E10" s="26">
        <f t="shared" si="0"/>
        <v>0.50663112117732079</v>
      </c>
      <c r="F10" s="26">
        <f t="shared" si="1"/>
        <v>4295.8713285199401</v>
      </c>
    </row>
    <row r="11" spans="2:17" x14ac:dyDescent="0.35">
      <c r="C11" s="24">
        <f t="shared" si="2"/>
        <v>7</v>
      </c>
      <c r="D11" s="40">
        <v>9369.2717867480551</v>
      </c>
      <c r="E11" s="26">
        <f t="shared" si="0"/>
        <v>0.45234921533689348</v>
      </c>
      <c r="F11" s="26">
        <f t="shared" si="1"/>
        <v>4238.1827410135766</v>
      </c>
    </row>
    <row r="12" spans="2:17" x14ac:dyDescent="0.35">
      <c r="C12" s="24">
        <f t="shared" si="2"/>
        <v>8</v>
      </c>
      <c r="D12" s="40" t="e">
        <v>#REF!</v>
      </c>
      <c r="E12" s="26">
        <f t="shared" si="0"/>
        <v>0.40388322797936921</v>
      </c>
      <c r="F12" s="26" t="e">
        <f t="shared" si="1"/>
        <v>#REF!</v>
      </c>
    </row>
    <row r="13" spans="2:17" x14ac:dyDescent="0.35">
      <c r="C13" s="24">
        <f t="shared" si="2"/>
        <v>9</v>
      </c>
      <c r="D13" s="40" t="e">
        <v>#REF!</v>
      </c>
      <c r="E13" s="26">
        <f t="shared" si="0"/>
        <v>0.36061002498157962</v>
      </c>
      <c r="F13" s="26" t="e">
        <f t="shared" si="1"/>
        <v>#REF!</v>
      </c>
    </row>
    <row r="14" spans="2:17" x14ac:dyDescent="0.35">
      <c r="C14" s="24">
        <f t="shared" si="2"/>
        <v>10</v>
      </c>
      <c r="D14" s="40" t="e">
        <v>#REF!</v>
      </c>
      <c r="E14" s="26">
        <f t="shared" si="0"/>
        <v>0.3219732365906961</v>
      </c>
      <c r="F14" s="26" t="e">
        <f t="shared" si="1"/>
        <v>#REF!</v>
      </c>
    </row>
    <row r="15" spans="2:17" x14ac:dyDescent="0.35">
      <c r="C15" s="24"/>
      <c r="D15" s="24"/>
      <c r="E15" s="24"/>
      <c r="F15" s="24"/>
    </row>
    <row r="16" spans="2:17" x14ac:dyDescent="0.35">
      <c r="C16" s="24"/>
      <c r="D16" s="24"/>
      <c r="E16" s="24" t="s">
        <v>251</v>
      </c>
      <c r="F16" s="39" t="e">
        <f>SUM(F5:F15)</f>
        <v>#REF!</v>
      </c>
    </row>
    <row r="17" spans="2:6" x14ac:dyDescent="0.35">
      <c r="C17" s="24"/>
      <c r="D17" s="24" t="s">
        <v>253</v>
      </c>
      <c r="E17" s="24" t="s">
        <v>252</v>
      </c>
      <c r="F17" s="39" t="e">
        <f>('CoP-MoF'!D5+'CoP-MoF'!D7+'CoP-MoF'!#REF!)/A</f>
        <v>#REF!</v>
      </c>
    </row>
    <row r="18" spans="2:6" x14ac:dyDescent="0.35">
      <c r="C18" s="24"/>
      <c r="D18" s="24"/>
      <c r="E18" s="24" t="s">
        <v>254</v>
      </c>
      <c r="F18" s="39" t="e">
        <f>F16-F17</f>
        <v>#REF!</v>
      </c>
    </row>
    <row r="21" spans="2:6" x14ac:dyDescent="0.35">
      <c r="B21" t="s">
        <v>255</v>
      </c>
    </row>
    <row r="22" spans="2:6" x14ac:dyDescent="0.35">
      <c r="C22" s="24" t="s">
        <v>245</v>
      </c>
      <c r="D22" s="24" t="s">
        <v>247</v>
      </c>
      <c r="E22" s="24" t="s">
        <v>249</v>
      </c>
      <c r="F22" s="24" t="s">
        <v>250</v>
      </c>
    </row>
    <row r="23" spans="2:6" x14ac:dyDescent="0.35">
      <c r="C23" s="24"/>
      <c r="D23" s="24"/>
      <c r="E23" s="43">
        <v>0.16869999999999999</v>
      </c>
      <c r="F23" s="24"/>
    </row>
    <row r="24" spans="2:6" x14ac:dyDescent="0.35">
      <c r="C24" s="24">
        <v>1</v>
      </c>
      <c r="D24" s="39" t="e">
        <f>D5</f>
        <v>#REF!</v>
      </c>
      <c r="E24" s="26">
        <f>(1/(1+$E$23))^C24</f>
        <v>0.85565157867716257</v>
      </c>
      <c r="F24" s="26" t="e">
        <f>E24*D24</f>
        <v>#REF!</v>
      </c>
    </row>
    <row r="25" spans="2:6" x14ac:dyDescent="0.35">
      <c r="C25" s="24">
        <f>C24+1</f>
        <v>2</v>
      </c>
      <c r="D25" s="39" t="e">
        <f t="shared" ref="D25:D30" si="3">D6</f>
        <v>#REF!</v>
      </c>
      <c r="E25" s="26">
        <f t="shared" ref="E25:E30" si="4">(1/(1+$E$23))^C25</f>
        <v>0.73213962409272049</v>
      </c>
      <c r="F25" s="26" t="e">
        <f t="shared" ref="F25:F30" si="5">E25*D25</f>
        <v>#REF!</v>
      </c>
    </row>
    <row r="26" spans="2:6" x14ac:dyDescent="0.35">
      <c r="C26" s="24">
        <f t="shared" ref="C26:C30" si="6">C25+1</f>
        <v>3</v>
      </c>
      <c r="D26" s="39">
        <f t="shared" si="3"/>
        <v>0</v>
      </c>
      <c r="E26" s="26">
        <f t="shared" si="4"/>
        <v>0.6264564251670407</v>
      </c>
      <c r="F26" s="26">
        <f t="shared" si="5"/>
        <v>0</v>
      </c>
    </row>
    <row r="27" spans="2:6" x14ac:dyDescent="0.35">
      <c r="C27" s="24">
        <f t="shared" si="6"/>
        <v>4</v>
      </c>
      <c r="D27" s="39">
        <f t="shared" si="3"/>
        <v>3659.7573925288807</v>
      </c>
      <c r="E27" s="26">
        <f t="shared" si="4"/>
        <v>0.53602842916663007</v>
      </c>
      <c r="F27" s="26">
        <f t="shared" si="5"/>
        <v>1961.7340062482178</v>
      </c>
    </row>
    <row r="28" spans="2:6" x14ac:dyDescent="0.35">
      <c r="C28" s="24">
        <f t="shared" si="6"/>
        <v>5</v>
      </c>
      <c r="D28" s="39">
        <f t="shared" si="3"/>
        <v>6238.1767314088238</v>
      </c>
      <c r="E28" s="26">
        <f t="shared" si="4"/>
        <v>0.45865357163226661</v>
      </c>
      <c r="F28" s="26">
        <f t="shared" si="5"/>
        <v>2861.1620383339559</v>
      </c>
    </row>
    <row r="29" spans="2:6" x14ac:dyDescent="0.35">
      <c r="C29" s="24">
        <f t="shared" si="6"/>
        <v>6</v>
      </c>
      <c r="D29" s="39">
        <f t="shared" si="3"/>
        <v>8479.288280864188</v>
      </c>
      <c r="E29" s="26">
        <f t="shared" si="4"/>
        <v>0.39244765263306797</v>
      </c>
      <c r="F29" s="26">
        <f t="shared" si="5"/>
        <v>3327.6767818242329</v>
      </c>
    </row>
    <row r="30" spans="2:6" x14ac:dyDescent="0.35">
      <c r="C30" s="24">
        <f t="shared" si="6"/>
        <v>7</v>
      </c>
      <c r="D30" s="39">
        <f t="shared" si="3"/>
        <v>9369.2717867480551</v>
      </c>
      <c r="E30" s="26">
        <f t="shared" si="4"/>
        <v>0.33579845352363136</v>
      </c>
      <c r="F30" s="26">
        <f t="shared" si="5"/>
        <v>3146.1869766325872</v>
      </c>
    </row>
    <row r="31" spans="2:6" x14ac:dyDescent="0.35">
      <c r="C31" s="24"/>
      <c r="D31" s="39"/>
      <c r="E31" s="26"/>
      <c r="F31" s="26"/>
    </row>
    <row r="32" spans="2:6" x14ac:dyDescent="0.35">
      <c r="C32" s="24"/>
      <c r="D32" s="39"/>
      <c r="E32" s="26"/>
      <c r="F32" s="26"/>
    </row>
    <row r="33" spans="3:6" x14ac:dyDescent="0.35">
      <c r="C33" s="24"/>
      <c r="D33" s="39"/>
      <c r="E33" s="26"/>
      <c r="F33" s="26"/>
    </row>
    <row r="34" spans="3:6" x14ac:dyDescent="0.35">
      <c r="C34" s="24"/>
      <c r="D34" s="24"/>
      <c r="E34" s="24"/>
      <c r="F34" s="24"/>
    </row>
    <row r="35" spans="3:6" x14ac:dyDescent="0.35">
      <c r="C35" s="24"/>
      <c r="D35" s="24"/>
      <c r="E35" s="24" t="s">
        <v>251</v>
      </c>
      <c r="F35" s="39" t="e">
        <f>SUM(F24:F34)</f>
        <v>#REF!</v>
      </c>
    </row>
    <row r="36" spans="3:6" x14ac:dyDescent="0.35">
      <c r="C36" s="24"/>
      <c r="D36" s="24" t="s">
        <v>253</v>
      </c>
      <c r="E36" s="24" t="s">
        <v>252</v>
      </c>
      <c r="F36" s="39" t="e">
        <f>F17</f>
        <v>#REF!</v>
      </c>
    </row>
    <row r="37" spans="3:6" x14ac:dyDescent="0.35">
      <c r="C37" s="24"/>
      <c r="D37" s="24"/>
      <c r="E37" s="24" t="s">
        <v>254</v>
      </c>
      <c r="F37" s="39" t="e">
        <f>F35-F36</f>
        <v>#REF!</v>
      </c>
    </row>
  </sheetData>
  <customSheetViews>
    <customSheetView guid="{22475485-DA09-46DB-978D-BB94CE1E5597}" showPageBreaks="1" view="pageBreakPreview" topLeftCell="A27">
      <selection activeCell="E50" sqref="E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F72"/>
  <sheetViews>
    <sheetView zoomScale="120" zoomScaleNormal="120" workbookViewId="0">
      <selection activeCell="C2" sqref="C2"/>
    </sheetView>
  </sheetViews>
  <sheetFormatPr defaultColWidth="13" defaultRowHeight="14" x14ac:dyDescent="0.35"/>
  <cols>
    <col min="1" max="1" width="7.26953125" style="12" customWidth="1"/>
    <col min="2" max="2" width="46.81640625" style="5" customWidth="1"/>
    <col min="3" max="3" width="17.1796875" style="12" customWidth="1"/>
    <col min="4" max="4" width="14.81640625" style="12" customWidth="1"/>
    <col min="5" max="9" width="13" style="12"/>
    <col min="10" max="10" width="13.26953125" style="12" customWidth="1"/>
    <col min="11" max="16384" width="13" style="12"/>
  </cols>
  <sheetData>
    <row r="1" spans="1:6" ht="24" customHeight="1" x14ac:dyDescent="0.35">
      <c r="A1" s="1008" t="s">
        <v>187</v>
      </c>
      <c r="B1" s="1008"/>
      <c r="C1" s="1008"/>
      <c r="D1" s="1008"/>
    </row>
    <row r="2" spans="1:6" s="4" customFormat="1" ht="20.25" customHeight="1" x14ac:dyDescent="0.35">
      <c r="A2" s="16" t="s">
        <v>0</v>
      </c>
      <c r="B2" s="22" t="s">
        <v>188</v>
      </c>
      <c r="C2" s="16" t="s">
        <v>2</v>
      </c>
      <c r="D2" s="16" t="s">
        <v>3</v>
      </c>
    </row>
    <row r="3" spans="1:6" ht="21.75" customHeight="1" x14ac:dyDescent="0.35">
      <c r="A3" s="18" t="s">
        <v>67</v>
      </c>
      <c r="B3" s="1011" t="s">
        <v>189</v>
      </c>
      <c r="C3" s="1014"/>
      <c r="D3" s="1014"/>
    </row>
    <row r="4" spans="1:6" s="6" customFormat="1" ht="20.25" customHeight="1" x14ac:dyDescent="0.35">
      <c r="A4" s="19">
        <v>1</v>
      </c>
      <c r="B4" s="20" t="s">
        <v>190</v>
      </c>
      <c r="C4" s="21">
        <v>10000</v>
      </c>
      <c r="D4" s="19" t="s">
        <v>139</v>
      </c>
      <c r="F4" s="17"/>
    </row>
    <row r="5" spans="1:6" s="6" customFormat="1" ht="20.25" customHeight="1" x14ac:dyDescent="0.35">
      <c r="A5" s="19">
        <v>2</v>
      </c>
      <c r="B5" s="20" t="s">
        <v>191</v>
      </c>
      <c r="C5" s="21">
        <v>4070</v>
      </c>
      <c r="D5" s="19" t="s">
        <v>239</v>
      </c>
      <c r="F5" s="17"/>
    </row>
    <row r="6" spans="1:6" s="6" customFormat="1" ht="20.25" customHeight="1" x14ac:dyDescent="0.35">
      <c r="A6" s="19">
        <v>3</v>
      </c>
      <c r="B6" s="20" t="s">
        <v>192</v>
      </c>
      <c r="C6" s="21">
        <v>7000</v>
      </c>
      <c r="D6" s="19" t="s">
        <v>239</v>
      </c>
      <c r="F6" s="17"/>
    </row>
    <row r="7" spans="1:6" s="6" customFormat="1" ht="20.25" customHeight="1" x14ac:dyDescent="0.35">
      <c r="A7" s="19">
        <v>4</v>
      </c>
      <c r="B7" s="20" t="s">
        <v>124</v>
      </c>
      <c r="C7" s="21">
        <v>40000</v>
      </c>
      <c r="D7" s="19" t="s">
        <v>239</v>
      </c>
      <c r="F7" s="17"/>
    </row>
    <row r="8" spans="1:6" s="6" customFormat="1" ht="20.25" customHeight="1" x14ac:dyDescent="0.35">
      <c r="A8" s="19">
        <v>5</v>
      </c>
      <c r="B8" s="20" t="s">
        <v>125</v>
      </c>
      <c r="C8" s="21">
        <v>39700</v>
      </c>
      <c r="D8" s="19" t="s">
        <v>240</v>
      </c>
      <c r="F8" s="17"/>
    </row>
    <row r="9" spans="1:6" s="6" customFormat="1" ht="20.25" customHeight="1" x14ac:dyDescent="0.35">
      <c r="A9" s="19">
        <v>6</v>
      </c>
      <c r="B9" s="20" t="s">
        <v>193</v>
      </c>
      <c r="C9" s="21">
        <v>300</v>
      </c>
      <c r="D9" s="19" t="s">
        <v>179</v>
      </c>
      <c r="F9" s="17"/>
    </row>
    <row r="10" spans="1:6" s="6" customFormat="1" ht="20.25" customHeight="1" x14ac:dyDescent="0.35">
      <c r="A10" s="19">
        <v>7</v>
      </c>
      <c r="B10" s="20" t="s">
        <v>137</v>
      </c>
      <c r="C10" s="21">
        <v>1</v>
      </c>
      <c r="D10" s="19"/>
      <c r="F10" s="17"/>
    </row>
    <row r="11" spans="1:6" ht="21.75" customHeight="1" x14ac:dyDescent="0.35">
      <c r="A11" s="18" t="s">
        <v>68</v>
      </c>
      <c r="B11" s="1011" t="s">
        <v>194</v>
      </c>
      <c r="C11" s="1014"/>
      <c r="D11" s="1014"/>
    </row>
    <row r="12" spans="1:6" s="6" customFormat="1" ht="20.25" customHeight="1" x14ac:dyDescent="0.35">
      <c r="A12" s="19">
        <v>1</v>
      </c>
      <c r="B12" s="20" t="s">
        <v>195</v>
      </c>
      <c r="C12" s="21">
        <f>'Det Assump'!D53</f>
        <v>18857.142857142859</v>
      </c>
      <c r="D12" s="19" t="s">
        <v>241</v>
      </c>
      <c r="F12" s="17"/>
    </row>
    <row r="13" spans="1:6" s="6" customFormat="1" ht="20.25" customHeight="1" x14ac:dyDescent="0.35">
      <c r="A13" s="19">
        <v>2</v>
      </c>
      <c r="B13" s="20" t="s">
        <v>196</v>
      </c>
      <c r="C13" s="21">
        <f>'Det Assump'!D54</f>
        <v>0</v>
      </c>
      <c r="D13" s="19" t="s">
        <v>241</v>
      </c>
      <c r="F13" s="17"/>
    </row>
    <row r="14" spans="1:6" s="6" customFormat="1" ht="20.25" customHeight="1" x14ac:dyDescent="0.35">
      <c r="A14" s="19">
        <v>3</v>
      </c>
      <c r="B14" s="20" t="s">
        <v>197</v>
      </c>
      <c r="C14" s="21" t="e">
        <f>'Det Assump'!#REF!</f>
        <v>#REF!</v>
      </c>
      <c r="D14" s="19" t="s">
        <v>241</v>
      </c>
      <c r="F14" s="17"/>
    </row>
    <row r="15" spans="1:6" s="6" customFormat="1" ht="20.25" customHeight="1" x14ac:dyDescent="0.35">
      <c r="A15" s="19">
        <v>4</v>
      </c>
      <c r="B15" s="20" t="s">
        <v>198</v>
      </c>
      <c r="C15" s="21" t="e">
        <f>Assump!#REF!</f>
        <v>#REF!</v>
      </c>
      <c r="D15" s="19" t="s">
        <v>179</v>
      </c>
      <c r="F15" s="17"/>
    </row>
    <row r="16" spans="1:6" s="6" customFormat="1" ht="20.25" customHeight="1" x14ac:dyDescent="0.35">
      <c r="A16" s="19">
        <v>5</v>
      </c>
      <c r="B16" s="20" t="s">
        <v>199</v>
      </c>
      <c r="C16" s="21">
        <f>C4*365</f>
        <v>3650000</v>
      </c>
      <c r="D16" s="19" t="s">
        <v>147</v>
      </c>
      <c r="F16" s="17"/>
    </row>
    <row r="17" spans="1:6" s="6" customFormat="1" ht="20.25" customHeight="1" x14ac:dyDescent="0.35">
      <c r="A17" s="19">
        <v>6</v>
      </c>
      <c r="B17" s="20" t="s">
        <v>200</v>
      </c>
      <c r="C17" s="21">
        <f>C5*365</f>
        <v>1485550</v>
      </c>
      <c r="D17" s="19" t="s">
        <v>147</v>
      </c>
      <c r="F17" s="17"/>
    </row>
    <row r="18" spans="1:6" s="6" customFormat="1" ht="20.25" customHeight="1" x14ac:dyDescent="0.35">
      <c r="A18" s="19">
        <v>7</v>
      </c>
      <c r="B18" s="20" t="s">
        <v>201</v>
      </c>
      <c r="C18" s="21">
        <f>C6*356</f>
        <v>2492000</v>
      </c>
      <c r="D18" s="19" t="s">
        <v>138</v>
      </c>
      <c r="F18" s="17"/>
    </row>
    <row r="19" spans="1:6" s="6" customFormat="1" ht="20.25" customHeight="1" x14ac:dyDescent="0.35">
      <c r="A19" s="19">
        <v>8</v>
      </c>
      <c r="B19" s="20" t="s">
        <v>202</v>
      </c>
      <c r="C19" s="21">
        <f>C7*365</f>
        <v>14600000</v>
      </c>
      <c r="D19" s="19" t="s">
        <v>138</v>
      </c>
      <c r="F19" s="17"/>
    </row>
    <row r="20" spans="1:6" s="6" customFormat="1" ht="20.25" customHeight="1" x14ac:dyDescent="0.35">
      <c r="A20" s="19">
        <v>9</v>
      </c>
      <c r="B20" s="20" t="s">
        <v>203</v>
      </c>
      <c r="C20" s="21">
        <f>C8*365/1000</f>
        <v>14490.5</v>
      </c>
      <c r="D20" s="19" t="s">
        <v>157</v>
      </c>
      <c r="F20" s="17"/>
    </row>
    <row r="21" spans="1:6" s="6" customFormat="1" ht="20.25" customHeight="1" x14ac:dyDescent="0.35">
      <c r="A21" s="19">
        <v>10</v>
      </c>
      <c r="B21" s="20" t="s">
        <v>131</v>
      </c>
      <c r="C21" s="21" t="e">
        <f>'Det Assump'!#REF!</f>
        <v>#REF!</v>
      </c>
      <c r="D21" s="19" t="s">
        <v>151</v>
      </c>
      <c r="F21" s="17"/>
    </row>
    <row r="22" spans="1:6" ht="21.75" customHeight="1" x14ac:dyDescent="0.35">
      <c r="A22" s="18" t="s">
        <v>70</v>
      </c>
      <c r="B22" s="1011" t="s">
        <v>204</v>
      </c>
      <c r="C22" s="1014"/>
      <c r="D22" s="1014"/>
    </row>
    <row r="23" spans="1:6" s="6" customFormat="1" ht="33" customHeight="1" x14ac:dyDescent="0.35">
      <c r="A23" s="19">
        <v>1</v>
      </c>
      <c r="B23" s="20" t="s">
        <v>205</v>
      </c>
      <c r="C23" s="21">
        <v>56</v>
      </c>
      <c r="D23" s="19" t="s">
        <v>145</v>
      </c>
      <c r="F23" s="17"/>
    </row>
    <row r="24" spans="1:6" s="6" customFormat="1" ht="33.75" customHeight="1" x14ac:dyDescent="0.35">
      <c r="A24" s="19">
        <v>2</v>
      </c>
      <c r="B24" s="20" t="s">
        <v>205</v>
      </c>
      <c r="C24" s="21">
        <v>8</v>
      </c>
      <c r="D24" s="19" t="s">
        <v>145</v>
      </c>
      <c r="F24" s="17"/>
    </row>
    <row r="25" spans="1:6" s="6" customFormat="1" ht="20.25" customHeight="1" x14ac:dyDescent="0.35">
      <c r="A25" s="19">
        <v>3</v>
      </c>
      <c r="B25" s="20" t="s">
        <v>206</v>
      </c>
      <c r="C25" s="21">
        <v>250</v>
      </c>
      <c r="D25" s="19" t="s">
        <v>158</v>
      </c>
      <c r="F25" s="17"/>
    </row>
    <row r="26" spans="1:6" s="6" customFormat="1" ht="20.25" customHeight="1" x14ac:dyDescent="0.35">
      <c r="A26" s="19">
        <v>4</v>
      </c>
      <c r="B26" s="20" t="s">
        <v>207</v>
      </c>
      <c r="C26" s="21">
        <v>1000</v>
      </c>
      <c r="D26" s="19" t="s">
        <v>242</v>
      </c>
      <c r="F26" s="17"/>
    </row>
    <row r="27" spans="1:6" s="6" customFormat="1" ht="20.25" customHeight="1" x14ac:dyDescent="0.35">
      <c r="A27" s="19">
        <v>5</v>
      </c>
      <c r="B27" s="20" t="s">
        <v>243</v>
      </c>
      <c r="C27" s="21">
        <v>500</v>
      </c>
      <c r="D27" s="19" t="s">
        <v>242</v>
      </c>
      <c r="F27" s="17"/>
    </row>
    <row r="28" spans="1:6" s="6" customFormat="1" ht="20.25" customHeight="1" x14ac:dyDescent="0.35">
      <c r="A28" s="19">
        <v>6</v>
      </c>
      <c r="B28" s="20" t="s">
        <v>208</v>
      </c>
      <c r="C28" s="21">
        <v>500</v>
      </c>
      <c r="D28" s="19" t="s">
        <v>242</v>
      </c>
      <c r="F28" s="17"/>
    </row>
    <row r="29" spans="1:6" s="6" customFormat="1" ht="20.25" customHeight="1" x14ac:dyDescent="0.35">
      <c r="A29" s="19">
        <v>7</v>
      </c>
      <c r="B29" s="20" t="s">
        <v>209</v>
      </c>
      <c r="C29" s="21">
        <v>20</v>
      </c>
      <c r="D29" s="19" t="s">
        <v>145</v>
      </c>
      <c r="F29" s="17"/>
    </row>
    <row r="30" spans="1:6" s="6" customFormat="1" ht="20.25" customHeight="1" x14ac:dyDescent="0.35">
      <c r="A30" s="19">
        <v>8</v>
      </c>
      <c r="B30" s="20" t="s">
        <v>210</v>
      </c>
      <c r="C30" s="21"/>
      <c r="D30" s="19"/>
      <c r="F30" s="17"/>
    </row>
    <row r="31" spans="1:6" s="6" customFormat="1" ht="20.25" customHeight="1" x14ac:dyDescent="0.35">
      <c r="A31" s="19">
        <v>9</v>
      </c>
      <c r="B31" s="20" t="s">
        <v>211</v>
      </c>
      <c r="C31" s="21"/>
      <c r="D31" s="19"/>
      <c r="F31" s="17"/>
    </row>
    <row r="32" spans="1:6" s="6" customFormat="1" ht="18" customHeight="1" x14ac:dyDescent="0.35">
      <c r="A32" s="1015"/>
      <c r="B32" s="1016"/>
      <c r="C32" s="1016"/>
      <c r="D32" s="1016"/>
      <c r="E32" s="1016"/>
      <c r="F32" s="17"/>
    </row>
    <row r="33" spans="1:6" ht="21.75" customHeight="1" x14ac:dyDescent="0.35">
      <c r="A33" s="18" t="s">
        <v>75</v>
      </c>
      <c r="B33" s="1011" t="s">
        <v>212</v>
      </c>
      <c r="C33" s="1014"/>
      <c r="D33" s="1014"/>
    </row>
    <row r="34" spans="1:6" s="6" customFormat="1" ht="18" customHeight="1" x14ac:dyDescent="0.35">
      <c r="A34" s="19" t="s">
        <v>72</v>
      </c>
      <c r="B34" s="15" t="s">
        <v>87</v>
      </c>
      <c r="C34" s="21"/>
      <c r="D34" s="19"/>
      <c r="F34" s="17"/>
    </row>
    <row r="35" spans="1:6" s="6" customFormat="1" ht="18" customHeight="1" x14ac:dyDescent="0.35">
      <c r="A35" s="19">
        <v>1</v>
      </c>
      <c r="B35" s="20" t="s">
        <v>213</v>
      </c>
      <c r="C35" s="21"/>
      <c r="D35" s="19"/>
      <c r="F35" s="17"/>
    </row>
    <row r="36" spans="1:6" s="6" customFormat="1" ht="18" customHeight="1" x14ac:dyDescent="0.35">
      <c r="A36" s="19">
        <v>2</v>
      </c>
      <c r="B36" s="20" t="s">
        <v>60</v>
      </c>
      <c r="C36" s="21"/>
      <c r="D36" s="19"/>
      <c r="F36" s="17"/>
    </row>
    <row r="37" spans="1:6" s="6" customFormat="1" ht="18" customHeight="1" x14ac:dyDescent="0.35">
      <c r="A37" s="19">
        <v>3</v>
      </c>
      <c r="B37" s="20" t="s">
        <v>62</v>
      </c>
      <c r="C37" s="21"/>
      <c r="D37" s="19"/>
      <c r="F37" s="17"/>
    </row>
    <row r="38" spans="1:6" s="6" customFormat="1" ht="18" customHeight="1" x14ac:dyDescent="0.35">
      <c r="A38" s="19">
        <v>4</v>
      </c>
      <c r="B38" s="20" t="s">
        <v>89</v>
      </c>
      <c r="C38" s="21"/>
      <c r="D38" s="19"/>
      <c r="F38" s="17"/>
    </row>
    <row r="39" spans="1:6" s="6" customFormat="1" ht="18" customHeight="1" x14ac:dyDescent="0.35">
      <c r="A39" s="19">
        <v>5</v>
      </c>
      <c r="B39" s="20" t="s">
        <v>214</v>
      </c>
      <c r="C39" s="21"/>
      <c r="D39" s="19"/>
      <c r="F39" s="17"/>
    </row>
    <row r="40" spans="1:6" s="6" customFormat="1" ht="18" customHeight="1" x14ac:dyDescent="0.35">
      <c r="A40" s="19">
        <v>6</v>
      </c>
      <c r="B40" s="20" t="s">
        <v>215</v>
      </c>
      <c r="C40" s="21"/>
      <c r="D40" s="19"/>
      <c r="F40" s="17"/>
    </row>
    <row r="41" spans="1:6" s="6" customFormat="1" ht="18" customHeight="1" x14ac:dyDescent="0.35">
      <c r="A41" s="19"/>
      <c r="B41" s="16" t="s">
        <v>238</v>
      </c>
      <c r="C41" s="21"/>
      <c r="D41" s="19"/>
      <c r="F41" s="17"/>
    </row>
    <row r="42" spans="1:6" s="6" customFormat="1" ht="18" customHeight="1" x14ac:dyDescent="0.35">
      <c r="A42" s="19" t="s">
        <v>73</v>
      </c>
      <c r="B42" s="15" t="s">
        <v>216</v>
      </c>
      <c r="C42" s="21"/>
      <c r="D42" s="19"/>
      <c r="F42" s="17"/>
    </row>
    <row r="43" spans="1:6" s="6" customFormat="1" ht="18" customHeight="1" x14ac:dyDescent="0.35">
      <c r="A43" s="19">
        <v>1</v>
      </c>
      <c r="B43" s="20" t="s">
        <v>217</v>
      </c>
      <c r="C43" s="21"/>
      <c r="D43" s="19"/>
      <c r="F43" s="17"/>
    </row>
    <row r="44" spans="1:6" s="6" customFormat="1" ht="18" customHeight="1" x14ac:dyDescent="0.35">
      <c r="A44" s="19">
        <v>2</v>
      </c>
      <c r="B44" s="20" t="s">
        <v>218</v>
      </c>
      <c r="C44" s="21"/>
      <c r="D44" s="19"/>
      <c r="F44" s="17"/>
    </row>
    <row r="45" spans="1:6" s="6" customFormat="1" ht="18" customHeight="1" x14ac:dyDescent="0.35">
      <c r="A45" s="19"/>
      <c r="B45" s="20" t="s">
        <v>88</v>
      </c>
      <c r="C45" s="21"/>
      <c r="D45" s="19"/>
      <c r="F45" s="17"/>
    </row>
    <row r="46" spans="1:6" s="6" customFormat="1" ht="18" customHeight="1" x14ac:dyDescent="0.35">
      <c r="A46" s="19"/>
      <c r="B46" s="16" t="s">
        <v>219</v>
      </c>
      <c r="C46" s="21"/>
      <c r="D46" s="19"/>
      <c r="F46" s="17"/>
    </row>
    <row r="47" spans="1:6" s="6" customFormat="1" ht="18" customHeight="1" x14ac:dyDescent="0.35">
      <c r="A47" s="19"/>
      <c r="B47" s="20"/>
      <c r="C47" s="21"/>
      <c r="D47" s="19"/>
      <c r="F47" s="17"/>
    </row>
    <row r="48" spans="1:6" ht="21.75" customHeight="1" x14ac:dyDescent="0.35">
      <c r="A48" s="18" t="s">
        <v>77</v>
      </c>
      <c r="B48" s="1011" t="s">
        <v>220</v>
      </c>
      <c r="C48" s="1014"/>
      <c r="D48" s="1014"/>
    </row>
    <row r="49" spans="1:6" s="6" customFormat="1" ht="18" customHeight="1" x14ac:dyDescent="0.35">
      <c r="A49" s="19">
        <v>1</v>
      </c>
      <c r="B49" s="20" t="s">
        <v>221</v>
      </c>
      <c r="C49" s="21"/>
      <c r="D49" s="19"/>
      <c r="F49" s="17"/>
    </row>
    <row r="50" spans="1:6" s="6" customFormat="1" ht="18" customHeight="1" x14ac:dyDescent="0.35">
      <c r="A50" s="19">
        <v>2</v>
      </c>
      <c r="B50" s="20" t="s">
        <v>222</v>
      </c>
      <c r="C50" s="21"/>
      <c r="D50" s="19"/>
      <c r="F50" s="17"/>
    </row>
    <row r="51" spans="1:6" s="6" customFormat="1" ht="18" customHeight="1" x14ac:dyDescent="0.35">
      <c r="A51" s="19">
        <v>3</v>
      </c>
      <c r="B51" s="20" t="s">
        <v>223</v>
      </c>
      <c r="C51" s="21"/>
      <c r="D51" s="19"/>
      <c r="F51" s="17"/>
    </row>
    <row r="52" spans="1:6" s="6" customFormat="1" ht="18" customHeight="1" x14ac:dyDescent="0.35">
      <c r="A52" s="19">
        <v>4</v>
      </c>
      <c r="B52" s="20" t="s">
        <v>224</v>
      </c>
      <c r="C52" s="21"/>
      <c r="D52" s="19"/>
      <c r="F52" s="17"/>
    </row>
    <row r="53" spans="1:6" s="6" customFormat="1" ht="18" customHeight="1" x14ac:dyDescent="0.35">
      <c r="A53" s="19"/>
      <c r="B53" s="20" t="s">
        <v>225</v>
      </c>
      <c r="C53" s="21"/>
      <c r="D53" s="19"/>
      <c r="F53" s="17"/>
    </row>
    <row r="54" spans="1:6" s="6" customFormat="1" ht="18" customHeight="1" x14ac:dyDescent="0.35">
      <c r="A54" s="19">
        <v>1</v>
      </c>
      <c r="B54" s="20" t="s">
        <v>46</v>
      </c>
      <c r="C54" s="21"/>
      <c r="D54" s="19"/>
      <c r="F54" s="17"/>
    </row>
    <row r="55" spans="1:6" s="6" customFormat="1" ht="18" customHeight="1" x14ac:dyDescent="0.35">
      <c r="A55" s="19">
        <v>2</v>
      </c>
      <c r="B55" s="20" t="s">
        <v>226</v>
      </c>
      <c r="C55" s="21"/>
      <c r="D55" s="19"/>
      <c r="F55" s="17"/>
    </row>
    <row r="56" spans="1:6" s="6" customFormat="1" ht="18" customHeight="1" x14ac:dyDescent="0.35">
      <c r="A56" s="19">
        <v>3</v>
      </c>
      <c r="B56" s="20" t="s">
        <v>227</v>
      </c>
      <c r="C56" s="21"/>
      <c r="D56" s="19"/>
      <c r="F56" s="17"/>
    </row>
    <row r="57" spans="1:6" s="6" customFormat="1" ht="18" customHeight="1" x14ac:dyDescent="0.35">
      <c r="A57" s="19">
        <v>4</v>
      </c>
      <c r="B57" s="20" t="s">
        <v>228</v>
      </c>
      <c r="C57" s="21"/>
      <c r="D57" s="19"/>
      <c r="F57" s="17"/>
    </row>
    <row r="58" spans="1:6" s="6" customFormat="1" ht="18" customHeight="1" x14ac:dyDescent="0.35">
      <c r="A58" s="19">
        <v>5</v>
      </c>
      <c r="B58" s="20" t="s">
        <v>47</v>
      </c>
      <c r="C58" s="21"/>
      <c r="D58" s="19"/>
      <c r="F58" s="17"/>
    </row>
    <row r="59" spans="1:6" s="6" customFormat="1" ht="18" customHeight="1" x14ac:dyDescent="0.35">
      <c r="A59" s="19">
        <v>6</v>
      </c>
      <c r="B59" s="20" t="s">
        <v>63</v>
      </c>
      <c r="C59" s="21"/>
      <c r="D59" s="19"/>
      <c r="F59" s="17"/>
    </row>
    <row r="60" spans="1:6" s="6" customFormat="1" ht="18" customHeight="1" x14ac:dyDescent="0.35">
      <c r="A60" s="19">
        <v>7</v>
      </c>
      <c r="B60" s="20" t="s">
        <v>49</v>
      </c>
      <c r="C60" s="21"/>
      <c r="D60" s="19"/>
      <c r="F60" s="17"/>
    </row>
    <row r="61" spans="1:6" s="6" customFormat="1" ht="18" customHeight="1" x14ac:dyDescent="0.35">
      <c r="A61" s="19">
        <v>8</v>
      </c>
      <c r="B61" s="20" t="s">
        <v>51</v>
      </c>
      <c r="C61" s="21"/>
      <c r="D61" s="19"/>
      <c r="F61" s="17"/>
    </row>
    <row r="62" spans="1:6" s="6" customFormat="1" ht="18" customHeight="1" x14ac:dyDescent="0.35">
      <c r="A62" s="19">
        <v>9</v>
      </c>
      <c r="B62" s="20" t="s">
        <v>52</v>
      </c>
      <c r="C62" s="21"/>
      <c r="D62" s="19"/>
      <c r="F62" s="17"/>
    </row>
    <row r="63" spans="1:6" s="6" customFormat="1" ht="18" customHeight="1" x14ac:dyDescent="0.35">
      <c r="A63" s="19">
        <v>10</v>
      </c>
      <c r="B63" s="20" t="s">
        <v>229</v>
      </c>
      <c r="C63" s="21"/>
      <c r="D63" s="19"/>
      <c r="F63" s="17"/>
    </row>
    <row r="64" spans="1:6" s="6" customFormat="1" ht="18" customHeight="1" x14ac:dyDescent="0.35">
      <c r="A64" s="19">
        <v>11</v>
      </c>
      <c r="B64" s="20" t="s">
        <v>230</v>
      </c>
      <c r="C64" s="21"/>
      <c r="D64" s="19"/>
      <c r="F64" s="17"/>
    </row>
    <row r="65" spans="1:6" s="6" customFormat="1" ht="18" customHeight="1" x14ac:dyDescent="0.35">
      <c r="A65" s="19">
        <v>12</v>
      </c>
      <c r="B65" s="20" t="s">
        <v>55</v>
      </c>
      <c r="C65" s="21"/>
      <c r="D65" s="19"/>
      <c r="F65" s="17"/>
    </row>
    <row r="66" spans="1:6" s="6" customFormat="1" ht="18" customHeight="1" x14ac:dyDescent="0.35">
      <c r="A66" s="19">
        <v>13</v>
      </c>
      <c r="B66" s="20" t="s">
        <v>231</v>
      </c>
      <c r="C66" s="21"/>
      <c r="D66" s="19"/>
      <c r="F66" s="17"/>
    </row>
    <row r="67" spans="1:6" s="6" customFormat="1" ht="18" customHeight="1" x14ac:dyDescent="0.35">
      <c r="A67" s="19">
        <v>14</v>
      </c>
      <c r="B67" s="20" t="s">
        <v>232</v>
      </c>
      <c r="C67" s="21"/>
      <c r="D67" s="19"/>
      <c r="F67" s="17"/>
    </row>
    <row r="68" spans="1:6" s="6" customFormat="1" ht="18" customHeight="1" x14ac:dyDescent="0.35">
      <c r="A68" s="19">
        <v>15</v>
      </c>
      <c r="B68" s="20" t="s">
        <v>233</v>
      </c>
      <c r="C68" s="21"/>
      <c r="D68" s="19"/>
      <c r="F68" s="17"/>
    </row>
    <row r="69" spans="1:6" s="6" customFormat="1" ht="18" customHeight="1" x14ac:dyDescent="0.35">
      <c r="A69" s="19">
        <v>16</v>
      </c>
      <c r="B69" s="20" t="s">
        <v>234</v>
      </c>
      <c r="C69" s="21"/>
      <c r="D69" s="19"/>
      <c r="F69" s="17"/>
    </row>
    <row r="70" spans="1:6" s="6" customFormat="1" ht="18" customHeight="1" x14ac:dyDescent="0.35">
      <c r="A70" s="19">
        <v>17</v>
      </c>
      <c r="B70" s="20" t="s">
        <v>235</v>
      </c>
      <c r="C70" s="21"/>
      <c r="D70" s="19"/>
      <c r="F70" s="17"/>
    </row>
    <row r="71" spans="1:6" s="6" customFormat="1" ht="18" customHeight="1" x14ac:dyDescent="0.35">
      <c r="A71" s="19">
        <v>18</v>
      </c>
      <c r="B71" s="20" t="s">
        <v>236</v>
      </c>
      <c r="C71" s="21"/>
      <c r="D71" s="19"/>
      <c r="F71" s="17"/>
    </row>
    <row r="72" spans="1:6" s="6" customFormat="1" ht="18" customHeight="1" x14ac:dyDescent="0.35">
      <c r="A72" s="19">
        <v>19</v>
      </c>
      <c r="B72" s="20" t="s">
        <v>237</v>
      </c>
      <c r="C72" s="21"/>
      <c r="D72" s="19"/>
      <c r="F72" s="17"/>
    </row>
  </sheetData>
  <customSheetViews>
    <customSheetView guid="{22475485-DA09-46DB-978D-BB94CE1E5597}" scale="120" state="hidden" topLeftCell="A83">
      <selection activeCell="A101" sqref="A101"/>
      <pageMargins left="0.7" right="0.7" top="0.75" bottom="0.75" header="0.3" footer="0.3"/>
      <pageSetup paperSize="9" orientation="portrait" verticalDpi="0" r:id="rId1"/>
    </customSheetView>
  </customSheetViews>
  <mergeCells count="7">
    <mergeCell ref="B33:D33"/>
    <mergeCell ref="B48:D48"/>
    <mergeCell ref="A32:E32"/>
    <mergeCell ref="A1:D1"/>
    <mergeCell ref="B3:D3"/>
    <mergeCell ref="B11:D11"/>
    <mergeCell ref="B22:D22"/>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F55"/>
  <sheetViews>
    <sheetView workbookViewId="0">
      <selection sqref="A1:D1"/>
    </sheetView>
  </sheetViews>
  <sheetFormatPr defaultColWidth="13" defaultRowHeight="14" x14ac:dyDescent="0.35"/>
  <cols>
    <col min="1" max="1" width="8.453125" style="12" bestFit="1" customWidth="1"/>
    <col min="2" max="2" width="46.81640625" style="5" customWidth="1"/>
    <col min="3" max="3" width="17.1796875" style="12" customWidth="1"/>
    <col min="4" max="4" width="14.81640625" style="12" customWidth="1"/>
    <col min="5" max="9" width="13" style="12"/>
    <col min="10" max="10" width="13.26953125" style="12" customWidth="1"/>
    <col min="11" max="16384" width="13" style="12"/>
  </cols>
  <sheetData>
    <row r="1" spans="1:6" ht="26.25" customHeight="1" x14ac:dyDescent="0.35">
      <c r="A1" s="1008" t="s">
        <v>187</v>
      </c>
      <c r="B1" s="1008"/>
      <c r="C1" s="1008"/>
      <c r="D1" s="1008"/>
    </row>
    <row r="2" spans="1:6" s="4" customFormat="1" ht="20.25" customHeight="1" x14ac:dyDescent="0.35">
      <c r="A2" s="16" t="s">
        <v>0</v>
      </c>
      <c r="B2" s="22" t="s">
        <v>188</v>
      </c>
      <c r="C2" s="16" t="s">
        <v>2</v>
      </c>
      <c r="D2" s="16" t="s">
        <v>3</v>
      </c>
    </row>
    <row r="3" spans="1:6" ht="21.75" customHeight="1" x14ac:dyDescent="0.35">
      <c r="A3" s="18" t="s">
        <v>67</v>
      </c>
      <c r="B3" s="1011" t="s">
        <v>189</v>
      </c>
      <c r="C3" s="1014"/>
      <c r="D3" s="1014"/>
    </row>
    <row r="4" spans="1:6" s="6" customFormat="1" ht="20.25" customHeight="1" x14ac:dyDescent="0.35">
      <c r="A4" s="19">
        <v>1</v>
      </c>
      <c r="B4" s="20" t="s">
        <v>190</v>
      </c>
      <c r="C4" s="37">
        <f>'Det Assump'!D35</f>
        <v>0</v>
      </c>
      <c r="D4" s="19" t="s">
        <v>139</v>
      </c>
      <c r="F4" s="17"/>
    </row>
    <row r="5" spans="1:6" s="6" customFormat="1" ht="20.25" customHeight="1" x14ac:dyDescent="0.35">
      <c r="A5" s="19">
        <v>2</v>
      </c>
      <c r="B5" s="20" t="s">
        <v>191</v>
      </c>
      <c r="C5" s="37">
        <f>'Det Assump'!D36</f>
        <v>0</v>
      </c>
      <c r="D5" s="19" t="s">
        <v>143</v>
      </c>
      <c r="F5" s="17"/>
    </row>
    <row r="6" spans="1:6" s="6" customFormat="1" ht="20.25" customHeight="1" x14ac:dyDescent="0.35">
      <c r="A6" s="19">
        <v>3</v>
      </c>
      <c r="B6" s="20" t="s">
        <v>191</v>
      </c>
      <c r="C6" s="37">
        <f>'Det Assump'!D16</f>
        <v>40000</v>
      </c>
      <c r="D6" s="19" t="s">
        <v>239</v>
      </c>
      <c r="F6" s="17"/>
    </row>
    <row r="7" spans="1:6" s="6" customFormat="1" ht="20.25" customHeight="1" x14ac:dyDescent="0.35">
      <c r="A7" s="19">
        <v>4</v>
      </c>
      <c r="B7" s="20" t="s">
        <v>124</v>
      </c>
      <c r="C7" s="37">
        <f>'Det Assump'!D22</f>
        <v>40000</v>
      </c>
      <c r="D7" s="19" t="s">
        <v>239</v>
      </c>
      <c r="F7" s="17"/>
    </row>
    <row r="8" spans="1:6" s="6" customFormat="1" ht="20.25" customHeight="1" x14ac:dyDescent="0.35">
      <c r="A8" s="19">
        <v>5</v>
      </c>
      <c r="B8" s="20" t="s">
        <v>125</v>
      </c>
      <c r="C8" s="37">
        <f>'Det Assump'!D26</f>
        <v>0</v>
      </c>
      <c r="D8" s="19" t="s">
        <v>240</v>
      </c>
      <c r="F8" s="17"/>
    </row>
    <row r="9" spans="1:6" s="6" customFormat="1" ht="20.25" customHeight="1" x14ac:dyDescent="0.35">
      <c r="A9" s="13">
        <v>6</v>
      </c>
      <c r="B9" s="20" t="s">
        <v>137</v>
      </c>
      <c r="C9" s="37">
        <v>1</v>
      </c>
      <c r="D9" s="19"/>
      <c r="F9" s="17"/>
    </row>
    <row r="10" spans="1:6" ht="21.75" customHeight="1" x14ac:dyDescent="0.35">
      <c r="A10" s="18" t="s">
        <v>68</v>
      </c>
      <c r="B10" s="1011" t="s">
        <v>194</v>
      </c>
      <c r="C10" s="1014"/>
      <c r="D10" s="1014"/>
    </row>
    <row r="11" spans="1:6" s="6" customFormat="1" ht="20.25" customHeight="1" x14ac:dyDescent="0.35">
      <c r="A11" s="19">
        <v>1</v>
      </c>
      <c r="B11" s="20" t="s">
        <v>195</v>
      </c>
      <c r="C11" s="37">
        <f>'Det Assump'!D53</f>
        <v>18857.142857142859</v>
      </c>
      <c r="D11" s="19" t="s">
        <v>241</v>
      </c>
      <c r="F11" s="17"/>
    </row>
    <row r="12" spans="1:6" s="6" customFormat="1" ht="31" x14ac:dyDescent="0.35">
      <c r="A12" s="19">
        <v>2</v>
      </c>
      <c r="B12" s="20" t="s">
        <v>444</v>
      </c>
      <c r="C12" s="37">
        <f>'Det Assump'!D54</f>
        <v>0</v>
      </c>
      <c r="D12" s="19" t="s">
        <v>241</v>
      </c>
      <c r="F12" s="17"/>
    </row>
    <row r="13" spans="1:6" s="6" customFormat="1" ht="20.25" customHeight="1" x14ac:dyDescent="0.35">
      <c r="A13" s="19">
        <v>3</v>
      </c>
      <c r="B13" s="20" t="s">
        <v>197</v>
      </c>
      <c r="C13" s="37" t="e">
        <f>'Det Assump'!#REF!</f>
        <v>#REF!</v>
      </c>
      <c r="D13" s="19" t="s">
        <v>241</v>
      </c>
      <c r="F13" s="17"/>
    </row>
    <row r="14" spans="1:6" s="6" customFormat="1" ht="20.25" customHeight="1" x14ac:dyDescent="0.35">
      <c r="A14" s="19">
        <v>4</v>
      </c>
      <c r="B14" s="20" t="s">
        <v>198</v>
      </c>
      <c r="C14" s="37" t="e">
        <f>Assump!#REF!</f>
        <v>#REF!</v>
      </c>
      <c r="D14" s="19" t="s">
        <v>179</v>
      </c>
      <c r="F14" s="17"/>
    </row>
    <row r="15" spans="1:6" s="6" customFormat="1" ht="20.25" customHeight="1" x14ac:dyDescent="0.35">
      <c r="A15" s="19">
        <v>5</v>
      </c>
      <c r="B15" s="20" t="s">
        <v>199</v>
      </c>
      <c r="C15" s="37">
        <f>C4*340</f>
        <v>0</v>
      </c>
      <c r="D15" s="19" t="s">
        <v>139</v>
      </c>
      <c r="F15" s="17"/>
    </row>
    <row r="16" spans="1:6" s="6" customFormat="1" ht="20.25" customHeight="1" x14ac:dyDescent="0.35">
      <c r="A16" s="19">
        <v>6</v>
      </c>
      <c r="B16" s="20" t="s">
        <v>256</v>
      </c>
      <c r="C16" s="37">
        <f>C6*340</f>
        <v>13600000</v>
      </c>
      <c r="D16" s="19" t="s">
        <v>147</v>
      </c>
      <c r="F16" s="17"/>
    </row>
    <row r="17" spans="1:6" s="6" customFormat="1" ht="20.25" customHeight="1" x14ac:dyDescent="0.35">
      <c r="A17" s="19">
        <v>8</v>
      </c>
      <c r="B17" s="20" t="s">
        <v>202</v>
      </c>
      <c r="C17" s="37">
        <f>C7*340</f>
        <v>13600000</v>
      </c>
      <c r="D17" s="19" t="s">
        <v>138</v>
      </c>
      <c r="F17" s="17"/>
    </row>
    <row r="18" spans="1:6" s="6" customFormat="1" ht="20.25" customHeight="1" x14ac:dyDescent="0.35">
      <c r="A18" s="19">
        <v>9</v>
      </c>
      <c r="B18" s="20" t="s">
        <v>203</v>
      </c>
      <c r="C18" s="37">
        <f>C8*340/1000</f>
        <v>0</v>
      </c>
      <c r="D18" s="19" t="s">
        <v>157</v>
      </c>
      <c r="F18" s="17"/>
    </row>
    <row r="19" spans="1:6" ht="21.75" customHeight="1" x14ac:dyDescent="0.35">
      <c r="A19" s="18" t="s">
        <v>70</v>
      </c>
      <c r="B19" s="1011" t="s">
        <v>204</v>
      </c>
      <c r="C19" s="1014"/>
      <c r="D19" s="1014"/>
    </row>
    <row r="20" spans="1:6" s="6" customFormat="1" ht="33" customHeight="1" x14ac:dyDescent="0.35">
      <c r="A20" s="19">
        <v>1</v>
      </c>
      <c r="B20" s="20" t="s">
        <v>205</v>
      </c>
      <c r="C20" s="37" t="e">
        <f>Assump!#REF!</f>
        <v>#REF!</v>
      </c>
      <c r="D20" s="19" t="s">
        <v>145</v>
      </c>
      <c r="F20" s="17"/>
    </row>
    <row r="21" spans="1:6" s="6" customFormat="1" ht="21" customHeight="1" x14ac:dyDescent="0.35">
      <c r="A21" s="19">
        <v>2</v>
      </c>
      <c r="B21" s="20" t="s">
        <v>326</v>
      </c>
      <c r="C21" s="37">
        <f>'Det Assump'!D63</f>
        <v>9</v>
      </c>
      <c r="D21" s="19" t="s">
        <v>145</v>
      </c>
      <c r="F21" s="17"/>
    </row>
    <row r="22" spans="1:6" s="6" customFormat="1" ht="21" customHeight="1" x14ac:dyDescent="0.35">
      <c r="A22" s="19">
        <v>3</v>
      </c>
      <c r="B22" s="20" t="s">
        <v>135</v>
      </c>
      <c r="C22" s="37">
        <f>'Det Assump'!D64</f>
        <v>0</v>
      </c>
      <c r="D22" s="19"/>
      <c r="F22" s="17"/>
    </row>
    <row r="23" spans="1:6" s="6" customFormat="1" ht="21" customHeight="1" x14ac:dyDescent="0.35">
      <c r="A23" s="19">
        <v>4</v>
      </c>
      <c r="B23" s="20" t="s">
        <v>207</v>
      </c>
      <c r="C23" s="37" t="e">
        <f>Assump!#REF!</f>
        <v>#REF!</v>
      </c>
      <c r="D23" s="19" t="s">
        <v>242</v>
      </c>
      <c r="F23" s="17"/>
    </row>
    <row r="24" spans="1:6" s="6" customFormat="1" ht="36" customHeight="1" x14ac:dyDescent="0.35">
      <c r="A24" s="19">
        <v>5</v>
      </c>
      <c r="B24" s="20" t="s">
        <v>443</v>
      </c>
      <c r="C24" s="37" t="e">
        <f>Assump!#REF!</f>
        <v>#REF!</v>
      </c>
      <c r="D24" s="19" t="s">
        <v>242</v>
      </c>
      <c r="F24" s="17"/>
    </row>
    <row r="25" spans="1:6" s="6" customFormat="1" ht="36" customHeight="1" x14ac:dyDescent="0.35">
      <c r="A25" s="19">
        <v>6</v>
      </c>
      <c r="B25" s="20" t="s">
        <v>364</v>
      </c>
      <c r="C25" s="37">
        <v>0</v>
      </c>
      <c r="D25" s="19" t="s">
        <v>242</v>
      </c>
      <c r="F25" s="17"/>
    </row>
    <row r="26" spans="1:6" s="6" customFormat="1" ht="21" customHeight="1" x14ac:dyDescent="0.35">
      <c r="A26" s="19">
        <v>8</v>
      </c>
      <c r="B26" s="20" t="s">
        <v>210</v>
      </c>
      <c r="C26" s="37" t="e">
        <f>Assump!#REF!</f>
        <v>#REF!</v>
      </c>
      <c r="D26" s="19" t="s">
        <v>159</v>
      </c>
      <c r="F26" s="17"/>
    </row>
    <row r="27" spans="1:6" s="6" customFormat="1" ht="21" customHeight="1" x14ac:dyDescent="0.35">
      <c r="A27" s="19">
        <v>9</v>
      </c>
      <c r="B27" s="20" t="s">
        <v>211</v>
      </c>
      <c r="C27" s="37" t="e">
        <f>Assump!#REF!</f>
        <v>#REF!</v>
      </c>
      <c r="D27" s="19" t="s">
        <v>257</v>
      </c>
      <c r="F27" s="17"/>
    </row>
    <row r="28" spans="1:6" s="6" customFormat="1" ht="21" customHeight="1" x14ac:dyDescent="0.35">
      <c r="A28" s="1015"/>
      <c r="B28" s="1016"/>
      <c r="C28" s="1016"/>
      <c r="D28" s="1016"/>
      <c r="E28" s="1016"/>
      <c r="F28" s="17"/>
    </row>
    <row r="29" spans="1:6" ht="21" customHeight="1" x14ac:dyDescent="0.35">
      <c r="A29" s="18" t="s">
        <v>75</v>
      </c>
      <c r="B29" s="1011" t="s">
        <v>212</v>
      </c>
      <c r="C29" s="1014"/>
      <c r="D29" s="1014"/>
    </row>
    <row r="30" spans="1:6" s="6" customFormat="1" ht="21" customHeight="1" x14ac:dyDescent="0.35">
      <c r="A30" s="19" t="s">
        <v>72</v>
      </c>
      <c r="B30" s="15" t="s">
        <v>87</v>
      </c>
      <c r="C30" s="21"/>
      <c r="D30" s="13"/>
      <c r="F30" s="17"/>
    </row>
    <row r="31" spans="1:6" s="6" customFormat="1" ht="21" customHeight="1" x14ac:dyDescent="0.35">
      <c r="A31" s="36">
        <v>1</v>
      </c>
      <c r="B31" s="35" t="s">
        <v>439</v>
      </c>
      <c r="C31" s="37" t="e">
        <f>'CoP-MoF'!#REF!</f>
        <v>#REF!</v>
      </c>
      <c r="D31" s="19" t="s">
        <v>146</v>
      </c>
      <c r="F31" s="17"/>
    </row>
    <row r="32" spans="1:6" s="6" customFormat="1" ht="21" customHeight="1" x14ac:dyDescent="0.35">
      <c r="A32" s="36">
        <v>2</v>
      </c>
      <c r="B32" s="35" t="s">
        <v>365</v>
      </c>
      <c r="C32" s="37">
        <f>'CoP-MoF'!D5</f>
        <v>1200</v>
      </c>
      <c r="D32" s="19" t="s">
        <v>146</v>
      </c>
      <c r="F32" s="17"/>
    </row>
    <row r="33" spans="1:6" s="6" customFormat="1" ht="21" customHeight="1" x14ac:dyDescent="0.35">
      <c r="A33" s="36">
        <v>3</v>
      </c>
      <c r="B33" s="35" t="s">
        <v>62</v>
      </c>
      <c r="C33" s="37">
        <f>'CoP-MoF'!D7</f>
        <v>14500</v>
      </c>
      <c r="D33" s="19" t="s">
        <v>146</v>
      </c>
      <c r="F33" s="17"/>
    </row>
    <row r="34" spans="1:6" s="6" customFormat="1" ht="21" customHeight="1" x14ac:dyDescent="0.35">
      <c r="A34" s="36">
        <v>4</v>
      </c>
      <c r="B34" s="35" t="s">
        <v>89</v>
      </c>
      <c r="C34" s="37" t="e">
        <f>'CoP-MoF'!#REF!</f>
        <v>#REF!</v>
      </c>
      <c r="D34" s="19" t="s">
        <v>146</v>
      </c>
      <c r="F34" s="17"/>
    </row>
    <row r="35" spans="1:6" s="6" customFormat="1" ht="21" customHeight="1" x14ac:dyDescent="0.35">
      <c r="A35" s="36">
        <v>5</v>
      </c>
      <c r="B35" s="35" t="s">
        <v>396</v>
      </c>
      <c r="C35" s="37">
        <f>'CoP-MoF'!D10</f>
        <v>1600</v>
      </c>
      <c r="D35" s="19" t="s">
        <v>146</v>
      </c>
      <c r="F35" s="17"/>
    </row>
    <row r="36" spans="1:6" s="6" customFormat="1" ht="21" customHeight="1" x14ac:dyDescent="0.35">
      <c r="A36" s="36">
        <v>6</v>
      </c>
      <c r="B36" s="35" t="s">
        <v>90</v>
      </c>
      <c r="C36" s="37" t="e">
        <f>'CoP-MoF'!#REF!</f>
        <v>#REF!</v>
      </c>
      <c r="D36" s="19"/>
      <c r="F36" s="17"/>
    </row>
    <row r="37" spans="1:6" s="6" customFormat="1" ht="21" customHeight="1" x14ac:dyDescent="0.35">
      <c r="A37" s="36">
        <v>7</v>
      </c>
      <c r="B37" s="35" t="s">
        <v>183</v>
      </c>
      <c r="C37" s="37">
        <f>'CoP-MoF'!D16</f>
        <v>0</v>
      </c>
      <c r="D37" s="19" t="s">
        <v>146</v>
      </c>
      <c r="F37" s="17"/>
    </row>
    <row r="38" spans="1:6" s="6" customFormat="1" ht="21" customHeight="1" x14ac:dyDescent="0.35">
      <c r="A38" s="19"/>
      <c r="B38" s="16" t="s">
        <v>238</v>
      </c>
      <c r="C38" s="38" t="e">
        <f>SUM(C31:C37)</f>
        <v>#REF!</v>
      </c>
      <c r="D38" s="19" t="s">
        <v>146</v>
      </c>
      <c r="F38" s="17"/>
    </row>
    <row r="39" spans="1:6" s="6" customFormat="1" ht="21" customHeight="1" x14ac:dyDescent="0.35">
      <c r="A39" s="19" t="s">
        <v>73</v>
      </c>
      <c r="B39" s="15" t="s">
        <v>216</v>
      </c>
      <c r="C39" s="37"/>
      <c r="D39" s="19" t="s">
        <v>146</v>
      </c>
      <c r="F39" s="17"/>
    </row>
    <row r="40" spans="1:6" s="6" customFormat="1" ht="21" customHeight="1" x14ac:dyDescent="0.35">
      <c r="A40" s="19">
        <v>1</v>
      </c>
      <c r="B40" s="35" t="s">
        <v>304</v>
      </c>
      <c r="C40" s="37" t="e">
        <f>'CoP-MoF'!#REF!</f>
        <v>#REF!</v>
      </c>
      <c r="D40" s="19" t="s">
        <v>146</v>
      </c>
      <c r="F40" s="17"/>
    </row>
    <row r="41" spans="1:6" s="6" customFormat="1" ht="21" customHeight="1" x14ac:dyDescent="0.35">
      <c r="A41" s="19">
        <v>2</v>
      </c>
      <c r="B41" s="20" t="s">
        <v>218</v>
      </c>
      <c r="C41" s="37">
        <f>'CoP-MoF'!D22</f>
        <v>20000</v>
      </c>
      <c r="D41" s="19" t="s">
        <v>146</v>
      </c>
      <c r="F41" s="17"/>
    </row>
    <row r="42" spans="1:6" s="6" customFormat="1" ht="21" customHeight="1" x14ac:dyDescent="0.35">
      <c r="A42" s="19"/>
      <c r="B42" s="20" t="s">
        <v>88</v>
      </c>
      <c r="C42" s="37" t="e">
        <f>'CoP-MoF'!#REF!</f>
        <v>#REF!</v>
      </c>
      <c r="D42" s="19" t="s">
        <v>146</v>
      </c>
      <c r="F42" s="17"/>
    </row>
    <row r="43" spans="1:6" s="6" customFormat="1" ht="21" customHeight="1" x14ac:dyDescent="0.35">
      <c r="A43" s="19"/>
      <c r="B43" s="16" t="s">
        <v>219</v>
      </c>
      <c r="C43" s="38" t="e">
        <f>SUM(C40:C42)-C42</f>
        <v>#REF!</v>
      </c>
      <c r="D43" s="19" t="s">
        <v>146</v>
      </c>
      <c r="F43" s="17"/>
    </row>
    <row r="44" spans="1:6" ht="21" customHeight="1" x14ac:dyDescent="0.35">
      <c r="A44" s="18" t="s">
        <v>77</v>
      </c>
      <c r="B44" s="1011" t="s">
        <v>258</v>
      </c>
      <c r="C44" s="1014"/>
      <c r="D44" s="1014"/>
    </row>
    <row r="45" spans="1:6" s="6" customFormat="1" ht="21" customHeight="1" x14ac:dyDescent="0.35">
      <c r="A45" s="19">
        <v>1</v>
      </c>
      <c r="B45" s="27" t="s">
        <v>221</v>
      </c>
      <c r="C45" s="37" t="e">
        <f>C38</f>
        <v>#REF!</v>
      </c>
      <c r="D45" s="19" t="s">
        <v>146</v>
      </c>
      <c r="F45" s="17"/>
    </row>
    <row r="46" spans="1:6" s="6" customFormat="1" ht="21" customHeight="1" x14ac:dyDescent="0.35">
      <c r="A46" s="19">
        <v>2</v>
      </c>
      <c r="B46" s="20" t="s">
        <v>222</v>
      </c>
      <c r="C46" s="37" t="e">
        <f>C42</f>
        <v>#REF!</v>
      </c>
      <c r="D46" s="19" t="s">
        <v>146</v>
      </c>
      <c r="F46" s="17"/>
    </row>
    <row r="47" spans="1:6" s="6" customFormat="1" ht="21" customHeight="1" x14ac:dyDescent="0.35">
      <c r="A47" s="19">
        <v>3</v>
      </c>
      <c r="B47" s="20" t="s">
        <v>224</v>
      </c>
      <c r="C47" s="37" t="e">
        <f>C45-C46</f>
        <v>#REF!</v>
      </c>
      <c r="D47" s="19" t="s">
        <v>146</v>
      </c>
      <c r="F47" s="17"/>
    </row>
    <row r="48" spans="1:6" s="6" customFormat="1" ht="21" customHeight="1" x14ac:dyDescent="0.35">
      <c r="A48" s="19"/>
      <c r="B48" s="16" t="s">
        <v>225</v>
      </c>
      <c r="C48" s="37"/>
      <c r="D48" s="19" t="s">
        <v>146</v>
      </c>
      <c r="F48" s="17"/>
    </row>
    <row r="49" spans="1:6" s="6" customFormat="1" ht="21" customHeight="1" x14ac:dyDescent="0.35">
      <c r="A49" s="19">
        <v>1</v>
      </c>
      <c r="B49" s="20" t="s">
        <v>46</v>
      </c>
      <c r="C49" s="37" t="e">
        <f>Assump!#REF!</f>
        <v>#REF!</v>
      </c>
      <c r="D49" s="19" t="s">
        <v>146</v>
      </c>
      <c r="F49" s="17"/>
    </row>
    <row r="50" spans="1:6" s="6" customFormat="1" ht="21" customHeight="1" x14ac:dyDescent="0.35">
      <c r="A50" s="19">
        <v>3</v>
      </c>
      <c r="B50" s="20" t="s">
        <v>227</v>
      </c>
      <c r="C50" s="37" t="e">
        <f>Assump!#REF!</f>
        <v>#REF!</v>
      </c>
      <c r="D50" s="19" t="s">
        <v>146</v>
      </c>
      <c r="F50" s="17"/>
    </row>
    <row r="51" spans="1:6" s="6" customFormat="1" ht="21" customHeight="1" x14ac:dyDescent="0.35">
      <c r="A51" s="19">
        <v>4</v>
      </c>
      <c r="B51" s="20" t="s">
        <v>228</v>
      </c>
      <c r="C51" s="37" t="e">
        <f>Assump!#REF!</f>
        <v>#REF!</v>
      </c>
      <c r="D51" s="19" t="s">
        <v>146</v>
      </c>
      <c r="F51" s="17"/>
    </row>
    <row r="52" spans="1:6" s="6" customFormat="1" ht="21" customHeight="1" x14ac:dyDescent="0.35">
      <c r="A52" s="19">
        <v>6</v>
      </c>
      <c r="B52" s="20" t="s">
        <v>63</v>
      </c>
      <c r="C52" s="37" t="e">
        <f>Assump!#REF!</f>
        <v>#REF!</v>
      </c>
      <c r="D52" s="19" t="s">
        <v>146</v>
      </c>
      <c r="F52" s="17"/>
    </row>
    <row r="53" spans="1:6" s="6" customFormat="1" ht="21" customHeight="1" x14ac:dyDescent="0.35">
      <c r="A53" s="19">
        <v>7</v>
      </c>
      <c r="B53" s="20" t="s">
        <v>49</v>
      </c>
      <c r="C53" s="37" t="e">
        <f>Assump!#REF!</f>
        <v>#REF!</v>
      </c>
      <c r="D53" s="19" t="s">
        <v>146</v>
      </c>
      <c r="F53" s="17"/>
    </row>
    <row r="54" spans="1:6" s="6" customFormat="1" ht="21" customHeight="1" x14ac:dyDescent="0.35">
      <c r="A54" s="19">
        <v>8</v>
      </c>
      <c r="B54" s="20" t="s">
        <v>51</v>
      </c>
      <c r="C54" s="37" t="e">
        <f>Assump!#REF!</f>
        <v>#REF!</v>
      </c>
      <c r="D54" s="19" t="s">
        <v>146</v>
      </c>
      <c r="F54" s="17"/>
    </row>
    <row r="55" spans="1:6" s="6" customFormat="1" ht="21" customHeight="1" x14ac:dyDescent="0.35">
      <c r="A55" s="19">
        <v>9</v>
      </c>
      <c r="B55" s="20" t="s">
        <v>52</v>
      </c>
      <c r="C55" s="37" t="e">
        <f>C52-(C53+C54)</f>
        <v>#REF!</v>
      </c>
      <c r="D55" s="19" t="s">
        <v>146</v>
      </c>
      <c r="F55" s="17"/>
    </row>
  </sheetData>
  <customSheetViews>
    <customSheetView guid="{22475485-DA09-46DB-978D-BB94CE1E5597}" topLeftCell="A35">
      <selection activeCell="B40" sqref="B40"/>
      <pageMargins left="0.7" right="0.7" top="0.75" bottom="0.75" header="0.3" footer="0.3"/>
      <pageSetup paperSize="9" orientation="portrait" verticalDpi="0" copies="0" r:id="rId1"/>
    </customSheetView>
  </customSheetViews>
  <mergeCells count="7">
    <mergeCell ref="B44:D44"/>
    <mergeCell ref="A1:D1"/>
    <mergeCell ref="B3:D3"/>
    <mergeCell ref="B10:D10"/>
    <mergeCell ref="B19:D19"/>
    <mergeCell ref="A28:E28"/>
    <mergeCell ref="B29:D29"/>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C2:P26"/>
  <sheetViews>
    <sheetView showGridLines="0" topLeftCell="B1" workbookViewId="0">
      <pane xSplit="2" ySplit="5" topLeftCell="D19" activePane="bottomRight" state="frozen"/>
      <selection activeCell="B1" sqref="B1"/>
      <selection pane="topRight" activeCell="C1" sqref="C1"/>
      <selection pane="bottomLeft" activeCell="B5" sqref="B5"/>
      <selection pane="bottomRight" activeCell="G23" sqref="G23"/>
    </sheetView>
  </sheetViews>
  <sheetFormatPr defaultColWidth="8.81640625" defaultRowHeight="14.5" x14ac:dyDescent="0.35"/>
  <cols>
    <col min="1" max="1" width="6.1796875" style="96" customWidth="1"/>
    <col min="2" max="2" width="4.54296875" style="96" customWidth="1"/>
    <col min="3" max="3" width="31.453125" style="51" customWidth="1"/>
    <col min="4" max="4" width="10.26953125" style="197" customWidth="1"/>
    <col min="5" max="5" width="2.1796875" style="44" customWidth="1"/>
    <col min="6" max="16" width="11.1796875" style="44" customWidth="1"/>
    <col min="17" max="16384" width="8.81640625" style="96"/>
  </cols>
  <sheetData>
    <row r="2" spans="3:16" ht="17.25" customHeight="1" x14ac:dyDescent="0.35">
      <c r="C2" s="144" t="s">
        <v>386</v>
      </c>
      <c r="D2" s="196"/>
      <c r="E2" s="130"/>
      <c r="F2" s="130"/>
      <c r="G2" s="130"/>
      <c r="H2" s="130"/>
      <c r="I2" s="130"/>
      <c r="J2" s="130"/>
      <c r="K2" s="130"/>
      <c r="L2" s="185"/>
      <c r="M2" s="130"/>
      <c r="N2" s="130"/>
      <c r="O2" s="130"/>
      <c r="P2" s="130"/>
    </row>
    <row r="3" spans="3:16" ht="12" customHeight="1" x14ac:dyDescent="0.35">
      <c r="C3" s="97"/>
      <c r="D3" s="44"/>
    </row>
    <row r="4" spans="3:16" ht="16.5" customHeight="1" x14ac:dyDescent="0.35">
      <c r="C4" s="117"/>
      <c r="D4" s="182"/>
      <c r="E4" s="93"/>
      <c r="F4" s="93" t="s">
        <v>1857</v>
      </c>
      <c r="G4" s="93" t="s">
        <v>1857</v>
      </c>
      <c r="H4" s="93" t="s">
        <v>1858</v>
      </c>
      <c r="I4" s="93" t="s">
        <v>509</v>
      </c>
      <c r="J4" s="93" t="s">
        <v>509</v>
      </c>
      <c r="K4" s="93" t="s">
        <v>509</v>
      </c>
      <c r="L4" s="93" t="s">
        <v>509</v>
      </c>
      <c r="M4" s="93" t="s">
        <v>509</v>
      </c>
      <c r="N4" s="93" t="s">
        <v>509</v>
      </c>
      <c r="O4" s="93" t="s">
        <v>509</v>
      </c>
      <c r="P4" s="93" t="s">
        <v>509</v>
      </c>
    </row>
    <row r="5" spans="3:16" ht="18.75" customHeight="1" x14ac:dyDescent="0.35">
      <c r="C5" s="118" t="s">
        <v>590</v>
      </c>
      <c r="D5" s="94"/>
      <c r="E5" s="94"/>
      <c r="F5" s="94">
        <v>2025</v>
      </c>
      <c r="G5" s="94">
        <f>F5+1</f>
        <v>2026</v>
      </c>
      <c r="H5" s="94">
        <f t="shared" ref="H5:P5" si="0">G5+1</f>
        <v>2027</v>
      </c>
      <c r="I5" s="94">
        <f t="shared" si="0"/>
        <v>2028</v>
      </c>
      <c r="J5" s="94">
        <f t="shared" si="0"/>
        <v>2029</v>
      </c>
      <c r="K5" s="94">
        <f t="shared" si="0"/>
        <v>2030</v>
      </c>
      <c r="L5" s="94">
        <f t="shared" si="0"/>
        <v>2031</v>
      </c>
      <c r="M5" s="94">
        <f t="shared" si="0"/>
        <v>2032</v>
      </c>
      <c r="N5" s="94">
        <f t="shared" si="0"/>
        <v>2033</v>
      </c>
      <c r="O5" s="94">
        <f t="shared" si="0"/>
        <v>2034</v>
      </c>
      <c r="P5" s="94">
        <f t="shared" si="0"/>
        <v>2035</v>
      </c>
    </row>
    <row r="6" spans="3:16" ht="17.25" customHeight="1" x14ac:dyDescent="0.35">
      <c r="C6" s="51" t="s">
        <v>55</v>
      </c>
      <c r="F6" s="100">
        <f>'P &amp; L'!D30</f>
        <v>0</v>
      </c>
      <c r="G6" s="100">
        <f>'P &amp; L'!E30</f>
        <v>0</v>
      </c>
      <c r="H6" s="100">
        <f>'P &amp; L'!F30</f>
        <v>3848.7583779181941</v>
      </c>
      <c r="I6" s="100">
        <f>'P &amp; L'!G30</f>
        <v>6947.0779441798159</v>
      </c>
      <c r="J6" s="100">
        <f>'P &amp; L'!H30</f>
        <v>9941.9351569435585</v>
      </c>
      <c r="K6" s="100">
        <f>'P &amp; L'!I30</f>
        <v>11131.243883001751</v>
      </c>
      <c r="L6" s="100">
        <f>'P &amp; L'!J30</f>
        <v>12466.418045362841</v>
      </c>
      <c r="M6" s="100">
        <f>'P &amp; L'!K30</f>
        <v>13940.725915842007</v>
      </c>
      <c r="N6" s="100">
        <f>'P &amp; L'!L30</f>
        <v>15496.110429845116</v>
      </c>
      <c r="O6" s="100">
        <f>'P &amp; L'!M30</f>
        <v>17174.142919548383</v>
      </c>
      <c r="P6" s="100">
        <f>'P &amp; L'!N30</f>
        <v>18947.977033736814</v>
      </c>
    </row>
    <row r="7" spans="3:16" ht="17.25" customHeight="1" x14ac:dyDescent="0.35">
      <c r="C7" s="51" t="s">
        <v>387</v>
      </c>
      <c r="F7" s="100">
        <v>0</v>
      </c>
      <c r="G7" s="100">
        <v>0</v>
      </c>
      <c r="H7" s="100">
        <f>Depr!C21</f>
        <v>779.65452316513756</v>
      </c>
      <c r="I7" s="100">
        <f>Depr!D21</f>
        <v>1039.5393642201834</v>
      </c>
      <c r="J7" s="100">
        <f>Depr!E21</f>
        <v>1039.5393642201834</v>
      </c>
      <c r="K7" s="100">
        <f>Depr!F21</f>
        <v>1039.5393642201834</v>
      </c>
      <c r="L7" s="100">
        <f>Depr!G21</f>
        <v>1039.5393642201834</v>
      </c>
      <c r="M7" s="100">
        <f>Depr!H21</f>
        <v>1039.5393642201834</v>
      </c>
      <c r="N7" s="100">
        <f>Depr!I21</f>
        <v>1039.5393642201834</v>
      </c>
      <c r="O7" s="100">
        <f>Depr!J21</f>
        <v>1039.5393642201834</v>
      </c>
      <c r="P7" s="100">
        <f>Depr!K21</f>
        <v>1039.5393642201834</v>
      </c>
    </row>
    <row r="8" spans="3:16" ht="17.25" customHeight="1" x14ac:dyDescent="0.35">
      <c r="C8" s="51" t="s">
        <v>388</v>
      </c>
      <c r="F8" s="100">
        <v>0</v>
      </c>
      <c r="G8" s="100">
        <v>0</v>
      </c>
      <c r="H8" s="100">
        <f>Depr!C37</f>
        <v>4013.2199541284403</v>
      </c>
      <c r="I8" s="100">
        <f>Depr!D37</f>
        <v>3429.1874655963306</v>
      </c>
      <c r="J8" s="100">
        <f>Depr!E37</f>
        <v>2930.9647998853216</v>
      </c>
      <c r="K8" s="100">
        <f>Depr!F37</f>
        <v>2505.85998861812</v>
      </c>
      <c r="L8" s="100">
        <f>Depr!G37</f>
        <v>2143.0669081694386</v>
      </c>
      <c r="M8" s="100">
        <f>Depr!H37</f>
        <v>1833.3841980036559</v>
      </c>
      <c r="N8" s="100">
        <f>Depr!I37</f>
        <v>1568.9761617567772</v>
      </c>
      <c r="O8" s="100">
        <f>Depr!J37</f>
        <v>1343.1693716015634</v>
      </c>
      <c r="P8" s="100">
        <f>Depr!K37</f>
        <v>1150.2796365588013</v>
      </c>
    </row>
    <row r="9" spans="3:16" ht="17.25" customHeight="1" x14ac:dyDescent="0.35">
      <c r="C9" s="51" t="s">
        <v>389</v>
      </c>
      <c r="F9" s="100">
        <f t="shared" ref="F9:P9" si="1">F6+F7-F8</f>
        <v>0</v>
      </c>
      <c r="G9" s="100">
        <f t="shared" si="1"/>
        <v>0</v>
      </c>
      <c r="H9" s="100">
        <f>H6+H7-H8</f>
        <v>615.19294695489089</v>
      </c>
      <c r="I9" s="100">
        <f>I6+I7-I8</f>
        <v>4557.4298428036691</v>
      </c>
      <c r="J9" s="100">
        <f>J6+J7-J8</f>
        <v>8050.5097212784203</v>
      </c>
      <c r="K9" s="100">
        <f t="shared" si="1"/>
        <v>9664.9232586038142</v>
      </c>
      <c r="L9" s="100">
        <f t="shared" si="1"/>
        <v>11362.890501413585</v>
      </c>
      <c r="M9" s="100">
        <f t="shared" si="1"/>
        <v>13146.881082058535</v>
      </c>
      <c r="N9" s="100">
        <f t="shared" si="1"/>
        <v>14966.673632308522</v>
      </c>
      <c r="O9" s="100">
        <f t="shared" si="1"/>
        <v>16870.512912167003</v>
      </c>
      <c r="P9" s="100">
        <f t="shared" si="1"/>
        <v>18837.236761398199</v>
      </c>
    </row>
    <row r="10" spans="3:16" ht="17.25" customHeight="1" x14ac:dyDescent="0.35">
      <c r="C10" s="51" t="s">
        <v>390</v>
      </c>
      <c r="F10" s="100">
        <f>E10+F9</f>
        <v>0</v>
      </c>
      <c r="G10" s="100">
        <f t="shared" ref="G10:P10" si="2">F10+G9</f>
        <v>0</v>
      </c>
      <c r="H10" s="100">
        <f t="shared" si="2"/>
        <v>615.19294695489089</v>
      </c>
      <c r="I10" s="100">
        <f t="shared" si="2"/>
        <v>5172.6227897585595</v>
      </c>
      <c r="J10" s="100">
        <f t="shared" si="2"/>
        <v>13223.13251103698</v>
      </c>
      <c r="K10" s="100">
        <f t="shared" si="2"/>
        <v>22888.055769640792</v>
      </c>
      <c r="L10" s="100">
        <f t="shared" si="2"/>
        <v>34250.946271054374</v>
      </c>
      <c r="M10" s="100">
        <f t="shared" si="2"/>
        <v>47397.827353112909</v>
      </c>
      <c r="N10" s="100">
        <f t="shared" si="2"/>
        <v>62364.50098542143</v>
      </c>
      <c r="O10" s="100">
        <f t="shared" si="2"/>
        <v>79235.013897588433</v>
      </c>
      <c r="P10" s="100">
        <f t="shared" si="2"/>
        <v>98072.250658986624</v>
      </c>
    </row>
    <row r="11" spans="3:16" ht="17.25" customHeight="1" x14ac:dyDescent="0.35">
      <c r="C11" s="51" t="s">
        <v>391</v>
      </c>
      <c r="F11" s="198">
        <f>IF(E12&lt;0,E12,0)</f>
        <v>0</v>
      </c>
      <c r="G11" s="198">
        <f t="shared" ref="G11:P11" si="3">IF(F12&lt;0,F12,0)</f>
        <v>0</v>
      </c>
      <c r="H11" s="198">
        <f t="shared" si="3"/>
        <v>0</v>
      </c>
      <c r="I11" s="198">
        <f t="shared" si="3"/>
        <v>0</v>
      </c>
      <c r="J11" s="198">
        <f t="shared" si="3"/>
        <v>0</v>
      </c>
      <c r="K11" s="198">
        <f t="shared" si="3"/>
        <v>0</v>
      </c>
      <c r="L11" s="198">
        <f t="shared" si="3"/>
        <v>0</v>
      </c>
      <c r="M11" s="198">
        <f t="shared" si="3"/>
        <v>0</v>
      </c>
      <c r="N11" s="198">
        <f t="shared" si="3"/>
        <v>0</v>
      </c>
      <c r="O11" s="198">
        <f t="shared" si="3"/>
        <v>0</v>
      </c>
      <c r="P11" s="198">
        <f t="shared" si="3"/>
        <v>0</v>
      </c>
    </row>
    <row r="12" spans="3:16" ht="17.25" customHeight="1" x14ac:dyDescent="0.35">
      <c r="C12" s="146" t="s">
        <v>392</v>
      </c>
      <c r="F12" s="100">
        <f t="shared" ref="F12:P12" si="4">F9+F11</f>
        <v>0</v>
      </c>
      <c r="G12" s="100">
        <f t="shared" si="4"/>
        <v>0</v>
      </c>
      <c r="H12" s="100">
        <f t="shared" si="4"/>
        <v>615.19294695489089</v>
      </c>
      <c r="I12" s="100">
        <f t="shared" si="4"/>
        <v>4557.4298428036691</v>
      </c>
      <c r="J12" s="100">
        <f t="shared" si="4"/>
        <v>8050.5097212784203</v>
      </c>
      <c r="K12" s="100">
        <f t="shared" si="4"/>
        <v>9664.9232586038142</v>
      </c>
      <c r="L12" s="100">
        <f t="shared" si="4"/>
        <v>11362.890501413585</v>
      </c>
      <c r="M12" s="100">
        <f t="shared" si="4"/>
        <v>13146.881082058535</v>
      </c>
      <c r="N12" s="100">
        <f t="shared" si="4"/>
        <v>14966.673632308522</v>
      </c>
      <c r="O12" s="100">
        <f t="shared" si="4"/>
        <v>16870.512912167003</v>
      </c>
      <c r="P12" s="100">
        <f t="shared" si="4"/>
        <v>18837.236761398199</v>
      </c>
    </row>
    <row r="13" spans="3:16" ht="17.25" customHeight="1" x14ac:dyDescent="0.35">
      <c r="C13" s="51" t="s">
        <v>1859</v>
      </c>
      <c r="D13" s="197">
        <f>22%*1.1*1.04</f>
        <v>0.25168000000000001</v>
      </c>
      <c r="F13" s="100">
        <f t="shared" ref="F13:P13" si="5">F12*$D$13</f>
        <v>0</v>
      </c>
      <c r="G13" s="100">
        <f t="shared" si="5"/>
        <v>0</v>
      </c>
      <c r="H13" s="100">
        <f t="shared" si="5"/>
        <v>154.83176088960695</v>
      </c>
      <c r="I13" s="100">
        <f t="shared" si="5"/>
        <v>1147.0139428368275</v>
      </c>
      <c r="J13" s="100">
        <f t="shared" si="5"/>
        <v>2026.1522866513531</v>
      </c>
      <c r="K13" s="100">
        <f t="shared" si="5"/>
        <v>2432.467885725408</v>
      </c>
      <c r="L13" s="100">
        <f t="shared" si="5"/>
        <v>2859.8122813957712</v>
      </c>
      <c r="M13" s="100">
        <f t="shared" si="5"/>
        <v>3308.8070307324924</v>
      </c>
      <c r="N13" s="100">
        <f t="shared" si="5"/>
        <v>3766.8124197794091</v>
      </c>
      <c r="O13" s="100">
        <f t="shared" si="5"/>
        <v>4245.9706897341921</v>
      </c>
      <c r="P13" s="100">
        <f t="shared" si="5"/>
        <v>4740.9557481086986</v>
      </c>
    </row>
    <row r="15" spans="3:16" x14ac:dyDescent="0.35">
      <c r="C15" s="144" t="s">
        <v>1973</v>
      </c>
    </row>
    <row r="16" spans="3:16" s="317" customFormat="1" x14ac:dyDescent="0.35">
      <c r="C16" s="947"/>
      <c r="D16" s="948"/>
      <c r="E16" s="949"/>
      <c r="F16" s="949"/>
      <c r="G16" s="949"/>
      <c r="H16" s="949"/>
      <c r="I16" s="949"/>
      <c r="J16" s="949"/>
      <c r="K16" s="949"/>
      <c r="L16" s="949"/>
      <c r="M16" s="949"/>
      <c r="N16" s="949"/>
      <c r="O16" s="949"/>
      <c r="P16" s="949"/>
    </row>
    <row r="17" spans="3:16" x14ac:dyDescent="0.35">
      <c r="C17" s="117"/>
      <c r="D17" s="182"/>
      <c r="E17" s="93"/>
      <c r="F17" s="93" t="s">
        <v>1857</v>
      </c>
      <c r="G17" s="93" t="s">
        <v>1857</v>
      </c>
      <c r="H17" s="93" t="s">
        <v>1858</v>
      </c>
      <c r="I17" s="93" t="s">
        <v>509</v>
      </c>
      <c r="J17" s="93" t="s">
        <v>509</v>
      </c>
      <c r="K17" s="93" t="s">
        <v>509</v>
      </c>
      <c r="L17" s="93" t="s">
        <v>509</v>
      </c>
      <c r="M17" s="93" t="s">
        <v>509</v>
      </c>
      <c r="N17" s="93" t="s">
        <v>509</v>
      </c>
      <c r="O17" s="93" t="s">
        <v>509</v>
      </c>
      <c r="P17" s="93" t="s">
        <v>509</v>
      </c>
    </row>
    <row r="18" spans="3:16" x14ac:dyDescent="0.35">
      <c r="C18" s="118" t="s">
        <v>590</v>
      </c>
      <c r="D18" s="94"/>
      <c r="E18" s="94"/>
      <c r="F18" s="94">
        <v>2025</v>
      </c>
      <c r="G18" s="94">
        <f>F18+1</f>
        <v>2026</v>
      </c>
      <c r="H18" s="94">
        <f t="shared" ref="H18" si="6">G18+1</f>
        <v>2027</v>
      </c>
      <c r="I18" s="94">
        <f t="shared" ref="I18" si="7">H18+1</f>
        <v>2028</v>
      </c>
      <c r="J18" s="94">
        <f t="shared" ref="J18" si="8">I18+1</f>
        <v>2029</v>
      </c>
      <c r="K18" s="94">
        <f t="shared" ref="K18" si="9">J18+1</f>
        <v>2030</v>
      </c>
      <c r="L18" s="94">
        <f t="shared" ref="L18" si="10">K18+1</f>
        <v>2031</v>
      </c>
      <c r="M18" s="94">
        <f t="shared" ref="M18" si="11">L18+1</f>
        <v>2032</v>
      </c>
      <c r="N18" s="94">
        <f t="shared" ref="N18" si="12">M18+1</f>
        <v>2033</v>
      </c>
      <c r="O18" s="94">
        <f t="shared" ref="O18" si="13">N18+1</f>
        <v>2034</v>
      </c>
      <c r="P18" s="94">
        <f t="shared" ref="P18" si="14">O18+1</f>
        <v>2035</v>
      </c>
    </row>
    <row r="19" spans="3:16" x14ac:dyDescent="0.35">
      <c r="C19" s="51" t="s">
        <v>550</v>
      </c>
      <c r="F19" s="100">
        <f>'P &amp; L'!D30+'P &amp; L'!D25+'P &amp; L'!D26</f>
        <v>0</v>
      </c>
      <c r="G19" s="100">
        <f>'P &amp; L'!E30+'P &amp; L'!E25+'P &amp; L'!E26</f>
        <v>0</v>
      </c>
      <c r="H19" s="100">
        <f>'P &amp; L'!F30+'P &amp; L'!F25+'P &amp; L'!F26</f>
        <v>5276.4455855940951</v>
      </c>
      <c r="I19" s="100">
        <f>'P &amp; L'!G30+'P &amp; L'!G25+'P &amp; L'!G26</f>
        <v>8920.1881978069032</v>
      </c>
      <c r="J19" s="100">
        <f>'P &amp; L'!H30+'P &amp; L'!H25+'P &amp; L'!H26</f>
        <v>11773.931795269118</v>
      </c>
      <c r="K19" s="100">
        <f>'P &amp; L'!I30+'P &amp; L'!I25+'P &amp; L'!I26</f>
        <v>12782.629617058863</v>
      </c>
      <c r="L19" s="100">
        <f>'P &amp; L'!J30+'P &amp; L'!J25+'P &amp; L'!J26</f>
        <v>13877.223066122811</v>
      </c>
      <c r="M19" s="100">
        <f>'P &amp; L'!K30+'P &amp; L'!K25+'P &amp; L'!K26</f>
        <v>15088.571187639975</v>
      </c>
      <c r="N19" s="100">
        <f>'P &amp; L'!L30+'P &amp; L'!L25+'P &amp; L'!L26</f>
        <v>16358.647965232982</v>
      </c>
      <c r="O19" s="100">
        <f>'P &amp; L'!M30+'P &amp; L'!M25+'P &amp; L'!M26</f>
        <v>17729.057331705644</v>
      </c>
      <c r="P19" s="100">
        <f>'P &amp; L'!N30+'P &amp; L'!N25+'P &amp; L'!N26</f>
        <v>19276.487166501935</v>
      </c>
    </row>
    <row r="20" spans="3:16" x14ac:dyDescent="0.35">
      <c r="C20" s="51" t="s">
        <v>387</v>
      </c>
      <c r="F20" s="100">
        <v>0</v>
      </c>
      <c r="G20" s="100">
        <v>0</v>
      </c>
      <c r="H20" s="100">
        <f>Depr!C21</f>
        <v>779.65452316513756</v>
      </c>
      <c r="I20" s="100">
        <f>Depr!D21</f>
        <v>1039.5393642201834</v>
      </c>
      <c r="J20" s="100">
        <f>Depr!E21</f>
        <v>1039.5393642201834</v>
      </c>
      <c r="K20" s="100">
        <f>Depr!F21</f>
        <v>1039.5393642201834</v>
      </c>
      <c r="L20" s="100">
        <f>Depr!G21</f>
        <v>1039.5393642201834</v>
      </c>
      <c r="M20" s="100">
        <f>Depr!H21</f>
        <v>1039.5393642201834</v>
      </c>
      <c r="N20" s="100">
        <f>Depr!I21</f>
        <v>1039.5393642201834</v>
      </c>
      <c r="O20" s="100">
        <f>Depr!J21</f>
        <v>1039.5393642201834</v>
      </c>
      <c r="P20" s="100">
        <f>Depr!K21</f>
        <v>1039.5393642201834</v>
      </c>
    </row>
    <row r="21" spans="3:16" x14ac:dyDescent="0.35">
      <c r="C21" s="51" t="s">
        <v>388</v>
      </c>
      <c r="F21" s="100">
        <v>0</v>
      </c>
      <c r="G21" s="100">
        <v>0</v>
      </c>
      <c r="H21" s="100">
        <f>Depr!C37</f>
        <v>4013.2199541284403</v>
      </c>
      <c r="I21" s="100">
        <f>Depr!D37</f>
        <v>3429.1874655963306</v>
      </c>
      <c r="J21" s="100">
        <f>Depr!E37</f>
        <v>2930.9647998853216</v>
      </c>
      <c r="K21" s="100">
        <f>Depr!F37</f>
        <v>2505.85998861812</v>
      </c>
      <c r="L21" s="100">
        <f>Depr!G37</f>
        <v>2143.0669081694386</v>
      </c>
      <c r="M21" s="100">
        <f>Depr!H37</f>
        <v>1833.3841980036559</v>
      </c>
      <c r="N21" s="100">
        <f>Depr!I37</f>
        <v>1568.9761617567772</v>
      </c>
      <c r="O21" s="100">
        <f>Depr!J37</f>
        <v>1343.1693716015634</v>
      </c>
      <c r="P21" s="100">
        <f>Depr!K37</f>
        <v>1150.2796365588013</v>
      </c>
    </row>
    <row r="22" spans="3:16" x14ac:dyDescent="0.35">
      <c r="C22" s="51" t="s">
        <v>389</v>
      </c>
      <c r="F22" s="100">
        <f t="shared" ref="F22:G22" si="15">F19+F20-F21</f>
        <v>0</v>
      </c>
      <c r="G22" s="100">
        <f t="shared" si="15"/>
        <v>0</v>
      </c>
      <c r="H22" s="100">
        <f>H19+H20-H21</f>
        <v>2042.8801546307918</v>
      </c>
      <c r="I22" s="100">
        <f>I19+I20-I21</f>
        <v>6530.5400964307555</v>
      </c>
      <c r="J22" s="100">
        <f>J19+J20-J21</f>
        <v>9882.5063596039799</v>
      </c>
      <c r="K22" s="100">
        <f t="shared" ref="K22:P22" si="16">K19+K20-K21</f>
        <v>11316.308992660926</v>
      </c>
      <c r="L22" s="100">
        <f t="shared" si="16"/>
        <v>12773.695522173555</v>
      </c>
      <c r="M22" s="100">
        <f t="shared" si="16"/>
        <v>14294.726353856502</v>
      </c>
      <c r="N22" s="100">
        <f t="shared" si="16"/>
        <v>15829.211167696389</v>
      </c>
      <c r="O22" s="100">
        <f t="shared" si="16"/>
        <v>17425.427324324264</v>
      </c>
      <c r="P22" s="100">
        <f t="shared" si="16"/>
        <v>19165.74689416332</v>
      </c>
    </row>
    <row r="23" spans="3:16" x14ac:dyDescent="0.35">
      <c r="C23" s="51" t="s">
        <v>390</v>
      </c>
      <c r="F23" s="100">
        <f>E23+F22</f>
        <v>0</v>
      </c>
      <c r="G23" s="100">
        <f t="shared" ref="G23" si="17">F23+G22</f>
        <v>0</v>
      </c>
      <c r="H23" s="100">
        <f t="shared" ref="H23" si="18">G23+H22</f>
        <v>2042.8801546307918</v>
      </c>
      <c r="I23" s="100">
        <f t="shared" ref="I23" si="19">H23+I22</f>
        <v>8573.4202510615469</v>
      </c>
      <c r="J23" s="100">
        <f t="shared" ref="J23" si="20">I23+J22</f>
        <v>18455.926610665527</v>
      </c>
      <c r="K23" s="100">
        <f t="shared" ref="K23" si="21">J23+K22</f>
        <v>29772.235603326451</v>
      </c>
      <c r="L23" s="100">
        <f t="shared" ref="L23" si="22">K23+L22</f>
        <v>42545.931125500007</v>
      </c>
      <c r="M23" s="100">
        <f t="shared" ref="M23" si="23">L23+M22</f>
        <v>56840.657479356509</v>
      </c>
      <c r="N23" s="100">
        <f t="shared" ref="N23" si="24">M23+N22</f>
        <v>72669.868647052892</v>
      </c>
      <c r="O23" s="100">
        <f t="shared" ref="O23" si="25">N23+O22</f>
        <v>90095.295971377156</v>
      </c>
      <c r="P23" s="100">
        <f t="shared" ref="P23" si="26">O23+P22</f>
        <v>109261.04286554048</v>
      </c>
    </row>
    <row r="24" spans="3:16" x14ac:dyDescent="0.35">
      <c r="C24" s="51" t="s">
        <v>391</v>
      </c>
      <c r="F24" s="198">
        <f>IF(E25&lt;0,E25,0)</f>
        <v>0</v>
      </c>
      <c r="G24" s="198">
        <f t="shared" ref="G24" si="27">IF(F25&lt;0,F25,0)</f>
        <v>0</v>
      </c>
      <c r="H24" s="198">
        <f t="shared" ref="H24" si="28">IF(G25&lt;0,G25,0)</f>
        <v>0</v>
      </c>
      <c r="I24" s="198">
        <f t="shared" ref="I24" si="29">IF(H25&lt;0,H25,0)</f>
        <v>0</v>
      </c>
      <c r="J24" s="198">
        <f t="shared" ref="J24" si="30">IF(I25&lt;0,I25,0)</f>
        <v>0</v>
      </c>
      <c r="K24" s="198">
        <f t="shared" ref="K24" si="31">IF(J25&lt;0,J25,0)</f>
        <v>0</v>
      </c>
      <c r="L24" s="198">
        <f t="shared" ref="L24" si="32">IF(K25&lt;0,K25,0)</f>
        <v>0</v>
      </c>
      <c r="M24" s="198">
        <f t="shared" ref="M24" si="33">IF(L25&lt;0,L25,0)</f>
        <v>0</v>
      </c>
      <c r="N24" s="198">
        <f t="shared" ref="N24" si="34">IF(M25&lt;0,M25,0)</f>
        <v>0</v>
      </c>
      <c r="O24" s="198">
        <f t="shared" ref="O24" si="35">IF(N25&lt;0,N25,0)</f>
        <v>0</v>
      </c>
      <c r="P24" s="198">
        <f t="shared" ref="P24" si="36">IF(O25&lt;0,O25,0)</f>
        <v>0</v>
      </c>
    </row>
    <row r="25" spans="3:16" x14ac:dyDescent="0.35">
      <c r="C25" s="146" t="s">
        <v>392</v>
      </c>
      <c r="F25" s="100">
        <f t="shared" ref="F25:P25" si="37">F22+F24</f>
        <v>0</v>
      </c>
      <c r="G25" s="100">
        <f t="shared" si="37"/>
        <v>0</v>
      </c>
      <c r="H25" s="100">
        <f t="shared" si="37"/>
        <v>2042.8801546307918</v>
      </c>
      <c r="I25" s="100">
        <f t="shared" si="37"/>
        <v>6530.5400964307555</v>
      </c>
      <c r="J25" s="100">
        <f t="shared" si="37"/>
        <v>9882.5063596039799</v>
      </c>
      <c r="K25" s="100">
        <f t="shared" si="37"/>
        <v>11316.308992660926</v>
      </c>
      <c r="L25" s="100">
        <f t="shared" si="37"/>
        <v>12773.695522173555</v>
      </c>
      <c r="M25" s="100">
        <f t="shared" si="37"/>
        <v>14294.726353856502</v>
      </c>
      <c r="N25" s="100">
        <f t="shared" si="37"/>
        <v>15829.211167696389</v>
      </c>
      <c r="O25" s="100">
        <f t="shared" si="37"/>
        <v>17425.427324324264</v>
      </c>
      <c r="P25" s="100">
        <f t="shared" si="37"/>
        <v>19165.74689416332</v>
      </c>
    </row>
    <row r="26" spans="3:16" x14ac:dyDescent="0.35">
      <c r="C26" s="51" t="s">
        <v>1859</v>
      </c>
      <c r="D26" s="197">
        <f>22%*1.1*1.04</f>
        <v>0.25168000000000001</v>
      </c>
      <c r="F26" s="100">
        <f t="shared" ref="F26:P26" si="38">F25*$D$13</f>
        <v>0</v>
      </c>
      <c r="G26" s="100">
        <f t="shared" si="38"/>
        <v>0</v>
      </c>
      <c r="H26" s="100">
        <f t="shared" si="38"/>
        <v>514.15207731747773</v>
      </c>
      <c r="I26" s="100">
        <f t="shared" si="38"/>
        <v>1643.6063314696926</v>
      </c>
      <c r="J26" s="100">
        <f t="shared" si="38"/>
        <v>2487.22920058513</v>
      </c>
      <c r="K26" s="100">
        <f t="shared" si="38"/>
        <v>2848.0886472729021</v>
      </c>
      <c r="L26" s="100">
        <f t="shared" si="38"/>
        <v>3214.8836890206408</v>
      </c>
      <c r="M26" s="100">
        <f t="shared" si="38"/>
        <v>3597.6967287386046</v>
      </c>
      <c r="N26" s="100">
        <f t="shared" si="38"/>
        <v>3983.8958666858275</v>
      </c>
      <c r="O26" s="100">
        <f t="shared" si="38"/>
        <v>4385.6315489859307</v>
      </c>
      <c r="P26" s="100">
        <f t="shared" si="38"/>
        <v>4823.6351783230248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theme="5" tint="-0.499984740745262"/>
  </sheetPr>
  <dimension ref="A2:L52"/>
  <sheetViews>
    <sheetView showGridLines="0" topLeftCell="A17" workbookViewId="0">
      <selection activeCell="C29" sqref="C29"/>
    </sheetView>
  </sheetViews>
  <sheetFormatPr defaultColWidth="32.26953125" defaultRowHeight="14.5" x14ac:dyDescent="0.35"/>
  <cols>
    <col min="1" max="1" width="5" style="96" customWidth="1"/>
    <col min="2" max="2" width="31.7265625" style="97" customWidth="1"/>
    <col min="3" max="11" width="12.1796875" style="44" customWidth="1"/>
    <col min="12" max="109" width="14" style="96" customWidth="1"/>
    <col min="110" max="16384" width="32.26953125" style="96"/>
  </cols>
  <sheetData>
    <row r="2" spans="2:12" ht="18" customHeight="1" x14ac:dyDescent="0.35">
      <c r="B2" s="134" t="s">
        <v>366</v>
      </c>
      <c r="C2" s="93" t="s">
        <v>381</v>
      </c>
      <c r="D2" s="93" t="s">
        <v>490</v>
      </c>
      <c r="E2" s="93"/>
      <c r="F2" s="93" t="s">
        <v>382</v>
      </c>
      <c r="G2" s="112"/>
      <c r="H2" s="93"/>
      <c r="I2" s="93" t="s">
        <v>383</v>
      </c>
    </row>
    <row r="3" spans="2:12" ht="18" customHeight="1" x14ac:dyDescent="0.35">
      <c r="B3" s="53" t="s">
        <v>384</v>
      </c>
      <c r="C3" s="184">
        <f>('CoP-MoF'!D6)</f>
        <v>3500</v>
      </c>
      <c r="D3" s="184">
        <f>D6*C3/C6</f>
        <v>90.100917431192656</v>
      </c>
      <c r="E3" s="100"/>
      <c r="F3" s="184">
        <f>C3+D3+E3</f>
        <v>3590.1009174311926</v>
      </c>
      <c r="G3" s="54"/>
      <c r="H3" s="199"/>
      <c r="I3" s="199">
        <v>0.1</v>
      </c>
    </row>
    <row r="4" spans="2:12" ht="18" customHeight="1" x14ac:dyDescent="0.35">
      <c r="B4" s="97" t="s">
        <v>385</v>
      </c>
      <c r="C4" s="184">
        <f>('CoP-MoF'!D7+'CoP-MoF'!D8+'CoP-MoF'!D9+'CoP-MoF'!D10+'CoP-MoF'!D11+'CoP-MoF'!D14)</f>
        <v>23750</v>
      </c>
      <c r="D4" s="184">
        <f>D6*C4/C6</f>
        <v>611.39908256880733</v>
      </c>
      <c r="E4" s="100"/>
      <c r="F4" s="184">
        <f>C4+D4+E4</f>
        <v>24361.399082568809</v>
      </c>
      <c r="G4" s="54"/>
      <c r="H4" s="199"/>
      <c r="I4" s="199">
        <v>0.15</v>
      </c>
    </row>
    <row r="5" spans="2:12" ht="18" customHeight="1" x14ac:dyDescent="0.35">
      <c r="B5" s="97" t="s">
        <v>784</v>
      </c>
      <c r="C5" s="184">
        <v>0</v>
      </c>
      <c r="D5" s="184">
        <f>D6*C5/C6</f>
        <v>0</v>
      </c>
      <c r="E5" s="100"/>
      <c r="F5" s="184">
        <f>C5+D5+E5</f>
        <v>0</v>
      </c>
      <c r="G5" s="54"/>
      <c r="H5" s="199"/>
      <c r="I5" s="199">
        <v>0.1</v>
      </c>
    </row>
    <row r="6" spans="2:12" ht="18" customHeight="1" x14ac:dyDescent="0.35">
      <c r="B6" s="92" t="s">
        <v>382</v>
      </c>
      <c r="C6" s="291">
        <f>SUM(C3:C5)</f>
        <v>27250</v>
      </c>
      <c r="D6" s="291">
        <f>'TL Schd'!Q10</f>
        <v>701.5</v>
      </c>
      <c r="E6" s="133"/>
      <c r="F6" s="291">
        <f>SUM(F3:F5)</f>
        <v>27951.5</v>
      </c>
      <c r="G6" s="200"/>
      <c r="H6" s="201"/>
      <c r="I6" s="201"/>
    </row>
    <row r="7" spans="2:12" x14ac:dyDescent="0.35">
      <c r="F7" s="44">
        <f>'CoP-MoF'!D5</f>
        <v>1200</v>
      </c>
      <c r="G7" s="184">
        <f>F6+F7</f>
        <v>29151.5</v>
      </c>
    </row>
    <row r="8" spans="2:12" x14ac:dyDescent="0.35">
      <c r="G8" s="184"/>
    </row>
    <row r="9" spans="2:12" x14ac:dyDescent="0.35">
      <c r="B9" s="134" t="s">
        <v>1854</v>
      </c>
      <c r="C9" s="134"/>
      <c r="D9" s="134"/>
      <c r="E9" s="134"/>
      <c r="F9" s="134"/>
      <c r="G9" s="134"/>
      <c r="H9" s="134"/>
      <c r="I9" s="134"/>
      <c r="J9" s="134"/>
      <c r="K9" s="134"/>
    </row>
    <row r="10" spans="2:12" x14ac:dyDescent="0.35">
      <c r="B10" s="103" t="s">
        <v>325</v>
      </c>
      <c r="C10" s="71">
        <v>9</v>
      </c>
      <c r="D10" s="71">
        <v>12</v>
      </c>
      <c r="E10" s="71">
        <v>12</v>
      </c>
      <c r="F10" s="71">
        <v>12</v>
      </c>
      <c r="G10" s="71">
        <v>12</v>
      </c>
      <c r="H10" s="71">
        <v>12</v>
      </c>
      <c r="I10" s="71">
        <v>12</v>
      </c>
      <c r="J10" s="71">
        <v>12</v>
      </c>
      <c r="K10" s="71">
        <v>12</v>
      </c>
    </row>
    <row r="11" spans="2:12" x14ac:dyDescent="0.35">
      <c r="B11" s="108" t="s">
        <v>591</v>
      </c>
      <c r="C11" s="72">
        <v>2027</v>
      </c>
      <c r="D11" s="72">
        <f t="shared" ref="D11" si="0">C11+1</f>
        <v>2028</v>
      </c>
      <c r="E11" s="72">
        <f t="shared" ref="E11" si="1">D11+1</f>
        <v>2029</v>
      </c>
      <c r="F11" s="72">
        <f t="shared" ref="F11" si="2">E11+1</f>
        <v>2030</v>
      </c>
      <c r="G11" s="72">
        <f t="shared" ref="G11" si="3">F11+1</f>
        <v>2031</v>
      </c>
      <c r="H11" s="72">
        <f t="shared" ref="H11" si="4">G11+1</f>
        <v>2032</v>
      </c>
      <c r="I11" s="72">
        <f t="shared" ref="I11" si="5">H11+1</f>
        <v>2033</v>
      </c>
      <c r="J11" s="72">
        <f t="shared" ref="J11" si="6">I11+1</f>
        <v>2034</v>
      </c>
      <c r="K11" s="72">
        <f t="shared" ref="K11" si="7">J11+1</f>
        <v>2035</v>
      </c>
    </row>
    <row r="12" spans="2:12" x14ac:dyDescent="0.35">
      <c r="B12" s="97" t="s">
        <v>60</v>
      </c>
      <c r="C12" s="301">
        <f>F3</f>
        <v>3590.1009174311926</v>
      </c>
      <c r="D12" s="301">
        <f>C12</f>
        <v>3590.1009174311926</v>
      </c>
      <c r="E12" s="301">
        <f t="shared" ref="E12:K12" si="8">D12</f>
        <v>3590.1009174311926</v>
      </c>
      <c r="F12" s="301">
        <f t="shared" si="8"/>
        <v>3590.1009174311926</v>
      </c>
      <c r="G12" s="301">
        <f t="shared" si="8"/>
        <v>3590.1009174311926</v>
      </c>
      <c r="H12" s="301">
        <f t="shared" si="8"/>
        <v>3590.1009174311926</v>
      </c>
      <c r="I12" s="301">
        <f t="shared" si="8"/>
        <v>3590.1009174311926</v>
      </c>
      <c r="J12" s="301">
        <f t="shared" si="8"/>
        <v>3590.1009174311926</v>
      </c>
      <c r="K12" s="301">
        <f t="shared" si="8"/>
        <v>3590.1009174311926</v>
      </c>
    </row>
    <row r="13" spans="2:12" x14ac:dyDescent="0.35">
      <c r="B13" s="97" t="s">
        <v>1856</v>
      </c>
      <c r="C13" s="336">
        <f>(C12*3.17%*C10/12)</f>
        <v>85.354649311926593</v>
      </c>
      <c r="D13" s="336">
        <f t="shared" ref="D13:K13" si="9">(D12*3.17%*D10/12)</f>
        <v>113.8061990825688</v>
      </c>
      <c r="E13" s="336">
        <f t="shared" si="9"/>
        <v>113.8061990825688</v>
      </c>
      <c r="F13" s="336">
        <f t="shared" si="9"/>
        <v>113.8061990825688</v>
      </c>
      <c r="G13" s="336">
        <f t="shared" si="9"/>
        <v>113.8061990825688</v>
      </c>
      <c r="H13" s="336">
        <f t="shared" si="9"/>
        <v>113.8061990825688</v>
      </c>
      <c r="I13" s="336">
        <f t="shared" si="9"/>
        <v>113.8061990825688</v>
      </c>
      <c r="J13" s="336">
        <f t="shared" si="9"/>
        <v>113.8061990825688</v>
      </c>
      <c r="K13" s="336">
        <f t="shared" si="9"/>
        <v>113.8061990825688</v>
      </c>
      <c r="L13" s="336"/>
    </row>
    <row r="14" spans="2:12" x14ac:dyDescent="0.35">
      <c r="B14" s="97" t="s">
        <v>61</v>
      </c>
      <c r="C14" s="336">
        <f t="shared" ref="C14" si="10">(C12-C13)</f>
        <v>3504.746268119266</v>
      </c>
      <c r="D14" s="301">
        <f>C14-D13</f>
        <v>3390.9400690366974</v>
      </c>
      <c r="E14" s="301">
        <f t="shared" ref="E14:K14" si="11">D14-E13</f>
        <v>3277.1338699541288</v>
      </c>
      <c r="F14" s="301">
        <f t="shared" si="11"/>
        <v>3163.3276708715603</v>
      </c>
      <c r="G14" s="301">
        <f t="shared" si="11"/>
        <v>3049.5214717889917</v>
      </c>
      <c r="H14" s="301">
        <f t="shared" si="11"/>
        <v>2935.7152727064231</v>
      </c>
      <c r="I14" s="301">
        <f t="shared" si="11"/>
        <v>2821.9090736238545</v>
      </c>
      <c r="J14" s="301">
        <f t="shared" si="11"/>
        <v>2708.1028745412859</v>
      </c>
      <c r="K14" s="301">
        <f t="shared" si="11"/>
        <v>2594.2966754587173</v>
      </c>
      <c r="L14" s="336"/>
    </row>
    <row r="15" spans="2:12" x14ac:dyDescent="0.35">
      <c r="B15" s="97" t="s">
        <v>62</v>
      </c>
      <c r="C15" s="336">
        <f>F4</f>
        <v>24361.399082568809</v>
      </c>
      <c r="D15" s="301">
        <f>C15</f>
        <v>24361.399082568809</v>
      </c>
      <c r="E15" s="301">
        <f t="shared" ref="E15:K15" si="12">D15</f>
        <v>24361.399082568809</v>
      </c>
      <c r="F15" s="301">
        <f t="shared" si="12"/>
        <v>24361.399082568809</v>
      </c>
      <c r="G15" s="301">
        <f t="shared" si="12"/>
        <v>24361.399082568809</v>
      </c>
      <c r="H15" s="301">
        <f t="shared" si="12"/>
        <v>24361.399082568809</v>
      </c>
      <c r="I15" s="301">
        <f t="shared" si="12"/>
        <v>24361.399082568809</v>
      </c>
      <c r="J15" s="301">
        <f t="shared" si="12"/>
        <v>24361.399082568809</v>
      </c>
      <c r="K15" s="301">
        <f t="shared" si="12"/>
        <v>24361.399082568809</v>
      </c>
    </row>
    <row r="16" spans="2:12" x14ac:dyDescent="0.35">
      <c r="B16" s="97" t="s">
        <v>1856</v>
      </c>
      <c r="C16" s="336">
        <f>(C15*3.8%*C10/12)</f>
        <v>694.29987385321101</v>
      </c>
      <c r="D16" s="336">
        <f t="shared" ref="D16:K16" si="13">(D15*3.8%*D10/12)</f>
        <v>925.73316513761472</v>
      </c>
      <c r="E16" s="336">
        <f t="shared" si="13"/>
        <v>925.73316513761472</v>
      </c>
      <c r="F16" s="336">
        <f t="shared" si="13"/>
        <v>925.73316513761472</v>
      </c>
      <c r="G16" s="336">
        <f t="shared" si="13"/>
        <v>925.73316513761472</v>
      </c>
      <c r="H16" s="336">
        <f>(H15*3.8%*H10/12)</f>
        <v>925.73316513761472</v>
      </c>
      <c r="I16" s="336">
        <f t="shared" si="13"/>
        <v>925.73316513761472</v>
      </c>
      <c r="J16" s="336">
        <f t="shared" si="13"/>
        <v>925.73316513761472</v>
      </c>
      <c r="K16" s="336">
        <f t="shared" si="13"/>
        <v>925.73316513761472</v>
      </c>
      <c r="L16" s="336"/>
    </row>
    <row r="17" spans="2:12" x14ac:dyDescent="0.35">
      <c r="B17" s="97" t="s">
        <v>182</v>
      </c>
      <c r="C17" s="336">
        <f t="shared" ref="C17" si="14">(C15-C16)</f>
        <v>23667.099208715597</v>
      </c>
      <c r="D17" s="301">
        <f>C17-D16</f>
        <v>22741.366043577982</v>
      </c>
      <c r="E17" s="301">
        <f t="shared" ref="E17" si="15">D17-E16</f>
        <v>21815.632878440367</v>
      </c>
      <c r="F17" s="301">
        <f t="shared" ref="F17" si="16">E17-F16</f>
        <v>20889.899713302751</v>
      </c>
      <c r="G17" s="301">
        <f t="shared" ref="G17" si="17">F17-G16</f>
        <v>19964.166548165136</v>
      </c>
      <c r="H17" s="301">
        <f t="shared" ref="H17" si="18">G17-H16</f>
        <v>19038.433383027521</v>
      </c>
      <c r="I17" s="301">
        <f t="shared" ref="I17" si="19">H17-I16</f>
        <v>18112.700217889906</v>
      </c>
      <c r="J17" s="301">
        <f t="shared" ref="J17" si="20">I17-J16</f>
        <v>17186.96705275229</v>
      </c>
      <c r="K17" s="301">
        <f t="shared" ref="K17" si="21">J17-K16</f>
        <v>16261.233887614675</v>
      </c>
      <c r="L17" s="336"/>
    </row>
    <row r="18" spans="2:12" x14ac:dyDescent="0.35">
      <c r="B18" s="97" t="s">
        <v>784</v>
      </c>
      <c r="C18" s="336">
        <f>F5</f>
        <v>0</v>
      </c>
      <c r="D18" s="301">
        <f>C18</f>
        <v>0</v>
      </c>
      <c r="E18" s="301">
        <f t="shared" ref="E18:K18" si="22">D18</f>
        <v>0</v>
      </c>
      <c r="F18" s="301">
        <f t="shared" si="22"/>
        <v>0</v>
      </c>
      <c r="G18" s="301">
        <f t="shared" si="22"/>
        <v>0</v>
      </c>
      <c r="H18" s="301">
        <f t="shared" si="22"/>
        <v>0</v>
      </c>
      <c r="I18" s="301">
        <f t="shared" si="22"/>
        <v>0</v>
      </c>
      <c r="J18" s="301">
        <f t="shared" si="22"/>
        <v>0</v>
      </c>
      <c r="K18" s="301">
        <f t="shared" si="22"/>
        <v>0</v>
      </c>
      <c r="L18" s="301"/>
    </row>
    <row r="19" spans="2:12" x14ac:dyDescent="0.35">
      <c r="B19" s="97" t="s">
        <v>1856</v>
      </c>
      <c r="C19" s="336">
        <f>(C18*9.5%*C10/12)</f>
        <v>0</v>
      </c>
      <c r="D19" s="336">
        <f t="shared" ref="D19:K19" si="23">(D18*9.5%*D10/12)</f>
        <v>0</v>
      </c>
      <c r="E19" s="336">
        <f t="shared" si="23"/>
        <v>0</v>
      </c>
      <c r="F19" s="336">
        <f t="shared" si="23"/>
        <v>0</v>
      </c>
      <c r="G19" s="336">
        <f t="shared" si="23"/>
        <v>0</v>
      </c>
      <c r="H19" s="336">
        <f t="shared" si="23"/>
        <v>0</v>
      </c>
      <c r="I19" s="336">
        <f t="shared" si="23"/>
        <v>0</v>
      </c>
      <c r="J19" s="336">
        <f t="shared" si="23"/>
        <v>0</v>
      </c>
      <c r="K19" s="336">
        <f t="shared" si="23"/>
        <v>0</v>
      </c>
    </row>
    <row r="20" spans="2:12" x14ac:dyDescent="0.35">
      <c r="B20" s="97" t="s">
        <v>785</v>
      </c>
      <c r="C20" s="336">
        <f t="shared" ref="C20" si="24">(C18-C19)</f>
        <v>0</v>
      </c>
      <c r="D20" s="301">
        <f>C20-D19</f>
        <v>0</v>
      </c>
      <c r="E20" s="301">
        <f t="shared" ref="E20" si="25">D20-E19</f>
        <v>0</v>
      </c>
      <c r="F20" s="301">
        <f t="shared" ref="F20" si="26">E20-F19</f>
        <v>0</v>
      </c>
      <c r="G20" s="301">
        <f t="shared" ref="G20" si="27">F20-G19</f>
        <v>0</v>
      </c>
      <c r="H20" s="301">
        <f t="shared" ref="H20" si="28">G20-H19</f>
        <v>0</v>
      </c>
      <c r="I20" s="301">
        <f t="shared" ref="I20" si="29">H20-I19</f>
        <v>0</v>
      </c>
      <c r="J20" s="301">
        <f t="shared" ref="J20" si="30">I20-J19</f>
        <v>0</v>
      </c>
      <c r="K20" s="301">
        <f t="shared" ref="K20" si="31">J20-K19</f>
        <v>0</v>
      </c>
    </row>
    <row r="21" spans="2:12" x14ac:dyDescent="0.35">
      <c r="B21" s="134" t="s">
        <v>1855</v>
      </c>
      <c r="C21" s="302">
        <f t="shared" ref="C21:K22" si="32">C13+C16+C19</f>
        <v>779.65452316513756</v>
      </c>
      <c r="D21" s="302">
        <f t="shared" si="32"/>
        <v>1039.5393642201834</v>
      </c>
      <c r="E21" s="302">
        <f t="shared" si="32"/>
        <v>1039.5393642201834</v>
      </c>
      <c r="F21" s="302">
        <f t="shared" si="32"/>
        <v>1039.5393642201834</v>
      </c>
      <c r="G21" s="302">
        <f t="shared" si="32"/>
        <v>1039.5393642201834</v>
      </c>
      <c r="H21" s="302">
        <f t="shared" si="32"/>
        <v>1039.5393642201834</v>
      </c>
      <c r="I21" s="302">
        <f t="shared" si="32"/>
        <v>1039.5393642201834</v>
      </c>
      <c r="J21" s="302">
        <f t="shared" si="32"/>
        <v>1039.5393642201834</v>
      </c>
      <c r="K21" s="302">
        <f t="shared" si="32"/>
        <v>1039.5393642201834</v>
      </c>
    </row>
    <row r="22" spans="2:12" x14ac:dyDescent="0.35">
      <c r="B22" s="134" t="s">
        <v>739</v>
      </c>
      <c r="C22" s="302">
        <f>C14+C17+C20</f>
        <v>27171.845476834864</v>
      </c>
      <c r="D22" s="302">
        <f t="shared" si="32"/>
        <v>26132.306112614679</v>
      </c>
      <c r="E22" s="302">
        <f t="shared" si="32"/>
        <v>25092.766748394497</v>
      </c>
      <c r="F22" s="302">
        <f t="shared" si="32"/>
        <v>24053.227384174312</v>
      </c>
      <c r="G22" s="302">
        <f t="shared" si="32"/>
        <v>23013.688019954127</v>
      </c>
      <c r="H22" s="302">
        <f t="shared" si="32"/>
        <v>21974.148655733945</v>
      </c>
      <c r="I22" s="302">
        <f t="shared" si="32"/>
        <v>20934.60929151376</v>
      </c>
      <c r="J22" s="302">
        <f t="shared" si="32"/>
        <v>19895.069927293574</v>
      </c>
      <c r="K22" s="302">
        <f t="shared" si="32"/>
        <v>18855.530563073393</v>
      </c>
    </row>
    <row r="24" spans="2:12" x14ac:dyDescent="0.35">
      <c r="C24" s="301"/>
      <c r="D24" s="301"/>
      <c r="E24" s="301"/>
      <c r="F24" s="301"/>
      <c r="G24" s="301"/>
      <c r="H24" s="301"/>
      <c r="I24" s="301"/>
      <c r="J24" s="301"/>
      <c r="K24" s="301"/>
    </row>
    <row r="25" spans="2:12" ht="15.75" customHeight="1" x14ac:dyDescent="0.35">
      <c r="B25" s="134" t="s">
        <v>1853</v>
      </c>
      <c r="C25" s="134"/>
      <c r="D25" s="134"/>
      <c r="E25" s="134"/>
      <c r="F25" s="134"/>
      <c r="G25" s="134"/>
      <c r="H25" s="134"/>
      <c r="I25" s="134"/>
      <c r="J25" s="134"/>
      <c r="K25" s="134"/>
    </row>
    <row r="26" spans="2:12" ht="15" customHeight="1" x14ac:dyDescent="0.35">
      <c r="B26" s="103" t="s">
        <v>325</v>
      </c>
      <c r="C26" s="71">
        <v>9</v>
      </c>
      <c r="D26" s="71">
        <v>12</v>
      </c>
      <c r="E26" s="71">
        <v>12</v>
      </c>
      <c r="F26" s="71">
        <v>12</v>
      </c>
      <c r="G26" s="71">
        <v>12</v>
      </c>
      <c r="H26" s="71">
        <v>12</v>
      </c>
      <c r="I26" s="71">
        <v>12</v>
      </c>
      <c r="J26" s="71">
        <v>12</v>
      </c>
      <c r="K26" s="71">
        <v>12</v>
      </c>
    </row>
    <row r="27" spans="2:12" s="58" customFormat="1" ht="21" customHeight="1" x14ac:dyDescent="0.35">
      <c r="B27" s="108" t="s">
        <v>591</v>
      </c>
      <c r="C27" s="72">
        <v>2027</v>
      </c>
      <c r="D27" s="72">
        <f t="shared" ref="D27:K27" si="33">C27+1</f>
        <v>2028</v>
      </c>
      <c r="E27" s="72">
        <f t="shared" si="33"/>
        <v>2029</v>
      </c>
      <c r="F27" s="72">
        <f t="shared" si="33"/>
        <v>2030</v>
      </c>
      <c r="G27" s="72">
        <f t="shared" si="33"/>
        <v>2031</v>
      </c>
      <c r="H27" s="72">
        <f t="shared" si="33"/>
        <v>2032</v>
      </c>
      <c r="I27" s="72">
        <f t="shared" si="33"/>
        <v>2033</v>
      </c>
      <c r="J27" s="72">
        <f t="shared" si="33"/>
        <v>2034</v>
      </c>
      <c r="K27" s="72">
        <f t="shared" si="33"/>
        <v>2035</v>
      </c>
    </row>
    <row r="28" spans="2:12" s="97" customFormat="1" ht="21" customHeight="1" x14ac:dyDescent="0.35">
      <c r="B28" s="97" t="s">
        <v>60</v>
      </c>
      <c r="C28" s="301">
        <f>F3</f>
        <v>3590.1009174311926</v>
      </c>
      <c r="D28" s="301">
        <f t="shared" ref="D28:K28" si="34">(C30)</f>
        <v>3231.0908256880734</v>
      </c>
      <c r="E28" s="301">
        <f t="shared" si="34"/>
        <v>2907.981743119266</v>
      </c>
      <c r="F28" s="301">
        <f t="shared" si="34"/>
        <v>2617.1835688073393</v>
      </c>
      <c r="G28" s="301">
        <f t="shared" si="34"/>
        <v>2355.4652119266052</v>
      </c>
      <c r="H28" s="301">
        <f t="shared" si="34"/>
        <v>2119.9186907339445</v>
      </c>
      <c r="I28" s="301">
        <f t="shared" si="34"/>
        <v>1907.9268216605501</v>
      </c>
      <c r="J28" s="301">
        <f t="shared" si="34"/>
        <v>1717.134139494495</v>
      </c>
      <c r="K28" s="301">
        <f t="shared" si="34"/>
        <v>1545.4207255450456</v>
      </c>
    </row>
    <row r="29" spans="2:12" s="97" customFormat="1" ht="21" customHeight="1" x14ac:dyDescent="0.35">
      <c r="B29" s="97" t="s">
        <v>394</v>
      </c>
      <c r="C29" s="336">
        <f>(C28*$I$3)</f>
        <v>359.01009174311929</v>
      </c>
      <c r="D29" s="301">
        <f t="shared" ref="D29:J29" si="35">(D28*$I$3)</f>
        <v>323.10908256880737</v>
      </c>
      <c r="E29" s="301">
        <f t="shared" si="35"/>
        <v>290.79817431192663</v>
      </c>
      <c r="F29" s="301">
        <f t="shared" si="35"/>
        <v>261.71835688073395</v>
      </c>
      <c r="G29" s="301">
        <f t="shared" si="35"/>
        <v>235.54652119266052</v>
      </c>
      <c r="H29" s="301">
        <f t="shared" si="35"/>
        <v>211.99186907339447</v>
      </c>
      <c r="I29" s="301">
        <f t="shared" si="35"/>
        <v>190.79268216605502</v>
      </c>
      <c r="J29" s="301">
        <f t="shared" si="35"/>
        <v>171.71341394944952</v>
      </c>
      <c r="K29" s="301">
        <f t="shared" ref="K29" si="36">(K28*$I$3)</f>
        <v>154.54207255450456</v>
      </c>
    </row>
    <row r="30" spans="2:12" s="97" customFormat="1" ht="21" customHeight="1" x14ac:dyDescent="0.35">
      <c r="B30" s="97" t="s">
        <v>61</v>
      </c>
      <c r="C30" s="336">
        <f t="shared" ref="C30:J30" si="37">(C28-C29)</f>
        <v>3231.0908256880734</v>
      </c>
      <c r="D30" s="301">
        <f t="shared" si="37"/>
        <v>2907.981743119266</v>
      </c>
      <c r="E30" s="301">
        <f t="shared" si="37"/>
        <v>2617.1835688073393</v>
      </c>
      <c r="F30" s="301">
        <f t="shared" si="37"/>
        <v>2355.4652119266052</v>
      </c>
      <c r="G30" s="301">
        <f t="shared" si="37"/>
        <v>2119.9186907339445</v>
      </c>
      <c r="H30" s="301">
        <f t="shared" si="37"/>
        <v>1907.9268216605501</v>
      </c>
      <c r="I30" s="301">
        <f t="shared" si="37"/>
        <v>1717.134139494495</v>
      </c>
      <c r="J30" s="301">
        <f t="shared" si="37"/>
        <v>1545.4207255450456</v>
      </c>
      <c r="K30" s="301">
        <f t="shared" ref="K30" si="38">(K28-K29)</f>
        <v>1390.878652990541</v>
      </c>
    </row>
    <row r="31" spans="2:12" s="97" customFormat="1" ht="21" customHeight="1" x14ac:dyDescent="0.35">
      <c r="B31" s="97" t="s">
        <v>62</v>
      </c>
      <c r="C31" s="336">
        <f>F4</f>
        <v>24361.399082568809</v>
      </c>
      <c r="D31" s="301">
        <f>C33</f>
        <v>20707.189220183489</v>
      </c>
      <c r="E31" s="301">
        <f t="shared" ref="E31:K31" si="39">(D33)</f>
        <v>17601.110837155968</v>
      </c>
      <c r="F31" s="301">
        <f t="shared" si="39"/>
        <v>14960.944211582573</v>
      </c>
      <c r="G31" s="301">
        <f t="shared" si="39"/>
        <v>12716.802579845187</v>
      </c>
      <c r="H31" s="301">
        <f t="shared" si="39"/>
        <v>10809.28219286841</v>
      </c>
      <c r="I31" s="301">
        <f t="shared" si="39"/>
        <v>9187.8898639381478</v>
      </c>
      <c r="J31" s="301">
        <f t="shared" si="39"/>
        <v>7809.7063843474261</v>
      </c>
      <c r="K31" s="301">
        <f t="shared" si="39"/>
        <v>6638.2504266953119</v>
      </c>
    </row>
    <row r="32" spans="2:12" s="97" customFormat="1" ht="21" customHeight="1" x14ac:dyDescent="0.35">
      <c r="B32" s="97" t="s">
        <v>394</v>
      </c>
      <c r="C32" s="336">
        <f>(C31*$I$4)</f>
        <v>3654.2098623853212</v>
      </c>
      <c r="D32" s="301">
        <f t="shared" ref="D32:J32" si="40">(D31*$I$4)</f>
        <v>3106.0783830275232</v>
      </c>
      <c r="E32" s="301">
        <f t="shared" si="40"/>
        <v>2640.1666255733949</v>
      </c>
      <c r="F32" s="301">
        <f t="shared" si="40"/>
        <v>2244.141631737386</v>
      </c>
      <c r="G32" s="301">
        <f t="shared" si="40"/>
        <v>1907.5203869767779</v>
      </c>
      <c r="H32" s="301">
        <f t="shared" si="40"/>
        <v>1621.3923289302613</v>
      </c>
      <c r="I32" s="301">
        <f t="shared" si="40"/>
        <v>1378.1834795907221</v>
      </c>
      <c r="J32" s="301">
        <f t="shared" si="40"/>
        <v>1171.455957652114</v>
      </c>
      <c r="K32" s="301">
        <f t="shared" ref="K32" si="41">(K31*$I$4)</f>
        <v>995.7375640042967</v>
      </c>
    </row>
    <row r="33" spans="2:12" s="97" customFormat="1" ht="21" customHeight="1" x14ac:dyDescent="0.35">
      <c r="B33" s="97" t="s">
        <v>182</v>
      </c>
      <c r="C33" s="336">
        <f t="shared" ref="C33:J33" si="42">(C31-C32)</f>
        <v>20707.189220183489</v>
      </c>
      <c r="D33" s="301">
        <f t="shared" si="42"/>
        <v>17601.110837155968</v>
      </c>
      <c r="E33" s="301">
        <f t="shared" si="42"/>
        <v>14960.944211582573</v>
      </c>
      <c r="F33" s="301">
        <f t="shared" si="42"/>
        <v>12716.802579845187</v>
      </c>
      <c r="G33" s="301">
        <f t="shared" si="42"/>
        <v>10809.28219286841</v>
      </c>
      <c r="H33" s="301">
        <f t="shared" si="42"/>
        <v>9187.8898639381478</v>
      </c>
      <c r="I33" s="301">
        <f t="shared" si="42"/>
        <v>7809.7063843474261</v>
      </c>
      <c r="J33" s="301">
        <f t="shared" si="42"/>
        <v>6638.2504266953119</v>
      </c>
      <c r="K33" s="301">
        <f t="shared" ref="K33" si="43">(K31-K32)</f>
        <v>5642.5128626910155</v>
      </c>
    </row>
    <row r="34" spans="2:12" s="97" customFormat="1" ht="21" customHeight="1" x14ac:dyDescent="0.35">
      <c r="B34" s="97" t="s">
        <v>784</v>
      </c>
      <c r="C34" s="336">
        <f>F5</f>
        <v>0</v>
      </c>
      <c r="D34" s="301">
        <f>C36</f>
        <v>0</v>
      </c>
      <c r="E34" s="301">
        <f t="shared" ref="E34:K34" si="44">D36</f>
        <v>0</v>
      </c>
      <c r="F34" s="301">
        <f t="shared" si="44"/>
        <v>0</v>
      </c>
      <c r="G34" s="301">
        <f t="shared" si="44"/>
        <v>0</v>
      </c>
      <c r="H34" s="301">
        <f t="shared" si="44"/>
        <v>0</v>
      </c>
      <c r="I34" s="301">
        <f t="shared" si="44"/>
        <v>0</v>
      </c>
      <c r="J34" s="301">
        <f t="shared" si="44"/>
        <v>0</v>
      </c>
      <c r="K34" s="301">
        <f t="shared" si="44"/>
        <v>0</v>
      </c>
    </row>
    <row r="35" spans="2:12" s="97" customFormat="1" ht="21" customHeight="1" x14ac:dyDescent="0.35">
      <c r="B35" s="97" t="s">
        <v>394</v>
      </c>
      <c r="C35" s="336">
        <f>(C34*$I$5)</f>
        <v>0</v>
      </c>
      <c r="D35" s="301">
        <f>(D34*$I$5)</f>
        <v>0</v>
      </c>
      <c r="E35" s="301">
        <f t="shared" ref="E35:J35" si="45">(E34*$I$5)</f>
        <v>0</v>
      </c>
      <c r="F35" s="301">
        <f t="shared" si="45"/>
        <v>0</v>
      </c>
      <c r="G35" s="301">
        <f t="shared" si="45"/>
        <v>0</v>
      </c>
      <c r="H35" s="301">
        <f t="shared" si="45"/>
        <v>0</v>
      </c>
      <c r="I35" s="301">
        <f t="shared" si="45"/>
        <v>0</v>
      </c>
      <c r="J35" s="301">
        <f t="shared" si="45"/>
        <v>0</v>
      </c>
      <c r="K35" s="301">
        <f t="shared" ref="K35" si="46">(K34*$I$5)</f>
        <v>0</v>
      </c>
    </row>
    <row r="36" spans="2:12" s="97" customFormat="1" ht="21" customHeight="1" x14ac:dyDescent="0.35">
      <c r="B36" s="97" t="s">
        <v>785</v>
      </c>
      <c r="C36" s="301">
        <f t="shared" ref="C36:D36" si="47">(C34-C35)</f>
        <v>0</v>
      </c>
      <c r="D36" s="301">
        <f t="shared" si="47"/>
        <v>0</v>
      </c>
      <c r="E36" s="301">
        <f t="shared" ref="E36:J36" si="48">(E34-E35)</f>
        <v>0</v>
      </c>
      <c r="F36" s="301">
        <f t="shared" si="48"/>
        <v>0</v>
      </c>
      <c r="G36" s="301">
        <f t="shared" si="48"/>
        <v>0</v>
      </c>
      <c r="H36" s="301">
        <f t="shared" si="48"/>
        <v>0</v>
      </c>
      <c r="I36" s="301">
        <f t="shared" si="48"/>
        <v>0</v>
      </c>
      <c r="J36" s="301">
        <f t="shared" si="48"/>
        <v>0</v>
      </c>
      <c r="K36" s="301">
        <f t="shared" ref="K36" si="49">(K34-K35)</f>
        <v>0</v>
      </c>
    </row>
    <row r="37" spans="2:12" s="97" customFormat="1" ht="21" customHeight="1" x14ac:dyDescent="0.35">
      <c r="B37" s="134" t="s">
        <v>393</v>
      </c>
      <c r="C37" s="302">
        <f>C29+C32+C35</f>
        <v>4013.2199541284403</v>
      </c>
      <c r="D37" s="302">
        <f t="shared" ref="D37:J37" si="50">D29+D32+D35</f>
        <v>3429.1874655963306</v>
      </c>
      <c r="E37" s="302">
        <f t="shared" si="50"/>
        <v>2930.9647998853216</v>
      </c>
      <c r="F37" s="302">
        <f t="shared" si="50"/>
        <v>2505.85998861812</v>
      </c>
      <c r="G37" s="302">
        <f t="shared" si="50"/>
        <v>2143.0669081694386</v>
      </c>
      <c r="H37" s="302">
        <f t="shared" si="50"/>
        <v>1833.3841980036559</v>
      </c>
      <c r="I37" s="302">
        <f t="shared" si="50"/>
        <v>1568.9761617567772</v>
      </c>
      <c r="J37" s="302">
        <f t="shared" si="50"/>
        <v>1343.1693716015634</v>
      </c>
      <c r="K37" s="302">
        <f t="shared" ref="K37" si="51">K29+K32+K35</f>
        <v>1150.2796365588013</v>
      </c>
    </row>
    <row r="38" spans="2:12" x14ac:dyDescent="0.35">
      <c r="B38" s="134" t="s">
        <v>739</v>
      </c>
      <c r="C38" s="302">
        <f>C30+C33+C36</f>
        <v>23938.280045871561</v>
      </c>
      <c r="D38" s="302">
        <f t="shared" ref="D38:J38" si="52">D30+D33+D36</f>
        <v>20509.092580275232</v>
      </c>
      <c r="E38" s="302">
        <f t="shared" si="52"/>
        <v>17578.127780389914</v>
      </c>
      <c r="F38" s="302">
        <f t="shared" si="52"/>
        <v>15072.267791771792</v>
      </c>
      <c r="G38" s="302">
        <f t="shared" si="52"/>
        <v>12929.200883602354</v>
      </c>
      <c r="H38" s="302">
        <f t="shared" si="52"/>
        <v>11095.816685598698</v>
      </c>
      <c r="I38" s="302">
        <f t="shared" si="52"/>
        <v>9526.8405238419218</v>
      </c>
      <c r="J38" s="302">
        <f t="shared" si="52"/>
        <v>8183.6711522403575</v>
      </c>
      <c r="K38" s="302">
        <f t="shared" ref="K38" si="53">K30+K33+K36</f>
        <v>7033.3915156815565</v>
      </c>
    </row>
    <row r="41" spans="2:12" x14ac:dyDescent="0.35">
      <c r="B41" s="1020" t="s">
        <v>810</v>
      </c>
      <c r="C41" s="1017" t="s">
        <v>811</v>
      </c>
      <c r="D41" s="1018"/>
      <c r="E41" s="1019"/>
      <c r="F41" s="1017" t="s">
        <v>812</v>
      </c>
      <c r="G41" s="1018"/>
      <c r="H41" s="1019"/>
      <c r="I41" s="1017" t="s">
        <v>1848</v>
      </c>
      <c r="J41" s="1018"/>
      <c r="K41" s="1019"/>
    </row>
    <row r="42" spans="2:12" x14ac:dyDescent="0.35">
      <c r="B42" s="1021"/>
      <c r="C42" s="349" t="s">
        <v>813</v>
      </c>
      <c r="D42" s="354" t="s">
        <v>452</v>
      </c>
      <c r="E42" s="354" t="s">
        <v>449</v>
      </c>
      <c r="F42" s="349" t="s">
        <v>813</v>
      </c>
      <c r="G42" s="354" t="s">
        <v>452</v>
      </c>
      <c r="H42" s="349" t="s">
        <v>449</v>
      </c>
      <c r="I42" s="349" t="s">
        <v>813</v>
      </c>
      <c r="J42" s="354" t="s">
        <v>452</v>
      </c>
      <c r="K42" s="349" t="s">
        <v>449</v>
      </c>
    </row>
    <row r="43" spans="2:12" x14ac:dyDescent="0.35">
      <c r="B43" s="346" t="s">
        <v>213</v>
      </c>
      <c r="C43" s="559">
        <f>'CoP-MoF'!D5</f>
        <v>1200</v>
      </c>
      <c r="D43" s="347">
        <v>0</v>
      </c>
      <c r="E43" s="355">
        <f>SUM(C43:D43)</f>
        <v>1200</v>
      </c>
      <c r="F43" s="347">
        <f>'CoP-MoF'!D5-C43</f>
        <v>0</v>
      </c>
      <c r="G43" s="347">
        <v>0</v>
      </c>
      <c r="H43" s="347">
        <f>SUM(F43:G43)</f>
        <v>0</v>
      </c>
      <c r="I43" s="347">
        <f>'CoP-MoF'!G5-F43</f>
        <v>0</v>
      </c>
      <c r="J43" s="347">
        <v>0</v>
      </c>
      <c r="K43" s="347">
        <f>SUM(I43:J43)</f>
        <v>0</v>
      </c>
      <c r="L43" s="184">
        <f>L44+H43+E43+K43</f>
        <v>29151.5</v>
      </c>
    </row>
    <row r="44" spans="2:12" x14ac:dyDescent="0.35">
      <c r="B44" s="346" t="s">
        <v>384</v>
      </c>
      <c r="C44" s="559">
        <f>C3*40%</f>
        <v>1400</v>
      </c>
      <c r="D44" s="347">
        <f>$D$47*C44/SUM($C$44:$C$46)</f>
        <v>0</v>
      </c>
      <c r="E44" s="355">
        <f t="shared" ref="E44:E47" si="54">SUM(C44:D44)</f>
        <v>1400</v>
      </c>
      <c r="F44" s="347">
        <f>C3-C44</f>
        <v>2100</v>
      </c>
      <c r="G44" s="347">
        <f>$G$47*F44/SUM($F$44:$F$46)</f>
        <v>48.29999999999999</v>
      </c>
      <c r="H44" s="347">
        <f t="shared" ref="H44:H47" si="55">SUM(F44:G44)</f>
        <v>2148.3000000000002</v>
      </c>
      <c r="I44" s="347">
        <f>C3-F44-C44</f>
        <v>0</v>
      </c>
      <c r="J44" s="347">
        <f>$J$47*I44/SUM($I$44:$I$46)</f>
        <v>0</v>
      </c>
      <c r="K44" s="347">
        <f t="shared" ref="K44:K47" si="56">SUM(I44:J44)</f>
        <v>0</v>
      </c>
      <c r="L44" s="184">
        <f>E44+E45+E46+H44+H45+H46+K44+K45+K46</f>
        <v>27951.5</v>
      </c>
    </row>
    <row r="45" spans="2:12" x14ac:dyDescent="0.35">
      <c r="B45" s="346" t="s">
        <v>385</v>
      </c>
      <c r="C45" s="559">
        <v>2400</v>
      </c>
      <c r="D45" s="347">
        <f t="shared" ref="D45:D46" si="57">$D$47*C45/SUM($C$44:$C$46)</f>
        <v>0</v>
      </c>
      <c r="E45" s="355">
        <f t="shared" si="54"/>
        <v>2400</v>
      </c>
      <c r="F45" s="347">
        <f>C4-C45-8450</f>
        <v>12900</v>
      </c>
      <c r="G45" s="347">
        <f t="shared" ref="G45:G46" si="58">$G$47*F45/SUM($F$44:$F$46)</f>
        <v>296.69999999999993</v>
      </c>
      <c r="H45" s="347">
        <f t="shared" si="55"/>
        <v>13196.7</v>
      </c>
      <c r="I45" s="347">
        <f>C4-F45-C45</f>
        <v>8450</v>
      </c>
      <c r="J45" s="347">
        <f t="shared" ref="J45:J46" si="59">$J$47*I45/SUM($I$44:$I$46)</f>
        <v>356.5</v>
      </c>
      <c r="K45" s="347">
        <f t="shared" si="56"/>
        <v>8806.5</v>
      </c>
      <c r="L45" s="184">
        <f>L44-F6</f>
        <v>0</v>
      </c>
    </row>
    <row r="46" spans="2:12" x14ac:dyDescent="0.35">
      <c r="B46" s="346" t="s">
        <v>784</v>
      </c>
      <c r="C46" s="347">
        <v>0</v>
      </c>
      <c r="D46" s="347">
        <f t="shared" si="57"/>
        <v>0</v>
      </c>
      <c r="E46" s="355">
        <f t="shared" si="54"/>
        <v>0</v>
      </c>
      <c r="F46" s="347">
        <v>0</v>
      </c>
      <c r="G46" s="347">
        <f t="shared" si="58"/>
        <v>0</v>
      </c>
      <c r="H46" s="347">
        <f t="shared" si="55"/>
        <v>0</v>
      </c>
      <c r="I46" s="347">
        <v>0</v>
      </c>
      <c r="J46" s="347">
        <f t="shared" si="59"/>
        <v>0</v>
      </c>
      <c r="K46" s="347">
        <f t="shared" si="56"/>
        <v>0</v>
      </c>
    </row>
    <row r="47" spans="2:12" s="344" customFormat="1" x14ac:dyDescent="0.35">
      <c r="B47" s="345" t="s">
        <v>449</v>
      </c>
      <c r="C47" s="348">
        <f>SUM(C43:C46)</f>
        <v>5000</v>
      </c>
      <c r="D47" s="348">
        <f>'TL Schd'!D10</f>
        <v>0</v>
      </c>
      <c r="E47" s="356">
        <f t="shared" si="54"/>
        <v>5000</v>
      </c>
      <c r="F47" s="348">
        <f>SUM(F43:F46)</f>
        <v>15000</v>
      </c>
      <c r="G47" s="348">
        <f>'TL Schd'!E10</f>
        <v>344.99999999999994</v>
      </c>
      <c r="H47" s="348">
        <f t="shared" si="55"/>
        <v>15345</v>
      </c>
      <c r="I47" s="348">
        <f>SUM(I43:I46)</f>
        <v>8450</v>
      </c>
      <c r="J47" s="348">
        <f>'TL Schd'!F10</f>
        <v>356.5</v>
      </c>
      <c r="K47" s="348">
        <f t="shared" si="56"/>
        <v>8806.5</v>
      </c>
    </row>
    <row r="49" spans="1:11" x14ac:dyDescent="0.35">
      <c r="A49" s="940">
        <f>'P &amp; L'!$A$31</f>
        <v>0.25168000000000001</v>
      </c>
      <c r="B49" s="97" t="s">
        <v>1968</v>
      </c>
      <c r="C49" s="941">
        <f>(C38-C22)*$A$49</f>
        <v>-813.82374766484406</v>
      </c>
      <c r="D49" s="941">
        <f t="shared" ref="D49:K49" si="60">(D38-D22)*$A$49</f>
        <v>-1415.2503818191922</v>
      </c>
      <c r="E49" s="941">
        <f t="shared" si="60"/>
        <v>-1891.2843354673937</v>
      </c>
      <c r="F49" s="941">
        <f t="shared" si="60"/>
        <v>-2260.3279102158663</v>
      </c>
      <c r="G49" s="941">
        <f t="shared" si="60"/>
        <v>-2538.0637224770144</v>
      </c>
      <c r="H49" s="941">
        <f t="shared" si="60"/>
        <v>-2737.8585902436389</v>
      </c>
      <c r="I49" s="941">
        <f t="shared" si="60"/>
        <v>-2871.1072434476482</v>
      </c>
      <c r="J49" s="941">
        <f t="shared" si="60"/>
        <v>-2947.5248437053942</v>
      </c>
      <c r="K49" s="941">
        <f t="shared" si="60"/>
        <v>-2975.3959554475778</v>
      </c>
    </row>
    <row r="50" spans="1:11" x14ac:dyDescent="0.35">
      <c r="C50" s="942">
        <f>C49</f>
        <v>-813.82374766484406</v>
      </c>
      <c r="D50" s="942">
        <f>D49-C49</f>
        <v>-601.42663415434811</v>
      </c>
      <c r="E50" s="942">
        <f t="shared" ref="E50:K50" si="61">E49-D49</f>
        <v>-476.03395364820153</v>
      </c>
      <c r="F50" s="942">
        <f t="shared" si="61"/>
        <v>-369.04357474847257</v>
      </c>
      <c r="G50" s="942">
        <f t="shared" si="61"/>
        <v>-277.73581226114811</v>
      </c>
      <c r="H50" s="942">
        <f t="shared" si="61"/>
        <v>-199.79486776662452</v>
      </c>
      <c r="I50" s="942">
        <f t="shared" si="61"/>
        <v>-133.24865320400932</v>
      </c>
      <c r="J50" s="942">
        <f t="shared" si="61"/>
        <v>-76.417600257746017</v>
      </c>
      <c r="K50" s="942">
        <f t="shared" si="61"/>
        <v>-27.87111174218353</v>
      </c>
    </row>
    <row r="52" spans="1:11" x14ac:dyDescent="0.35">
      <c r="C52" s="943"/>
      <c r="D52" s="943"/>
      <c r="E52" s="943"/>
      <c r="F52" s="943"/>
      <c r="G52" s="943"/>
      <c r="H52" s="943"/>
      <c r="I52" s="943"/>
      <c r="J52" s="943"/>
      <c r="K52" s="943"/>
    </row>
  </sheetData>
  <customSheetViews>
    <customSheetView guid="{22475485-DA09-46DB-978D-BB94CE1E5597}">
      <selection activeCell="D4" sqref="D4"/>
      <pageMargins left="0.7" right="0.7" top="0.75" bottom="0.75" header="0.3" footer="0.3"/>
      <pageSetup paperSize="9" orientation="landscape" verticalDpi="300" r:id="rId1"/>
    </customSheetView>
  </customSheetViews>
  <mergeCells count="4">
    <mergeCell ref="C41:E41"/>
    <mergeCell ref="F41:H41"/>
    <mergeCell ref="B41:B42"/>
    <mergeCell ref="I41:K41"/>
  </mergeCells>
  <pageMargins left="0.7" right="0.7" top="0.75" bottom="0.75" header="0.3" footer="0.3"/>
  <pageSetup paperSize="9" orientation="landscape" verticalDpi="3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E8A6B-DE70-4C2D-A515-16FD34D9BD47}">
  <dimension ref="A1"/>
  <sheetViews>
    <sheetView showGridLines="0" workbookViewId="0"/>
  </sheetViews>
  <sheetFormatPr defaultRowHeight="14.5" x14ac:dyDescent="0.3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82E77-D5A2-49D0-8794-E3297B8F6EA3}">
  <sheetPr>
    <pageSetUpPr fitToPage="1"/>
  </sheetPr>
  <dimension ref="A1:K25"/>
  <sheetViews>
    <sheetView workbookViewId="0"/>
  </sheetViews>
  <sheetFormatPr defaultRowHeight="12.5" x14ac:dyDescent="0.25"/>
  <cols>
    <col min="1" max="9" width="8.7265625" style="406"/>
    <col min="10" max="10" width="18.7265625" style="406" customWidth="1"/>
    <col min="11" max="11" width="31.54296875" style="406" customWidth="1"/>
    <col min="12" max="265" width="8.7265625" style="406"/>
    <col min="266" max="266" width="18.7265625" style="406" customWidth="1"/>
    <col min="267" max="267" width="31.54296875" style="406" customWidth="1"/>
    <col min="268" max="521" width="8.7265625" style="406"/>
    <col min="522" max="522" width="18.7265625" style="406" customWidth="1"/>
    <col min="523" max="523" width="31.54296875" style="406" customWidth="1"/>
    <col min="524" max="777" width="8.7265625" style="406"/>
    <col min="778" max="778" width="18.7265625" style="406" customWidth="1"/>
    <col min="779" max="779" width="31.54296875" style="406" customWidth="1"/>
    <col min="780" max="1033" width="8.7265625" style="406"/>
    <col min="1034" max="1034" width="18.7265625" style="406" customWidth="1"/>
    <col min="1035" max="1035" width="31.54296875" style="406" customWidth="1"/>
    <col min="1036" max="1289" width="8.7265625" style="406"/>
    <col min="1290" max="1290" width="18.7265625" style="406" customWidth="1"/>
    <col min="1291" max="1291" width="31.54296875" style="406" customWidth="1"/>
    <col min="1292" max="1545" width="8.7265625" style="406"/>
    <col min="1546" max="1546" width="18.7265625" style="406" customWidth="1"/>
    <col min="1547" max="1547" width="31.54296875" style="406" customWidth="1"/>
    <col min="1548" max="1801" width="8.7265625" style="406"/>
    <col min="1802" max="1802" width="18.7265625" style="406" customWidth="1"/>
    <col min="1803" max="1803" width="31.54296875" style="406" customWidth="1"/>
    <col min="1804" max="2057" width="8.7265625" style="406"/>
    <col min="2058" max="2058" width="18.7265625" style="406" customWidth="1"/>
    <col min="2059" max="2059" width="31.54296875" style="406" customWidth="1"/>
    <col min="2060" max="2313" width="8.7265625" style="406"/>
    <col min="2314" max="2314" width="18.7265625" style="406" customWidth="1"/>
    <col min="2315" max="2315" width="31.54296875" style="406" customWidth="1"/>
    <col min="2316" max="2569" width="8.7265625" style="406"/>
    <col min="2570" max="2570" width="18.7265625" style="406" customWidth="1"/>
    <col min="2571" max="2571" width="31.54296875" style="406" customWidth="1"/>
    <col min="2572" max="2825" width="8.7265625" style="406"/>
    <col min="2826" max="2826" width="18.7265625" style="406" customWidth="1"/>
    <col min="2827" max="2827" width="31.54296875" style="406" customWidth="1"/>
    <col min="2828" max="3081" width="8.7265625" style="406"/>
    <col min="3082" max="3082" width="18.7265625" style="406" customWidth="1"/>
    <col min="3083" max="3083" width="31.54296875" style="406" customWidth="1"/>
    <col min="3084" max="3337" width="8.7265625" style="406"/>
    <col min="3338" max="3338" width="18.7265625" style="406" customWidth="1"/>
    <col min="3339" max="3339" width="31.54296875" style="406" customWidth="1"/>
    <col min="3340" max="3593" width="8.7265625" style="406"/>
    <col min="3594" max="3594" width="18.7265625" style="406" customWidth="1"/>
    <col min="3595" max="3595" width="31.54296875" style="406" customWidth="1"/>
    <col min="3596" max="3849" width="8.7265625" style="406"/>
    <col min="3850" max="3850" width="18.7265625" style="406" customWidth="1"/>
    <col min="3851" max="3851" width="31.54296875" style="406" customWidth="1"/>
    <col min="3852" max="4105" width="8.7265625" style="406"/>
    <col min="4106" max="4106" width="18.7265625" style="406" customWidth="1"/>
    <col min="4107" max="4107" width="31.54296875" style="406" customWidth="1"/>
    <col min="4108" max="4361" width="8.7265625" style="406"/>
    <col min="4362" max="4362" width="18.7265625" style="406" customWidth="1"/>
    <col min="4363" max="4363" width="31.54296875" style="406" customWidth="1"/>
    <col min="4364" max="4617" width="8.7265625" style="406"/>
    <col min="4618" max="4618" width="18.7265625" style="406" customWidth="1"/>
    <col min="4619" max="4619" width="31.54296875" style="406" customWidth="1"/>
    <col min="4620" max="4873" width="8.7265625" style="406"/>
    <col min="4874" max="4874" width="18.7265625" style="406" customWidth="1"/>
    <col min="4875" max="4875" width="31.54296875" style="406" customWidth="1"/>
    <col min="4876" max="5129" width="8.7265625" style="406"/>
    <col min="5130" max="5130" width="18.7265625" style="406" customWidth="1"/>
    <col min="5131" max="5131" width="31.54296875" style="406" customWidth="1"/>
    <col min="5132" max="5385" width="8.7265625" style="406"/>
    <col min="5386" max="5386" width="18.7265625" style="406" customWidth="1"/>
    <col min="5387" max="5387" width="31.54296875" style="406" customWidth="1"/>
    <col min="5388" max="5641" width="8.7265625" style="406"/>
    <col min="5642" max="5642" width="18.7265625" style="406" customWidth="1"/>
    <col min="5643" max="5643" width="31.54296875" style="406" customWidth="1"/>
    <col min="5644" max="5897" width="8.7265625" style="406"/>
    <col min="5898" max="5898" width="18.7265625" style="406" customWidth="1"/>
    <col min="5899" max="5899" width="31.54296875" style="406" customWidth="1"/>
    <col min="5900" max="6153" width="8.7265625" style="406"/>
    <col min="6154" max="6154" width="18.7265625" style="406" customWidth="1"/>
    <col min="6155" max="6155" width="31.54296875" style="406" customWidth="1"/>
    <col min="6156" max="6409" width="8.7265625" style="406"/>
    <col min="6410" max="6410" width="18.7265625" style="406" customWidth="1"/>
    <col min="6411" max="6411" width="31.54296875" style="406" customWidth="1"/>
    <col min="6412" max="6665" width="8.7265625" style="406"/>
    <col min="6666" max="6666" width="18.7265625" style="406" customWidth="1"/>
    <col min="6667" max="6667" width="31.54296875" style="406" customWidth="1"/>
    <col min="6668" max="6921" width="8.7265625" style="406"/>
    <col min="6922" max="6922" width="18.7265625" style="406" customWidth="1"/>
    <col min="6923" max="6923" width="31.54296875" style="406" customWidth="1"/>
    <col min="6924" max="7177" width="8.7265625" style="406"/>
    <col min="7178" max="7178" width="18.7265625" style="406" customWidth="1"/>
    <col min="7179" max="7179" width="31.54296875" style="406" customWidth="1"/>
    <col min="7180" max="7433" width="8.7265625" style="406"/>
    <col min="7434" max="7434" width="18.7265625" style="406" customWidth="1"/>
    <col min="7435" max="7435" width="31.54296875" style="406" customWidth="1"/>
    <col min="7436" max="7689" width="8.7265625" style="406"/>
    <col min="7690" max="7690" width="18.7265625" style="406" customWidth="1"/>
    <col min="7691" max="7691" width="31.54296875" style="406" customWidth="1"/>
    <col min="7692" max="7945" width="8.7265625" style="406"/>
    <col min="7946" max="7946" width="18.7265625" style="406" customWidth="1"/>
    <col min="7947" max="7947" width="31.54296875" style="406" customWidth="1"/>
    <col min="7948" max="8201" width="8.7265625" style="406"/>
    <col min="8202" max="8202" width="18.7265625" style="406" customWidth="1"/>
    <col min="8203" max="8203" width="31.54296875" style="406" customWidth="1"/>
    <col min="8204" max="8457" width="8.7265625" style="406"/>
    <col min="8458" max="8458" width="18.7265625" style="406" customWidth="1"/>
    <col min="8459" max="8459" width="31.54296875" style="406" customWidth="1"/>
    <col min="8460" max="8713" width="8.7265625" style="406"/>
    <col min="8714" max="8714" width="18.7265625" style="406" customWidth="1"/>
    <col min="8715" max="8715" width="31.54296875" style="406" customWidth="1"/>
    <col min="8716" max="8969" width="8.7265625" style="406"/>
    <col min="8970" max="8970" width="18.7265625" style="406" customWidth="1"/>
    <col min="8971" max="8971" width="31.54296875" style="406" customWidth="1"/>
    <col min="8972" max="9225" width="8.7265625" style="406"/>
    <col min="9226" max="9226" width="18.7265625" style="406" customWidth="1"/>
    <col min="9227" max="9227" width="31.54296875" style="406" customWidth="1"/>
    <col min="9228" max="9481" width="8.7265625" style="406"/>
    <col min="9482" max="9482" width="18.7265625" style="406" customWidth="1"/>
    <col min="9483" max="9483" width="31.54296875" style="406" customWidth="1"/>
    <col min="9484" max="9737" width="8.7265625" style="406"/>
    <col min="9738" max="9738" width="18.7265625" style="406" customWidth="1"/>
    <col min="9739" max="9739" width="31.54296875" style="406" customWidth="1"/>
    <col min="9740" max="9993" width="8.7265625" style="406"/>
    <col min="9994" max="9994" width="18.7265625" style="406" customWidth="1"/>
    <col min="9995" max="9995" width="31.54296875" style="406" customWidth="1"/>
    <col min="9996" max="10249" width="8.7265625" style="406"/>
    <col min="10250" max="10250" width="18.7265625" style="406" customWidth="1"/>
    <col min="10251" max="10251" width="31.54296875" style="406" customWidth="1"/>
    <col min="10252" max="10505" width="8.7265625" style="406"/>
    <col min="10506" max="10506" width="18.7265625" style="406" customWidth="1"/>
    <col min="10507" max="10507" width="31.54296875" style="406" customWidth="1"/>
    <col min="10508" max="10761" width="8.7265625" style="406"/>
    <col min="10762" max="10762" width="18.7265625" style="406" customWidth="1"/>
    <col min="10763" max="10763" width="31.54296875" style="406" customWidth="1"/>
    <col min="10764" max="11017" width="8.7265625" style="406"/>
    <col min="11018" max="11018" width="18.7265625" style="406" customWidth="1"/>
    <col min="11019" max="11019" width="31.54296875" style="406" customWidth="1"/>
    <col min="11020" max="11273" width="8.7265625" style="406"/>
    <col min="11274" max="11274" width="18.7265625" style="406" customWidth="1"/>
    <col min="11275" max="11275" width="31.54296875" style="406" customWidth="1"/>
    <col min="11276" max="11529" width="8.7265625" style="406"/>
    <col min="11530" max="11530" width="18.7265625" style="406" customWidth="1"/>
    <col min="11531" max="11531" width="31.54296875" style="406" customWidth="1"/>
    <col min="11532" max="11785" width="8.7265625" style="406"/>
    <col min="11786" max="11786" width="18.7265625" style="406" customWidth="1"/>
    <col min="11787" max="11787" width="31.54296875" style="406" customWidth="1"/>
    <col min="11788" max="12041" width="8.7265625" style="406"/>
    <col min="12042" max="12042" width="18.7265625" style="406" customWidth="1"/>
    <col min="12043" max="12043" width="31.54296875" style="406" customWidth="1"/>
    <col min="12044" max="12297" width="8.7265625" style="406"/>
    <col min="12298" max="12298" width="18.7265625" style="406" customWidth="1"/>
    <col min="12299" max="12299" width="31.54296875" style="406" customWidth="1"/>
    <col min="12300" max="12553" width="8.7265625" style="406"/>
    <col min="12554" max="12554" width="18.7265625" style="406" customWidth="1"/>
    <col min="12555" max="12555" width="31.54296875" style="406" customWidth="1"/>
    <col min="12556" max="12809" width="8.7265625" style="406"/>
    <col min="12810" max="12810" width="18.7265625" style="406" customWidth="1"/>
    <col min="12811" max="12811" width="31.54296875" style="406" customWidth="1"/>
    <col min="12812" max="13065" width="8.7265625" style="406"/>
    <col min="13066" max="13066" width="18.7265625" style="406" customWidth="1"/>
    <col min="13067" max="13067" width="31.54296875" style="406" customWidth="1"/>
    <col min="13068" max="13321" width="8.7265625" style="406"/>
    <col min="13322" max="13322" width="18.7265625" style="406" customWidth="1"/>
    <col min="13323" max="13323" width="31.54296875" style="406" customWidth="1"/>
    <col min="13324" max="13577" width="8.7265625" style="406"/>
    <col min="13578" max="13578" width="18.7265625" style="406" customWidth="1"/>
    <col min="13579" max="13579" width="31.54296875" style="406" customWidth="1"/>
    <col min="13580" max="13833" width="8.7265625" style="406"/>
    <col min="13834" max="13834" width="18.7265625" style="406" customWidth="1"/>
    <col min="13835" max="13835" width="31.54296875" style="406" customWidth="1"/>
    <col min="13836" max="14089" width="8.7265625" style="406"/>
    <col min="14090" max="14090" width="18.7265625" style="406" customWidth="1"/>
    <col min="14091" max="14091" width="31.54296875" style="406" customWidth="1"/>
    <col min="14092" max="14345" width="8.7265625" style="406"/>
    <col min="14346" max="14346" width="18.7265625" style="406" customWidth="1"/>
    <col min="14347" max="14347" width="31.54296875" style="406" customWidth="1"/>
    <col min="14348" max="14601" width="8.7265625" style="406"/>
    <col min="14602" max="14602" width="18.7265625" style="406" customWidth="1"/>
    <col min="14603" max="14603" width="31.54296875" style="406" customWidth="1"/>
    <col min="14604" max="14857" width="8.7265625" style="406"/>
    <col min="14858" max="14858" width="18.7265625" style="406" customWidth="1"/>
    <col min="14859" max="14859" width="31.54296875" style="406" customWidth="1"/>
    <col min="14860" max="15113" width="8.7265625" style="406"/>
    <col min="15114" max="15114" width="18.7265625" style="406" customWidth="1"/>
    <col min="15115" max="15115" width="31.54296875" style="406" customWidth="1"/>
    <col min="15116" max="15369" width="8.7265625" style="406"/>
    <col min="15370" max="15370" width="18.7265625" style="406" customWidth="1"/>
    <col min="15371" max="15371" width="31.54296875" style="406" customWidth="1"/>
    <col min="15372" max="15625" width="8.7265625" style="406"/>
    <col min="15626" max="15626" width="18.7265625" style="406" customWidth="1"/>
    <col min="15627" max="15627" width="31.54296875" style="406" customWidth="1"/>
    <col min="15628" max="15881" width="8.7265625" style="406"/>
    <col min="15882" max="15882" width="18.7265625" style="406" customWidth="1"/>
    <col min="15883" max="15883" width="31.54296875" style="406" customWidth="1"/>
    <col min="15884" max="16137" width="8.7265625" style="406"/>
    <col min="16138" max="16138" width="18.7265625" style="406" customWidth="1"/>
    <col min="16139" max="16139" width="31.54296875" style="406" customWidth="1"/>
    <col min="16140" max="16384" width="8.7265625" style="406"/>
  </cols>
  <sheetData>
    <row r="1" spans="1:11" ht="14.5" x14ac:dyDescent="0.35">
      <c r="A1"/>
      <c r="B1"/>
      <c r="C1"/>
      <c r="D1"/>
      <c r="E1"/>
      <c r="F1"/>
      <c r="G1"/>
      <c r="H1"/>
      <c r="I1"/>
      <c r="J1"/>
      <c r="K1"/>
    </row>
    <row r="2" spans="1:11" ht="12.5" customHeight="1" x14ac:dyDescent="0.35">
      <c r="A2"/>
      <c r="B2" s="1022" t="s">
        <v>888</v>
      </c>
      <c r="C2" s="1022"/>
      <c r="D2" s="1022"/>
      <c r="E2" s="1022"/>
      <c r="F2" s="1022"/>
      <c r="G2" s="1022"/>
      <c r="H2" s="1022"/>
      <c r="I2" s="1022"/>
      <c r="J2" s="1022"/>
      <c r="K2" s="1022"/>
    </row>
    <row r="3" spans="1:11" ht="12.5" customHeight="1" x14ac:dyDescent="0.35">
      <c r="A3"/>
      <c r="B3" s="1022"/>
      <c r="C3" s="1022"/>
      <c r="D3" s="1022"/>
      <c r="E3" s="1022"/>
      <c r="F3" s="1022"/>
      <c r="G3" s="1022"/>
      <c r="H3" s="1022"/>
      <c r="I3" s="1022"/>
      <c r="J3" s="1022"/>
      <c r="K3" s="1022"/>
    </row>
    <row r="4" spans="1:11" ht="12.5" customHeight="1" x14ac:dyDescent="0.35">
      <c r="A4"/>
      <c r="B4" s="1022"/>
      <c r="C4" s="1022"/>
      <c r="D4" s="1022"/>
      <c r="E4" s="1022"/>
      <c r="F4" s="1022"/>
      <c r="G4" s="1022"/>
      <c r="H4" s="1022"/>
      <c r="I4" s="1022"/>
      <c r="J4" s="1022"/>
      <c r="K4" s="1022"/>
    </row>
    <row r="5" spans="1:11" ht="12.5" customHeight="1" x14ac:dyDescent="0.35">
      <c r="A5"/>
      <c r="B5" s="1022"/>
      <c r="C5" s="1022"/>
      <c r="D5" s="1022"/>
      <c r="E5" s="1022"/>
      <c r="F5" s="1022"/>
      <c r="G5" s="1022"/>
      <c r="H5" s="1022"/>
      <c r="I5" s="1022"/>
      <c r="J5" s="1022"/>
      <c r="K5" s="1022"/>
    </row>
    <row r="6" spans="1:11" ht="12.5" customHeight="1" x14ac:dyDescent="0.35">
      <c r="A6"/>
      <c r="B6" s="1022"/>
      <c r="C6" s="1022"/>
      <c r="D6" s="1022"/>
      <c r="E6" s="1022"/>
      <c r="F6" s="1022"/>
      <c r="G6" s="1022"/>
      <c r="H6" s="1022"/>
      <c r="I6" s="1022"/>
      <c r="J6" s="1022"/>
      <c r="K6" s="1022"/>
    </row>
    <row r="7" spans="1:11" ht="12.5" customHeight="1" x14ac:dyDescent="0.35">
      <c r="A7"/>
      <c r="B7" s="1022"/>
      <c r="C7" s="1022"/>
      <c r="D7" s="1022"/>
      <c r="E7" s="1022"/>
      <c r="F7" s="1022"/>
      <c r="G7" s="1022"/>
      <c r="H7" s="1022"/>
      <c r="I7" s="1022"/>
      <c r="J7" s="1022"/>
      <c r="K7" s="1022"/>
    </row>
    <row r="8" spans="1:11" ht="12.5" customHeight="1" x14ac:dyDescent="0.35">
      <c r="A8"/>
      <c r="B8" s="1022"/>
      <c r="C8" s="1022"/>
      <c r="D8" s="1022"/>
      <c r="E8" s="1022"/>
      <c r="F8" s="1022"/>
      <c r="G8" s="1022"/>
      <c r="H8" s="1022"/>
      <c r="I8" s="1022"/>
      <c r="J8" s="1022"/>
      <c r="K8" s="1022"/>
    </row>
    <row r="9" spans="1:11" ht="12.5" customHeight="1" x14ac:dyDescent="0.35">
      <c r="A9"/>
      <c r="B9" s="1022"/>
      <c r="C9" s="1022"/>
      <c r="D9" s="1022"/>
      <c r="E9" s="1022"/>
      <c r="F9" s="1022"/>
      <c r="G9" s="1022"/>
      <c r="H9" s="1022"/>
      <c r="I9" s="1022"/>
      <c r="J9" s="1022"/>
      <c r="K9" s="1022"/>
    </row>
    <row r="10" spans="1:11" ht="12.5" customHeight="1" x14ac:dyDescent="0.35">
      <c r="A10"/>
      <c r="B10" s="1022"/>
      <c r="C10" s="1022"/>
      <c r="D10" s="1022"/>
      <c r="E10" s="1022"/>
      <c r="F10" s="1022"/>
      <c r="G10" s="1022"/>
      <c r="H10" s="1022"/>
      <c r="I10" s="1022"/>
      <c r="J10" s="1022"/>
      <c r="K10" s="1022"/>
    </row>
    <row r="11" spans="1:11" ht="12.5" customHeight="1" x14ac:dyDescent="0.35">
      <c r="A11"/>
      <c r="B11" s="1022"/>
      <c r="C11" s="1022"/>
      <c r="D11" s="1022"/>
      <c r="E11" s="1022"/>
      <c r="F11" s="1022"/>
      <c r="G11" s="1022"/>
      <c r="H11" s="1022"/>
      <c r="I11" s="1022"/>
      <c r="J11" s="1022"/>
      <c r="K11" s="1022"/>
    </row>
    <row r="12" spans="1:11" ht="12.5" customHeight="1" x14ac:dyDescent="0.35">
      <c r="A12"/>
      <c r="B12" s="1022"/>
      <c r="C12" s="1022"/>
      <c r="D12" s="1022"/>
      <c r="E12" s="1022"/>
      <c r="F12" s="1022"/>
      <c r="G12" s="1022"/>
      <c r="H12" s="1022"/>
      <c r="I12" s="1022"/>
      <c r="J12" s="1022"/>
      <c r="K12" s="1022"/>
    </row>
    <row r="13" spans="1:11" ht="12.5" customHeight="1" x14ac:dyDescent="0.35">
      <c r="A13"/>
      <c r="B13" s="1022"/>
      <c r="C13" s="1022"/>
      <c r="D13" s="1022"/>
      <c r="E13" s="1022"/>
      <c r="F13" s="1022"/>
      <c r="G13" s="1022"/>
      <c r="H13" s="1022"/>
      <c r="I13" s="1022"/>
      <c r="J13" s="1022"/>
      <c r="K13" s="1022"/>
    </row>
    <row r="14" spans="1:11" ht="12.5" customHeight="1" x14ac:dyDescent="0.35">
      <c r="A14"/>
      <c r="B14" s="1022"/>
      <c r="C14" s="1022"/>
      <c r="D14" s="1022"/>
      <c r="E14" s="1022"/>
      <c r="F14" s="1022"/>
      <c r="G14" s="1022"/>
      <c r="H14" s="1022"/>
      <c r="I14" s="1022"/>
      <c r="J14" s="1022"/>
      <c r="K14" s="1022"/>
    </row>
    <row r="15" spans="1:11" ht="12.5" customHeight="1" x14ac:dyDescent="0.35">
      <c r="A15"/>
      <c r="B15" s="1022"/>
      <c r="C15" s="1022"/>
      <c r="D15" s="1022"/>
      <c r="E15" s="1022"/>
      <c r="F15" s="1022"/>
      <c r="G15" s="1022"/>
      <c r="H15" s="1022"/>
      <c r="I15" s="1022"/>
      <c r="J15" s="1022"/>
      <c r="K15" s="1022"/>
    </row>
    <row r="16" spans="1:11" ht="12.5" customHeight="1" x14ac:dyDescent="0.35">
      <c r="A16"/>
      <c r="B16" s="1022"/>
      <c r="C16" s="1022"/>
      <c r="D16" s="1022"/>
      <c r="E16" s="1022"/>
      <c r="F16" s="1022"/>
      <c r="G16" s="1022"/>
      <c r="H16" s="1022"/>
      <c r="I16" s="1022"/>
      <c r="J16" s="1022"/>
      <c r="K16" s="1022"/>
    </row>
    <row r="17" spans="1:11" ht="12.5" customHeight="1" x14ac:dyDescent="0.35">
      <c r="A17"/>
      <c r="B17" s="1022"/>
      <c r="C17" s="1022"/>
      <c r="D17" s="1022"/>
      <c r="E17" s="1022"/>
      <c r="F17" s="1022"/>
      <c r="G17" s="1022"/>
      <c r="H17" s="1022"/>
      <c r="I17" s="1022"/>
      <c r="J17" s="1022"/>
      <c r="K17" s="1022"/>
    </row>
    <row r="18" spans="1:11" ht="12.5" customHeight="1" x14ac:dyDescent="0.35">
      <c r="A18"/>
      <c r="B18" s="1022"/>
      <c r="C18" s="1022"/>
      <c r="D18" s="1022"/>
      <c r="E18" s="1022"/>
      <c r="F18" s="1022"/>
      <c r="G18" s="1022"/>
      <c r="H18" s="1022"/>
      <c r="I18" s="1022"/>
      <c r="J18" s="1022"/>
      <c r="K18" s="1022"/>
    </row>
    <row r="19" spans="1:11" ht="12.5" customHeight="1" x14ac:dyDescent="0.35">
      <c r="A19"/>
      <c r="B19" s="1022"/>
      <c r="C19" s="1022"/>
      <c r="D19" s="1022"/>
      <c r="E19" s="1022"/>
      <c r="F19" s="1022"/>
      <c r="G19" s="1022"/>
      <c r="H19" s="1022"/>
      <c r="I19" s="1022"/>
      <c r="J19" s="1022"/>
      <c r="K19" s="1022"/>
    </row>
    <row r="20" spans="1:11" ht="12.5" customHeight="1" x14ac:dyDescent="0.35">
      <c r="A20"/>
      <c r="B20" s="1022"/>
      <c r="C20" s="1022"/>
      <c r="D20" s="1022"/>
      <c r="E20" s="1022"/>
      <c r="F20" s="1022"/>
      <c r="G20" s="1022"/>
      <c r="H20" s="1022"/>
      <c r="I20" s="1022"/>
      <c r="J20" s="1022"/>
      <c r="K20" s="1022"/>
    </row>
    <row r="21" spans="1:11" ht="12.5" customHeight="1" x14ac:dyDescent="0.35">
      <c r="A21"/>
      <c r="B21" s="1022"/>
      <c r="C21" s="1022"/>
      <c r="D21" s="1022"/>
      <c r="E21" s="1022"/>
      <c r="F21" s="1022"/>
      <c r="G21" s="1022"/>
      <c r="H21" s="1022"/>
      <c r="I21" s="1022"/>
      <c r="J21" s="1022"/>
      <c r="K21" s="1022"/>
    </row>
    <row r="22" spans="1:11" ht="12.5" customHeight="1" x14ac:dyDescent="0.35">
      <c r="A22"/>
      <c r="B22" s="1022"/>
      <c r="C22" s="1022"/>
      <c r="D22" s="1022"/>
      <c r="E22" s="1022"/>
      <c r="F22" s="1022"/>
      <c r="G22" s="1022"/>
      <c r="H22" s="1022"/>
      <c r="I22" s="1022"/>
      <c r="J22" s="1022"/>
      <c r="K22" s="1022"/>
    </row>
    <row r="23" spans="1:11" ht="12.5" customHeight="1" x14ac:dyDescent="0.35">
      <c r="A23"/>
      <c r="B23" s="1022"/>
      <c r="C23" s="1022"/>
      <c r="D23" s="1022"/>
      <c r="E23" s="1022"/>
      <c r="F23" s="1022"/>
      <c r="G23" s="1022"/>
      <c r="H23" s="1022"/>
      <c r="I23" s="1022"/>
      <c r="J23" s="1022"/>
      <c r="K23" s="1022"/>
    </row>
    <row r="24" spans="1:11" ht="12.5" customHeight="1" x14ac:dyDescent="0.35">
      <c r="A24"/>
      <c r="B24" s="1022"/>
      <c r="C24" s="1022"/>
      <c r="D24" s="1022"/>
      <c r="E24" s="1022"/>
      <c r="F24" s="1022"/>
      <c r="G24" s="1022"/>
      <c r="H24" s="1022"/>
      <c r="I24" s="1022"/>
      <c r="J24" s="1022"/>
      <c r="K24" s="1022"/>
    </row>
    <row r="25" spans="1:11" ht="12.5" customHeight="1" x14ac:dyDescent="0.35">
      <c r="A25"/>
      <c r="B25" s="1022"/>
      <c r="C25" s="1022"/>
      <c r="D25" s="1022"/>
      <c r="E25" s="1022"/>
      <c r="F25" s="1022"/>
      <c r="G25" s="1022"/>
      <c r="H25" s="1022"/>
      <c r="I25" s="1022"/>
      <c r="J25" s="1022"/>
      <c r="K25" s="1022"/>
    </row>
  </sheetData>
  <mergeCells count="1">
    <mergeCell ref="B2:K25"/>
  </mergeCells>
  <printOptions horizontalCentered="1" verticalCentered="1"/>
  <pageMargins left="0.7" right="0.7" top="0.75" bottom="0.75" header="0.3" footer="0.3"/>
  <pageSetup scale="9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7C814-18E6-474A-88B2-9EB2335A5E5C}">
  <sheetPr>
    <pageSetUpPr fitToPage="1"/>
  </sheetPr>
  <dimension ref="A2:H52"/>
  <sheetViews>
    <sheetView workbookViewId="0">
      <selection activeCell="D12" sqref="D12"/>
    </sheetView>
  </sheetViews>
  <sheetFormatPr defaultRowHeight="14.5" x14ac:dyDescent="0.35"/>
  <cols>
    <col min="1" max="1" width="6.26953125" customWidth="1"/>
    <col min="2" max="2" width="20.54296875" customWidth="1"/>
    <col min="3" max="6" width="14.81640625" customWidth="1"/>
    <col min="257" max="257" width="6.26953125" customWidth="1"/>
    <col min="258" max="258" width="20.54296875" customWidth="1"/>
    <col min="259" max="262" width="14.81640625" customWidth="1"/>
    <col min="513" max="513" width="6.26953125" customWidth="1"/>
    <col min="514" max="514" width="20.54296875" customWidth="1"/>
    <col min="515" max="518" width="14.81640625" customWidth="1"/>
    <col min="769" max="769" width="6.26953125" customWidth="1"/>
    <col min="770" max="770" width="20.54296875" customWidth="1"/>
    <col min="771" max="774" width="14.81640625" customWidth="1"/>
    <col min="1025" max="1025" width="6.26953125" customWidth="1"/>
    <col min="1026" max="1026" width="20.54296875" customWidth="1"/>
    <col min="1027" max="1030" width="14.81640625" customWidth="1"/>
    <col min="1281" max="1281" width="6.26953125" customWidth="1"/>
    <col min="1282" max="1282" width="20.54296875" customWidth="1"/>
    <col min="1283" max="1286" width="14.81640625" customWidth="1"/>
    <col min="1537" max="1537" width="6.26953125" customWidth="1"/>
    <col min="1538" max="1538" width="20.54296875" customWidth="1"/>
    <col min="1539" max="1542" width="14.81640625" customWidth="1"/>
    <col min="1793" max="1793" width="6.26953125" customWidth="1"/>
    <col min="1794" max="1794" width="20.54296875" customWidth="1"/>
    <col min="1795" max="1798" width="14.81640625" customWidth="1"/>
    <col min="2049" max="2049" width="6.26953125" customWidth="1"/>
    <col min="2050" max="2050" width="20.54296875" customWidth="1"/>
    <col min="2051" max="2054" width="14.81640625" customWidth="1"/>
    <col min="2305" max="2305" width="6.26953125" customWidth="1"/>
    <col min="2306" max="2306" width="20.54296875" customWidth="1"/>
    <col min="2307" max="2310" width="14.81640625" customWidth="1"/>
    <col min="2561" max="2561" width="6.26953125" customWidth="1"/>
    <col min="2562" max="2562" width="20.54296875" customWidth="1"/>
    <col min="2563" max="2566" width="14.81640625" customWidth="1"/>
    <col min="2817" max="2817" width="6.26953125" customWidth="1"/>
    <col min="2818" max="2818" width="20.54296875" customWidth="1"/>
    <col min="2819" max="2822" width="14.81640625" customWidth="1"/>
    <col min="3073" max="3073" width="6.26953125" customWidth="1"/>
    <col min="3074" max="3074" width="20.54296875" customWidth="1"/>
    <col min="3075" max="3078" width="14.81640625" customWidth="1"/>
    <col min="3329" max="3329" width="6.26953125" customWidth="1"/>
    <col min="3330" max="3330" width="20.54296875" customWidth="1"/>
    <col min="3331" max="3334" width="14.81640625" customWidth="1"/>
    <col min="3585" max="3585" width="6.26953125" customWidth="1"/>
    <col min="3586" max="3586" width="20.54296875" customWidth="1"/>
    <col min="3587" max="3590" width="14.81640625" customWidth="1"/>
    <col min="3841" max="3841" width="6.26953125" customWidth="1"/>
    <col min="3842" max="3842" width="20.54296875" customWidth="1"/>
    <col min="3843" max="3846" width="14.81640625" customWidth="1"/>
    <col min="4097" max="4097" width="6.26953125" customWidth="1"/>
    <col min="4098" max="4098" width="20.54296875" customWidth="1"/>
    <col min="4099" max="4102" width="14.81640625" customWidth="1"/>
    <col min="4353" max="4353" width="6.26953125" customWidth="1"/>
    <col min="4354" max="4354" width="20.54296875" customWidth="1"/>
    <col min="4355" max="4358" width="14.81640625" customWidth="1"/>
    <col min="4609" max="4609" width="6.26953125" customWidth="1"/>
    <col min="4610" max="4610" width="20.54296875" customWidth="1"/>
    <col min="4611" max="4614" width="14.81640625" customWidth="1"/>
    <col min="4865" max="4865" width="6.26953125" customWidth="1"/>
    <col min="4866" max="4866" width="20.54296875" customWidth="1"/>
    <col min="4867" max="4870" width="14.81640625" customWidth="1"/>
    <col min="5121" max="5121" width="6.26953125" customWidth="1"/>
    <col min="5122" max="5122" width="20.54296875" customWidth="1"/>
    <col min="5123" max="5126" width="14.81640625" customWidth="1"/>
    <col min="5377" max="5377" width="6.26953125" customWidth="1"/>
    <col min="5378" max="5378" width="20.54296875" customWidth="1"/>
    <col min="5379" max="5382" width="14.81640625" customWidth="1"/>
    <col min="5633" max="5633" width="6.26953125" customWidth="1"/>
    <col min="5634" max="5634" width="20.54296875" customWidth="1"/>
    <col min="5635" max="5638" width="14.81640625" customWidth="1"/>
    <col min="5889" max="5889" width="6.26953125" customWidth="1"/>
    <col min="5890" max="5890" width="20.54296875" customWidth="1"/>
    <col min="5891" max="5894" width="14.81640625" customWidth="1"/>
    <col min="6145" max="6145" width="6.26953125" customWidth="1"/>
    <col min="6146" max="6146" width="20.54296875" customWidth="1"/>
    <col min="6147" max="6150" width="14.81640625" customWidth="1"/>
    <col min="6401" max="6401" width="6.26953125" customWidth="1"/>
    <col min="6402" max="6402" width="20.54296875" customWidth="1"/>
    <col min="6403" max="6406" width="14.81640625" customWidth="1"/>
    <col min="6657" max="6657" width="6.26953125" customWidth="1"/>
    <col min="6658" max="6658" width="20.54296875" customWidth="1"/>
    <col min="6659" max="6662" width="14.81640625" customWidth="1"/>
    <col min="6913" max="6913" width="6.26953125" customWidth="1"/>
    <col min="6914" max="6914" width="20.54296875" customWidth="1"/>
    <col min="6915" max="6918" width="14.81640625" customWidth="1"/>
    <col min="7169" max="7169" width="6.26953125" customWidth="1"/>
    <col min="7170" max="7170" width="20.54296875" customWidth="1"/>
    <col min="7171" max="7174" width="14.81640625" customWidth="1"/>
    <col min="7425" max="7425" width="6.26953125" customWidth="1"/>
    <col min="7426" max="7426" width="20.54296875" customWidth="1"/>
    <col min="7427" max="7430" width="14.81640625" customWidth="1"/>
    <col min="7681" max="7681" width="6.26953125" customWidth="1"/>
    <col min="7682" max="7682" width="20.54296875" customWidth="1"/>
    <col min="7683" max="7686" width="14.81640625" customWidth="1"/>
    <col min="7937" max="7937" width="6.26953125" customWidth="1"/>
    <col min="7938" max="7938" width="20.54296875" customWidth="1"/>
    <col min="7939" max="7942" width="14.81640625" customWidth="1"/>
    <col min="8193" max="8193" width="6.26953125" customWidth="1"/>
    <col min="8194" max="8194" width="20.54296875" customWidth="1"/>
    <col min="8195" max="8198" width="14.81640625" customWidth="1"/>
    <col min="8449" max="8449" width="6.26953125" customWidth="1"/>
    <col min="8450" max="8450" width="20.54296875" customWidth="1"/>
    <col min="8451" max="8454" width="14.81640625" customWidth="1"/>
    <col min="8705" max="8705" width="6.26953125" customWidth="1"/>
    <col min="8706" max="8706" width="20.54296875" customWidth="1"/>
    <col min="8707" max="8710" width="14.81640625" customWidth="1"/>
    <col min="8961" max="8961" width="6.26953125" customWidth="1"/>
    <col min="8962" max="8962" width="20.54296875" customWidth="1"/>
    <col min="8963" max="8966" width="14.81640625" customWidth="1"/>
    <col min="9217" max="9217" width="6.26953125" customWidth="1"/>
    <col min="9218" max="9218" width="20.54296875" customWidth="1"/>
    <col min="9219" max="9222" width="14.81640625" customWidth="1"/>
    <col min="9473" max="9473" width="6.26953125" customWidth="1"/>
    <col min="9474" max="9474" width="20.54296875" customWidth="1"/>
    <col min="9475" max="9478" width="14.81640625" customWidth="1"/>
    <col min="9729" max="9729" width="6.26953125" customWidth="1"/>
    <col min="9730" max="9730" width="20.54296875" customWidth="1"/>
    <col min="9731" max="9734" width="14.81640625" customWidth="1"/>
    <col min="9985" max="9985" width="6.26953125" customWidth="1"/>
    <col min="9986" max="9986" width="20.54296875" customWidth="1"/>
    <col min="9987" max="9990" width="14.81640625" customWidth="1"/>
    <col min="10241" max="10241" width="6.26953125" customWidth="1"/>
    <col min="10242" max="10242" width="20.54296875" customWidth="1"/>
    <col min="10243" max="10246" width="14.81640625" customWidth="1"/>
    <col min="10497" max="10497" width="6.26953125" customWidth="1"/>
    <col min="10498" max="10498" width="20.54296875" customWidth="1"/>
    <col min="10499" max="10502" width="14.81640625" customWidth="1"/>
    <col min="10753" max="10753" width="6.26953125" customWidth="1"/>
    <col min="10754" max="10754" width="20.54296875" customWidth="1"/>
    <col min="10755" max="10758" width="14.81640625" customWidth="1"/>
    <col min="11009" max="11009" width="6.26953125" customWidth="1"/>
    <col min="11010" max="11010" width="20.54296875" customWidth="1"/>
    <col min="11011" max="11014" width="14.81640625" customWidth="1"/>
    <col min="11265" max="11265" width="6.26953125" customWidth="1"/>
    <col min="11266" max="11266" width="20.54296875" customWidth="1"/>
    <col min="11267" max="11270" width="14.81640625" customWidth="1"/>
    <col min="11521" max="11521" width="6.26953125" customWidth="1"/>
    <col min="11522" max="11522" width="20.54296875" customWidth="1"/>
    <col min="11523" max="11526" width="14.81640625" customWidth="1"/>
    <col min="11777" max="11777" width="6.26953125" customWidth="1"/>
    <col min="11778" max="11778" width="20.54296875" customWidth="1"/>
    <col min="11779" max="11782" width="14.81640625" customWidth="1"/>
    <col min="12033" max="12033" width="6.26953125" customWidth="1"/>
    <col min="12034" max="12034" width="20.54296875" customWidth="1"/>
    <col min="12035" max="12038" width="14.81640625" customWidth="1"/>
    <col min="12289" max="12289" width="6.26953125" customWidth="1"/>
    <col min="12290" max="12290" width="20.54296875" customWidth="1"/>
    <col min="12291" max="12294" width="14.81640625" customWidth="1"/>
    <col min="12545" max="12545" width="6.26953125" customWidth="1"/>
    <col min="12546" max="12546" width="20.54296875" customWidth="1"/>
    <col min="12547" max="12550" width="14.81640625" customWidth="1"/>
    <col min="12801" max="12801" width="6.26953125" customWidth="1"/>
    <col min="12802" max="12802" width="20.54296875" customWidth="1"/>
    <col min="12803" max="12806" width="14.81640625" customWidth="1"/>
    <col min="13057" max="13057" width="6.26953125" customWidth="1"/>
    <col min="13058" max="13058" width="20.54296875" customWidth="1"/>
    <col min="13059" max="13062" width="14.81640625" customWidth="1"/>
    <col min="13313" max="13313" width="6.26953125" customWidth="1"/>
    <col min="13314" max="13314" width="20.54296875" customWidth="1"/>
    <col min="13315" max="13318" width="14.81640625" customWidth="1"/>
    <col min="13569" max="13569" width="6.26953125" customWidth="1"/>
    <col min="13570" max="13570" width="20.54296875" customWidth="1"/>
    <col min="13571" max="13574" width="14.81640625" customWidth="1"/>
    <col min="13825" max="13825" width="6.26953125" customWidth="1"/>
    <col min="13826" max="13826" width="20.54296875" customWidth="1"/>
    <col min="13827" max="13830" width="14.81640625" customWidth="1"/>
    <col min="14081" max="14081" width="6.26953125" customWidth="1"/>
    <col min="14082" max="14082" width="20.54296875" customWidth="1"/>
    <col min="14083" max="14086" width="14.81640625" customWidth="1"/>
    <col min="14337" max="14337" width="6.26953125" customWidth="1"/>
    <col min="14338" max="14338" width="20.54296875" customWidth="1"/>
    <col min="14339" max="14342" width="14.81640625" customWidth="1"/>
    <col min="14593" max="14593" width="6.26953125" customWidth="1"/>
    <col min="14594" max="14594" width="20.54296875" customWidth="1"/>
    <col min="14595" max="14598" width="14.81640625" customWidth="1"/>
    <col min="14849" max="14849" width="6.26953125" customWidth="1"/>
    <col min="14850" max="14850" width="20.54296875" customWidth="1"/>
    <col min="14851" max="14854" width="14.81640625" customWidth="1"/>
    <col min="15105" max="15105" width="6.26953125" customWidth="1"/>
    <col min="15106" max="15106" width="20.54296875" customWidth="1"/>
    <col min="15107" max="15110" width="14.81640625" customWidth="1"/>
    <col min="15361" max="15361" width="6.26953125" customWidth="1"/>
    <col min="15362" max="15362" width="20.54296875" customWidth="1"/>
    <col min="15363" max="15366" width="14.81640625" customWidth="1"/>
    <col min="15617" max="15617" width="6.26953125" customWidth="1"/>
    <col min="15618" max="15618" width="20.54296875" customWidth="1"/>
    <col min="15619" max="15622" width="14.81640625" customWidth="1"/>
    <col min="15873" max="15873" width="6.26953125" customWidth="1"/>
    <col min="15874" max="15874" width="20.54296875" customWidth="1"/>
    <col min="15875" max="15878" width="14.81640625" customWidth="1"/>
    <col min="16129" max="16129" width="6.26953125" customWidth="1"/>
    <col min="16130" max="16130" width="20.54296875" customWidth="1"/>
    <col min="16131" max="16134" width="14.81640625" customWidth="1"/>
  </cols>
  <sheetData>
    <row r="2" spans="1:6" x14ac:dyDescent="0.35">
      <c r="A2" s="1025" t="s">
        <v>889</v>
      </c>
      <c r="B2" s="1025"/>
      <c r="C2" s="1025"/>
      <c r="D2" s="1025"/>
      <c r="E2" s="1025"/>
      <c r="F2" s="1025"/>
    </row>
    <row r="3" spans="1:6" x14ac:dyDescent="0.35">
      <c r="A3" s="1025" t="s">
        <v>890</v>
      </c>
      <c r="B3" s="1025"/>
      <c r="C3" s="1025"/>
      <c r="D3" s="1025"/>
      <c r="E3" s="1025"/>
      <c r="F3" s="1025"/>
    </row>
    <row r="4" spans="1:6" x14ac:dyDescent="0.35">
      <c r="A4" s="604"/>
      <c r="B4" s="604"/>
      <c r="C4" s="604"/>
      <c r="D4" s="604"/>
      <c r="E4" s="604"/>
      <c r="F4" s="604"/>
    </row>
    <row r="5" spans="1:6" x14ac:dyDescent="0.35">
      <c r="A5" s="1026" t="s">
        <v>891</v>
      </c>
      <c r="B5" s="1026"/>
      <c r="C5" s="1026"/>
      <c r="D5" s="1026"/>
      <c r="E5" s="1026"/>
      <c r="F5" s="1026"/>
    </row>
    <row r="6" spans="1:6" x14ac:dyDescent="0.35">
      <c r="A6" s="605"/>
      <c r="B6" s="11"/>
      <c r="C6" s="11"/>
      <c r="D6" s="11"/>
      <c r="E6" s="11"/>
      <c r="F6" s="11"/>
    </row>
    <row r="7" spans="1:6" x14ac:dyDescent="0.35">
      <c r="A7" s="606" t="s">
        <v>892</v>
      </c>
      <c r="B7" s="11"/>
      <c r="C7" s="11"/>
      <c r="D7" s="11"/>
      <c r="E7" s="11"/>
      <c r="F7" s="11"/>
    </row>
    <row r="8" spans="1:6" x14ac:dyDescent="0.35">
      <c r="A8" s="605"/>
      <c r="B8" s="11"/>
      <c r="C8" s="11"/>
      <c r="D8" s="11"/>
      <c r="E8" s="11"/>
      <c r="F8" s="605" t="s">
        <v>893</v>
      </c>
    </row>
    <row r="9" spans="1:6" x14ac:dyDescent="0.35">
      <c r="A9" s="607"/>
      <c r="B9" s="376" t="s">
        <v>607</v>
      </c>
      <c r="C9" s="608" t="str">
        <f>+[1]Profitability!C5</f>
        <v>2025-26</v>
      </c>
      <c r="D9" s="608" t="str">
        <f>+[1]Profitability!D5</f>
        <v>2026-27</v>
      </c>
      <c r="E9" s="608" t="str">
        <f>+[1]Profitability!E5</f>
        <v>2027-28</v>
      </c>
      <c r="F9" s="608" t="str">
        <f>+[1]Profitability!F5</f>
        <v>2028-29</v>
      </c>
    </row>
    <row r="10" spans="1:6" x14ac:dyDescent="0.35">
      <c r="A10" s="24"/>
      <c r="B10" s="24"/>
      <c r="C10" s="608" t="s">
        <v>894</v>
      </c>
      <c r="D10" s="608" t="s">
        <v>894</v>
      </c>
      <c r="E10" s="608" t="s">
        <v>894</v>
      </c>
      <c r="F10" s="608" t="s">
        <v>894</v>
      </c>
    </row>
    <row r="11" spans="1:6" x14ac:dyDescent="0.35">
      <c r="A11" s="372" t="s">
        <v>72</v>
      </c>
      <c r="B11" s="372" t="s">
        <v>895</v>
      </c>
      <c r="C11" s="609">
        <v>0</v>
      </c>
      <c r="D11" s="609">
        <f>+'[1]Cost &amp; Sales assumptions'!D26</f>
        <v>0.7</v>
      </c>
      <c r="E11" s="609">
        <f>+'[1]Cost &amp; Sales assumptions'!E26</f>
        <v>0.8</v>
      </c>
      <c r="F11" s="609">
        <f>+'[1]Cost &amp; Sales assumptions'!F26</f>
        <v>0.9</v>
      </c>
    </row>
    <row r="12" spans="1:6" x14ac:dyDescent="0.35">
      <c r="A12" s="372"/>
      <c r="B12" s="372" t="s">
        <v>896</v>
      </c>
      <c r="C12" s="410">
        <f>+'[1]Cost &amp; Sales assumptions'!C27</f>
        <v>0</v>
      </c>
      <c r="D12" s="410">
        <f>+'[1]Cost &amp; Sales assumptions'!D27</f>
        <v>270</v>
      </c>
      <c r="E12" s="410">
        <f>+'[1]Cost &amp; Sales assumptions'!E27</f>
        <v>360</v>
      </c>
      <c r="F12" s="410">
        <f>+E12</f>
        <v>360</v>
      </c>
    </row>
    <row r="13" spans="1:6" x14ac:dyDescent="0.35">
      <c r="A13" s="24"/>
      <c r="B13" s="24"/>
      <c r="C13" s="608"/>
      <c r="D13" s="608"/>
      <c r="E13" s="608"/>
      <c r="F13" s="608"/>
    </row>
    <row r="14" spans="1:6" x14ac:dyDescent="0.35">
      <c r="A14" s="24">
        <v>1</v>
      </c>
      <c r="B14" s="372" t="s">
        <v>897</v>
      </c>
      <c r="C14" s="411">
        <f>+[1]Profitability!C9</f>
        <v>0</v>
      </c>
      <c r="D14" s="411">
        <f>+[1]Profitability!D9</f>
        <v>148.83750000000001</v>
      </c>
      <c r="E14" s="411">
        <f>+[1]Profitability!E9</f>
        <v>238.14</v>
      </c>
      <c r="F14" s="411">
        <f>+[1]Profitability!F9</f>
        <v>281.30287499999997</v>
      </c>
    </row>
    <row r="15" spans="1:6" x14ac:dyDescent="0.35">
      <c r="A15" s="24">
        <v>2</v>
      </c>
      <c r="B15" s="372" t="s">
        <v>52</v>
      </c>
      <c r="C15" s="411">
        <f>+[1]Profitability!C20</f>
        <v>0</v>
      </c>
      <c r="D15" s="411">
        <f>+[1]Profitability!D20</f>
        <v>58.802932833750035</v>
      </c>
      <c r="E15" s="411">
        <f>+[1]Profitability!E20</f>
        <v>94.084692533999998</v>
      </c>
      <c r="F15" s="411">
        <f>+[1]Profitability!F20</f>
        <v>119.03533693694993</v>
      </c>
    </row>
    <row r="16" spans="1:6" x14ac:dyDescent="0.35">
      <c r="A16" s="24">
        <v>3</v>
      </c>
      <c r="B16" s="372" t="s">
        <v>55</v>
      </c>
      <c r="C16" s="411">
        <f>+[1]Profitability!C28</f>
        <v>0</v>
      </c>
      <c r="D16" s="411">
        <f>+[1]Profitability!D28</f>
        <v>35.437682833750038</v>
      </c>
      <c r="E16" s="411">
        <f>+[1]Profitability!E28</f>
        <v>66.427692534000002</v>
      </c>
      <c r="F16" s="411">
        <f>+[1]Profitability!F28</f>
        <v>95.716336936949929</v>
      </c>
    </row>
    <row r="17" spans="1:8" x14ac:dyDescent="0.35">
      <c r="A17" s="24">
        <v>4</v>
      </c>
      <c r="B17" s="372" t="s">
        <v>898</v>
      </c>
      <c r="C17" s="411">
        <f>+[1]Profitability!C30</f>
        <v>0</v>
      </c>
      <c r="D17" s="411">
        <f>+[1]Profitability!D30</f>
        <v>25.455596333139326</v>
      </c>
      <c r="E17" s="411">
        <f>+[1]Profitability!E30</f>
        <v>47.71634010102288</v>
      </c>
      <c r="F17" s="411">
        <f>+[1]Profitability!F30</f>
        <v>68.754959148549872</v>
      </c>
    </row>
    <row r="18" spans="1:8" x14ac:dyDescent="0.35">
      <c r="A18" s="24">
        <v>5</v>
      </c>
      <c r="B18" s="372" t="s">
        <v>899</v>
      </c>
      <c r="C18" s="411">
        <f>+[1]Profitability!C31</f>
        <v>0</v>
      </c>
      <c r="D18" s="411">
        <f>+[1]Profitability!D31</f>
        <v>33.734846333139323</v>
      </c>
      <c r="E18" s="411">
        <f>+[1]Profitability!E31</f>
        <v>58.755340101022881</v>
      </c>
      <c r="F18" s="411">
        <f>+[1]Profitability!F31</f>
        <v>79.793959148549874</v>
      </c>
    </row>
    <row r="19" spans="1:8" x14ac:dyDescent="0.35">
      <c r="A19" s="24">
        <v>6</v>
      </c>
      <c r="B19" s="372" t="s">
        <v>900</v>
      </c>
      <c r="C19" s="1027">
        <f>+[1]DSCR!C22</f>
        <v>3.2818791995899428</v>
      </c>
      <c r="D19" s="1028"/>
      <c r="E19" s="1028"/>
      <c r="F19" s="1028"/>
    </row>
    <row r="20" spans="1:8" x14ac:dyDescent="0.35">
      <c r="A20" s="24">
        <v>7</v>
      </c>
      <c r="B20" s="372" t="s">
        <v>255</v>
      </c>
      <c r="C20" s="1029">
        <f>+[1]IRR!D15</f>
        <v>0.21635485557590051</v>
      </c>
      <c r="D20" s="1029"/>
      <c r="E20" s="1029"/>
      <c r="F20" s="1029"/>
    </row>
    <row r="21" spans="1:8" x14ac:dyDescent="0.35">
      <c r="A21" s="24">
        <v>8</v>
      </c>
      <c r="B21" s="372" t="s">
        <v>901</v>
      </c>
      <c r="C21" s="1030" t="str">
        <f>+[1]payback!D19</f>
        <v>3 YEARS</v>
      </c>
      <c r="D21" s="1031"/>
      <c r="E21" s="413">
        <f>+[1]payback!E19</f>
        <v>0.77011521223507673</v>
      </c>
      <c r="F21" s="414" t="str">
        <f>+[1]payback!F19</f>
        <v>MONTHS</v>
      </c>
    </row>
    <row r="22" spans="1:8" x14ac:dyDescent="0.35">
      <c r="A22" s="573">
        <v>9</v>
      </c>
      <c r="B22" s="610" t="s">
        <v>1824</v>
      </c>
      <c r="C22" s="1035">
        <v>45474</v>
      </c>
      <c r="D22" s="1036"/>
      <c r="E22" s="413"/>
      <c r="F22" s="414"/>
    </row>
    <row r="24" spans="1:8" x14ac:dyDescent="0.35">
      <c r="A24" s="611"/>
      <c r="B24" s="612"/>
      <c r="C24" s="611"/>
      <c r="D24" s="611"/>
      <c r="E24" s="611"/>
      <c r="F24" s="611"/>
      <c r="G24" s="611"/>
      <c r="H24" s="611"/>
    </row>
    <row r="25" spans="1:8" ht="13" hidden="1" customHeight="1" x14ac:dyDescent="0.35">
      <c r="A25" s="613" t="s">
        <v>72</v>
      </c>
      <c r="B25" s="614" t="s">
        <v>902</v>
      </c>
      <c r="C25" s="611"/>
      <c r="D25" s="611"/>
      <c r="E25" s="611"/>
      <c r="F25" s="611"/>
      <c r="G25" s="611"/>
      <c r="H25" s="611"/>
    </row>
    <row r="26" spans="1:8" ht="12.5" hidden="1" customHeight="1" x14ac:dyDescent="0.35">
      <c r="A26" s="611"/>
      <c r="B26" s="615" t="s">
        <v>900</v>
      </c>
      <c r="C26" s="1032">
        <f>+C19</f>
        <v>3.2818791995899428</v>
      </c>
      <c r="D26" s="1033"/>
      <c r="E26" s="1033"/>
      <c r="F26" s="1033"/>
      <c r="G26" s="611"/>
      <c r="H26" s="611"/>
    </row>
    <row r="27" spans="1:8" ht="12.5" hidden="1" customHeight="1" x14ac:dyDescent="0.35">
      <c r="A27" s="611"/>
      <c r="B27" s="615" t="s">
        <v>255</v>
      </c>
      <c r="C27" s="1034">
        <f>+C20</f>
        <v>0.21635485557590051</v>
      </c>
      <c r="D27" s="1034"/>
      <c r="E27" s="1034"/>
      <c r="F27" s="1034"/>
      <c r="G27" s="611"/>
      <c r="H27" s="611"/>
    </row>
    <row r="28" spans="1:8" ht="12.5" hidden="1" customHeight="1" x14ac:dyDescent="0.35">
      <c r="A28" s="611"/>
      <c r="B28" s="615" t="s">
        <v>901</v>
      </c>
      <c r="C28" s="1023" t="str">
        <f>+C21</f>
        <v>3 YEARS</v>
      </c>
      <c r="D28" s="1024"/>
      <c r="E28" s="415">
        <f>+E21</f>
        <v>0.77011521223507673</v>
      </c>
      <c r="F28" s="416" t="str">
        <f>+F21</f>
        <v>MONTHS</v>
      </c>
      <c r="G28" s="611"/>
      <c r="H28" s="611"/>
    </row>
    <row r="29" spans="1:8" ht="12.5" hidden="1" customHeight="1" x14ac:dyDescent="0.35">
      <c r="A29" s="611"/>
      <c r="B29" s="611"/>
      <c r="C29" s="611"/>
      <c r="D29" s="611"/>
      <c r="E29" s="611"/>
      <c r="F29" s="611"/>
      <c r="G29" s="611"/>
      <c r="H29" s="611"/>
    </row>
    <row r="30" spans="1:8" ht="13" hidden="1" customHeight="1" x14ac:dyDescent="0.35">
      <c r="A30" s="613" t="s">
        <v>73</v>
      </c>
      <c r="B30" s="614" t="s">
        <v>903</v>
      </c>
      <c r="C30" s="611"/>
      <c r="D30" s="611"/>
      <c r="E30" s="611"/>
      <c r="F30" s="611"/>
      <c r="G30" s="611"/>
      <c r="H30" s="611"/>
    </row>
    <row r="31" spans="1:8" ht="12.5" hidden="1" customHeight="1" x14ac:dyDescent="0.35">
      <c r="A31" s="611"/>
      <c r="B31" s="615" t="s">
        <v>900</v>
      </c>
      <c r="C31" s="1032">
        <v>1.51</v>
      </c>
      <c r="D31" s="1033"/>
      <c r="E31" s="1033"/>
      <c r="F31" s="1033"/>
      <c r="G31" s="611"/>
      <c r="H31" s="611"/>
    </row>
    <row r="32" spans="1:8" ht="12.5" hidden="1" customHeight="1" x14ac:dyDescent="0.35">
      <c r="A32" s="611"/>
      <c r="B32" s="615" t="s">
        <v>255</v>
      </c>
      <c r="C32" s="1034">
        <v>0.18659999999999999</v>
      </c>
      <c r="D32" s="1034"/>
      <c r="E32" s="1034"/>
      <c r="F32" s="1034"/>
      <c r="G32" s="611"/>
      <c r="H32" s="611"/>
    </row>
    <row r="33" spans="1:8" ht="12.5" hidden="1" customHeight="1" x14ac:dyDescent="0.35">
      <c r="A33" s="611"/>
      <c r="B33" s="615" t="s">
        <v>901</v>
      </c>
      <c r="C33" s="1023" t="s">
        <v>904</v>
      </c>
      <c r="D33" s="1024"/>
      <c r="E33" s="415">
        <v>6</v>
      </c>
      <c r="F33" s="416" t="str">
        <f>+F28</f>
        <v>MONTHS</v>
      </c>
      <c r="G33" s="611"/>
      <c r="H33" s="611"/>
    </row>
    <row r="34" spans="1:8" ht="12.5" hidden="1" customHeight="1" x14ac:dyDescent="0.35">
      <c r="A34" s="611"/>
      <c r="B34" s="611"/>
      <c r="C34" s="611"/>
      <c r="D34" s="611"/>
      <c r="E34" s="611"/>
      <c r="F34" s="611"/>
      <c r="G34" s="611"/>
      <c r="H34" s="611"/>
    </row>
    <row r="35" spans="1:8" ht="13" hidden="1" customHeight="1" x14ac:dyDescent="0.35">
      <c r="A35" s="613" t="s">
        <v>74</v>
      </c>
      <c r="B35" s="614" t="s">
        <v>905</v>
      </c>
      <c r="C35" s="611"/>
      <c r="D35" s="611"/>
      <c r="E35" s="611"/>
      <c r="F35" s="611"/>
      <c r="G35" s="611"/>
      <c r="H35" s="611"/>
    </row>
    <row r="36" spans="1:8" ht="12.5" hidden="1" customHeight="1" x14ac:dyDescent="0.35">
      <c r="A36" s="611"/>
      <c r="B36" s="615" t="s">
        <v>900</v>
      </c>
      <c r="C36" s="1032">
        <v>1.55</v>
      </c>
      <c r="D36" s="1033"/>
      <c r="E36" s="1033"/>
      <c r="F36" s="1033"/>
      <c r="G36" s="611"/>
      <c r="H36" s="611"/>
    </row>
    <row r="37" spans="1:8" ht="12.5" hidden="1" customHeight="1" x14ac:dyDescent="0.35">
      <c r="A37" s="611"/>
      <c r="B37" s="615" t="s">
        <v>255</v>
      </c>
      <c r="C37" s="1034">
        <v>0.19750000000000001</v>
      </c>
      <c r="D37" s="1034"/>
      <c r="E37" s="1034"/>
      <c r="F37" s="1034"/>
      <c r="G37" s="611"/>
      <c r="H37" s="611"/>
    </row>
    <row r="38" spans="1:8" ht="12.5" hidden="1" customHeight="1" x14ac:dyDescent="0.35">
      <c r="A38" s="611"/>
      <c r="B38" s="615" t="s">
        <v>901</v>
      </c>
      <c r="C38" s="1023" t="s">
        <v>904</v>
      </c>
      <c r="D38" s="1024"/>
      <c r="E38" s="415">
        <v>5</v>
      </c>
      <c r="F38" s="416" t="str">
        <f>+F33</f>
        <v>MONTHS</v>
      </c>
      <c r="G38" s="611"/>
      <c r="H38" s="611"/>
    </row>
    <row r="39" spans="1:8" ht="12.5" hidden="1" customHeight="1" x14ac:dyDescent="0.35">
      <c r="A39" s="611"/>
      <c r="B39" s="611"/>
      <c r="C39" s="611"/>
      <c r="D39" s="611"/>
      <c r="E39" s="611"/>
      <c r="F39" s="611"/>
      <c r="G39" s="611"/>
      <c r="H39" s="611"/>
    </row>
    <row r="40" spans="1:8" ht="13" hidden="1" customHeight="1" x14ac:dyDescent="0.35">
      <c r="A40" s="613" t="s">
        <v>81</v>
      </c>
      <c r="B40" s="614" t="s">
        <v>906</v>
      </c>
      <c r="C40" s="611"/>
      <c r="D40" s="611"/>
      <c r="E40" s="611"/>
      <c r="F40" s="611"/>
      <c r="G40" s="611"/>
      <c r="H40" s="611"/>
    </row>
    <row r="41" spans="1:8" ht="12.5" hidden="1" customHeight="1" x14ac:dyDescent="0.35">
      <c r="A41" s="611"/>
      <c r="B41" s="615" t="s">
        <v>900</v>
      </c>
      <c r="C41" s="1032">
        <v>1.63</v>
      </c>
      <c r="D41" s="1033"/>
      <c r="E41" s="1033"/>
      <c r="F41" s="1033"/>
      <c r="G41" s="611"/>
      <c r="H41" s="611"/>
    </row>
    <row r="42" spans="1:8" ht="12.5" hidden="1" customHeight="1" x14ac:dyDescent="0.35">
      <c r="A42" s="611"/>
      <c r="B42" s="615" t="s">
        <v>255</v>
      </c>
      <c r="C42" s="1034">
        <v>0.2293</v>
      </c>
      <c r="D42" s="1034"/>
      <c r="E42" s="1034"/>
      <c r="F42" s="1034"/>
      <c r="G42" s="611"/>
      <c r="H42" s="611"/>
    </row>
    <row r="43" spans="1:8" ht="12.5" hidden="1" customHeight="1" x14ac:dyDescent="0.35">
      <c r="A43" s="611"/>
      <c r="B43" s="615" t="s">
        <v>901</v>
      </c>
      <c r="C43" s="1023" t="s">
        <v>904</v>
      </c>
      <c r="D43" s="1024"/>
      <c r="E43" s="415">
        <v>1</v>
      </c>
      <c r="F43" s="416" t="s">
        <v>907</v>
      </c>
      <c r="G43" s="611"/>
      <c r="H43" s="611"/>
    </row>
    <row r="44" spans="1:8" ht="12.5" hidden="1" customHeight="1" x14ac:dyDescent="0.35">
      <c r="A44" s="611"/>
      <c r="B44" s="611"/>
      <c r="C44" s="611"/>
      <c r="D44" s="611"/>
      <c r="E44" s="611"/>
      <c r="F44" s="611"/>
      <c r="G44" s="611"/>
      <c r="H44" s="611"/>
    </row>
    <row r="45" spans="1:8" ht="13" hidden="1" customHeight="1" x14ac:dyDescent="0.35">
      <c r="A45" s="613" t="s">
        <v>82</v>
      </c>
      <c r="B45" s="614" t="s">
        <v>908</v>
      </c>
      <c r="C45" s="611"/>
      <c r="D45" s="611"/>
      <c r="E45" s="611"/>
      <c r="F45" s="611"/>
      <c r="G45" s="611"/>
      <c r="H45" s="611"/>
    </row>
    <row r="46" spans="1:8" ht="12.5" hidden="1" customHeight="1" x14ac:dyDescent="0.35">
      <c r="A46" s="611"/>
      <c r="B46" s="615" t="s">
        <v>900</v>
      </c>
      <c r="C46" s="1032">
        <v>1.59</v>
      </c>
      <c r="D46" s="1033"/>
      <c r="E46" s="1033"/>
      <c r="F46" s="1033"/>
      <c r="G46" s="611"/>
      <c r="H46" s="611"/>
    </row>
    <row r="47" spans="1:8" ht="12.5" hidden="1" customHeight="1" x14ac:dyDescent="0.35">
      <c r="A47" s="611"/>
      <c r="B47" s="615" t="s">
        <v>255</v>
      </c>
      <c r="C47" s="1034">
        <v>0.2082</v>
      </c>
      <c r="D47" s="1034"/>
      <c r="E47" s="1034"/>
      <c r="F47" s="1034"/>
      <c r="G47" s="611"/>
      <c r="H47" s="611"/>
    </row>
    <row r="48" spans="1:8" ht="12.5" hidden="1" customHeight="1" x14ac:dyDescent="0.35">
      <c r="A48" s="611"/>
      <c r="B48" s="615" t="s">
        <v>901</v>
      </c>
      <c r="C48" s="1023" t="s">
        <v>904</v>
      </c>
      <c r="D48" s="1024"/>
      <c r="E48" s="415">
        <v>3</v>
      </c>
      <c r="F48" s="416" t="s">
        <v>907</v>
      </c>
      <c r="G48" s="611"/>
      <c r="H48" s="611"/>
    </row>
    <row r="49" spans="1:8" ht="12.5" hidden="1" customHeight="1" x14ac:dyDescent="0.35">
      <c r="A49" s="611"/>
      <c r="B49" s="611"/>
      <c r="C49" s="611"/>
      <c r="D49" s="611"/>
      <c r="E49" s="611"/>
      <c r="F49" s="611"/>
      <c r="G49" s="611"/>
      <c r="H49" s="611"/>
    </row>
    <row r="50" spans="1:8" ht="12.5" hidden="1" customHeight="1" x14ac:dyDescent="0.35">
      <c r="A50" s="611"/>
      <c r="B50" s="611"/>
      <c r="C50" s="611"/>
      <c r="D50" s="611"/>
      <c r="E50" s="611"/>
      <c r="F50" s="611"/>
      <c r="G50" s="611"/>
      <c r="H50" s="611"/>
    </row>
    <row r="51" spans="1:8" ht="12.5" hidden="1" customHeight="1" x14ac:dyDescent="0.35">
      <c r="A51" s="611"/>
      <c r="B51" s="611"/>
      <c r="C51" s="611"/>
      <c r="D51" s="611"/>
      <c r="E51" s="611"/>
      <c r="F51" s="611"/>
      <c r="G51" s="611"/>
      <c r="H51" s="611"/>
    </row>
    <row r="52" spans="1:8" ht="12.5" hidden="1" customHeight="1" x14ac:dyDescent="0.35">
      <c r="A52" s="611"/>
      <c r="B52" s="611"/>
      <c r="C52" s="611"/>
      <c r="D52" s="611"/>
      <c r="E52" s="611"/>
      <c r="F52" s="611"/>
      <c r="G52" s="611"/>
      <c r="H52" s="611"/>
    </row>
  </sheetData>
  <mergeCells count="22">
    <mergeCell ref="C46:F46"/>
    <mergeCell ref="C47:F47"/>
    <mergeCell ref="C48:D48"/>
    <mergeCell ref="C36:F36"/>
    <mergeCell ref="C37:F37"/>
    <mergeCell ref="C38:D38"/>
    <mergeCell ref="C41:F41"/>
    <mergeCell ref="C42:F42"/>
    <mergeCell ref="C43:D43"/>
    <mergeCell ref="C33:D33"/>
    <mergeCell ref="A2:F2"/>
    <mergeCell ref="A3:F3"/>
    <mergeCell ref="A5:F5"/>
    <mergeCell ref="C19:F19"/>
    <mergeCell ref="C20:F20"/>
    <mergeCell ref="C21:D21"/>
    <mergeCell ref="C26:F26"/>
    <mergeCell ref="C27:F27"/>
    <mergeCell ref="C28:D28"/>
    <mergeCell ref="C31:F31"/>
    <mergeCell ref="C32:F32"/>
    <mergeCell ref="C22:D2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F309-F669-4D48-A5A3-29152D81AF95}">
  <sheetPr>
    <pageSetUpPr fitToPage="1"/>
  </sheetPr>
  <dimension ref="A1:K53"/>
  <sheetViews>
    <sheetView workbookViewId="0">
      <selection activeCell="E1" sqref="A1:XFD1048576"/>
    </sheetView>
  </sheetViews>
  <sheetFormatPr defaultRowHeight="14.5" x14ac:dyDescent="0.35"/>
  <cols>
    <col min="1" max="1" width="5.26953125" customWidth="1"/>
    <col min="2" max="2" width="56.81640625" customWidth="1"/>
    <col min="3" max="4" width="11.81640625" customWidth="1"/>
    <col min="5" max="6" width="12.453125" customWidth="1"/>
    <col min="7" max="7" width="33.54296875" customWidth="1"/>
    <col min="8" max="8" width="13.7265625" customWidth="1"/>
    <col min="9" max="9" width="11.26953125" customWidth="1"/>
    <col min="10" max="10" width="10" customWidth="1"/>
    <col min="11" max="11" width="9.1796875" customWidth="1"/>
    <col min="257" max="257" width="5.26953125" customWidth="1"/>
    <col min="258" max="258" width="56.81640625" customWidth="1"/>
    <col min="259" max="260" width="11.81640625" customWidth="1"/>
    <col min="261" max="262" width="12.453125" customWidth="1"/>
    <col min="263" max="263" width="33.54296875" customWidth="1"/>
    <col min="264" max="264" width="13.7265625" customWidth="1"/>
    <col min="265" max="265" width="11.26953125" customWidth="1"/>
    <col min="266" max="266" width="10" customWidth="1"/>
    <col min="267" max="267" width="9.1796875" customWidth="1"/>
    <col min="513" max="513" width="5.26953125" customWidth="1"/>
    <col min="514" max="514" width="56.81640625" customWidth="1"/>
    <col min="515" max="516" width="11.81640625" customWidth="1"/>
    <col min="517" max="518" width="12.453125" customWidth="1"/>
    <col min="519" max="519" width="33.54296875" customWidth="1"/>
    <col min="520" max="520" width="13.7265625" customWidth="1"/>
    <col min="521" max="521" width="11.26953125" customWidth="1"/>
    <col min="522" max="522" width="10" customWidth="1"/>
    <col min="523" max="523" width="9.1796875" customWidth="1"/>
    <col min="769" max="769" width="5.26953125" customWidth="1"/>
    <col min="770" max="770" width="56.81640625" customWidth="1"/>
    <col min="771" max="772" width="11.81640625" customWidth="1"/>
    <col min="773" max="774" width="12.453125" customWidth="1"/>
    <col min="775" max="775" width="33.54296875" customWidth="1"/>
    <col min="776" max="776" width="13.7265625" customWidth="1"/>
    <col min="777" max="777" width="11.26953125" customWidth="1"/>
    <col min="778" max="778" width="10" customWidth="1"/>
    <col min="779" max="779" width="9.1796875" customWidth="1"/>
    <col min="1025" max="1025" width="5.26953125" customWidth="1"/>
    <col min="1026" max="1026" width="56.81640625" customWidth="1"/>
    <col min="1027" max="1028" width="11.81640625" customWidth="1"/>
    <col min="1029" max="1030" width="12.453125" customWidth="1"/>
    <col min="1031" max="1031" width="33.54296875" customWidth="1"/>
    <col min="1032" max="1032" width="13.7265625" customWidth="1"/>
    <col min="1033" max="1033" width="11.26953125" customWidth="1"/>
    <col min="1034" max="1034" width="10" customWidth="1"/>
    <col min="1035" max="1035" width="9.1796875" customWidth="1"/>
    <col min="1281" max="1281" width="5.26953125" customWidth="1"/>
    <col min="1282" max="1282" width="56.81640625" customWidth="1"/>
    <col min="1283" max="1284" width="11.81640625" customWidth="1"/>
    <col min="1285" max="1286" width="12.453125" customWidth="1"/>
    <col min="1287" max="1287" width="33.54296875" customWidth="1"/>
    <col min="1288" max="1288" width="13.7265625" customWidth="1"/>
    <col min="1289" max="1289" width="11.26953125" customWidth="1"/>
    <col min="1290" max="1290" width="10" customWidth="1"/>
    <col min="1291" max="1291" width="9.1796875" customWidth="1"/>
    <col min="1537" max="1537" width="5.26953125" customWidth="1"/>
    <col min="1538" max="1538" width="56.81640625" customWidth="1"/>
    <col min="1539" max="1540" width="11.81640625" customWidth="1"/>
    <col min="1541" max="1542" width="12.453125" customWidth="1"/>
    <col min="1543" max="1543" width="33.54296875" customWidth="1"/>
    <col min="1544" max="1544" width="13.7265625" customWidth="1"/>
    <col min="1545" max="1545" width="11.26953125" customWidth="1"/>
    <col min="1546" max="1546" width="10" customWidth="1"/>
    <col min="1547" max="1547" width="9.1796875" customWidth="1"/>
    <col min="1793" max="1793" width="5.26953125" customWidth="1"/>
    <col min="1794" max="1794" width="56.81640625" customWidth="1"/>
    <col min="1795" max="1796" width="11.81640625" customWidth="1"/>
    <col min="1797" max="1798" width="12.453125" customWidth="1"/>
    <col min="1799" max="1799" width="33.54296875" customWidth="1"/>
    <col min="1800" max="1800" width="13.7265625" customWidth="1"/>
    <col min="1801" max="1801" width="11.26953125" customWidth="1"/>
    <col min="1802" max="1802" width="10" customWidth="1"/>
    <col min="1803" max="1803" width="9.1796875" customWidth="1"/>
    <col min="2049" max="2049" width="5.26953125" customWidth="1"/>
    <col min="2050" max="2050" width="56.81640625" customWidth="1"/>
    <col min="2051" max="2052" width="11.81640625" customWidth="1"/>
    <col min="2053" max="2054" width="12.453125" customWidth="1"/>
    <col min="2055" max="2055" width="33.54296875" customWidth="1"/>
    <col min="2056" max="2056" width="13.7265625" customWidth="1"/>
    <col min="2057" max="2057" width="11.26953125" customWidth="1"/>
    <col min="2058" max="2058" width="10" customWidth="1"/>
    <col min="2059" max="2059" width="9.1796875" customWidth="1"/>
    <col min="2305" max="2305" width="5.26953125" customWidth="1"/>
    <col min="2306" max="2306" width="56.81640625" customWidth="1"/>
    <col min="2307" max="2308" width="11.81640625" customWidth="1"/>
    <col min="2309" max="2310" width="12.453125" customWidth="1"/>
    <col min="2311" max="2311" width="33.54296875" customWidth="1"/>
    <col min="2312" max="2312" width="13.7265625" customWidth="1"/>
    <col min="2313" max="2313" width="11.26953125" customWidth="1"/>
    <col min="2314" max="2314" width="10" customWidth="1"/>
    <col min="2315" max="2315" width="9.1796875" customWidth="1"/>
    <col min="2561" max="2561" width="5.26953125" customWidth="1"/>
    <col min="2562" max="2562" width="56.81640625" customWidth="1"/>
    <col min="2563" max="2564" width="11.81640625" customWidth="1"/>
    <col min="2565" max="2566" width="12.453125" customWidth="1"/>
    <col min="2567" max="2567" width="33.54296875" customWidth="1"/>
    <col min="2568" max="2568" width="13.7265625" customWidth="1"/>
    <col min="2569" max="2569" width="11.26953125" customWidth="1"/>
    <col min="2570" max="2570" width="10" customWidth="1"/>
    <col min="2571" max="2571" width="9.1796875" customWidth="1"/>
    <col min="2817" max="2817" width="5.26953125" customWidth="1"/>
    <col min="2818" max="2818" width="56.81640625" customWidth="1"/>
    <col min="2819" max="2820" width="11.81640625" customWidth="1"/>
    <col min="2821" max="2822" width="12.453125" customWidth="1"/>
    <col min="2823" max="2823" width="33.54296875" customWidth="1"/>
    <col min="2824" max="2824" width="13.7265625" customWidth="1"/>
    <col min="2825" max="2825" width="11.26953125" customWidth="1"/>
    <col min="2826" max="2826" width="10" customWidth="1"/>
    <col min="2827" max="2827" width="9.1796875" customWidth="1"/>
    <col min="3073" max="3073" width="5.26953125" customWidth="1"/>
    <col min="3074" max="3074" width="56.81640625" customWidth="1"/>
    <col min="3075" max="3076" width="11.81640625" customWidth="1"/>
    <col min="3077" max="3078" width="12.453125" customWidth="1"/>
    <col min="3079" max="3079" width="33.54296875" customWidth="1"/>
    <col min="3080" max="3080" width="13.7265625" customWidth="1"/>
    <col min="3081" max="3081" width="11.26953125" customWidth="1"/>
    <col min="3082" max="3082" width="10" customWidth="1"/>
    <col min="3083" max="3083" width="9.1796875" customWidth="1"/>
    <col min="3329" max="3329" width="5.26953125" customWidth="1"/>
    <col min="3330" max="3330" width="56.81640625" customWidth="1"/>
    <col min="3331" max="3332" width="11.81640625" customWidth="1"/>
    <col min="3333" max="3334" width="12.453125" customWidth="1"/>
    <col min="3335" max="3335" width="33.54296875" customWidth="1"/>
    <col min="3336" max="3336" width="13.7265625" customWidth="1"/>
    <col min="3337" max="3337" width="11.26953125" customWidth="1"/>
    <col min="3338" max="3338" width="10" customWidth="1"/>
    <col min="3339" max="3339" width="9.1796875" customWidth="1"/>
    <col min="3585" max="3585" width="5.26953125" customWidth="1"/>
    <col min="3586" max="3586" width="56.81640625" customWidth="1"/>
    <col min="3587" max="3588" width="11.81640625" customWidth="1"/>
    <col min="3589" max="3590" width="12.453125" customWidth="1"/>
    <col min="3591" max="3591" width="33.54296875" customWidth="1"/>
    <col min="3592" max="3592" width="13.7265625" customWidth="1"/>
    <col min="3593" max="3593" width="11.26953125" customWidth="1"/>
    <col min="3594" max="3594" width="10" customWidth="1"/>
    <col min="3595" max="3595" width="9.1796875" customWidth="1"/>
    <col min="3841" max="3841" width="5.26953125" customWidth="1"/>
    <col min="3842" max="3842" width="56.81640625" customWidth="1"/>
    <col min="3843" max="3844" width="11.81640625" customWidth="1"/>
    <col min="3845" max="3846" width="12.453125" customWidth="1"/>
    <col min="3847" max="3847" width="33.54296875" customWidth="1"/>
    <col min="3848" max="3848" width="13.7265625" customWidth="1"/>
    <col min="3849" max="3849" width="11.26953125" customWidth="1"/>
    <col min="3850" max="3850" width="10" customWidth="1"/>
    <col min="3851" max="3851" width="9.1796875" customWidth="1"/>
    <col min="4097" max="4097" width="5.26953125" customWidth="1"/>
    <col min="4098" max="4098" width="56.81640625" customWidth="1"/>
    <col min="4099" max="4100" width="11.81640625" customWidth="1"/>
    <col min="4101" max="4102" width="12.453125" customWidth="1"/>
    <col min="4103" max="4103" width="33.54296875" customWidth="1"/>
    <col min="4104" max="4104" width="13.7265625" customWidth="1"/>
    <col min="4105" max="4105" width="11.26953125" customWidth="1"/>
    <col min="4106" max="4106" width="10" customWidth="1"/>
    <col min="4107" max="4107" width="9.1796875" customWidth="1"/>
    <col min="4353" max="4353" width="5.26953125" customWidth="1"/>
    <col min="4354" max="4354" width="56.81640625" customWidth="1"/>
    <col min="4355" max="4356" width="11.81640625" customWidth="1"/>
    <col min="4357" max="4358" width="12.453125" customWidth="1"/>
    <col min="4359" max="4359" width="33.54296875" customWidth="1"/>
    <col min="4360" max="4360" width="13.7265625" customWidth="1"/>
    <col min="4361" max="4361" width="11.26953125" customWidth="1"/>
    <col min="4362" max="4362" width="10" customWidth="1"/>
    <col min="4363" max="4363" width="9.1796875" customWidth="1"/>
    <col min="4609" max="4609" width="5.26953125" customWidth="1"/>
    <col min="4610" max="4610" width="56.81640625" customWidth="1"/>
    <col min="4611" max="4612" width="11.81640625" customWidth="1"/>
    <col min="4613" max="4614" width="12.453125" customWidth="1"/>
    <col min="4615" max="4615" width="33.54296875" customWidth="1"/>
    <col min="4616" max="4616" width="13.7265625" customWidth="1"/>
    <col min="4617" max="4617" width="11.26953125" customWidth="1"/>
    <col min="4618" max="4618" width="10" customWidth="1"/>
    <col min="4619" max="4619" width="9.1796875" customWidth="1"/>
    <col min="4865" max="4865" width="5.26953125" customWidth="1"/>
    <col min="4866" max="4866" width="56.81640625" customWidth="1"/>
    <col min="4867" max="4868" width="11.81640625" customWidth="1"/>
    <col min="4869" max="4870" width="12.453125" customWidth="1"/>
    <col min="4871" max="4871" width="33.54296875" customWidth="1"/>
    <col min="4872" max="4872" width="13.7265625" customWidth="1"/>
    <col min="4873" max="4873" width="11.26953125" customWidth="1"/>
    <col min="4874" max="4874" width="10" customWidth="1"/>
    <col min="4875" max="4875" width="9.1796875" customWidth="1"/>
    <col min="5121" max="5121" width="5.26953125" customWidth="1"/>
    <col min="5122" max="5122" width="56.81640625" customWidth="1"/>
    <col min="5123" max="5124" width="11.81640625" customWidth="1"/>
    <col min="5125" max="5126" width="12.453125" customWidth="1"/>
    <col min="5127" max="5127" width="33.54296875" customWidth="1"/>
    <col min="5128" max="5128" width="13.7265625" customWidth="1"/>
    <col min="5129" max="5129" width="11.26953125" customWidth="1"/>
    <col min="5130" max="5130" width="10" customWidth="1"/>
    <col min="5131" max="5131" width="9.1796875" customWidth="1"/>
    <col min="5377" max="5377" width="5.26953125" customWidth="1"/>
    <col min="5378" max="5378" width="56.81640625" customWidth="1"/>
    <col min="5379" max="5380" width="11.81640625" customWidth="1"/>
    <col min="5381" max="5382" width="12.453125" customWidth="1"/>
    <col min="5383" max="5383" width="33.54296875" customWidth="1"/>
    <col min="5384" max="5384" width="13.7265625" customWidth="1"/>
    <col min="5385" max="5385" width="11.26953125" customWidth="1"/>
    <col min="5386" max="5386" width="10" customWidth="1"/>
    <col min="5387" max="5387" width="9.1796875" customWidth="1"/>
    <col min="5633" max="5633" width="5.26953125" customWidth="1"/>
    <col min="5634" max="5634" width="56.81640625" customWidth="1"/>
    <col min="5635" max="5636" width="11.81640625" customWidth="1"/>
    <col min="5637" max="5638" width="12.453125" customWidth="1"/>
    <col min="5639" max="5639" width="33.54296875" customWidth="1"/>
    <col min="5640" max="5640" width="13.7265625" customWidth="1"/>
    <col min="5641" max="5641" width="11.26953125" customWidth="1"/>
    <col min="5642" max="5642" width="10" customWidth="1"/>
    <col min="5643" max="5643" width="9.1796875" customWidth="1"/>
    <col min="5889" max="5889" width="5.26953125" customWidth="1"/>
    <col min="5890" max="5890" width="56.81640625" customWidth="1"/>
    <col min="5891" max="5892" width="11.81640625" customWidth="1"/>
    <col min="5893" max="5894" width="12.453125" customWidth="1"/>
    <col min="5895" max="5895" width="33.54296875" customWidth="1"/>
    <col min="5896" max="5896" width="13.7265625" customWidth="1"/>
    <col min="5897" max="5897" width="11.26953125" customWidth="1"/>
    <col min="5898" max="5898" width="10" customWidth="1"/>
    <col min="5899" max="5899" width="9.1796875" customWidth="1"/>
    <col min="6145" max="6145" width="5.26953125" customWidth="1"/>
    <col min="6146" max="6146" width="56.81640625" customWidth="1"/>
    <col min="6147" max="6148" width="11.81640625" customWidth="1"/>
    <col min="6149" max="6150" width="12.453125" customWidth="1"/>
    <col min="6151" max="6151" width="33.54296875" customWidth="1"/>
    <col min="6152" max="6152" width="13.7265625" customWidth="1"/>
    <col min="6153" max="6153" width="11.26953125" customWidth="1"/>
    <col min="6154" max="6154" width="10" customWidth="1"/>
    <col min="6155" max="6155" width="9.1796875" customWidth="1"/>
    <col min="6401" max="6401" width="5.26953125" customWidth="1"/>
    <col min="6402" max="6402" width="56.81640625" customWidth="1"/>
    <col min="6403" max="6404" width="11.81640625" customWidth="1"/>
    <col min="6405" max="6406" width="12.453125" customWidth="1"/>
    <col min="6407" max="6407" width="33.54296875" customWidth="1"/>
    <col min="6408" max="6408" width="13.7265625" customWidth="1"/>
    <col min="6409" max="6409" width="11.26953125" customWidth="1"/>
    <col min="6410" max="6410" width="10" customWidth="1"/>
    <col min="6411" max="6411" width="9.1796875" customWidth="1"/>
    <col min="6657" max="6657" width="5.26953125" customWidth="1"/>
    <col min="6658" max="6658" width="56.81640625" customWidth="1"/>
    <col min="6659" max="6660" width="11.81640625" customWidth="1"/>
    <col min="6661" max="6662" width="12.453125" customWidth="1"/>
    <col min="6663" max="6663" width="33.54296875" customWidth="1"/>
    <col min="6664" max="6664" width="13.7265625" customWidth="1"/>
    <col min="6665" max="6665" width="11.26953125" customWidth="1"/>
    <col min="6666" max="6666" width="10" customWidth="1"/>
    <col min="6667" max="6667" width="9.1796875" customWidth="1"/>
    <col min="6913" max="6913" width="5.26953125" customWidth="1"/>
    <col min="6914" max="6914" width="56.81640625" customWidth="1"/>
    <col min="6915" max="6916" width="11.81640625" customWidth="1"/>
    <col min="6917" max="6918" width="12.453125" customWidth="1"/>
    <col min="6919" max="6919" width="33.54296875" customWidth="1"/>
    <col min="6920" max="6920" width="13.7265625" customWidth="1"/>
    <col min="6921" max="6921" width="11.26953125" customWidth="1"/>
    <col min="6922" max="6922" width="10" customWidth="1"/>
    <col min="6923" max="6923" width="9.1796875" customWidth="1"/>
    <col min="7169" max="7169" width="5.26953125" customWidth="1"/>
    <col min="7170" max="7170" width="56.81640625" customWidth="1"/>
    <col min="7171" max="7172" width="11.81640625" customWidth="1"/>
    <col min="7173" max="7174" width="12.453125" customWidth="1"/>
    <col min="7175" max="7175" width="33.54296875" customWidth="1"/>
    <col min="7176" max="7176" width="13.7265625" customWidth="1"/>
    <col min="7177" max="7177" width="11.26953125" customWidth="1"/>
    <col min="7178" max="7178" width="10" customWidth="1"/>
    <col min="7179" max="7179" width="9.1796875" customWidth="1"/>
    <col min="7425" max="7425" width="5.26953125" customWidth="1"/>
    <col min="7426" max="7426" width="56.81640625" customWidth="1"/>
    <col min="7427" max="7428" width="11.81640625" customWidth="1"/>
    <col min="7429" max="7430" width="12.453125" customWidth="1"/>
    <col min="7431" max="7431" width="33.54296875" customWidth="1"/>
    <col min="7432" max="7432" width="13.7265625" customWidth="1"/>
    <col min="7433" max="7433" width="11.26953125" customWidth="1"/>
    <col min="7434" max="7434" width="10" customWidth="1"/>
    <col min="7435" max="7435" width="9.1796875" customWidth="1"/>
    <col min="7681" max="7681" width="5.26953125" customWidth="1"/>
    <col min="7682" max="7682" width="56.81640625" customWidth="1"/>
    <col min="7683" max="7684" width="11.81640625" customWidth="1"/>
    <col min="7685" max="7686" width="12.453125" customWidth="1"/>
    <col min="7687" max="7687" width="33.54296875" customWidth="1"/>
    <col min="7688" max="7688" width="13.7265625" customWidth="1"/>
    <col min="7689" max="7689" width="11.26953125" customWidth="1"/>
    <col min="7690" max="7690" width="10" customWidth="1"/>
    <col min="7691" max="7691" width="9.1796875" customWidth="1"/>
    <col min="7937" max="7937" width="5.26953125" customWidth="1"/>
    <col min="7938" max="7938" width="56.81640625" customWidth="1"/>
    <col min="7939" max="7940" width="11.81640625" customWidth="1"/>
    <col min="7941" max="7942" width="12.453125" customWidth="1"/>
    <col min="7943" max="7943" width="33.54296875" customWidth="1"/>
    <col min="7944" max="7944" width="13.7265625" customWidth="1"/>
    <col min="7945" max="7945" width="11.26953125" customWidth="1"/>
    <col min="7946" max="7946" width="10" customWidth="1"/>
    <col min="7947" max="7947" width="9.1796875" customWidth="1"/>
    <col min="8193" max="8193" width="5.26953125" customWidth="1"/>
    <col min="8194" max="8194" width="56.81640625" customWidth="1"/>
    <col min="8195" max="8196" width="11.81640625" customWidth="1"/>
    <col min="8197" max="8198" width="12.453125" customWidth="1"/>
    <col min="8199" max="8199" width="33.54296875" customWidth="1"/>
    <col min="8200" max="8200" width="13.7265625" customWidth="1"/>
    <col min="8201" max="8201" width="11.26953125" customWidth="1"/>
    <col min="8202" max="8202" width="10" customWidth="1"/>
    <col min="8203" max="8203" width="9.1796875" customWidth="1"/>
    <col min="8449" max="8449" width="5.26953125" customWidth="1"/>
    <col min="8450" max="8450" width="56.81640625" customWidth="1"/>
    <col min="8451" max="8452" width="11.81640625" customWidth="1"/>
    <col min="8453" max="8454" width="12.453125" customWidth="1"/>
    <col min="8455" max="8455" width="33.54296875" customWidth="1"/>
    <col min="8456" max="8456" width="13.7265625" customWidth="1"/>
    <col min="8457" max="8457" width="11.26953125" customWidth="1"/>
    <col min="8458" max="8458" width="10" customWidth="1"/>
    <col min="8459" max="8459" width="9.1796875" customWidth="1"/>
    <col min="8705" max="8705" width="5.26953125" customWidth="1"/>
    <col min="8706" max="8706" width="56.81640625" customWidth="1"/>
    <col min="8707" max="8708" width="11.81640625" customWidth="1"/>
    <col min="8709" max="8710" width="12.453125" customWidth="1"/>
    <col min="8711" max="8711" width="33.54296875" customWidth="1"/>
    <col min="8712" max="8712" width="13.7265625" customWidth="1"/>
    <col min="8713" max="8713" width="11.26953125" customWidth="1"/>
    <col min="8714" max="8714" width="10" customWidth="1"/>
    <col min="8715" max="8715" width="9.1796875" customWidth="1"/>
    <col min="8961" max="8961" width="5.26953125" customWidth="1"/>
    <col min="8962" max="8962" width="56.81640625" customWidth="1"/>
    <col min="8963" max="8964" width="11.81640625" customWidth="1"/>
    <col min="8965" max="8966" width="12.453125" customWidth="1"/>
    <col min="8967" max="8967" width="33.54296875" customWidth="1"/>
    <col min="8968" max="8968" width="13.7265625" customWidth="1"/>
    <col min="8969" max="8969" width="11.26953125" customWidth="1"/>
    <col min="8970" max="8970" width="10" customWidth="1"/>
    <col min="8971" max="8971" width="9.1796875" customWidth="1"/>
    <col min="9217" max="9217" width="5.26953125" customWidth="1"/>
    <col min="9218" max="9218" width="56.81640625" customWidth="1"/>
    <col min="9219" max="9220" width="11.81640625" customWidth="1"/>
    <col min="9221" max="9222" width="12.453125" customWidth="1"/>
    <col min="9223" max="9223" width="33.54296875" customWidth="1"/>
    <col min="9224" max="9224" width="13.7265625" customWidth="1"/>
    <col min="9225" max="9225" width="11.26953125" customWidth="1"/>
    <col min="9226" max="9226" width="10" customWidth="1"/>
    <col min="9227" max="9227" width="9.1796875" customWidth="1"/>
    <col min="9473" max="9473" width="5.26953125" customWidth="1"/>
    <col min="9474" max="9474" width="56.81640625" customWidth="1"/>
    <col min="9475" max="9476" width="11.81640625" customWidth="1"/>
    <col min="9477" max="9478" width="12.453125" customWidth="1"/>
    <col min="9479" max="9479" width="33.54296875" customWidth="1"/>
    <col min="9480" max="9480" width="13.7265625" customWidth="1"/>
    <col min="9481" max="9481" width="11.26953125" customWidth="1"/>
    <col min="9482" max="9482" width="10" customWidth="1"/>
    <col min="9483" max="9483" width="9.1796875" customWidth="1"/>
    <col min="9729" max="9729" width="5.26953125" customWidth="1"/>
    <col min="9730" max="9730" width="56.81640625" customWidth="1"/>
    <col min="9731" max="9732" width="11.81640625" customWidth="1"/>
    <col min="9733" max="9734" width="12.453125" customWidth="1"/>
    <col min="9735" max="9735" width="33.54296875" customWidth="1"/>
    <col min="9736" max="9736" width="13.7265625" customWidth="1"/>
    <col min="9737" max="9737" width="11.26953125" customWidth="1"/>
    <col min="9738" max="9738" width="10" customWidth="1"/>
    <col min="9739" max="9739" width="9.1796875" customWidth="1"/>
    <col min="9985" max="9985" width="5.26953125" customWidth="1"/>
    <col min="9986" max="9986" width="56.81640625" customWidth="1"/>
    <col min="9987" max="9988" width="11.81640625" customWidth="1"/>
    <col min="9989" max="9990" width="12.453125" customWidth="1"/>
    <col min="9991" max="9991" width="33.54296875" customWidth="1"/>
    <col min="9992" max="9992" width="13.7265625" customWidth="1"/>
    <col min="9993" max="9993" width="11.26953125" customWidth="1"/>
    <col min="9994" max="9994" width="10" customWidth="1"/>
    <col min="9995" max="9995" width="9.1796875" customWidth="1"/>
    <col min="10241" max="10241" width="5.26953125" customWidth="1"/>
    <col min="10242" max="10242" width="56.81640625" customWidth="1"/>
    <col min="10243" max="10244" width="11.81640625" customWidth="1"/>
    <col min="10245" max="10246" width="12.453125" customWidth="1"/>
    <col min="10247" max="10247" width="33.54296875" customWidth="1"/>
    <col min="10248" max="10248" width="13.7265625" customWidth="1"/>
    <col min="10249" max="10249" width="11.26953125" customWidth="1"/>
    <col min="10250" max="10250" width="10" customWidth="1"/>
    <col min="10251" max="10251" width="9.1796875" customWidth="1"/>
    <col min="10497" max="10497" width="5.26953125" customWidth="1"/>
    <col min="10498" max="10498" width="56.81640625" customWidth="1"/>
    <col min="10499" max="10500" width="11.81640625" customWidth="1"/>
    <col min="10501" max="10502" width="12.453125" customWidth="1"/>
    <col min="10503" max="10503" width="33.54296875" customWidth="1"/>
    <col min="10504" max="10504" width="13.7265625" customWidth="1"/>
    <col min="10505" max="10505" width="11.26953125" customWidth="1"/>
    <col min="10506" max="10506" width="10" customWidth="1"/>
    <col min="10507" max="10507" width="9.1796875" customWidth="1"/>
    <col min="10753" max="10753" width="5.26953125" customWidth="1"/>
    <col min="10754" max="10754" width="56.81640625" customWidth="1"/>
    <col min="10755" max="10756" width="11.81640625" customWidth="1"/>
    <col min="10757" max="10758" width="12.453125" customWidth="1"/>
    <col min="10759" max="10759" width="33.54296875" customWidth="1"/>
    <col min="10760" max="10760" width="13.7265625" customWidth="1"/>
    <col min="10761" max="10761" width="11.26953125" customWidth="1"/>
    <col min="10762" max="10762" width="10" customWidth="1"/>
    <col min="10763" max="10763" width="9.1796875" customWidth="1"/>
    <col min="11009" max="11009" width="5.26953125" customWidth="1"/>
    <col min="11010" max="11010" width="56.81640625" customWidth="1"/>
    <col min="11011" max="11012" width="11.81640625" customWidth="1"/>
    <col min="11013" max="11014" width="12.453125" customWidth="1"/>
    <col min="11015" max="11015" width="33.54296875" customWidth="1"/>
    <col min="11016" max="11016" width="13.7265625" customWidth="1"/>
    <col min="11017" max="11017" width="11.26953125" customWidth="1"/>
    <col min="11018" max="11018" width="10" customWidth="1"/>
    <col min="11019" max="11019" width="9.1796875" customWidth="1"/>
    <col min="11265" max="11265" width="5.26953125" customWidth="1"/>
    <col min="11266" max="11266" width="56.81640625" customWidth="1"/>
    <col min="11267" max="11268" width="11.81640625" customWidth="1"/>
    <col min="11269" max="11270" width="12.453125" customWidth="1"/>
    <col min="11271" max="11271" width="33.54296875" customWidth="1"/>
    <col min="11272" max="11272" width="13.7265625" customWidth="1"/>
    <col min="11273" max="11273" width="11.26953125" customWidth="1"/>
    <col min="11274" max="11274" width="10" customWidth="1"/>
    <col min="11275" max="11275" width="9.1796875" customWidth="1"/>
    <col min="11521" max="11521" width="5.26953125" customWidth="1"/>
    <col min="11522" max="11522" width="56.81640625" customWidth="1"/>
    <col min="11523" max="11524" width="11.81640625" customWidth="1"/>
    <col min="11525" max="11526" width="12.453125" customWidth="1"/>
    <col min="11527" max="11527" width="33.54296875" customWidth="1"/>
    <col min="11528" max="11528" width="13.7265625" customWidth="1"/>
    <col min="11529" max="11529" width="11.26953125" customWidth="1"/>
    <col min="11530" max="11530" width="10" customWidth="1"/>
    <col min="11531" max="11531" width="9.1796875" customWidth="1"/>
    <col min="11777" max="11777" width="5.26953125" customWidth="1"/>
    <col min="11778" max="11778" width="56.81640625" customWidth="1"/>
    <col min="11779" max="11780" width="11.81640625" customWidth="1"/>
    <col min="11781" max="11782" width="12.453125" customWidth="1"/>
    <col min="11783" max="11783" width="33.54296875" customWidth="1"/>
    <col min="11784" max="11784" width="13.7265625" customWidth="1"/>
    <col min="11785" max="11785" width="11.26953125" customWidth="1"/>
    <col min="11786" max="11786" width="10" customWidth="1"/>
    <col min="11787" max="11787" width="9.1796875" customWidth="1"/>
    <col min="12033" max="12033" width="5.26953125" customWidth="1"/>
    <col min="12034" max="12034" width="56.81640625" customWidth="1"/>
    <col min="12035" max="12036" width="11.81640625" customWidth="1"/>
    <col min="12037" max="12038" width="12.453125" customWidth="1"/>
    <col min="12039" max="12039" width="33.54296875" customWidth="1"/>
    <col min="12040" max="12040" width="13.7265625" customWidth="1"/>
    <col min="12041" max="12041" width="11.26953125" customWidth="1"/>
    <col min="12042" max="12042" width="10" customWidth="1"/>
    <col min="12043" max="12043" width="9.1796875" customWidth="1"/>
    <col min="12289" max="12289" width="5.26953125" customWidth="1"/>
    <col min="12290" max="12290" width="56.81640625" customWidth="1"/>
    <col min="12291" max="12292" width="11.81640625" customWidth="1"/>
    <col min="12293" max="12294" width="12.453125" customWidth="1"/>
    <col min="12295" max="12295" width="33.54296875" customWidth="1"/>
    <col min="12296" max="12296" width="13.7265625" customWidth="1"/>
    <col min="12297" max="12297" width="11.26953125" customWidth="1"/>
    <col min="12298" max="12298" width="10" customWidth="1"/>
    <col min="12299" max="12299" width="9.1796875" customWidth="1"/>
    <col min="12545" max="12545" width="5.26953125" customWidth="1"/>
    <col min="12546" max="12546" width="56.81640625" customWidth="1"/>
    <col min="12547" max="12548" width="11.81640625" customWidth="1"/>
    <col min="12549" max="12550" width="12.453125" customWidth="1"/>
    <col min="12551" max="12551" width="33.54296875" customWidth="1"/>
    <col min="12552" max="12552" width="13.7265625" customWidth="1"/>
    <col min="12553" max="12553" width="11.26953125" customWidth="1"/>
    <col min="12554" max="12554" width="10" customWidth="1"/>
    <col min="12555" max="12555" width="9.1796875" customWidth="1"/>
    <col min="12801" max="12801" width="5.26953125" customWidth="1"/>
    <col min="12802" max="12802" width="56.81640625" customWidth="1"/>
    <col min="12803" max="12804" width="11.81640625" customWidth="1"/>
    <col min="12805" max="12806" width="12.453125" customWidth="1"/>
    <col min="12807" max="12807" width="33.54296875" customWidth="1"/>
    <col min="12808" max="12808" width="13.7265625" customWidth="1"/>
    <col min="12809" max="12809" width="11.26953125" customWidth="1"/>
    <col min="12810" max="12810" width="10" customWidth="1"/>
    <col min="12811" max="12811" width="9.1796875" customWidth="1"/>
    <col min="13057" max="13057" width="5.26953125" customWidth="1"/>
    <col min="13058" max="13058" width="56.81640625" customWidth="1"/>
    <col min="13059" max="13060" width="11.81640625" customWidth="1"/>
    <col min="13061" max="13062" width="12.453125" customWidth="1"/>
    <col min="13063" max="13063" width="33.54296875" customWidth="1"/>
    <col min="13064" max="13064" width="13.7265625" customWidth="1"/>
    <col min="13065" max="13065" width="11.26953125" customWidth="1"/>
    <col min="13066" max="13066" width="10" customWidth="1"/>
    <col min="13067" max="13067" width="9.1796875" customWidth="1"/>
    <col min="13313" max="13313" width="5.26953125" customWidth="1"/>
    <col min="13314" max="13314" width="56.81640625" customWidth="1"/>
    <col min="13315" max="13316" width="11.81640625" customWidth="1"/>
    <col min="13317" max="13318" width="12.453125" customWidth="1"/>
    <col min="13319" max="13319" width="33.54296875" customWidth="1"/>
    <col min="13320" max="13320" width="13.7265625" customWidth="1"/>
    <col min="13321" max="13321" width="11.26953125" customWidth="1"/>
    <col min="13322" max="13322" width="10" customWidth="1"/>
    <col min="13323" max="13323" width="9.1796875" customWidth="1"/>
    <col min="13569" max="13569" width="5.26953125" customWidth="1"/>
    <col min="13570" max="13570" width="56.81640625" customWidth="1"/>
    <col min="13571" max="13572" width="11.81640625" customWidth="1"/>
    <col min="13573" max="13574" width="12.453125" customWidth="1"/>
    <col min="13575" max="13575" width="33.54296875" customWidth="1"/>
    <col min="13576" max="13576" width="13.7265625" customWidth="1"/>
    <col min="13577" max="13577" width="11.26953125" customWidth="1"/>
    <col min="13578" max="13578" width="10" customWidth="1"/>
    <col min="13579" max="13579" width="9.1796875" customWidth="1"/>
    <col min="13825" max="13825" width="5.26953125" customWidth="1"/>
    <col min="13826" max="13826" width="56.81640625" customWidth="1"/>
    <col min="13827" max="13828" width="11.81640625" customWidth="1"/>
    <col min="13829" max="13830" width="12.453125" customWidth="1"/>
    <col min="13831" max="13831" width="33.54296875" customWidth="1"/>
    <col min="13832" max="13832" width="13.7265625" customWidth="1"/>
    <col min="13833" max="13833" width="11.26953125" customWidth="1"/>
    <col min="13834" max="13834" width="10" customWidth="1"/>
    <col min="13835" max="13835" width="9.1796875" customWidth="1"/>
    <col min="14081" max="14081" width="5.26953125" customWidth="1"/>
    <col min="14082" max="14082" width="56.81640625" customWidth="1"/>
    <col min="14083" max="14084" width="11.81640625" customWidth="1"/>
    <col min="14085" max="14086" width="12.453125" customWidth="1"/>
    <col min="14087" max="14087" width="33.54296875" customWidth="1"/>
    <col min="14088" max="14088" width="13.7265625" customWidth="1"/>
    <col min="14089" max="14089" width="11.26953125" customWidth="1"/>
    <col min="14090" max="14090" width="10" customWidth="1"/>
    <col min="14091" max="14091" width="9.1796875" customWidth="1"/>
    <col min="14337" max="14337" width="5.26953125" customWidth="1"/>
    <col min="14338" max="14338" width="56.81640625" customWidth="1"/>
    <col min="14339" max="14340" width="11.81640625" customWidth="1"/>
    <col min="14341" max="14342" width="12.453125" customWidth="1"/>
    <col min="14343" max="14343" width="33.54296875" customWidth="1"/>
    <col min="14344" max="14344" width="13.7265625" customWidth="1"/>
    <col min="14345" max="14345" width="11.26953125" customWidth="1"/>
    <col min="14346" max="14346" width="10" customWidth="1"/>
    <col min="14347" max="14347" width="9.1796875" customWidth="1"/>
    <col min="14593" max="14593" width="5.26953125" customWidth="1"/>
    <col min="14594" max="14594" width="56.81640625" customWidth="1"/>
    <col min="14595" max="14596" width="11.81640625" customWidth="1"/>
    <col min="14597" max="14598" width="12.453125" customWidth="1"/>
    <col min="14599" max="14599" width="33.54296875" customWidth="1"/>
    <col min="14600" max="14600" width="13.7265625" customWidth="1"/>
    <col min="14601" max="14601" width="11.26953125" customWidth="1"/>
    <col min="14602" max="14602" width="10" customWidth="1"/>
    <col min="14603" max="14603" width="9.1796875" customWidth="1"/>
    <col min="14849" max="14849" width="5.26953125" customWidth="1"/>
    <col min="14850" max="14850" width="56.81640625" customWidth="1"/>
    <col min="14851" max="14852" width="11.81640625" customWidth="1"/>
    <col min="14853" max="14854" width="12.453125" customWidth="1"/>
    <col min="14855" max="14855" width="33.54296875" customWidth="1"/>
    <col min="14856" max="14856" width="13.7265625" customWidth="1"/>
    <col min="14857" max="14857" width="11.26953125" customWidth="1"/>
    <col min="14858" max="14858" width="10" customWidth="1"/>
    <col min="14859" max="14859" width="9.1796875" customWidth="1"/>
    <col min="15105" max="15105" width="5.26953125" customWidth="1"/>
    <col min="15106" max="15106" width="56.81640625" customWidth="1"/>
    <col min="15107" max="15108" width="11.81640625" customWidth="1"/>
    <col min="15109" max="15110" width="12.453125" customWidth="1"/>
    <col min="15111" max="15111" width="33.54296875" customWidth="1"/>
    <col min="15112" max="15112" width="13.7265625" customWidth="1"/>
    <col min="15113" max="15113" width="11.26953125" customWidth="1"/>
    <col min="15114" max="15114" width="10" customWidth="1"/>
    <col min="15115" max="15115" width="9.1796875" customWidth="1"/>
    <col min="15361" max="15361" width="5.26953125" customWidth="1"/>
    <col min="15362" max="15362" width="56.81640625" customWidth="1"/>
    <col min="15363" max="15364" width="11.81640625" customWidth="1"/>
    <col min="15365" max="15366" width="12.453125" customWidth="1"/>
    <col min="15367" max="15367" width="33.54296875" customWidth="1"/>
    <col min="15368" max="15368" width="13.7265625" customWidth="1"/>
    <col min="15369" max="15369" width="11.26953125" customWidth="1"/>
    <col min="15370" max="15370" width="10" customWidth="1"/>
    <col min="15371" max="15371" width="9.1796875" customWidth="1"/>
    <col min="15617" max="15617" width="5.26953125" customWidth="1"/>
    <col min="15618" max="15618" width="56.81640625" customWidth="1"/>
    <col min="15619" max="15620" width="11.81640625" customWidth="1"/>
    <col min="15621" max="15622" width="12.453125" customWidth="1"/>
    <col min="15623" max="15623" width="33.54296875" customWidth="1"/>
    <col min="15624" max="15624" width="13.7265625" customWidth="1"/>
    <col min="15625" max="15625" width="11.26953125" customWidth="1"/>
    <col min="15626" max="15626" width="10" customWidth="1"/>
    <col min="15627" max="15627" width="9.1796875" customWidth="1"/>
    <col min="15873" max="15873" width="5.26953125" customWidth="1"/>
    <col min="15874" max="15874" width="56.81640625" customWidth="1"/>
    <col min="15875" max="15876" width="11.81640625" customWidth="1"/>
    <col min="15877" max="15878" width="12.453125" customWidth="1"/>
    <col min="15879" max="15879" width="33.54296875" customWidth="1"/>
    <col min="15880" max="15880" width="13.7265625" customWidth="1"/>
    <col min="15881" max="15881" width="11.26953125" customWidth="1"/>
    <col min="15882" max="15882" width="10" customWidth="1"/>
    <col min="15883" max="15883" width="9.1796875" customWidth="1"/>
    <col min="16129" max="16129" width="5.26953125" customWidth="1"/>
    <col min="16130" max="16130" width="56.81640625" customWidth="1"/>
    <col min="16131" max="16132" width="11.81640625" customWidth="1"/>
    <col min="16133" max="16134" width="12.453125" customWidth="1"/>
    <col min="16135" max="16135" width="33.54296875" customWidth="1"/>
    <col min="16136" max="16136" width="13.7265625" customWidth="1"/>
    <col min="16137" max="16137" width="11.26953125" customWidth="1"/>
    <col min="16138" max="16138" width="10" customWidth="1"/>
    <col min="16139" max="16139" width="9.1796875" customWidth="1"/>
  </cols>
  <sheetData>
    <row r="1" spans="1:11" x14ac:dyDescent="0.35">
      <c r="A1" s="1037" t="s">
        <v>889</v>
      </c>
      <c r="B1" s="1037"/>
      <c r="C1" s="1037"/>
      <c r="D1" s="1037"/>
    </row>
    <row r="2" spans="1:11" x14ac:dyDescent="0.35">
      <c r="A2" s="1037" t="s">
        <v>890</v>
      </c>
      <c r="B2" s="1037"/>
      <c r="C2" s="1037"/>
      <c r="D2" s="1037"/>
    </row>
    <row r="3" spans="1:11" x14ac:dyDescent="0.35">
      <c r="A3" s="1037" t="s">
        <v>909</v>
      </c>
      <c r="B3" s="1037"/>
      <c r="C3" s="1037"/>
      <c r="D3" s="1037"/>
    </row>
    <row r="4" spans="1:11" x14ac:dyDescent="0.35">
      <c r="A4" s="1038" t="s">
        <v>910</v>
      </c>
      <c r="B4" s="1038"/>
      <c r="C4" s="1038"/>
      <c r="D4" s="1038"/>
    </row>
    <row r="5" spans="1:11" ht="19.5" customHeight="1" x14ac:dyDescent="0.35">
      <c r="A5" s="617"/>
      <c r="B5" s="617"/>
      <c r="C5" s="618"/>
      <c r="D5" s="619" t="s">
        <v>828</v>
      </c>
    </row>
    <row r="6" spans="1:11" s="11" customFormat="1" ht="19.5" customHeight="1" x14ac:dyDescent="0.35">
      <c r="A6" s="620" t="s">
        <v>911</v>
      </c>
      <c r="B6" s="620" t="s">
        <v>912</v>
      </c>
      <c r="C6" s="373"/>
      <c r="D6" s="621" t="s">
        <v>913</v>
      </c>
    </row>
    <row r="7" spans="1:11" x14ac:dyDescent="0.35">
      <c r="A7" s="622"/>
      <c r="B7" s="623"/>
      <c r="C7" s="624"/>
      <c r="D7" s="625"/>
      <c r="F7" s="11"/>
      <c r="G7" s="11"/>
      <c r="H7" s="11"/>
      <c r="I7" s="11"/>
    </row>
    <row r="8" spans="1:11" x14ac:dyDescent="0.35">
      <c r="A8" s="622">
        <v>1</v>
      </c>
      <c r="B8" s="426" t="s">
        <v>816</v>
      </c>
      <c r="C8" s="426"/>
      <c r="D8" s="427">
        <v>1200</v>
      </c>
      <c r="E8" s="428"/>
      <c r="F8" s="605"/>
      <c r="G8" s="11"/>
      <c r="H8" s="429">
        <v>1200</v>
      </c>
      <c r="I8" s="11"/>
    </row>
    <row r="9" spans="1:11" x14ac:dyDescent="0.35">
      <c r="A9" s="622"/>
      <c r="B9" s="430"/>
      <c r="C9" s="426"/>
      <c r="D9" s="427"/>
      <c r="E9" s="428"/>
      <c r="F9" s="605"/>
      <c r="G9" s="11"/>
      <c r="H9" s="431"/>
      <c r="I9" s="11"/>
    </row>
    <row r="10" spans="1:11" x14ac:dyDescent="0.35">
      <c r="A10" s="622">
        <v>2</v>
      </c>
      <c r="B10" s="430" t="s">
        <v>60</v>
      </c>
      <c r="C10" s="426"/>
      <c r="D10" s="427">
        <v>3500</v>
      </c>
      <c r="E10" s="428"/>
      <c r="F10" s="605"/>
      <c r="G10" s="11"/>
      <c r="H10" s="429">
        <v>3500</v>
      </c>
      <c r="I10" s="11"/>
    </row>
    <row r="11" spans="1:11" x14ac:dyDescent="0.35">
      <c r="A11" s="622"/>
      <c r="B11" s="626"/>
      <c r="C11" s="426"/>
      <c r="D11" s="427"/>
      <c r="E11" s="428"/>
      <c r="F11" s="11"/>
      <c r="G11" s="11"/>
      <c r="H11" s="431"/>
      <c r="I11" s="11"/>
    </row>
    <row r="12" spans="1:11" x14ac:dyDescent="0.35">
      <c r="A12" s="622">
        <v>3</v>
      </c>
      <c r="B12" s="433" t="s">
        <v>817</v>
      </c>
      <c r="C12" s="426"/>
      <c r="D12" s="427">
        <f>15800-1260-40</f>
        <v>14500</v>
      </c>
      <c r="E12" s="428"/>
      <c r="F12" s="11"/>
      <c r="G12" s="11"/>
      <c r="H12" s="431">
        <f>15800-1260-40</f>
        <v>14500</v>
      </c>
      <c r="I12" s="11"/>
      <c r="J12" s="11"/>
      <c r="K12" s="11"/>
    </row>
    <row r="13" spans="1:11" x14ac:dyDescent="0.35">
      <c r="A13" s="627"/>
      <c r="B13" s="626"/>
      <c r="C13" s="426"/>
      <c r="D13" s="427"/>
      <c r="E13" s="428"/>
      <c r="F13" s="11"/>
      <c r="G13" s="11"/>
      <c r="H13" s="431"/>
      <c r="I13" s="11"/>
      <c r="J13" s="11"/>
      <c r="K13" s="11"/>
    </row>
    <row r="14" spans="1:11" x14ac:dyDescent="0.35">
      <c r="A14" s="622">
        <v>4</v>
      </c>
      <c r="B14" s="433" t="s">
        <v>818</v>
      </c>
      <c r="C14" s="426"/>
      <c r="D14" s="427">
        <f>5000-300</f>
        <v>4700</v>
      </c>
      <c r="E14" s="428"/>
      <c r="F14" s="11"/>
      <c r="G14" s="11"/>
      <c r="H14" s="431">
        <f>5000-300</f>
        <v>4700</v>
      </c>
      <c r="I14" s="11"/>
      <c r="J14" s="11"/>
      <c r="K14" s="11"/>
    </row>
    <row r="15" spans="1:11" x14ac:dyDescent="0.35">
      <c r="A15" s="622"/>
      <c r="B15" s="626"/>
      <c r="C15" s="426"/>
      <c r="D15" s="427"/>
      <c r="E15" s="428"/>
      <c r="F15" s="628"/>
      <c r="G15" s="11"/>
      <c r="H15" s="431"/>
      <c r="I15" s="11"/>
      <c r="J15" s="11"/>
      <c r="K15" s="11"/>
    </row>
    <row r="16" spans="1:11" x14ac:dyDescent="0.35">
      <c r="A16" s="622">
        <v>5</v>
      </c>
      <c r="B16" s="426" t="s">
        <v>819</v>
      </c>
      <c r="C16" s="426"/>
      <c r="D16" s="427">
        <v>1600</v>
      </c>
      <c r="E16" s="428"/>
      <c r="F16" s="628"/>
      <c r="G16" s="11"/>
      <c r="H16" s="429">
        <v>1100</v>
      </c>
      <c r="I16" s="11"/>
      <c r="J16" s="11"/>
      <c r="K16" s="11"/>
    </row>
    <row r="17" spans="1:11" x14ac:dyDescent="0.35">
      <c r="A17" s="622"/>
      <c r="B17" s="626"/>
      <c r="C17" s="426"/>
      <c r="D17" s="427"/>
      <c r="E17" s="428"/>
      <c r="F17" s="628"/>
      <c r="G17" s="11"/>
      <c r="H17" s="431"/>
      <c r="I17" s="11"/>
      <c r="J17" s="11"/>
      <c r="K17" s="11"/>
    </row>
    <row r="18" spans="1:11" x14ac:dyDescent="0.35">
      <c r="A18" s="622">
        <v>6</v>
      </c>
      <c r="B18" s="426" t="s">
        <v>820</v>
      </c>
      <c r="C18" s="426"/>
      <c r="D18" s="427">
        <v>1600</v>
      </c>
      <c r="E18" s="428"/>
      <c r="F18" s="11"/>
      <c r="G18" s="11"/>
      <c r="H18" s="431">
        <v>1600</v>
      </c>
      <c r="I18" s="11"/>
      <c r="J18" s="11"/>
      <c r="K18" s="11"/>
    </row>
    <row r="19" spans="1:11" x14ac:dyDescent="0.35">
      <c r="A19" s="622"/>
      <c r="B19" s="629"/>
      <c r="C19" s="426"/>
      <c r="D19" s="427"/>
      <c r="E19" s="428"/>
      <c r="F19" s="11"/>
      <c r="G19" s="11"/>
      <c r="H19" s="431"/>
      <c r="I19" s="11"/>
      <c r="J19" s="11"/>
      <c r="K19" s="11"/>
    </row>
    <row r="20" spans="1:11" x14ac:dyDescent="0.35">
      <c r="A20" s="622">
        <v>7</v>
      </c>
      <c r="B20" s="629" t="s">
        <v>821</v>
      </c>
      <c r="C20" s="426"/>
      <c r="D20" s="427">
        <v>350</v>
      </c>
      <c r="E20" s="428"/>
      <c r="F20" s="11"/>
      <c r="G20" s="11"/>
      <c r="H20" s="427">
        <v>650</v>
      </c>
      <c r="I20" s="11"/>
      <c r="J20" s="11"/>
      <c r="K20" s="11"/>
    </row>
    <row r="21" spans="1:11" x14ac:dyDescent="0.35">
      <c r="A21" s="622"/>
      <c r="B21" s="629"/>
      <c r="C21" s="426"/>
      <c r="D21" s="427"/>
      <c r="E21" s="428"/>
      <c r="F21" s="11"/>
      <c r="G21" s="11"/>
      <c r="H21" s="431"/>
      <c r="I21" s="11"/>
      <c r="J21" s="11"/>
      <c r="K21" s="11"/>
    </row>
    <row r="22" spans="1:11" x14ac:dyDescent="0.35">
      <c r="A22" s="622">
        <v>8</v>
      </c>
      <c r="B22" s="426" t="s">
        <v>914</v>
      </c>
      <c r="C22" s="426"/>
      <c r="D22" s="427">
        <v>800</v>
      </c>
      <c r="E22" s="428"/>
      <c r="F22" s="11"/>
      <c r="G22" s="11"/>
      <c r="H22" s="431">
        <v>800</v>
      </c>
      <c r="I22" s="11"/>
      <c r="J22" s="11"/>
      <c r="K22" s="11"/>
    </row>
    <row r="23" spans="1:11" x14ac:dyDescent="0.35">
      <c r="A23" s="622"/>
      <c r="B23" s="629"/>
      <c r="C23" s="426"/>
      <c r="D23" s="427"/>
      <c r="E23" s="428"/>
      <c r="F23" s="11"/>
      <c r="G23" s="11"/>
      <c r="H23" s="431"/>
      <c r="I23" s="11"/>
      <c r="J23" s="11"/>
      <c r="K23" s="11"/>
    </row>
    <row r="24" spans="1:11" x14ac:dyDescent="0.35">
      <c r="A24" s="622">
        <v>9</v>
      </c>
      <c r="B24" s="426" t="s">
        <v>822</v>
      </c>
      <c r="C24" s="426"/>
      <c r="D24" s="427">
        <v>1000</v>
      </c>
      <c r="E24" s="428"/>
      <c r="F24" s="11"/>
      <c r="G24" s="11"/>
      <c r="H24" s="429">
        <v>1200</v>
      </c>
      <c r="I24" s="11"/>
      <c r="J24" s="11"/>
      <c r="K24" s="11"/>
    </row>
    <row r="25" spans="1:11" x14ac:dyDescent="0.35">
      <c r="A25" s="622"/>
      <c r="B25" s="430"/>
      <c r="C25" s="426"/>
      <c r="D25" s="427"/>
      <c r="E25" s="428"/>
      <c r="F25" s="11"/>
      <c r="G25" s="11"/>
      <c r="H25" s="431"/>
      <c r="I25" s="11"/>
      <c r="J25" s="11"/>
      <c r="K25" s="11"/>
    </row>
    <row r="26" spans="1:11" x14ac:dyDescent="0.35">
      <c r="A26" s="622">
        <v>10</v>
      </c>
      <c r="B26" s="430" t="s">
        <v>823</v>
      </c>
      <c r="C26" s="426"/>
      <c r="D26" s="427">
        <v>750</v>
      </c>
      <c r="E26" s="428"/>
      <c r="F26" s="11"/>
      <c r="G26" s="11"/>
      <c r="H26" s="429">
        <v>750</v>
      </c>
      <c r="I26" s="11"/>
      <c r="J26" s="11"/>
      <c r="K26" s="11"/>
    </row>
    <row r="27" spans="1:11" x14ac:dyDescent="0.35">
      <c r="A27" s="622"/>
      <c r="B27" s="430"/>
      <c r="C27" s="426"/>
      <c r="D27" s="431"/>
      <c r="E27" s="428"/>
      <c r="F27" s="11"/>
      <c r="G27" s="11"/>
      <c r="H27" s="431"/>
      <c r="I27" s="11"/>
      <c r="J27" s="11"/>
      <c r="K27" s="11"/>
    </row>
    <row r="28" spans="1:11" x14ac:dyDescent="0.35">
      <c r="A28" s="622"/>
      <c r="B28" s="630"/>
      <c r="C28" s="438"/>
      <c r="D28" s="439"/>
      <c r="E28" s="428"/>
      <c r="F28" s="11"/>
      <c r="G28" s="11"/>
      <c r="H28" s="439"/>
      <c r="I28" s="11"/>
      <c r="J28" s="11"/>
      <c r="K28" s="11"/>
    </row>
    <row r="29" spans="1:11" x14ac:dyDescent="0.35">
      <c r="A29" s="631"/>
      <c r="B29" s="632" t="s">
        <v>104</v>
      </c>
      <c r="C29" s="442">
        <f>SUM(C8:C28)</f>
        <v>0</v>
      </c>
      <c r="D29" s="443">
        <f>SUM(D8:D28)</f>
        <v>30000</v>
      </c>
      <c r="E29" s="428"/>
      <c r="F29" s="633"/>
      <c r="G29" s="11"/>
      <c r="H29" s="443">
        <f>SUM(H8:H28)</f>
        <v>30000</v>
      </c>
      <c r="I29" s="11"/>
      <c r="J29" s="11"/>
      <c r="K29" s="11"/>
    </row>
    <row r="30" spans="1:11" x14ac:dyDescent="0.35">
      <c r="A30" s="605"/>
      <c r="B30" s="370"/>
      <c r="C30" s="446"/>
      <c r="D30" s="447"/>
      <c r="E30" s="428"/>
      <c r="F30" s="11"/>
      <c r="G30" s="11"/>
      <c r="H30" s="11"/>
      <c r="I30" s="11"/>
      <c r="J30" s="11"/>
      <c r="K30" s="11"/>
    </row>
    <row r="31" spans="1:11" x14ac:dyDescent="0.35">
      <c r="A31" s="634" t="s">
        <v>915</v>
      </c>
      <c r="B31" s="617"/>
      <c r="C31" s="635"/>
      <c r="D31" s="617"/>
      <c r="G31" s="11"/>
      <c r="H31" s="11"/>
      <c r="I31" s="11"/>
      <c r="J31" s="11"/>
      <c r="K31" s="11"/>
    </row>
    <row r="32" spans="1:11" x14ac:dyDescent="0.35">
      <c r="A32" s="636" t="s">
        <v>916</v>
      </c>
      <c r="B32" s="637" t="s">
        <v>917</v>
      </c>
      <c r="C32" s="638" t="s">
        <v>780</v>
      </c>
      <c r="D32" s="638" t="s">
        <v>918</v>
      </c>
      <c r="G32" s="11"/>
      <c r="H32" s="11"/>
      <c r="I32" s="11"/>
      <c r="J32" s="11"/>
      <c r="K32" s="11"/>
    </row>
    <row r="33" spans="1:11" x14ac:dyDescent="0.35">
      <c r="A33" s="639"/>
      <c r="B33" s="640"/>
      <c r="C33" s="641" t="s">
        <v>919</v>
      </c>
      <c r="D33" s="642"/>
      <c r="G33" s="11"/>
      <c r="H33" s="11"/>
      <c r="I33" s="11"/>
      <c r="J33" s="11"/>
      <c r="K33" s="11"/>
    </row>
    <row r="34" spans="1:11" x14ac:dyDescent="0.35">
      <c r="A34" s="622"/>
      <c r="B34" s="629"/>
      <c r="C34" s="643"/>
      <c r="D34" s="644"/>
      <c r="G34" s="11"/>
      <c r="H34" s="11"/>
      <c r="I34" s="11"/>
      <c r="J34" s="11"/>
      <c r="K34" s="11"/>
    </row>
    <row r="35" spans="1:11" x14ac:dyDescent="0.35">
      <c r="A35" s="645">
        <v>1</v>
      </c>
      <c r="B35" s="646" t="s">
        <v>920</v>
      </c>
      <c r="C35" s="461">
        <v>10000</v>
      </c>
      <c r="D35" s="462">
        <f>+C35/$C$39</f>
        <v>0.33333333333333331</v>
      </c>
      <c r="G35" s="11"/>
      <c r="H35" s="11"/>
      <c r="I35" s="11"/>
      <c r="J35" s="11"/>
      <c r="K35" s="11"/>
    </row>
    <row r="36" spans="1:11" x14ac:dyDescent="0.35">
      <c r="A36" s="645"/>
      <c r="B36" s="646"/>
      <c r="C36" s="461"/>
      <c r="D36" s="463"/>
      <c r="F36" s="464"/>
      <c r="G36" s="11"/>
      <c r="H36" s="11"/>
      <c r="I36" s="11"/>
      <c r="J36" s="11"/>
      <c r="K36" s="11"/>
    </row>
    <row r="37" spans="1:11" x14ac:dyDescent="0.35">
      <c r="A37" s="645">
        <v>3</v>
      </c>
      <c r="B37" s="647" t="s">
        <v>921</v>
      </c>
      <c r="C37" s="461">
        <f>+C39-C35</f>
        <v>20000</v>
      </c>
      <c r="D37" s="462">
        <f>+C37/$C$39</f>
        <v>0.66666666666666663</v>
      </c>
      <c r="F37" s="464"/>
      <c r="G37" s="11"/>
      <c r="H37" s="11"/>
      <c r="I37" s="11"/>
      <c r="J37" s="11"/>
      <c r="K37" s="11"/>
    </row>
    <row r="38" spans="1:11" x14ac:dyDescent="0.35">
      <c r="A38" s="622"/>
      <c r="B38" s="629"/>
      <c r="C38" s="466"/>
      <c r="D38" s="644"/>
      <c r="F38" s="464"/>
      <c r="G38" s="11"/>
      <c r="H38" s="11"/>
      <c r="I38" s="11"/>
      <c r="J38" s="11"/>
      <c r="K38" s="11"/>
    </row>
    <row r="39" spans="1:11" x14ac:dyDescent="0.35">
      <c r="A39" s="631"/>
      <c r="B39" s="632" t="s">
        <v>922</v>
      </c>
      <c r="C39" s="442">
        <f>+D29</f>
        <v>30000</v>
      </c>
      <c r="D39" s="467">
        <v>1</v>
      </c>
      <c r="F39" s="464"/>
      <c r="G39" s="11"/>
      <c r="H39" s="11"/>
      <c r="I39" s="11"/>
      <c r="J39" s="11"/>
      <c r="K39" s="11"/>
    </row>
    <row r="40" spans="1:11" x14ac:dyDescent="0.35">
      <c r="A40" s="617"/>
      <c r="B40" s="617"/>
      <c r="C40" s="635">
        <f>+C39-D29</f>
        <v>0</v>
      </c>
      <c r="D40" s="617"/>
      <c r="G40" s="11"/>
      <c r="H40" s="11"/>
      <c r="I40" s="11"/>
      <c r="J40" s="11"/>
      <c r="K40" s="11"/>
    </row>
    <row r="43" spans="1:11" x14ac:dyDescent="0.35">
      <c r="A43" s="370" t="s">
        <v>824</v>
      </c>
    </row>
    <row r="44" spans="1:11" x14ac:dyDescent="0.35">
      <c r="A44" s="371"/>
      <c r="B44" s="372" t="s">
        <v>825</v>
      </c>
      <c r="C44" s="373" t="s">
        <v>826</v>
      </c>
      <c r="D44" s="373" t="s">
        <v>827</v>
      </c>
      <c r="E44" s="373" t="s">
        <v>828</v>
      </c>
    </row>
    <row r="45" spans="1:11" x14ac:dyDescent="0.35">
      <c r="A45" s="371">
        <v>1</v>
      </c>
      <c r="B45" s="372" t="s">
        <v>829</v>
      </c>
      <c r="C45" s="372">
        <f>2240*4</f>
        <v>8960</v>
      </c>
      <c r="D45" s="372">
        <v>17000</v>
      </c>
      <c r="E45" s="468">
        <f t="shared" ref="E45:E52" si="0">(C45*D45)/100000</f>
        <v>1523.2</v>
      </c>
    </row>
    <row r="46" spans="1:11" x14ac:dyDescent="0.35">
      <c r="A46" s="371">
        <v>2</v>
      </c>
      <c r="B46" s="372" t="s">
        <v>830</v>
      </c>
      <c r="C46" s="372">
        <f>960*4</f>
        <v>3840</v>
      </c>
      <c r="D46" s="372">
        <v>17000</v>
      </c>
      <c r="E46" s="468">
        <f t="shared" si="0"/>
        <v>652.79999999999995</v>
      </c>
    </row>
    <row r="47" spans="1:11" ht="26" x14ac:dyDescent="0.35">
      <c r="A47" s="371">
        <v>3</v>
      </c>
      <c r="B47" s="375" t="s">
        <v>831</v>
      </c>
      <c r="C47" s="372">
        <f>980+1716+640+640</f>
        <v>3976</v>
      </c>
      <c r="D47" s="372">
        <v>12000</v>
      </c>
      <c r="E47" s="468">
        <f t="shared" si="0"/>
        <v>477.12</v>
      </c>
    </row>
    <row r="48" spans="1:11" x14ac:dyDescent="0.35">
      <c r="A48" s="371">
        <v>4</v>
      </c>
      <c r="B48" s="372" t="s">
        <v>832</v>
      </c>
      <c r="C48" s="372">
        <f>25*32</f>
        <v>800</v>
      </c>
      <c r="D48" s="372">
        <v>12000</v>
      </c>
      <c r="E48" s="468">
        <f t="shared" si="0"/>
        <v>96</v>
      </c>
    </row>
    <row r="49" spans="1:5" x14ac:dyDescent="0.35">
      <c r="A49" s="371">
        <v>5</v>
      </c>
      <c r="B49" s="372" t="s">
        <v>833</v>
      </c>
      <c r="C49" s="372">
        <f>1815+748</f>
        <v>2563</v>
      </c>
      <c r="D49" s="372">
        <v>12000</v>
      </c>
      <c r="E49" s="468">
        <f t="shared" si="0"/>
        <v>307.56</v>
      </c>
    </row>
    <row r="50" spans="1:5" x14ac:dyDescent="0.35">
      <c r="A50" s="371">
        <v>6</v>
      </c>
      <c r="B50" s="372" t="s">
        <v>834</v>
      </c>
      <c r="C50" s="372">
        <v>1400</v>
      </c>
      <c r="D50" s="372">
        <v>12000</v>
      </c>
      <c r="E50" s="468">
        <f t="shared" si="0"/>
        <v>168</v>
      </c>
    </row>
    <row r="51" spans="1:5" x14ac:dyDescent="0.35">
      <c r="A51" s="371"/>
      <c r="B51" s="372" t="s">
        <v>835</v>
      </c>
      <c r="C51" s="372">
        <f>40*21</f>
        <v>840</v>
      </c>
      <c r="D51" s="372">
        <v>12000</v>
      </c>
      <c r="E51" s="468">
        <f t="shared" si="0"/>
        <v>100.8</v>
      </c>
    </row>
    <row r="52" spans="1:5" x14ac:dyDescent="0.35">
      <c r="A52" s="371">
        <v>7</v>
      </c>
      <c r="B52" s="372" t="s">
        <v>836</v>
      </c>
      <c r="C52" s="372">
        <v>500</v>
      </c>
      <c r="D52" s="372">
        <v>17000</v>
      </c>
      <c r="E52" s="468">
        <f t="shared" si="0"/>
        <v>85</v>
      </c>
    </row>
    <row r="53" spans="1:5" x14ac:dyDescent="0.35">
      <c r="A53" s="372"/>
      <c r="B53" s="376" t="s">
        <v>449</v>
      </c>
      <c r="C53" s="372"/>
      <c r="D53" s="372"/>
      <c r="E53" s="377">
        <f>SUM(E45:E52)</f>
        <v>3410.48</v>
      </c>
    </row>
  </sheetData>
  <mergeCells count="4">
    <mergeCell ref="A1:D1"/>
    <mergeCell ref="A2:D2"/>
    <mergeCell ref="A3:D3"/>
    <mergeCell ref="A4:D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33A9-2F51-41E6-9934-9429036F59EF}">
  <sheetPr>
    <pageSetUpPr fitToPage="1"/>
  </sheetPr>
  <dimension ref="A1:K53"/>
  <sheetViews>
    <sheetView workbookViewId="0">
      <selection sqref="A1:K25"/>
    </sheetView>
  </sheetViews>
  <sheetFormatPr defaultRowHeight="12.5" x14ac:dyDescent="0.25"/>
  <cols>
    <col min="1" max="1" width="5.26953125" style="406" customWidth="1"/>
    <col min="2" max="2" width="56.81640625" style="406" customWidth="1"/>
    <col min="3" max="4" width="11.81640625" style="406" customWidth="1"/>
    <col min="5" max="6" width="12.453125" style="406" customWidth="1"/>
    <col min="7" max="7" width="33.54296875" style="406" customWidth="1"/>
    <col min="8" max="8" width="13.7265625" style="406" customWidth="1"/>
    <col min="9" max="9" width="11.26953125" style="406" customWidth="1"/>
    <col min="10" max="10" width="10" style="406" customWidth="1"/>
    <col min="11" max="11" width="9.1796875" style="406" customWidth="1"/>
    <col min="12" max="256" width="8.7265625" style="406"/>
    <col min="257" max="257" width="5.26953125" style="406" customWidth="1"/>
    <col min="258" max="258" width="56.81640625" style="406" customWidth="1"/>
    <col min="259" max="260" width="11.81640625" style="406" customWidth="1"/>
    <col min="261" max="262" width="12.453125" style="406" customWidth="1"/>
    <col min="263" max="263" width="33.54296875" style="406" customWidth="1"/>
    <col min="264" max="264" width="13.7265625" style="406" customWidth="1"/>
    <col min="265" max="265" width="11.26953125" style="406" customWidth="1"/>
    <col min="266" max="266" width="10" style="406" customWidth="1"/>
    <col min="267" max="267" width="9.1796875" style="406" customWidth="1"/>
    <col min="268" max="512" width="8.7265625" style="406"/>
    <col min="513" max="513" width="5.26953125" style="406" customWidth="1"/>
    <col min="514" max="514" width="56.81640625" style="406" customWidth="1"/>
    <col min="515" max="516" width="11.81640625" style="406" customWidth="1"/>
    <col min="517" max="518" width="12.453125" style="406" customWidth="1"/>
    <col min="519" max="519" width="33.54296875" style="406" customWidth="1"/>
    <col min="520" max="520" width="13.7265625" style="406" customWidth="1"/>
    <col min="521" max="521" width="11.26953125" style="406" customWidth="1"/>
    <col min="522" max="522" width="10" style="406" customWidth="1"/>
    <col min="523" max="523" width="9.1796875" style="406" customWidth="1"/>
    <col min="524" max="768" width="8.7265625" style="406"/>
    <col min="769" max="769" width="5.26953125" style="406" customWidth="1"/>
    <col min="770" max="770" width="56.81640625" style="406" customWidth="1"/>
    <col min="771" max="772" width="11.81640625" style="406" customWidth="1"/>
    <col min="773" max="774" width="12.453125" style="406" customWidth="1"/>
    <col min="775" max="775" width="33.54296875" style="406" customWidth="1"/>
    <col min="776" max="776" width="13.7265625" style="406" customWidth="1"/>
    <col min="777" max="777" width="11.26953125" style="406" customWidth="1"/>
    <col min="778" max="778" width="10" style="406" customWidth="1"/>
    <col min="779" max="779" width="9.1796875" style="406" customWidth="1"/>
    <col min="780" max="1024" width="8.7265625" style="406"/>
    <col min="1025" max="1025" width="5.26953125" style="406" customWidth="1"/>
    <col min="1026" max="1026" width="56.81640625" style="406" customWidth="1"/>
    <col min="1027" max="1028" width="11.81640625" style="406" customWidth="1"/>
    <col min="1029" max="1030" width="12.453125" style="406" customWidth="1"/>
    <col min="1031" max="1031" width="33.54296875" style="406" customWidth="1"/>
    <col min="1032" max="1032" width="13.7265625" style="406" customWidth="1"/>
    <col min="1033" max="1033" width="11.26953125" style="406" customWidth="1"/>
    <col min="1034" max="1034" width="10" style="406" customWidth="1"/>
    <col min="1035" max="1035" width="9.1796875" style="406" customWidth="1"/>
    <col min="1036" max="1280" width="8.7265625" style="406"/>
    <col min="1281" max="1281" width="5.26953125" style="406" customWidth="1"/>
    <col min="1282" max="1282" width="56.81640625" style="406" customWidth="1"/>
    <col min="1283" max="1284" width="11.81640625" style="406" customWidth="1"/>
    <col min="1285" max="1286" width="12.453125" style="406" customWidth="1"/>
    <col min="1287" max="1287" width="33.54296875" style="406" customWidth="1"/>
    <col min="1288" max="1288" width="13.7265625" style="406" customWidth="1"/>
    <col min="1289" max="1289" width="11.26953125" style="406" customWidth="1"/>
    <col min="1290" max="1290" width="10" style="406" customWidth="1"/>
    <col min="1291" max="1291" width="9.1796875" style="406" customWidth="1"/>
    <col min="1292" max="1536" width="8.7265625" style="406"/>
    <col min="1537" max="1537" width="5.26953125" style="406" customWidth="1"/>
    <col min="1538" max="1538" width="56.81640625" style="406" customWidth="1"/>
    <col min="1539" max="1540" width="11.81640625" style="406" customWidth="1"/>
    <col min="1541" max="1542" width="12.453125" style="406" customWidth="1"/>
    <col min="1543" max="1543" width="33.54296875" style="406" customWidth="1"/>
    <col min="1544" max="1544" width="13.7265625" style="406" customWidth="1"/>
    <col min="1545" max="1545" width="11.26953125" style="406" customWidth="1"/>
    <col min="1546" max="1546" width="10" style="406" customWidth="1"/>
    <col min="1547" max="1547" width="9.1796875" style="406" customWidth="1"/>
    <col min="1548" max="1792" width="8.7265625" style="406"/>
    <col min="1793" max="1793" width="5.26953125" style="406" customWidth="1"/>
    <col min="1794" max="1794" width="56.81640625" style="406" customWidth="1"/>
    <col min="1795" max="1796" width="11.81640625" style="406" customWidth="1"/>
    <col min="1797" max="1798" width="12.453125" style="406" customWidth="1"/>
    <col min="1799" max="1799" width="33.54296875" style="406" customWidth="1"/>
    <col min="1800" max="1800" width="13.7265625" style="406" customWidth="1"/>
    <col min="1801" max="1801" width="11.26953125" style="406" customWidth="1"/>
    <col min="1802" max="1802" width="10" style="406" customWidth="1"/>
    <col min="1803" max="1803" width="9.1796875" style="406" customWidth="1"/>
    <col min="1804" max="2048" width="8.7265625" style="406"/>
    <col min="2049" max="2049" width="5.26953125" style="406" customWidth="1"/>
    <col min="2050" max="2050" width="56.81640625" style="406" customWidth="1"/>
    <col min="2051" max="2052" width="11.81640625" style="406" customWidth="1"/>
    <col min="2053" max="2054" width="12.453125" style="406" customWidth="1"/>
    <col min="2055" max="2055" width="33.54296875" style="406" customWidth="1"/>
    <col min="2056" max="2056" width="13.7265625" style="406" customWidth="1"/>
    <col min="2057" max="2057" width="11.26953125" style="406" customWidth="1"/>
    <col min="2058" max="2058" width="10" style="406" customWidth="1"/>
    <col min="2059" max="2059" width="9.1796875" style="406" customWidth="1"/>
    <col min="2060" max="2304" width="8.7265625" style="406"/>
    <col min="2305" max="2305" width="5.26953125" style="406" customWidth="1"/>
    <col min="2306" max="2306" width="56.81640625" style="406" customWidth="1"/>
    <col min="2307" max="2308" width="11.81640625" style="406" customWidth="1"/>
    <col min="2309" max="2310" width="12.453125" style="406" customWidth="1"/>
    <col min="2311" max="2311" width="33.54296875" style="406" customWidth="1"/>
    <col min="2312" max="2312" width="13.7265625" style="406" customWidth="1"/>
    <col min="2313" max="2313" width="11.26953125" style="406" customWidth="1"/>
    <col min="2314" max="2314" width="10" style="406" customWidth="1"/>
    <col min="2315" max="2315" width="9.1796875" style="406" customWidth="1"/>
    <col min="2316" max="2560" width="8.7265625" style="406"/>
    <col min="2561" max="2561" width="5.26953125" style="406" customWidth="1"/>
    <col min="2562" max="2562" width="56.81640625" style="406" customWidth="1"/>
    <col min="2563" max="2564" width="11.81640625" style="406" customWidth="1"/>
    <col min="2565" max="2566" width="12.453125" style="406" customWidth="1"/>
    <col min="2567" max="2567" width="33.54296875" style="406" customWidth="1"/>
    <col min="2568" max="2568" width="13.7265625" style="406" customWidth="1"/>
    <col min="2569" max="2569" width="11.26953125" style="406" customWidth="1"/>
    <col min="2570" max="2570" width="10" style="406" customWidth="1"/>
    <col min="2571" max="2571" width="9.1796875" style="406" customWidth="1"/>
    <col min="2572" max="2816" width="8.7265625" style="406"/>
    <col min="2817" max="2817" width="5.26953125" style="406" customWidth="1"/>
    <col min="2818" max="2818" width="56.81640625" style="406" customWidth="1"/>
    <col min="2819" max="2820" width="11.81640625" style="406" customWidth="1"/>
    <col min="2821" max="2822" width="12.453125" style="406" customWidth="1"/>
    <col min="2823" max="2823" width="33.54296875" style="406" customWidth="1"/>
    <col min="2824" max="2824" width="13.7265625" style="406" customWidth="1"/>
    <col min="2825" max="2825" width="11.26953125" style="406" customWidth="1"/>
    <col min="2826" max="2826" width="10" style="406" customWidth="1"/>
    <col min="2827" max="2827" width="9.1796875" style="406" customWidth="1"/>
    <col min="2828" max="3072" width="8.7265625" style="406"/>
    <col min="3073" max="3073" width="5.26953125" style="406" customWidth="1"/>
    <col min="3074" max="3074" width="56.81640625" style="406" customWidth="1"/>
    <col min="3075" max="3076" width="11.81640625" style="406" customWidth="1"/>
    <col min="3077" max="3078" width="12.453125" style="406" customWidth="1"/>
    <col min="3079" max="3079" width="33.54296875" style="406" customWidth="1"/>
    <col min="3080" max="3080" width="13.7265625" style="406" customWidth="1"/>
    <col min="3081" max="3081" width="11.26953125" style="406" customWidth="1"/>
    <col min="3082" max="3082" width="10" style="406" customWidth="1"/>
    <col min="3083" max="3083" width="9.1796875" style="406" customWidth="1"/>
    <col min="3084" max="3328" width="8.7265625" style="406"/>
    <col min="3329" max="3329" width="5.26953125" style="406" customWidth="1"/>
    <col min="3330" max="3330" width="56.81640625" style="406" customWidth="1"/>
    <col min="3331" max="3332" width="11.81640625" style="406" customWidth="1"/>
    <col min="3333" max="3334" width="12.453125" style="406" customWidth="1"/>
    <col min="3335" max="3335" width="33.54296875" style="406" customWidth="1"/>
    <col min="3336" max="3336" width="13.7265625" style="406" customWidth="1"/>
    <col min="3337" max="3337" width="11.26953125" style="406" customWidth="1"/>
    <col min="3338" max="3338" width="10" style="406" customWidth="1"/>
    <col min="3339" max="3339" width="9.1796875" style="406" customWidth="1"/>
    <col min="3340" max="3584" width="8.7265625" style="406"/>
    <col min="3585" max="3585" width="5.26953125" style="406" customWidth="1"/>
    <col min="3586" max="3586" width="56.81640625" style="406" customWidth="1"/>
    <col min="3587" max="3588" width="11.81640625" style="406" customWidth="1"/>
    <col min="3589" max="3590" width="12.453125" style="406" customWidth="1"/>
    <col min="3591" max="3591" width="33.54296875" style="406" customWidth="1"/>
    <col min="3592" max="3592" width="13.7265625" style="406" customWidth="1"/>
    <col min="3593" max="3593" width="11.26953125" style="406" customWidth="1"/>
    <col min="3594" max="3594" width="10" style="406" customWidth="1"/>
    <col min="3595" max="3595" width="9.1796875" style="406" customWidth="1"/>
    <col min="3596" max="3840" width="8.7265625" style="406"/>
    <col min="3841" max="3841" width="5.26953125" style="406" customWidth="1"/>
    <col min="3842" max="3842" width="56.81640625" style="406" customWidth="1"/>
    <col min="3843" max="3844" width="11.81640625" style="406" customWidth="1"/>
    <col min="3845" max="3846" width="12.453125" style="406" customWidth="1"/>
    <col min="3847" max="3847" width="33.54296875" style="406" customWidth="1"/>
    <col min="3848" max="3848" width="13.7265625" style="406" customWidth="1"/>
    <col min="3849" max="3849" width="11.26953125" style="406" customWidth="1"/>
    <col min="3850" max="3850" width="10" style="406" customWidth="1"/>
    <col min="3851" max="3851" width="9.1796875" style="406" customWidth="1"/>
    <col min="3852" max="4096" width="8.7265625" style="406"/>
    <col min="4097" max="4097" width="5.26953125" style="406" customWidth="1"/>
    <col min="4098" max="4098" width="56.81640625" style="406" customWidth="1"/>
    <col min="4099" max="4100" width="11.81640625" style="406" customWidth="1"/>
    <col min="4101" max="4102" width="12.453125" style="406" customWidth="1"/>
    <col min="4103" max="4103" width="33.54296875" style="406" customWidth="1"/>
    <col min="4104" max="4104" width="13.7265625" style="406" customWidth="1"/>
    <col min="4105" max="4105" width="11.26953125" style="406" customWidth="1"/>
    <col min="4106" max="4106" width="10" style="406" customWidth="1"/>
    <col min="4107" max="4107" width="9.1796875" style="406" customWidth="1"/>
    <col min="4108" max="4352" width="8.7265625" style="406"/>
    <col min="4353" max="4353" width="5.26953125" style="406" customWidth="1"/>
    <col min="4354" max="4354" width="56.81640625" style="406" customWidth="1"/>
    <col min="4355" max="4356" width="11.81640625" style="406" customWidth="1"/>
    <col min="4357" max="4358" width="12.453125" style="406" customWidth="1"/>
    <col min="4359" max="4359" width="33.54296875" style="406" customWidth="1"/>
    <col min="4360" max="4360" width="13.7265625" style="406" customWidth="1"/>
    <col min="4361" max="4361" width="11.26953125" style="406" customWidth="1"/>
    <col min="4362" max="4362" width="10" style="406" customWidth="1"/>
    <col min="4363" max="4363" width="9.1796875" style="406" customWidth="1"/>
    <col min="4364" max="4608" width="8.7265625" style="406"/>
    <col min="4609" max="4609" width="5.26953125" style="406" customWidth="1"/>
    <col min="4610" max="4610" width="56.81640625" style="406" customWidth="1"/>
    <col min="4611" max="4612" width="11.81640625" style="406" customWidth="1"/>
    <col min="4613" max="4614" width="12.453125" style="406" customWidth="1"/>
    <col min="4615" max="4615" width="33.54296875" style="406" customWidth="1"/>
    <col min="4616" max="4616" width="13.7265625" style="406" customWidth="1"/>
    <col min="4617" max="4617" width="11.26953125" style="406" customWidth="1"/>
    <col min="4618" max="4618" width="10" style="406" customWidth="1"/>
    <col min="4619" max="4619" width="9.1796875" style="406" customWidth="1"/>
    <col min="4620" max="4864" width="8.7265625" style="406"/>
    <col min="4865" max="4865" width="5.26953125" style="406" customWidth="1"/>
    <col min="4866" max="4866" width="56.81640625" style="406" customWidth="1"/>
    <col min="4867" max="4868" width="11.81640625" style="406" customWidth="1"/>
    <col min="4869" max="4870" width="12.453125" style="406" customWidth="1"/>
    <col min="4871" max="4871" width="33.54296875" style="406" customWidth="1"/>
    <col min="4872" max="4872" width="13.7265625" style="406" customWidth="1"/>
    <col min="4873" max="4873" width="11.26953125" style="406" customWidth="1"/>
    <col min="4874" max="4874" width="10" style="406" customWidth="1"/>
    <col min="4875" max="4875" width="9.1796875" style="406" customWidth="1"/>
    <col min="4876" max="5120" width="8.7265625" style="406"/>
    <col min="5121" max="5121" width="5.26953125" style="406" customWidth="1"/>
    <col min="5122" max="5122" width="56.81640625" style="406" customWidth="1"/>
    <col min="5123" max="5124" width="11.81640625" style="406" customWidth="1"/>
    <col min="5125" max="5126" width="12.453125" style="406" customWidth="1"/>
    <col min="5127" max="5127" width="33.54296875" style="406" customWidth="1"/>
    <col min="5128" max="5128" width="13.7265625" style="406" customWidth="1"/>
    <col min="5129" max="5129" width="11.26953125" style="406" customWidth="1"/>
    <col min="5130" max="5130" width="10" style="406" customWidth="1"/>
    <col min="5131" max="5131" width="9.1796875" style="406" customWidth="1"/>
    <col min="5132" max="5376" width="8.7265625" style="406"/>
    <col min="5377" max="5377" width="5.26953125" style="406" customWidth="1"/>
    <col min="5378" max="5378" width="56.81640625" style="406" customWidth="1"/>
    <col min="5379" max="5380" width="11.81640625" style="406" customWidth="1"/>
    <col min="5381" max="5382" width="12.453125" style="406" customWidth="1"/>
    <col min="5383" max="5383" width="33.54296875" style="406" customWidth="1"/>
    <col min="5384" max="5384" width="13.7265625" style="406" customWidth="1"/>
    <col min="5385" max="5385" width="11.26953125" style="406" customWidth="1"/>
    <col min="5386" max="5386" width="10" style="406" customWidth="1"/>
    <col min="5387" max="5387" width="9.1796875" style="406" customWidth="1"/>
    <col min="5388" max="5632" width="8.7265625" style="406"/>
    <col min="5633" max="5633" width="5.26953125" style="406" customWidth="1"/>
    <col min="5634" max="5634" width="56.81640625" style="406" customWidth="1"/>
    <col min="5635" max="5636" width="11.81640625" style="406" customWidth="1"/>
    <col min="5637" max="5638" width="12.453125" style="406" customWidth="1"/>
    <col min="5639" max="5639" width="33.54296875" style="406" customWidth="1"/>
    <col min="5640" max="5640" width="13.7265625" style="406" customWidth="1"/>
    <col min="5641" max="5641" width="11.26953125" style="406" customWidth="1"/>
    <col min="5642" max="5642" width="10" style="406" customWidth="1"/>
    <col min="5643" max="5643" width="9.1796875" style="406" customWidth="1"/>
    <col min="5644" max="5888" width="8.7265625" style="406"/>
    <col min="5889" max="5889" width="5.26953125" style="406" customWidth="1"/>
    <col min="5890" max="5890" width="56.81640625" style="406" customWidth="1"/>
    <col min="5891" max="5892" width="11.81640625" style="406" customWidth="1"/>
    <col min="5893" max="5894" width="12.453125" style="406" customWidth="1"/>
    <col min="5895" max="5895" width="33.54296875" style="406" customWidth="1"/>
    <col min="5896" max="5896" width="13.7265625" style="406" customWidth="1"/>
    <col min="5897" max="5897" width="11.26953125" style="406" customWidth="1"/>
    <col min="5898" max="5898" width="10" style="406" customWidth="1"/>
    <col min="5899" max="5899" width="9.1796875" style="406" customWidth="1"/>
    <col min="5900" max="6144" width="8.7265625" style="406"/>
    <col min="6145" max="6145" width="5.26953125" style="406" customWidth="1"/>
    <col min="6146" max="6146" width="56.81640625" style="406" customWidth="1"/>
    <col min="6147" max="6148" width="11.81640625" style="406" customWidth="1"/>
    <col min="6149" max="6150" width="12.453125" style="406" customWidth="1"/>
    <col min="6151" max="6151" width="33.54296875" style="406" customWidth="1"/>
    <col min="6152" max="6152" width="13.7265625" style="406" customWidth="1"/>
    <col min="6153" max="6153" width="11.26953125" style="406" customWidth="1"/>
    <col min="6154" max="6154" width="10" style="406" customWidth="1"/>
    <col min="6155" max="6155" width="9.1796875" style="406" customWidth="1"/>
    <col min="6156" max="6400" width="8.7265625" style="406"/>
    <col min="6401" max="6401" width="5.26953125" style="406" customWidth="1"/>
    <col min="6402" max="6402" width="56.81640625" style="406" customWidth="1"/>
    <col min="6403" max="6404" width="11.81640625" style="406" customWidth="1"/>
    <col min="6405" max="6406" width="12.453125" style="406" customWidth="1"/>
    <col min="6407" max="6407" width="33.54296875" style="406" customWidth="1"/>
    <col min="6408" max="6408" width="13.7265625" style="406" customWidth="1"/>
    <col min="6409" max="6409" width="11.26953125" style="406" customWidth="1"/>
    <col min="6410" max="6410" width="10" style="406" customWidth="1"/>
    <col min="6411" max="6411" width="9.1796875" style="406" customWidth="1"/>
    <col min="6412" max="6656" width="8.7265625" style="406"/>
    <col min="6657" max="6657" width="5.26953125" style="406" customWidth="1"/>
    <col min="6658" max="6658" width="56.81640625" style="406" customWidth="1"/>
    <col min="6659" max="6660" width="11.81640625" style="406" customWidth="1"/>
    <col min="6661" max="6662" width="12.453125" style="406" customWidth="1"/>
    <col min="6663" max="6663" width="33.54296875" style="406" customWidth="1"/>
    <col min="6664" max="6664" width="13.7265625" style="406" customWidth="1"/>
    <col min="6665" max="6665" width="11.26953125" style="406" customWidth="1"/>
    <col min="6666" max="6666" width="10" style="406" customWidth="1"/>
    <col min="6667" max="6667" width="9.1796875" style="406" customWidth="1"/>
    <col min="6668" max="6912" width="8.7265625" style="406"/>
    <col min="6913" max="6913" width="5.26953125" style="406" customWidth="1"/>
    <col min="6914" max="6914" width="56.81640625" style="406" customWidth="1"/>
    <col min="6915" max="6916" width="11.81640625" style="406" customWidth="1"/>
    <col min="6917" max="6918" width="12.453125" style="406" customWidth="1"/>
    <col min="6919" max="6919" width="33.54296875" style="406" customWidth="1"/>
    <col min="6920" max="6920" width="13.7265625" style="406" customWidth="1"/>
    <col min="6921" max="6921" width="11.26953125" style="406" customWidth="1"/>
    <col min="6922" max="6922" width="10" style="406" customWidth="1"/>
    <col min="6923" max="6923" width="9.1796875" style="406" customWidth="1"/>
    <col min="6924" max="7168" width="8.7265625" style="406"/>
    <col min="7169" max="7169" width="5.26953125" style="406" customWidth="1"/>
    <col min="7170" max="7170" width="56.81640625" style="406" customWidth="1"/>
    <col min="7171" max="7172" width="11.81640625" style="406" customWidth="1"/>
    <col min="7173" max="7174" width="12.453125" style="406" customWidth="1"/>
    <col min="7175" max="7175" width="33.54296875" style="406" customWidth="1"/>
    <col min="7176" max="7176" width="13.7265625" style="406" customWidth="1"/>
    <col min="7177" max="7177" width="11.26953125" style="406" customWidth="1"/>
    <col min="7178" max="7178" width="10" style="406" customWidth="1"/>
    <col min="7179" max="7179" width="9.1796875" style="406" customWidth="1"/>
    <col min="7180" max="7424" width="8.7265625" style="406"/>
    <col min="7425" max="7425" width="5.26953125" style="406" customWidth="1"/>
    <col min="7426" max="7426" width="56.81640625" style="406" customWidth="1"/>
    <col min="7427" max="7428" width="11.81640625" style="406" customWidth="1"/>
    <col min="7429" max="7430" width="12.453125" style="406" customWidth="1"/>
    <col min="7431" max="7431" width="33.54296875" style="406" customWidth="1"/>
    <col min="7432" max="7432" width="13.7265625" style="406" customWidth="1"/>
    <col min="7433" max="7433" width="11.26953125" style="406" customWidth="1"/>
    <col min="7434" max="7434" width="10" style="406" customWidth="1"/>
    <col min="7435" max="7435" width="9.1796875" style="406" customWidth="1"/>
    <col min="7436" max="7680" width="8.7265625" style="406"/>
    <col min="7681" max="7681" width="5.26953125" style="406" customWidth="1"/>
    <col min="7682" max="7682" width="56.81640625" style="406" customWidth="1"/>
    <col min="7683" max="7684" width="11.81640625" style="406" customWidth="1"/>
    <col min="7685" max="7686" width="12.453125" style="406" customWidth="1"/>
    <col min="7687" max="7687" width="33.54296875" style="406" customWidth="1"/>
    <col min="7688" max="7688" width="13.7265625" style="406" customWidth="1"/>
    <col min="7689" max="7689" width="11.26953125" style="406" customWidth="1"/>
    <col min="7690" max="7690" width="10" style="406" customWidth="1"/>
    <col min="7691" max="7691" width="9.1796875" style="406" customWidth="1"/>
    <col min="7692" max="7936" width="8.7265625" style="406"/>
    <col min="7937" max="7937" width="5.26953125" style="406" customWidth="1"/>
    <col min="7938" max="7938" width="56.81640625" style="406" customWidth="1"/>
    <col min="7939" max="7940" width="11.81640625" style="406" customWidth="1"/>
    <col min="7941" max="7942" width="12.453125" style="406" customWidth="1"/>
    <col min="7943" max="7943" width="33.54296875" style="406" customWidth="1"/>
    <col min="7944" max="7944" width="13.7265625" style="406" customWidth="1"/>
    <col min="7945" max="7945" width="11.26953125" style="406" customWidth="1"/>
    <col min="7946" max="7946" width="10" style="406" customWidth="1"/>
    <col min="7947" max="7947" width="9.1796875" style="406" customWidth="1"/>
    <col min="7948" max="8192" width="8.7265625" style="406"/>
    <col min="8193" max="8193" width="5.26953125" style="406" customWidth="1"/>
    <col min="8194" max="8194" width="56.81640625" style="406" customWidth="1"/>
    <col min="8195" max="8196" width="11.81640625" style="406" customWidth="1"/>
    <col min="8197" max="8198" width="12.453125" style="406" customWidth="1"/>
    <col min="8199" max="8199" width="33.54296875" style="406" customWidth="1"/>
    <col min="8200" max="8200" width="13.7265625" style="406" customWidth="1"/>
    <col min="8201" max="8201" width="11.26953125" style="406" customWidth="1"/>
    <col min="8202" max="8202" width="10" style="406" customWidth="1"/>
    <col min="8203" max="8203" width="9.1796875" style="406" customWidth="1"/>
    <col min="8204" max="8448" width="8.7265625" style="406"/>
    <col min="8449" max="8449" width="5.26953125" style="406" customWidth="1"/>
    <col min="8450" max="8450" width="56.81640625" style="406" customWidth="1"/>
    <col min="8451" max="8452" width="11.81640625" style="406" customWidth="1"/>
    <col min="8453" max="8454" width="12.453125" style="406" customWidth="1"/>
    <col min="8455" max="8455" width="33.54296875" style="406" customWidth="1"/>
    <col min="8456" max="8456" width="13.7265625" style="406" customWidth="1"/>
    <col min="8457" max="8457" width="11.26953125" style="406" customWidth="1"/>
    <col min="8458" max="8458" width="10" style="406" customWidth="1"/>
    <col min="8459" max="8459" width="9.1796875" style="406" customWidth="1"/>
    <col min="8460" max="8704" width="8.7265625" style="406"/>
    <col min="8705" max="8705" width="5.26953125" style="406" customWidth="1"/>
    <col min="8706" max="8706" width="56.81640625" style="406" customWidth="1"/>
    <col min="8707" max="8708" width="11.81640625" style="406" customWidth="1"/>
    <col min="8709" max="8710" width="12.453125" style="406" customWidth="1"/>
    <col min="8711" max="8711" width="33.54296875" style="406" customWidth="1"/>
    <col min="8712" max="8712" width="13.7265625" style="406" customWidth="1"/>
    <col min="8713" max="8713" width="11.26953125" style="406" customWidth="1"/>
    <col min="8714" max="8714" width="10" style="406" customWidth="1"/>
    <col min="8715" max="8715" width="9.1796875" style="406" customWidth="1"/>
    <col min="8716" max="8960" width="8.7265625" style="406"/>
    <col min="8961" max="8961" width="5.26953125" style="406" customWidth="1"/>
    <col min="8962" max="8962" width="56.81640625" style="406" customWidth="1"/>
    <col min="8963" max="8964" width="11.81640625" style="406" customWidth="1"/>
    <col min="8965" max="8966" width="12.453125" style="406" customWidth="1"/>
    <col min="8967" max="8967" width="33.54296875" style="406" customWidth="1"/>
    <col min="8968" max="8968" width="13.7265625" style="406" customWidth="1"/>
    <col min="8969" max="8969" width="11.26953125" style="406" customWidth="1"/>
    <col min="8970" max="8970" width="10" style="406" customWidth="1"/>
    <col min="8971" max="8971" width="9.1796875" style="406" customWidth="1"/>
    <col min="8972" max="9216" width="8.7265625" style="406"/>
    <col min="9217" max="9217" width="5.26953125" style="406" customWidth="1"/>
    <col min="9218" max="9218" width="56.81640625" style="406" customWidth="1"/>
    <col min="9219" max="9220" width="11.81640625" style="406" customWidth="1"/>
    <col min="9221" max="9222" width="12.453125" style="406" customWidth="1"/>
    <col min="9223" max="9223" width="33.54296875" style="406" customWidth="1"/>
    <col min="9224" max="9224" width="13.7265625" style="406" customWidth="1"/>
    <col min="9225" max="9225" width="11.26953125" style="406" customWidth="1"/>
    <col min="9226" max="9226" width="10" style="406" customWidth="1"/>
    <col min="9227" max="9227" width="9.1796875" style="406" customWidth="1"/>
    <col min="9228" max="9472" width="8.7265625" style="406"/>
    <col min="9473" max="9473" width="5.26953125" style="406" customWidth="1"/>
    <col min="9474" max="9474" width="56.81640625" style="406" customWidth="1"/>
    <col min="9475" max="9476" width="11.81640625" style="406" customWidth="1"/>
    <col min="9477" max="9478" width="12.453125" style="406" customWidth="1"/>
    <col min="9479" max="9479" width="33.54296875" style="406" customWidth="1"/>
    <col min="9480" max="9480" width="13.7265625" style="406" customWidth="1"/>
    <col min="9481" max="9481" width="11.26953125" style="406" customWidth="1"/>
    <col min="9482" max="9482" width="10" style="406" customWidth="1"/>
    <col min="9483" max="9483" width="9.1796875" style="406" customWidth="1"/>
    <col min="9484" max="9728" width="8.7265625" style="406"/>
    <col min="9729" max="9729" width="5.26953125" style="406" customWidth="1"/>
    <col min="9730" max="9730" width="56.81640625" style="406" customWidth="1"/>
    <col min="9731" max="9732" width="11.81640625" style="406" customWidth="1"/>
    <col min="9733" max="9734" width="12.453125" style="406" customWidth="1"/>
    <col min="9735" max="9735" width="33.54296875" style="406" customWidth="1"/>
    <col min="9736" max="9736" width="13.7265625" style="406" customWidth="1"/>
    <col min="9737" max="9737" width="11.26953125" style="406" customWidth="1"/>
    <col min="9738" max="9738" width="10" style="406" customWidth="1"/>
    <col min="9739" max="9739" width="9.1796875" style="406" customWidth="1"/>
    <col min="9740" max="9984" width="8.7265625" style="406"/>
    <col min="9985" max="9985" width="5.26953125" style="406" customWidth="1"/>
    <col min="9986" max="9986" width="56.81640625" style="406" customWidth="1"/>
    <col min="9987" max="9988" width="11.81640625" style="406" customWidth="1"/>
    <col min="9989" max="9990" width="12.453125" style="406" customWidth="1"/>
    <col min="9991" max="9991" width="33.54296875" style="406" customWidth="1"/>
    <col min="9992" max="9992" width="13.7265625" style="406" customWidth="1"/>
    <col min="9993" max="9993" width="11.26953125" style="406" customWidth="1"/>
    <col min="9994" max="9994" width="10" style="406" customWidth="1"/>
    <col min="9995" max="9995" width="9.1796875" style="406" customWidth="1"/>
    <col min="9996" max="10240" width="8.7265625" style="406"/>
    <col min="10241" max="10241" width="5.26953125" style="406" customWidth="1"/>
    <col min="10242" max="10242" width="56.81640625" style="406" customWidth="1"/>
    <col min="10243" max="10244" width="11.81640625" style="406" customWidth="1"/>
    <col min="10245" max="10246" width="12.453125" style="406" customWidth="1"/>
    <col min="10247" max="10247" width="33.54296875" style="406" customWidth="1"/>
    <col min="10248" max="10248" width="13.7265625" style="406" customWidth="1"/>
    <col min="10249" max="10249" width="11.26953125" style="406" customWidth="1"/>
    <col min="10250" max="10250" width="10" style="406" customWidth="1"/>
    <col min="10251" max="10251" width="9.1796875" style="406" customWidth="1"/>
    <col min="10252" max="10496" width="8.7265625" style="406"/>
    <col min="10497" max="10497" width="5.26953125" style="406" customWidth="1"/>
    <col min="10498" max="10498" width="56.81640625" style="406" customWidth="1"/>
    <col min="10499" max="10500" width="11.81640625" style="406" customWidth="1"/>
    <col min="10501" max="10502" width="12.453125" style="406" customWidth="1"/>
    <col min="10503" max="10503" width="33.54296875" style="406" customWidth="1"/>
    <col min="10504" max="10504" width="13.7265625" style="406" customWidth="1"/>
    <col min="10505" max="10505" width="11.26953125" style="406" customWidth="1"/>
    <col min="10506" max="10506" width="10" style="406" customWidth="1"/>
    <col min="10507" max="10507" width="9.1796875" style="406" customWidth="1"/>
    <col min="10508" max="10752" width="8.7265625" style="406"/>
    <col min="10753" max="10753" width="5.26953125" style="406" customWidth="1"/>
    <col min="10754" max="10754" width="56.81640625" style="406" customWidth="1"/>
    <col min="10755" max="10756" width="11.81640625" style="406" customWidth="1"/>
    <col min="10757" max="10758" width="12.453125" style="406" customWidth="1"/>
    <col min="10759" max="10759" width="33.54296875" style="406" customWidth="1"/>
    <col min="10760" max="10760" width="13.7265625" style="406" customWidth="1"/>
    <col min="10761" max="10761" width="11.26953125" style="406" customWidth="1"/>
    <col min="10762" max="10762" width="10" style="406" customWidth="1"/>
    <col min="10763" max="10763" width="9.1796875" style="406" customWidth="1"/>
    <col min="10764" max="11008" width="8.7265625" style="406"/>
    <col min="11009" max="11009" width="5.26953125" style="406" customWidth="1"/>
    <col min="11010" max="11010" width="56.81640625" style="406" customWidth="1"/>
    <col min="11011" max="11012" width="11.81640625" style="406" customWidth="1"/>
    <col min="11013" max="11014" width="12.453125" style="406" customWidth="1"/>
    <col min="11015" max="11015" width="33.54296875" style="406" customWidth="1"/>
    <col min="11016" max="11016" width="13.7265625" style="406" customWidth="1"/>
    <col min="11017" max="11017" width="11.26953125" style="406" customWidth="1"/>
    <col min="11018" max="11018" width="10" style="406" customWidth="1"/>
    <col min="11019" max="11019" width="9.1796875" style="406" customWidth="1"/>
    <col min="11020" max="11264" width="8.7265625" style="406"/>
    <col min="11265" max="11265" width="5.26953125" style="406" customWidth="1"/>
    <col min="11266" max="11266" width="56.81640625" style="406" customWidth="1"/>
    <col min="11267" max="11268" width="11.81640625" style="406" customWidth="1"/>
    <col min="11269" max="11270" width="12.453125" style="406" customWidth="1"/>
    <col min="11271" max="11271" width="33.54296875" style="406" customWidth="1"/>
    <col min="11272" max="11272" width="13.7265625" style="406" customWidth="1"/>
    <col min="11273" max="11273" width="11.26953125" style="406" customWidth="1"/>
    <col min="11274" max="11274" width="10" style="406" customWidth="1"/>
    <col min="11275" max="11275" width="9.1796875" style="406" customWidth="1"/>
    <col min="11276" max="11520" width="8.7265625" style="406"/>
    <col min="11521" max="11521" width="5.26953125" style="406" customWidth="1"/>
    <col min="11522" max="11522" width="56.81640625" style="406" customWidth="1"/>
    <col min="11523" max="11524" width="11.81640625" style="406" customWidth="1"/>
    <col min="11525" max="11526" width="12.453125" style="406" customWidth="1"/>
    <col min="11527" max="11527" width="33.54296875" style="406" customWidth="1"/>
    <col min="11528" max="11528" width="13.7265625" style="406" customWidth="1"/>
    <col min="11529" max="11529" width="11.26953125" style="406" customWidth="1"/>
    <col min="11530" max="11530" width="10" style="406" customWidth="1"/>
    <col min="11531" max="11531" width="9.1796875" style="406" customWidth="1"/>
    <col min="11532" max="11776" width="8.7265625" style="406"/>
    <col min="11777" max="11777" width="5.26953125" style="406" customWidth="1"/>
    <col min="11778" max="11778" width="56.81640625" style="406" customWidth="1"/>
    <col min="11779" max="11780" width="11.81640625" style="406" customWidth="1"/>
    <col min="11781" max="11782" width="12.453125" style="406" customWidth="1"/>
    <col min="11783" max="11783" width="33.54296875" style="406" customWidth="1"/>
    <col min="11784" max="11784" width="13.7265625" style="406" customWidth="1"/>
    <col min="11785" max="11785" width="11.26953125" style="406" customWidth="1"/>
    <col min="11786" max="11786" width="10" style="406" customWidth="1"/>
    <col min="11787" max="11787" width="9.1796875" style="406" customWidth="1"/>
    <col min="11788" max="12032" width="8.7265625" style="406"/>
    <col min="12033" max="12033" width="5.26953125" style="406" customWidth="1"/>
    <col min="12034" max="12034" width="56.81640625" style="406" customWidth="1"/>
    <col min="12035" max="12036" width="11.81640625" style="406" customWidth="1"/>
    <col min="12037" max="12038" width="12.453125" style="406" customWidth="1"/>
    <col min="12039" max="12039" width="33.54296875" style="406" customWidth="1"/>
    <col min="12040" max="12040" width="13.7265625" style="406" customWidth="1"/>
    <col min="12041" max="12041" width="11.26953125" style="406" customWidth="1"/>
    <col min="12042" max="12042" width="10" style="406" customWidth="1"/>
    <col min="12043" max="12043" width="9.1796875" style="406" customWidth="1"/>
    <col min="12044" max="12288" width="8.7265625" style="406"/>
    <col min="12289" max="12289" width="5.26953125" style="406" customWidth="1"/>
    <col min="12290" max="12290" width="56.81640625" style="406" customWidth="1"/>
    <col min="12291" max="12292" width="11.81640625" style="406" customWidth="1"/>
    <col min="12293" max="12294" width="12.453125" style="406" customWidth="1"/>
    <col min="12295" max="12295" width="33.54296875" style="406" customWidth="1"/>
    <col min="12296" max="12296" width="13.7265625" style="406" customWidth="1"/>
    <col min="12297" max="12297" width="11.26953125" style="406" customWidth="1"/>
    <col min="12298" max="12298" width="10" style="406" customWidth="1"/>
    <col min="12299" max="12299" width="9.1796875" style="406" customWidth="1"/>
    <col min="12300" max="12544" width="8.7265625" style="406"/>
    <col min="12545" max="12545" width="5.26953125" style="406" customWidth="1"/>
    <col min="12546" max="12546" width="56.81640625" style="406" customWidth="1"/>
    <col min="12547" max="12548" width="11.81640625" style="406" customWidth="1"/>
    <col min="12549" max="12550" width="12.453125" style="406" customWidth="1"/>
    <col min="12551" max="12551" width="33.54296875" style="406" customWidth="1"/>
    <col min="12552" max="12552" width="13.7265625" style="406" customWidth="1"/>
    <col min="12553" max="12553" width="11.26953125" style="406" customWidth="1"/>
    <col min="12554" max="12554" width="10" style="406" customWidth="1"/>
    <col min="12555" max="12555" width="9.1796875" style="406" customWidth="1"/>
    <col min="12556" max="12800" width="8.7265625" style="406"/>
    <col min="12801" max="12801" width="5.26953125" style="406" customWidth="1"/>
    <col min="12802" max="12802" width="56.81640625" style="406" customWidth="1"/>
    <col min="12803" max="12804" width="11.81640625" style="406" customWidth="1"/>
    <col min="12805" max="12806" width="12.453125" style="406" customWidth="1"/>
    <col min="12807" max="12807" width="33.54296875" style="406" customWidth="1"/>
    <col min="12808" max="12808" width="13.7265625" style="406" customWidth="1"/>
    <col min="12809" max="12809" width="11.26953125" style="406" customWidth="1"/>
    <col min="12810" max="12810" width="10" style="406" customWidth="1"/>
    <col min="12811" max="12811" width="9.1796875" style="406" customWidth="1"/>
    <col min="12812" max="13056" width="8.7265625" style="406"/>
    <col min="13057" max="13057" width="5.26953125" style="406" customWidth="1"/>
    <col min="13058" max="13058" width="56.81640625" style="406" customWidth="1"/>
    <col min="13059" max="13060" width="11.81640625" style="406" customWidth="1"/>
    <col min="13061" max="13062" width="12.453125" style="406" customWidth="1"/>
    <col min="13063" max="13063" width="33.54296875" style="406" customWidth="1"/>
    <col min="13064" max="13064" width="13.7265625" style="406" customWidth="1"/>
    <col min="13065" max="13065" width="11.26953125" style="406" customWidth="1"/>
    <col min="13066" max="13066" width="10" style="406" customWidth="1"/>
    <col min="13067" max="13067" width="9.1796875" style="406" customWidth="1"/>
    <col min="13068" max="13312" width="8.7265625" style="406"/>
    <col min="13313" max="13313" width="5.26953125" style="406" customWidth="1"/>
    <col min="13314" max="13314" width="56.81640625" style="406" customWidth="1"/>
    <col min="13315" max="13316" width="11.81640625" style="406" customWidth="1"/>
    <col min="13317" max="13318" width="12.453125" style="406" customWidth="1"/>
    <col min="13319" max="13319" width="33.54296875" style="406" customWidth="1"/>
    <col min="13320" max="13320" width="13.7265625" style="406" customWidth="1"/>
    <col min="13321" max="13321" width="11.26953125" style="406" customWidth="1"/>
    <col min="13322" max="13322" width="10" style="406" customWidth="1"/>
    <col min="13323" max="13323" width="9.1796875" style="406" customWidth="1"/>
    <col min="13324" max="13568" width="8.7265625" style="406"/>
    <col min="13569" max="13569" width="5.26953125" style="406" customWidth="1"/>
    <col min="13570" max="13570" width="56.81640625" style="406" customWidth="1"/>
    <col min="13571" max="13572" width="11.81640625" style="406" customWidth="1"/>
    <col min="13573" max="13574" width="12.453125" style="406" customWidth="1"/>
    <col min="13575" max="13575" width="33.54296875" style="406" customWidth="1"/>
    <col min="13576" max="13576" width="13.7265625" style="406" customWidth="1"/>
    <col min="13577" max="13577" width="11.26953125" style="406" customWidth="1"/>
    <col min="13578" max="13578" width="10" style="406" customWidth="1"/>
    <col min="13579" max="13579" width="9.1796875" style="406" customWidth="1"/>
    <col min="13580" max="13824" width="8.7265625" style="406"/>
    <col min="13825" max="13825" width="5.26953125" style="406" customWidth="1"/>
    <col min="13826" max="13826" width="56.81640625" style="406" customWidth="1"/>
    <col min="13827" max="13828" width="11.81640625" style="406" customWidth="1"/>
    <col min="13829" max="13830" width="12.453125" style="406" customWidth="1"/>
    <col min="13831" max="13831" width="33.54296875" style="406" customWidth="1"/>
    <col min="13832" max="13832" width="13.7265625" style="406" customWidth="1"/>
    <col min="13833" max="13833" width="11.26953125" style="406" customWidth="1"/>
    <col min="13834" max="13834" width="10" style="406" customWidth="1"/>
    <col min="13835" max="13835" width="9.1796875" style="406" customWidth="1"/>
    <col min="13836" max="14080" width="8.7265625" style="406"/>
    <col min="14081" max="14081" width="5.26953125" style="406" customWidth="1"/>
    <col min="14082" max="14082" width="56.81640625" style="406" customWidth="1"/>
    <col min="14083" max="14084" width="11.81640625" style="406" customWidth="1"/>
    <col min="14085" max="14086" width="12.453125" style="406" customWidth="1"/>
    <col min="14087" max="14087" width="33.54296875" style="406" customWidth="1"/>
    <col min="14088" max="14088" width="13.7265625" style="406" customWidth="1"/>
    <col min="14089" max="14089" width="11.26953125" style="406" customWidth="1"/>
    <col min="14090" max="14090" width="10" style="406" customWidth="1"/>
    <col min="14091" max="14091" width="9.1796875" style="406" customWidth="1"/>
    <col min="14092" max="14336" width="8.7265625" style="406"/>
    <col min="14337" max="14337" width="5.26953125" style="406" customWidth="1"/>
    <col min="14338" max="14338" width="56.81640625" style="406" customWidth="1"/>
    <col min="14339" max="14340" width="11.81640625" style="406" customWidth="1"/>
    <col min="14341" max="14342" width="12.453125" style="406" customWidth="1"/>
    <col min="14343" max="14343" width="33.54296875" style="406" customWidth="1"/>
    <col min="14344" max="14344" width="13.7265625" style="406" customWidth="1"/>
    <col min="14345" max="14345" width="11.26953125" style="406" customWidth="1"/>
    <col min="14346" max="14346" width="10" style="406" customWidth="1"/>
    <col min="14347" max="14347" width="9.1796875" style="406" customWidth="1"/>
    <col min="14348" max="14592" width="8.7265625" style="406"/>
    <col min="14593" max="14593" width="5.26953125" style="406" customWidth="1"/>
    <col min="14594" max="14594" width="56.81640625" style="406" customWidth="1"/>
    <col min="14595" max="14596" width="11.81640625" style="406" customWidth="1"/>
    <col min="14597" max="14598" width="12.453125" style="406" customWidth="1"/>
    <col min="14599" max="14599" width="33.54296875" style="406" customWidth="1"/>
    <col min="14600" max="14600" width="13.7265625" style="406" customWidth="1"/>
    <col min="14601" max="14601" width="11.26953125" style="406" customWidth="1"/>
    <col min="14602" max="14602" width="10" style="406" customWidth="1"/>
    <col min="14603" max="14603" width="9.1796875" style="406" customWidth="1"/>
    <col min="14604" max="14848" width="8.7265625" style="406"/>
    <col min="14849" max="14849" width="5.26953125" style="406" customWidth="1"/>
    <col min="14850" max="14850" width="56.81640625" style="406" customWidth="1"/>
    <col min="14851" max="14852" width="11.81640625" style="406" customWidth="1"/>
    <col min="14853" max="14854" width="12.453125" style="406" customWidth="1"/>
    <col min="14855" max="14855" width="33.54296875" style="406" customWidth="1"/>
    <col min="14856" max="14856" width="13.7265625" style="406" customWidth="1"/>
    <col min="14857" max="14857" width="11.26953125" style="406" customWidth="1"/>
    <col min="14858" max="14858" width="10" style="406" customWidth="1"/>
    <col min="14859" max="14859" width="9.1796875" style="406" customWidth="1"/>
    <col min="14860" max="15104" width="8.7265625" style="406"/>
    <col min="15105" max="15105" width="5.26953125" style="406" customWidth="1"/>
    <col min="15106" max="15106" width="56.81640625" style="406" customWidth="1"/>
    <col min="15107" max="15108" width="11.81640625" style="406" customWidth="1"/>
    <col min="15109" max="15110" width="12.453125" style="406" customWidth="1"/>
    <col min="15111" max="15111" width="33.54296875" style="406" customWidth="1"/>
    <col min="15112" max="15112" width="13.7265625" style="406" customWidth="1"/>
    <col min="15113" max="15113" width="11.26953125" style="406" customWidth="1"/>
    <col min="15114" max="15114" width="10" style="406" customWidth="1"/>
    <col min="15115" max="15115" width="9.1796875" style="406" customWidth="1"/>
    <col min="15116" max="15360" width="8.7265625" style="406"/>
    <col min="15361" max="15361" width="5.26953125" style="406" customWidth="1"/>
    <col min="15362" max="15362" width="56.81640625" style="406" customWidth="1"/>
    <col min="15363" max="15364" width="11.81640625" style="406" customWidth="1"/>
    <col min="15365" max="15366" width="12.453125" style="406" customWidth="1"/>
    <col min="15367" max="15367" width="33.54296875" style="406" customWidth="1"/>
    <col min="15368" max="15368" width="13.7265625" style="406" customWidth="1"/>
    <col min="15369" max="15369" width="11.26953125" style="406" customWidth="1"/>
    <col min="15370" max="15370" width="10" style="406" customWidth="1"/>
    <col min="15371" max="15371" width="9.1796875" style="406" customWidth="1"/>
    <col min="15372" max="15616" width="8.7265625" style="406"/>
    <col min="15617" max="15617" width="5.26953125" style="406" customWidth="1"/>
    <col min="15618" max="15618" width="56.81640625" style="406" customWidth="1"/>
    <col min="15619" max="15620" width="11.81640625" style="406" customWidth="1"/>
    <col min="15621" max="15622" width="12.453125" style="406" customWidth="1"/>
    <col min="15623" max="15623" width="33.54296875" style="406" customWidth="1"/>
    <col min="15624" max="15624" width="13.7265625" style="406" customWidth="1"/>
    <col min="15625" max="15625" width="11.26953125" style="406" customWidth="1"/>
    <col min="15626" max="15626" width="10" style="406" customWidth="1"/>
    <col min="15627" max="15627" width="9.1796875" style="406" customWidth="1"/>
    <col min="15628" max="15872" width="8.7265625" style="406"/>
    <col min="15873" max="15873" width="5.26953125" style="406" customWidth="1"/>
    <col min="15874" max="15874" width="56.81640625" style="406" customWidth="1"/>
    <col min="15875" max="15876" width="11.81640625" style="406" customWidth="1"/>
    <col min="15877" max="15878" width="12.453125" style="406" customWidth="1"/>
    <col min="15879" max="15879" width="33.54296875" style="406" customWidth="1"/>
    <col min="15880" max="15880" width="13.7265625" style="406" customWidth="1"/>
    <col min="15881" max="15881" width="11.26953125" style="406" customWidth="1"/>
    <col min="15882" max="15882" width="10" style="406" customWidth="1"/>
    <col min="15883" max="15883" width="9.1796875" style="406" customWidth="1"/>
    <col min="15884" max="16128" width="8.7265625" style="406"/>
    <col min="16129" max="16129" width="5.26953125" style="406" customWidth="1"/>
    <col min="16130" max="16130" width="56.81640625" style="406" customWidth="1"/>
    <col min="16131" max="16132" width="11.81640625" style="406" customWidth="1"/>
    <col min="16133" max="16134" width="12.453125" style="406" customWidth="1"/>
    <col min="16135" max="16135" width="33.54296875" style="406" customWidth="1"/>
    <col min="16136" max="16136" width="13.7265625" style="406" customWidth="1"/>
    <col min="16137" max="16137" width="11.26953125" style="406" customWidth="1"/>
    <col min="16138" max="16138" width="10" style="406" customWidth="1"/>
    <col min="16139" max="16139" width="9.1796875" style="406" customWidth="1"/>
    <col min="16140" max="16384" width="8.7265625" style="406"/>
  </cols>
  <sheetData>
    <row r="1" spans="1:11" ht="13" x14ac:dyDescent="0.3">
      <c r="A1" s="1039" t="s">
        <v>889</v>
      </c>
      <c r="B1" s="1039"/>
      <c r="C1" s="1039"/>
      <c r="D1" s="1039"/>
    </row>
    <row r="2" spans="1:11" ht="13" x14ac:dyDescent="0.3">
      <c r="A2" s="1039" t="s">
        <v>890</v>
      </c>
      <c r="B2" s="1039"/>
      <c r="C2" s="1039"/>
      <c r="D2" s="1039"/>
    </row>
    <row r="3" spans="1:11" ht="13" x14ac:dyDescent="0.3">
      <c r="A3" s="1039" t="s">
        <v>909</v>
      </c>
      <c r="B3" s="1039"/>
      <c r="C3" s="1039"/>
      <c r="D3" s="1039"/>
    </row>
    <row r="4" spans="1:11" ht="13" x14ac:dyDescent="0.3">
      <c r="A4" s="1040" t="s">
        <v>910</v>
      </c>
      <c r="B4" s="1040"/>
      <c r="C4" s="1040"/>
      <c r="D4" s="1040"/>
    </row>
    <row r="5" spans="1:11" ht="19.5" customHeight="1" x14ac:dyDescent="0.3">
      <c r="C5" s="417"/>
      <c r="D5" s="418" t="s">
        <v>923</v>
      </c>
    </row>
    <row r="6" spans="1:11" s="407" customFormat="1" ht="19.5" customHeight="1" x14ac:dyDescent="0.3">
      <c r="A6" s="419" t="s">
        <v>911</v>
      </c>
      <c r="B6" s="419" t="s">
        <v>912</v>
      </c>
      <c r="C6" s="420"/>
      <c r="D6" s="421" t="s">
        <v>913</v>
      </c>
    </row>
    <row r="7" spans="1:11" x14ac:dyDescent="0.25">
      <c r="A7" s="422"/>
      <c r="B7" s="423"/>
      <c r="C7" s="424"/>
      <c r="D7" s="425"/>
      <c r="F7" s="407"/>
      <c r="G7" s="407"/>
      <c r="H7" s="407"/>
      <c r="I7" s="407"/>
    </row>
    <row r="8" spans="1:11" ht="14.5" x14ac:dyDescent="0.35">
      <c r="A8" s="422">
        <v>1</v>
      </c>
      <c r="B8" s="426" t="s">
        <v>816</v>
      </c>
      <c r="C8" s="426"/>
      <c r="D8" s="426">
        <v>12</v>
      </c>
      <c r="E8" s="428"/>
      <c r="F8" s="407"/>
      <c r="G8" s="407"/>
      <c r="H8" s="429">
        <v>1200</v>
      </c>
      <c r="I8" s="407"/>
    </row>
    <row r="9" spans="1:11" ht="14.5" x14ac:dyDescent="0.35">
      <c r="A9" s="422"/>
      <c r="B9" s="430"/>
      <c r="C9" s="426"/>
      <c r="D9" s="426">
        <v>0</v>
      </c>
      <c r="E9" s="428"/>
      <c r="F9" s="407"/>
      <c r="G9" s="407"/>
      <c r="H9" s="431"/>
      <c r="I9" s="407"/>
    </row>
    <row r="10" spans="1:11" ht="14.5" x14ac:dyDescent="0.35">
      <c r="A10" s="422">
        <v>2</v>
      </c>
      <c r="B10" s="430" t="s">
        <v>60</v>
      </c>
      <c r="C10" s="426"/>
      <c r="D10" s="426">
        <v>35</v>
      </c>
      <c r="E10" s="428"/>
      <c r="F10" s="407"/>
      <c r="G10" s="407"/>
      <c r="H10" s="429">
        <v>3500</v>
      </c>
      <c r="I10" s="407"/>
    </row>
    <row r="11" spans="1:11" ht="14.5" x14ac:dyDescent="0.35">
      <c r="A11" s="422"/>
      <c r="B11" s="432"/>
      <c r="C11" s="426"/>
      <c r="D11" s="426">
        <v>0</v>
      </c>
      <c r="E11" s="428"/>
      <c r="F11" s="407"/>
      <c r="G11" s="407"/>
      <c r="H11" s="431"/>
      <c r="I11" s="407"/>
    </row>
    <row r="12" spans="1:11" ht="14.5" x14ac:dyDescent="0.35">
      <c r="A12" s="422">
        <v>3</v>
      </c>
      <c r="B12" s="433" t="s">
        <v>817</v>
      </c>
      <c r="C12" s="426"/>
      <c r="D12" s="426">
        <v>145</v>
      </c>
      <c r="E12" s="428"/>
      <c r="F12" s="407"/>
      <c r="G12" s="407"/>
      <c r="H12" s="431">
        <f>15800-1260-40</f>
        <v>14500</v>
      </c>
      <c r="I12" s="407"/>
      <c r="J12" s="407"/>
      <c r="K12" s="407"/>
    </row>
    <row r="13" spans="1:11" ht="14.5" x14ac:dyDescent="0.35">
      <c r="A13" s="434"/>
      <c r="B13" s="432"/>
      <c r="C13" s="426"/>
      <c r="D13" s="426">
        <v>0</v>
      </c>
      <c r="E13" s="428"/>
      <c r="F13" s="407"/>
      <c r="G13" s="407"/>
      <c r="H13" s="431"/>
      <c r="I13" s="407"/>
      <c r="J13" s="407"/>
      <c r="K13" s="407"/>
    </row>
    <row r="14" spans="1:11" ht="14.5" x14ac:dyDescent="0.35">
      <c r="A14" s="422">
        <v>4</v>
      </c>
      <c r="B14" s="433" t="s">
        <v>818</v>
      </c>
      <c r="C14" s="426"/>
      <c r="D14" s="426">
        <v>47</v>
      </c>
      <c r="E14" s="428"/>
      <c r="F14" s="407"/>
      <c r="G14" s="407"/>
      <c r="H14" s="431">
        <f>5000-300</f>
        <v>4700</v>
      </c>
      <c r="I14" s="407"/>
      <c r="J14" s="407"/>
      <c r="K14" s="407"/>
    </row>
    <row r="15" spans="1:11" ht="14.5" x14ac:dyDescent="0.35">
      <c r="A15" s="422"/>
      <c r="B15" s="432"/>
      <c r="C15" s="426"/>
      <c r="D15" s="426">
        <v>0</v>
      </c>
      <c r="E15" s="428"/>
      <c r="F15" s="435"/>
      <c r="G15" s="407"/>
      <c r="H15" s="431"/>
      <c r="I15" s="407"/>
      <c r="J15" s="407"/>
      <c r="K15" s="407"/>
    </row>
    <row r="16" spans="1:11" ht="14.5" x14ac:dyDescent="0.35">
      <c r="A16" s="422">
        <v>5</v>
      </c>
      <c r="B16" s="426" t="s">
        <v>819</v>
      </c>
      <c r="C16" s="426"/>
      <c r="D16" s="426">
        <v>16</v>
      </c>
      <c r="E16" s="428"/>
      <c r="F16" s="435"/>
      <c r="G16" s="407"/>
      <c r="H16" s="429">
        <v>1100</v>
      </c>
      <c r="I16" s="407"/>
      <c r="J16" s="407"/>
      <c r="K16" s="407"/>
    </row>
    <row r="17" spans="1:11" ht="14.5" x14ac:dyDescent="0.35">
      <c r="A17" s="422"/>
      <c r="B17" s="432"/>
      <c r="C17" s="426"/>
      <c r="D17" s="426">
        <v>0</v>
      </c>
      <c r="E17" s="428"/>
      <c r="F17" s="435"/>
      <c r="G17" s="407"/>
      <c r="H17" s="431"/>
      <c r="I17" s="407"/>
      <c r="J17" s="407"/>
      <c r="K17" s="407"/>
    </row>
    <row r="18" spans="1:11" ht="14.5" x14ac:dyDescent="0.35">
      <c r="A18" s="422">
        <v>6</v>
      </c>
      <c r="B18" s="426" t="s">
        <v>820</v>
      </c>
      <c r="C18" s="426"/>
      <c r="D18" s="426">
        <v>16</v>
      </c>
      <c r="E18" s="428"/>
      <c r="F18" s="407"/>
      <c r="G18" s="407"/>
      <c r="H18" s="431">
        <v>1600</v>
      </c>
      <c r="I18" s="407"/>
      <c r="J18" s="407"/>
      <c r="K18" s="407"/>
    </row>
    <row r="19" spans="1:11" ht="14.5" x14ac:dyDescent="0.35">
      <c r="A19" s="422"/>
      <c r="B19" s="436"/>
      <c r="C19" s="426"/>
      <c r="D19" s="426">
        <v>0</v>
      </c>
      <c r="E19" s="428"/>
      <c r="F19" s="407"/>
      <c r="G19" s="407"/>
      <c r="H19" s="431"/>
      <c r="I19" s="407"/>
      <c r="J19" s="407"/>
      <c r="K19" s="407"/>
    </row>
    <row r="20" spans="1:11" ht="14.5" x14ac:dyDescent="0.35">
      <c r="A20" s="422">
        <v>7</v>
      </c>
      <c r="B20" s="436" t="s">
        <v>821</v>
      </c>
      <c r="C20" s="426"/>
      <c r="D20" s="426">
        <v>3.5</v>
      </c>
      <c r="E20" s="428"/>
      <c r="F20" s="407"/>
      <c r="G20" s="407"/>
      <c r="H20" s="427">
        <v>650</v>
      </c>
      <c r="I20" s="407"/>
      <c r="J20" s="407"/>
      <c r="K20" s="407"/>
    </row>
    <row r="21" spans="1:11" ht="14.5" x14ac:dyDescent="0.35">
      <c r="A21" s="422"/>
      <c r="B21" s="436"/>
      <c r="C21" s="426"/>
      <c r="D21" s="426">
        <v>0</v>
      </c>
      <c r="E21" s="428"/>
      <c r="F21" s="407"/>
      <c r="G21" s="407"/>
      <c r="H21" s="431"/>
      <c r="I21" s="407"/>
      <c r="J21" s="407"/>
      <c r="K21" s="407"/>
    </row>
    <row r="22" spans="1:11" ht="14.5" x14ac:dyDescent="0.35">
      <c r="A22" s="422">
        <v>8</v>
      </c>
      <c r="B22" s="426" t="s">
        <v>914</v>
      </c>
      <c r="C22" s="426"/>
      <c r="D22" s="426">
        <v>8</v>
      </c>
      <c r="E22" s="428"/>
      <c r="F22" s="407"/>
      <c r="G22" s="407"/>
      <c r="H22" s="431">
        <v>800</v>
      </c>
      <c r="I22" s="407"/>
      <c r="J22" s="407"/>
      <c r="K22" s="407"/>
    </row>
    <row r="23" spans="1:11" ht="14.5" x14ac:dyDescent="0.35">
      <c r="A23" s="422"/>
      <c r="B23" s="436"/>
      <c r="C23" s="426"/>
      <c r="D23" s="426">
        <v>0</v>
      </c>
      <c r="E23" s="428"/>
      <c r="F23" s="407"/>
      <c r="G23" s="407"/>
      <c r="H23" s="431"/>
      <c r="I23" s="407"/>
      <c r="J23" s="407"/>
      <c r="K23" s="407"/>
    </row>
    <row r="24" spans="1:11" ht="14.5" x14ac:dyDescent="0.35">
      <c r="A24" s="422">
        <v>9</v>
      </c>
      <c r="B24" s="426" t="s">
        <v>822</v>
      </c>
      <c r="C24" s="426"/>
      <c r="D24" s="426">
        <v>10</v>
      </c>
      <c r="E24" s="428"/>
      <c r="F24" s="407"/>
      <c r="G24" s="407"/>
      <c r="H24" s="429">
        <v>1200</v>
      </c>
      <c r="I24" s="407"/>
      <c r="J24" s="407"/>
      <c r="K24" s="407"/>
    </row>
    <row r="25" spans="1:11" ht="14.5" x14ac:dyDescent="0.35">
      <c r="A25" s="422"/>
      <c r="B25" s="430"/>
      <c r="C25" s="426"/>
      <c r="D25" s="426">
        <v>0</v>
      </c>
      <c r="E25" s="428"/>
      <c r="F25" s="407"/>
      <c r="G25" s="407"/>
      <c r="H25" s="431"/>
      <c r="I25" s="407"/>
      <c r="J25" s="407"/>
      <c r="K25" s="407"/>
    </row>
    <row r="26" spans="1:11" ht="14.5" x14ac:dyDescent="0.35">
      <c r="A26" s="422">
        <v>10</v>
      </c>
      <c r="B26" s="430" t="s">
        <v>823</v>
      </c>
      <c r="C26" s="426"/>
      <c r="D26" s="426">
        <v>7.5</v>
      </c>
      <c r="E26" s="428"/>
      <c r="F26" s="407"/>
      <c r="G26" s="407"/>
      <c r="H26" s="429">
        <v>750</v>
      </c>
      <c r="I26" s="407"/>
      <c r="J26" s="407"/>
      <c r="K26" s="407"/>
    </row>
    <row r="27" spans="1:11" ht="14.5" x14ac:dyDescent="0.35">
      <c r="A27" s="422"/>
      <c r="B27" s="430"/>
      <c r="C27" s="426"/>
      <c r="D27" s="431"/>
      <c r="E27" s="428"/>
      <c r="F27" s="407"/>
      <c r="G27" s="407"/>
      <c r="H27" s="431"/>
      <c r="I27" s="407"/>
      <c r="J27" s="407"/>
      <c r="K27" s="407"/>
    </row>
    <row r="28" spans="1:11" ht="14.5" x14ac:dyDescent="0.35">
      <c r="A28" s="422"/>
      <c r="B28" s="437"/>
      <c r="C28" s="438"/>
      <c r="D28" s="439"/>
      <c r="E28" s="428"/>
      <c r="F28" s="407"/>
      <c r="G28" s="407"/>
      <c r="H28" s="439"/>
      <c r="I28" s="407"/>
      <c r="J28" s="407"/>
      <c r="K28" s="407"/>
    </row>
    <row r="29" spans="1:11" ht="14.5" x14ac:dyDescent="0.35">
      <c r="A29" s="440"/>
      <c r="B29" s="441" t="s">
        <v>104</v>
      </c>
      <c r="C29" s="442">
        <f>SUM(C8:C28)</f>
        <v>0</v>
      </c>
      <c r="D29" s="443">
        <f>SUM(D8:D28)</f>
        <v>300</v>
      </c>
      <c r="E29" s="428"/>
      <c r="F29" s="444"/>
      <c r="G29" s="407"/>
      <c r="H29" s="443">
        <f>SUM(H8:H28)</f>
        <v>30000</v>
      </c>
      <c r="I29" s="407"/>
      <c r="J29" s="407"/>
      <c r="K29" s="407"/>
    </row>
    <row r="30" spans="1:11" ht="14.5" x14ac:dyDescent="0.35">
      <c r="A30" s="407"/>
      <c r="B30" s="445"/>
      <c r="C30" s="446"/>
      <c r="D30" s="447"/>
      <c r="E30" s="428"/>
      <c r="F30" s="407"/>
      <c r="G30" s="407"/>
      <c r="H30" s="407"/>
      <c r="I30" s="407"/>
      <c r="J30" s="407"/>
      <c r="K30" s="407"/>
    </row>
    <row r="31" spans="1:11" ht="13" x14ac:dyDescent="0.3">
      <c r="A31" s="448" t="s">
        <v>915</v>
      </c>
      <c r="C31" s="449"/>
      <c r="G31" s="407"/>
      <c r="H31" s="407"/>
      <c r="I31" s="407"/>
      <c r="J31" s="407"/>
      <c r="K31" s="407"/>
    </row>
    <row r="32" spans="1:11" ht="13" x14ac:dyDescent="0.3">
      <c r="A32" s="450" t="s">
        <v>916</v>
      </c>
      <c r="B32" s="451" t="s">
        <v>917</v>
      </c>
      <c r="C32" s="452" t="s">
        <v>780</v>
      </c>
      <c r="D32" s="452" t="s">
        <v>918</v>
      </c>
      <c r="G32" s="407"/>
      <c r="H32" s="407"/>
      <c r="I32" s="407"/>
      <c r="J32" s="407"/>
      <c r="K32" s="407"/>
    </row>
    <row r="33" spans="1:11" ht="13" x14ac:dyDescent="0.3">
      <c r="A33" s="453"/>
      <c r="B33" s="454"/>
      <c r="C33" s="455" t="s">
        <v>924</v>
      </c>
      <c r="D33" s="456"/>
      <c r="G33" s="407"/>
      <c r="H33" s="407"/>
      <c r="I33" s="407"/>
      <c r="J33" s="407"/>
      <c r="K33" s="407"/>
    </row>
    <row r="34" spans="1:11" x14ac:dyDescent="0.25">
      <c r="A34" s="422"/>
      <c r="B34" s="436"/>
      <c r="C34" s="457"/>
      <c r="D34" s="458"/>
      <c r="G34" s="407"/>
      <c r="H34" s="407"/>
      <c r="I34" s="407"/>
      <c r="J34" s="407"/>
      <c r="K34" s="407"/>
    </row>
    <row r="35" spans="1:11" x14ac:dyDescent="0.25">
      <c r="A35" s="459">
        <v>1</v>
      </c>
      <c r="B35" s="460" t="s">
        <v>920</v>
      </c>
      <c r="C35" s="461">
        <v>100</v>
      </c>
      <c r="D35" s="462">
        <f>+C35/$C$39</f>
        <v>0.33333333333333331</v>
      </c>
      <c r="G35" s="407"/>
      <c r="H35" s="407"/>
      <c r="I35" s="407"/>
      <c r="J35" s="407"/>
      <c r="K35" s="407"/>
    </row>
    <row r="36" spans="1:11" ht="14.5" x14ac:dyDescent="0.35">
      <c r="A36" s="459"/>
      <c r="B36" s="460"/>
      <c r="C36" s="461"/>
      <c r="D36" s="463"/>
      <c r="F36" s="464"/>
      <c r="G36" s="407"/>
      <c r="H36" s="407"/>
      <c r="I36" s="407"/>
      <c r="J36" s="407"/>
      <c r="K36" s="407"/>
    </row>
    <row r="37" spans="1:11" ht="14.5" x14ac:dyDescent="0.35">
      <c r="A37" s="459">
        <v>3</v>
      </c>
      <c r="B37" s="465" t="s">
        <v>921</v>
      </c>
      <c r="C37" s="461">
        <f>+C39-C35</f>
        <v>200</v>
      </c>
      <c r="D37" s="462">
        <f>+C37/$C$39</f>
        <v>0.66666666666666663</v>
      </c>
      <c r="F37" s="464"/>
      <c r="G37" s="407"/>
      <c r="H37" s="407"/>
      <c r="I37" s="407"/>
      <c r="J37" s="407"/>
      <c r="K37" s="407"/>
    </row>
    <row r="38" spans="1:11" ht="14.5" x14ac:dyDescent="0.35">
      <c r="A38" s="422"/>
      <c r="B38" s="436"/>
      <c r="C38" s="466"/>
      <c r="D38" s="458"/>
      <c r="F38" s="464"/>
      <c r="G38" s="407"/>
      <c r="H38" s="407"/>
      <c r="I38" s="407"/>
      <c r="J38" s="407"/>
      <c r="K38" s="407"/>
    </row>
    <row r="39" spans="1:11" ht="14.5" x14ac:dyDescent="0.35">
      <c r="A39" s="440"/>
      <c r="B39" s="441" t="s">
        <v>922</v>
      </c>
      <c r="C39" s="442">
        <f>+D29</f>
        <v>300</v>
      </c>
      <c r="D39" s="467">
        <v>1</v>
      </c>
      <c r="F39" s="464"/>
      <c r="G39" s="407"/>
      <c r="H39" s="407"/>
      <c r="I39" s="407"/>
      <c r="J39" s="407"/>
      <c r="K39" s="407"/>
    </row>
    <row r="40" spans="1:11" x14ac:dyDescent="0.25">
      <c r="C40" s="449">
        <f>+C39-D29</f>
        <v>0</v>
      </c>
      <c r="G40" s="407"/>
      <c r="H40" s="407"/>
      <c r="I40" s="407"/>
      <c r="J40" s="407"/>
      <c r="K40" s="407"/>
    </row>
    <row r="43" spans="1:11" ht="13" x14ac:dyDescent="0.3">
      <c r="A43" s="445" t="s">
        <v>824</v>
      </c>
    </row>
    <row r="44" spans="1:11" ht="13" x14ac:dyDescent="0.3">
      <c r="A44" s="412"/>
      <c r="B44" s="409" t="s">
        <v>825</v>
      </c>
      <c r="C44" s="420" t="s">
        <v>826</v>
      </c>
      <c r="D44" s="420" t="s">
        <v>827</v>
      </c>
      <c r="E44" s="420" t="s">
        <v>828</v>
      </c>
    </row>
    <row r="45" spans="1:11" x14ac:dyDescent="0.25">
      <c r="A45" s="412">
        <v>1</v>
      </c>
      <c r="B45" s="409" t="s">
        <v>829</v>
      </c>
      <c r="C45" s="409">
        <f>2240*4</f>
        <v>8960</v>
      </c>
      <c r="D45" s="409">
        <v>17000</v>
      </c>
      <c r="E45" s="468">
        <f t="shared" ref="E45:E52" si="0">(C45*D45)/100000</f>
        <v>1523.2</v>
      </c>
    </row>
    <row r="46" spans="1:11" x14ac:dyDescent="0.25">
      <c r="A46" s="412">
        <v>2</v>
      </c>
      <c r="B46" s="409" t="s">
        <v>830</v>
      </c>
      <c r="C46" s="409">
        <f>960*4</f>
        <v>3840</v>
      </c>
      <c r="D46" s="409">
        <v>17000</v>
      </c>
      <c r="E46" s="468">
        <f t="shared" si="0"/>
        <v>652.79999999999995</v>
      </c>
    </row>
    <row r="47" spans="1:11" ht="25" x14ac:dyDescent="0.25">
      <c r="A47" s="412">
        <v>3</v>
      </c>
      <c r="B47" s="469" t="s">
        <v>831</v>
      </c>
      <c r="C47" s="409">
        <f>980+1716+640+640</f>
        <v>3976</v>
      </c>
      <c r="D47" s="409">
        <v>12000</v>
      </c>
      <c r="E47" s="468">
        <f t="shared" si="0"/>
        <v>477.12</v>
      </c>
    </row>
    <row r="48" spans="1:11" x14ac:dyDescent="0.25">
      <c r="A48" s="412">
        <v>4</v>
      </c>
      <c r="B48" s="409" t="s">
        <v>832</v>
      </c>
      <c r="C48" s="409">
        <f>25*32</f>
        <v>800</v>
      </c>
      <c r="D48" s="409">
        <v>12000</v>
      </c>
      <c r="E48" s="468">
        <f t="shared" si="0"/>
        <v>96</v>
      </c>
    </row>
    <row r="49" spans="1:5" x14ac:dyDescent="0.25">
      <c r="A49" s="412">
        <v>5</v>
      </c>
      <c r="B49" s="409" t="s">
        <v>833</v>
      </c>
      <c r="C49" s="409">
        <f>1815+748</f>
        <v>2563</v>
      </c>
      <c r="D49" s="409">
        <v>12000</v>
      </c>
      <c r="E49" s="468">
        <f t="shared" si="0"/>
        <v>307.56</v>
      </c>
    </row>
    <row r="50" spans="1:5" x14ac:dyDescent="0.25">
      <c r="A50" s="412">
        <v>6</v>
      </c>
      <c r="B50" s="409" t="s">
        <v>834</v>
      </c>
      <c r="C50" s="409">
        <v>1400</v>
      </c>
      <c r="D50" s="409">
        <v>12000</v>
      </c>
      <c r="E50" s="468">
        <f t="shared" si="0"/>
        <v>168</v>
      </c>
    </row>
    <row r="51" spans="1:5" x14ac:dyDescent="0.25">
      <c r="A51" s="412"/>
      <c r="B51" s="409" t="s">
        <v>835</v>
      </c>
      <c r="C51" s="409">
        <f>40*21</f>
        <v>840</v>
      </c>
      <c r="D51" s="409">
        <v>12000</v>
      </c>
      <c r="E51" s="468">
        <f t="shared" si="0"/>
        <v>100.8</v>
      </c>
    </row>
    <row r="52" spans="1:5" x14ac:dyDescent="0.25">
      <c r="A52" s="412">
        <v>7</v>
      </c>
      <c r="B52" s="409" t="s">
        <v>836</v>
      </c>
      <c r="C52" s="409">
        <v>500</v>
      </c>
      <c r="D52" s="409">
        <v>17000</v>
      </c>
      <c r="E52" s="468">
        <f t="shared" si="0"/>
        <v>85</v>
      </c>
    </row>
    <row r="53" spans="1:5" ht="13" x14ac:dyDescent="0.3">
      <c r="A53" s="409"/>
      <c r="B53" s="408" t="s">
        <v>449</v>
      </c>
      <c r="C53" s="409"/>
      <c r="D53" s="409"/>
      <c r="E53" s="470">
        <f>SUM(E45:E52)</f>
        <v>3410.48</v>
      </c>
    </row>
  </sheetData>
  <mergeCells count="4">
    <mergeCell ref="A1:D1"/>
    <mergeCell ref="A2:D2"/>
    <mergeCell ref="A3:D3"/>
    <mergeCell ref="A4:D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11AA-8578-4F5F-B0BF-33E16BC79651}">
  <sheetPr>
    <pageSetUpPr fitToPage="1"/>
  </sheetPr>
  <dimension ref="A1:IF39"/>
  <sheetViews>
    <sheetView workbookViewId="0">
      <selection activeCell="D14" sqref="A1:XFD1048576"/>
    </sheetView>
  </sheetViews>
  <sheetFormatPr defaultColWidth="9.1796875" defaultRowHeight="14" x14ac:dyDescent="0.3"/>
  <cols>
    <col min="1" max="1" width="43.1796875" style="649" customWidth="1"/>
    <col min="2" max="2" width="13.1796875" style="649" hidden="1" customWidth="1"/>
    <col min="3" max="13" width="13.1796875" style="649" customWidth="1"/>
    <col min="14" max="256" width="9.1796875" style="649"/>
    <col min="257" max="257" width="43.1796875" style="649" customWidth="1"/>
    <col min="258" max="258" width="0" style="649" hidden="1" customWidth="1"/>
    <col min="259" max="269" width="13.1796875" style="649" customWidth="1"/>
    <col min="270" max="512" width="9.1796875" style="649"/>
    <col min="513" max="513" width="43.1796875" style="649" customWidth="1"/>
    <col min="514" max="514" width="0" style="649" hidden="1" customWidth="1"/>
    <col min="515" max="525" width="13.1796875" style="649" customWidth="1"/>
    <col min="526" max="768" width="9.1796875" style="649"/>
    <col min="769" max="769" width="43.1796875" style="649" customWidth="1"/>
    <col min="770" max="770" width="0" style="649" hidden="1" customWidth="1"/>
    <col min="771" max="781" width="13.1796875" style="649" customWidth="1"/>
    <col min="782" max="1024" width="9.1796875" style="649"/>
    <col min="1025" max="1025" width="43.1796875" style="649" customWidth="1"/>
    <col min="1026" max="1026" width="0" style="649" hidden="1" customWidth="1"/>
    <col min="1027" max="1037" width="13.1796875" style="649" customWidth="1"/>
    <col min="1038" max="1280" width="9.1796875" style="649"/>
    <col min="1281" max="1281" width="43.1796875" style="649" customWidth="1"/>
    <col min="1282" max="1282" width="0" style="649" hidden="1" customWidth="1"/>
    <col min="1283" max="1293" width="13.1796875" style="649" customWidth="1"/>
    <col min="1294" max="1536" width="9.1796875" style="649"/>
    <col min="1537" max="1537" width="43.1796875" style="649" customWidth="1"/>
    <col min="1538" max="1538" width="0" style="649" hidden="1" customWidth="1"/>
    <col min="1539" max="1549" width="13.1796875" style="649" customWidth="1"/>
    <col min="1550" max="1792" width="9.1796875" style="649"/>
    <col min="1793" max="1793" width="43.1796875" style="649" customWidth="1"/>
    <col min="1794" max="1794" width="0" style="649" hidden="1" customWidth="1"/>
    <col min="1795" max="1805" width="13.1796875" style="649" customWidth="1"/>
    <col min="1806" max="2048" width="9.1796875" style="649"/>
    <col min="2049" max="2049" width="43.1796875" style="649" customWidth="1"/>
    <col min="2050" max="2050" width="0" style="649" hidden="1" customWidth="1"/>
    <col min="2051" max="2061" width="13.1796875" style="649" customWidth="1"/>
    <col min="2062" max="2304" width="9.1796875" style="649"/>
    <col min="2305" max="2305" width="43.1796875" style="649" customWidth="1"/>
    <col min="2306" max="2306" width="0" style="649" hidden="1" customWidth="1"/>
    <col min="2307" max="2317" width="13.1796875" style="649" customWidth="1"/>
    <col min="2318" max="2560" width="9.1796875" style="649"/>
    <col min="2561" max="2561" width="43.1796875" style="649" customWidth="1"/>
    <col min="2562" max="2562" width="0" style="649" hidden="1" customWidth="1"/>
    <col min="2563" max="2573" width="13.1796875" style="649" customWidth="1"/>
    <col min="2574" max="2816" width="9.1796875" style="649"/>
    <col min="2817" max="2817" width="43.1796875" style="649" customWidth="1"/>
    <col min="2818" max="2818" width="0" style="649" hidden="1" customWidth="1"/>
    <col min="2819" max="2829" width="13.1796875" style="649" customWidth="1"/>
    <col min="2830" max="3072" width="9.1796875" style="649"/>
    <col min="3073" max="3073" width="43.1796875" style="649" customWidth="1"/>
    <col min="3074" max="3074" width="0" style="649" hidden="1" customWidth="1"/>
    <col min="3075" max="3085" width="13.1796875" style="649" customWidth="1"/>
    <col min="3086" max="3328" width="9.1796875" style="649"/>
    <col min="3329" max="3329" width="43.1796875" style="649" customWidth="1"/>
    <col min="3330" max="3330" width="0" style="649" hidden="1" customWidth="1"/>
    <col min="3331" max="3341" width="13.1796875" style="649" customWidth="1"/>
    <col min="3342" max="3584" width="9.1796875" style="649"/>
    <col min="3585" max="3585" width="43.1796875" style="649" customWidth="1"/>
    <col min="3586" max="3586" width="0" style="649" hidden="1" customWidth="1"/>
    <col min="3587" max="3597" width="13.1796875" style="649" customWidth="1"/>
    <col min="3598" max="3840" width="9.1796875" style="649"/>
    <col min="3841" max="3841" width="43.1796875" style="649" customWidth="1"/>
    <col min="3842" max="3842" width="0" style="649" hidden="1" customWidth="1"/>
    <col min="3843" max="3853" width="13.1796875" style="649" customWidth="1"/>
    <col min="3854" max="4096" width="9.1796875" style="649"/>
    <col min="4097" max="4097" width="43.1796875" style="649" customWidth="1"/>
    <col min="4098" max="4098" width="0" style="649" hidden="1" customWidth="1"/>
    <col min="4099" max="4109" width="13.1796875" style="649" customWidth="1"/>
    <col min="4110" max="4352" width="9.1796875" style="649"/>
    <col min="4353" max="4353" width="43.1796875" style="649" customWidth="1"/>
    <col min="4354" max="4354" width="0" style="649" hidden="1" customWidth="1"/>
    <col min="4355" max="4365" width="13.1796875" style="649" customWidth="1"/>
    <col min="4366" max="4608" width="9.1796875" style="649"/>
    <col min="4609" max="4609" width="43.1796875" style="649" customWidth="1"/>
    <col min="4610" max="4610" width="0" style="649" hidden="1" customWidth="1"/>
    <col min="4611" max="4621" width="13.1796875" style="649" customWidth="1"/>
    <col min="4622" max="4864" width="9.1796875" style="649"/>
    <col min="4865" max="4865" width="43.1796875" style="649" customWidth="1"/>
    <col min="4866" max="4866" width="0" style="649" hidden="1" customWidth="1"/>
    <col min="4867" max="4877" width="13.1796875" style="649" customWidth="1"/>
    <col min="4878" max="5120" width="9.1796875" style="649"/>
    <col min="5121" max="5121" width="43.1796875" style="649" customWidth="1"/>
    <col min="5122" max="5122" width="0" style="649" hidden="1" customWidth="1"/>
    <col min="5123" max="5133" width="13.1796875" style="649" customWidth="1"/>
    <col min="5134" max="5376" width="9.1796875" style="649"/>
    <col min="5377" max="5377" width="43.1796875" style="649" customWidth="1"/>
    <col min="5378" max="5378" width="0" style="649" hidden="1" customWidth="1"/>
    <col min="5379" max="5389" width="13.1796875" style="649" customWidth="1"/>
    <col min="5390" max="5632" width="9.1796875" style="649"/>
    <col min="5633" max="5633" width="43.1796875" style="649" customWidth="1"/>
    <col min="5634" max="5634" width="0" style="649" hidden="1" customWidth="1"/>
    <col min="5635" max="5645" width="13.1796875" style="649" customWidth="1"/>
    <col min="5646" max="5888" width="9.1796875" style="649"/>
    <col min="5889" max="5889" width="43.1796875" style="649" customWidth="1"/>
    <col min="5890" max="5890" width="0" style="649" hidden="1" customWidth="1"/>
    <col min="5891" max="5901" width="13.1796875" style="649" customWidth="1"/>
    <col min="5902" max="6144" width="9.1796875" style="649"/>
    <col min="6145" max="6145" width="43.1796875" style="649" customWidth="1"/>
    <col min="6146" max="6146" width="0" style="649" hidden="1" customWidth="1"/>
    <col min="6147" max="6157" width="13.1796875" style="649" customWidth="1"/>
    <col min="6158" max="6400" width="9.1796875" style="649"/>
    <col min="6401" max="6401" width="43.1796875" style="649" customWidth="1"/>
    <col min="6402" max="6402" width="0" style="649" hidden="1" customWidth="1"/>
    <col min="6403" max="6413" width="13.1796875" style="649" customWidth="1"/>
    <col min="6414" max="6656" width="9.1796875" style="649"/>
    <col min="6657" max="6657" width="43.1796875" style="649" customWidth="1"/>
    <col min="6658" max="6658" width="0" style="649" hidden="1" customWidth="1"/>
    <col min="6659" max="6669" width="13.1796875" style="649" customWidth="1"/>
    <col min="6670" max="6912" width="9.1796875" style="649"/>
    <col min="6913" max="6913" width="43.1796875" style="649" customWidth="1"/>
    <col min="6914" max="6914" width="0" style="649" hidden="1" customWidth="1"/>
    <col min="6915" max="6925" width="13.1796875" style="649" customWidth="1"/>
    <col min="6926" max="7168" width="9.1796875" style="649"/>
    <col min="7169" max="7169" width="43.1796875" style="649" customWidth="1"/>
    <col min="7170" max="7170" width="0" style="649" hidden="1" customWidth="1"/>
    <col min="7171" max="7181" width="13.1796875" style="649" customWidth="1"/>
    <col min="7182" max="7424" width="9.1796875" style="649"/>
    <col min="7425" max="7425" width="43.1796875" style="649" customWidth="1"/>
    <col min="7426" max="7426" width="0" style="649" hidden="1" customWidth="1"/>
    <col min="7427" max="7437" width="13.1796875" style="649" customWidth="1"/>
    <col min="7438" max="7680" width="9.1796875" style="649"/>
    <col min="7681" max="7681" width="43.1796875" style="649" customWidth="1"/>
    <col min="7682" max="7682" width="0" style="649" hidden="1" customWidth="1"/>
    <col min="7683" max="7693" width="13.1796875" style="649" customWidth="1"/>
    <col min="7694" max="7936" width="9.1796875" style="649"/>
    <col min="7937" max="7937" width="43.1796875" style="649" customWidth="1"/>
    <col min="7938" max="7938" width="0" style="649" hidden="1" customWidth="1"/>
    <col min="7939" max="7949" width="13.1796875" style="649" customWidth="1"/>
    <col min="7950" max="8192" width="9.1796875" style="649"/>
    <col min="8193" max="8193" width="43.1796875" style="649" customWidth="1"/>
    <col min="8194" max="8194" width="0" style="649" hidden="1" customWidth="1"/>
    <col min="8195" max="8205" width="13.1796875" style="649" customWidth="1"/>
    <col min="8206" max="8448" width="9.1796875" style="649"/>
    <col min="8449" max="8449" width="43.1796875" style="649" customWidth="1"/>
    <col min="8450" max="8450" width="0" style="649" hidden="1" customWidth="1"/>
    <col min="8451" max="8461" width="13.1796875" style="649" customWidth="1"/>
    <col min="8462" max="8704" width="9.1796875" style="649"/>
    <col min="8705" max="8705" width="43.1796875" style="649" customWidth="1"/>
    <col min="8706" max="8706" width="0" style="649" hidden="1" customWidth="1"/>
    <col min="8707" max="8717" width="13.1796875" style="649" customWidth="1"/>
    <col min="8718" max="8960" width="9.1796875" style="649"/>
    <col min="8961" max="8961" width="43.1796875" style="649" customWidth="1"/>
    <col min="8962" max="8962" width="0" style="649" hidden="1" customWidth="1"/>
    <col min="8963" max="8973" width="13.1796875" style="649" customWidth="1"/>
    <col min="8974" max="9216" width="9.1796875" style="649"/>
    <col min="9217" max="9217" width="43.1796875" style="649" customWidth="1"/>
    <col min="9218" max="9218" width="0" style="649" hidden="1" customWidth="1"/>
    <col min="9219" max="9229" width="13.1796875" style="649" customWidth="1"/>
    <col min="9230" max="9472" width="9.1796875" style="649"/>
    <col min="9473" max="9473" width="43.1796875" style="649" customWidth="1"/>
    <col min="9474" max="9474" width="0" style="649" hidden="1" customWidth="1"/>
    <col min="9475" max="9485" width="13.1796875" style="649" customWidth="1"/>
    <col min="9486" max="9728" width="9.1796875" style="649"/>
    <col min="9729" max="9729" width="43.1796875" style="649" customWidth="1"/>
    <col min="9730" max="9730" width="0" style="649" hidden="1" customWidth="1"/>
    <col min="9731" max="9741" width="13.1796875" style="649" customWidth="1"/>
    <col min="9742" max="9984" width="9.1796875" style="649"/>
    <col min="9985" max="9985" width="43.1796875" style="649" customWidth="1"/>
    <col min="9986" max="9986" width="0" style="649" hidden="1" customWidth="1"/>
    <col min="9987" max="9997" width="13.1796875" style="649" customWidth="1"/>
    <col min="9998" max="10240" width="9.1796875" style="649"/>
    <col min="10241" max="10241" width="43.1796875" style="649" customWidth="1"/>
    <col min="10242" max="10242" width="0" style="649" hidden="1" customWidth="1"/>
    <col min="10243" max="10253" width="13.1796875" style="649" customWidth="1"/>
    <col min="10254" max="10496" width="9.1796875" style="649"/>
    <col min="10497" max="10497" width="43.1796875" style="649" customWidth="1"/>
    <col min="10498" max="10498" width="0" style="649" hidden="1" customWidth="1"/>
    <col min="10499" max="10509" width="13.1796875" style="649" customWidth="1"/>
    <col min="10510" max="10752" width="9.1796875" style="649"/>
    <col min="10753" max="10753" width="43.1796875" style="649" customWidth="1"/>
    <col min="10754" max="10754" width="0" style="649" hidden="1" customWidth="1"/>
    <col min="10755" max="10765" width="13.1796875" style="649" customWidth="1"/>
    <col min="10766" max="11008" width="9.1796875" style="649"/>
    <col min="11009" max="11009" width="43.1796875" style="649" customWidth="1"/>
    <col min="11010" max="11010" width="0" style="649" hidden="1" customWidth="1"/>
    <col min="11011" max="11021" width="13.1796875" style="649" customWidth="1"/>
    <col min="11022" max="11264" width="9.1796875" style="649"/>
    <col min="11265" max="11265" width="43.1796875" style="649" customWidth="1"/>
    <col min="11266" max="11266" width="0" style="649" hidden="1" customWidth="1"/>
    <col min="11267" max="11277" width="13.1796875" style="649" customWidth="1"/>
    <col min="11278" max="11520" width="9.1796875" style="649"/>
    <col min="11521" max="11521" width="43.1796875" style="649" customWidth="1"/>
    <col min="11522" max="11522" width="0" style="649" hidden="1" customWidth="1"/>
    <col min="11523" max="11533" width="13.1796875" style="649" customWidth="1"/>
    <col min="11534" max="11776" width="9.1796875" style="649"/>
    <col min="11777" max="11777" width="43.1796875" style="649" customWidth="1"/>
    <col min="11778" max="11778" width="0" style="649" hidden="1" customWidth="1"/>
    <col min="11779" max="11789" width="13.1796875" style="649" customWidth="1"/>
    <col min="11790" max="12032" width="9.1796875" style="649"/>
    <col min="12033" max="12033" width="43.1796875" style="649" customWidth="1"/>
    <col min="12034" max="12034" width="0" style="649" hidden="1" customWidth="1"/>
    <col min="12035" max="12045" width="13.1796875" style="649" customWidth="1"/>
    <col min="12046" max="12288" width="9.1796875" style="649"/>
    <col min="12289" max="12289" width="43.1796875" style="649" customWidth="1"/>
    <col min="12290" max="12290" width="0" style="649" hidden="1" customWidth="1"/>
    <col min="12291" max="12301" width="13.1796875" style="649" customWidth="1"/>
    <col min="12302" max="12544" width="9.1796875" style="649"/>
    <col min="12545" max="12545" width="43.1796875" style="649" customWidth="1"/>
    <col min="12546" max="12546" width="0" style="649" hidden="1" customWidth="1"/>
    <col min="12547" max="12557" width="13.1796875" style="649" customWidth="1"/>
    <col min="12558" max="12800" width="9.1796875" style="649"/>
    <col min="12801" max="12801" width="43.1796875" style="649" customWidth="1"/>
    <col min="12802" max="12802" width="0" style="649" hidden="1" customWidth="1"/>
    <col min="12803" max="12813" width="13.1796875" style="649" customWidth="1"/>
    <col min="12814" max="13056" width="9.1796875" style="649"/>
    <col min="13057" max="13057" width="43.1796875" style="649" customWidth="1"/>
    <col min="13058" max="13058" width="0" style="649" hidden="1" customWidth="1"/>
    <col min="13059" max="13069" width="13.1796875" style="649" customWidth="1"/>
    <col min="13070" max="13312" width="9.1796875" style="649"/>
    <col min="13313" max="13313" width="43.1796875" style="649" customWidth="1"/>
    <col min="13314" max="13314" width="0" style="649" hidden="1" customWidth="1"/>
    <col min="13315" max="13325" width="13.1796875" style="649" customWidth="1"/>
    <col min="13326" max="13568" width="9.1796875" style="649"/>
    <col min="13569" max="13569" width="43.1796875" style="649" customWidth="1"/>
    <col min="13570" max="13570" width="0" style="649" hidden="1" customWidth="1"/>
    <col min="13571" max="13581" width="13.1796875" style="649" customWidth="1"/>
    <col min="13582" max="13824" width="9.1796875" style="649"/>
    <col min="13825" max="13825" width="43.1796875" style="649" customWidth="1"/>
    <col min="13826" max="13826" width="0" style="649" hidden="1" customWidth="1"/>
    <col min="13827" max="13837" width="13.1796875" style="649" customWidth="1"/>
    <col min="13838" max="14080" width="9.1796875" style="649"/>
    <col min="14081" max="14081" width="43.1796875" style="649" customWidth="1"/>
    <col min="14082" max="14082" width="0" style="649" hidden="1" customWidth="1"/>
    <col min="14083" max="14093" width="13.1796875" style="649" customWidth="1"/>
    <col min="14094" max="14336" width="9.1796875" style="649"/>
    <col min="14337" max="14337" width="43.1796875" style="649" customWidth="1"/>
    <col min="14338" max="14338" width="0" style="649" hidden="1" customWidth="1"/>
    <col min="14339" max="14349" width="13.1796875" style="649" customWidth="1"/>
    <col min="14350" max="14592" width="9.1796875" style="649"/>
    <col min="14593" max="14593" width="43.1796875" style="649" customWidth="1"/>
    <col min="14594" max="14594" width="0" style="649" hidden="1" customWidth="1"/>
    <col min="14595" max="14605" width="13.1796875" style="649" customWidth="1"/>
    <col min="14606" max="14848" width="9.1796875" style="649"/>
    <col min="14849" max="14849" width="43.1796875" style="649" customWidth="1"/>
    <col min="14850" max="14850" width="0" style="649" hidden="1" customWidth="1"/>
    <col min="14851" max="14861" width="13.1796875" style="649" customWidth="1"/>
    <col min="14862" max="15104" width="9.1796875" style="649"/>
    <col min="15105" max="15105" width="43.1796875" style="649" customWidth="1"/>
    <col min="15106" max="15106" width="0" style="649" hidden="1" customWidth="1"/>
    <col min="15107" max="15117" width="13.1796875" style="649" customWidth="1"/>
    <col min="15118" max="15360" width="9.1796875" style="649"/>
    <col min="15361" max="15361" width="43.1796875" style="649" customWidth="1"/>
    <col min="15362" max="15362" width="0" style="649" hidden="1" customWidth="1"/>
    <col min="15363" max="15373" width="13.1796875" style="649" customWidth="1"/>
    <col min="15374" max="15616" width="9.1796875" style="649"/>
    <col min="15617" max="15617" width="43.1796875" style="649" customWidth="1"/>
    <col min="15618" max="15618" width="0" style="649" hidden="1" customWidth="1"/>
    <col min="15619" max="15629" width="13.1796875" style="649" customWidth="1"/>
    <col min="15630" max="15872" width="9.1796875" style="649"/>
    <col min="15873" max="15873" width="43.1796875" style="649" customWidth="1"/>
    <col min="15874" max="15874" width="0" style="649" hidden="1" customWidth="1"/>
    <col min="15875" max="15885" width="13.1796875" style="649" customWidth="1"/>
    <col min="15886" max="16128" width="9.1796875" style="649"/>
    <col min="16129" max="16129" width="43.1796875" style="649" customWidth="1"/>
    <col min="16130" max="16130" width="0" style="649" hidden="1" customWidth="1"/>
    <col min="16131" max="16141" width="13.1796875" style="649" customWidth="1"/>
    <col min="16142" max="16384" width="9.1796875" style="649"/>
  </cols>
  <sheetData>
    <row r="1" spans="1:12" ht="15.75" customHeight="1" x14ac:dyDescent="0.3">
      <c r="A1" s="1041" t="s">
        <v>889</v>
      </c>
      <c r="B1" s="1041"/>
      <c r="C1" s="1041"/>
      <c r="D1" s="1041"/>
      <c r="E1" s="1041"/>
      <c r="F1" s="1041"/>
      <c r="G1" s="1041"/>
      <c r="H1" s="1041"/>
      <c r="I1" s="1041"/>
      <c r="J1" s="1041"/>
      <c r="K1" s="1041"/>
      <c r="L1" s="1041"/>
    </row>
    <row r="2" spans="1:12" ht="15.75" customHeight="1" x14ac:dyDescent="0.3">
      <c r="A2" s="1041" t="s">
        <v>890</v>
      </c>
      <c r="B2" s="1041"/>
      <c r="C2" s="1041"/>
      <c r="D2" s="1041"/>
      <c r="E2" s="1041"/>
      <c r="F2" s="1041"/>
      <c r="G2" s="1041"/>
      <c r="H2" s="1041"/>
      <c r="I2" s="1041"/>
      <c r="J2" s="1041"/>
      <c r="K2" s="1041"/>
      <c r="L2" s="1041"/>
    </row>
    <row r="3" spans="1:12" ht="15.75" customHeight="1" x14ac:dyDescent="0.3">
      <c r="A3" s="1041" t="s">
        <v>925</v>
      </c>
      <c r="B3" s="1041"/>
      <c r="C3" s="1041"/>
      <c r="D3" s="1041"/>
      <c r="E3" s="1041"/>
      <c r="F3" s="1041"/>
      <c r="G3" s="1041"/>
      <c r="H3" s="1041"/>
      <c r="I3" s="1041"/>
      <c r="J3" s="1041"/>
      <c r="K3" s="1041"/>
    </row>
    <row r="4" spans="1:12" ht="15.75" customHeight="1" x14ac:dyDescent="0.3">
      <c r="B4" s="650"/>
      <c r="C4" s="650"/>
      <c r="F4" s="650"/>
      <c r="G4" s="650"/>
      <c r="H4" s="650"/>
      <c r="I4" s="650"/>
      <c r="J4" s="650"/>
      <c r="K4" s="650"/>
      <c r="L4" s="650" t="s">
        <v>926</v>
      </c>
    </row>
    <row r="5" spans="1:12" ht="15.75" customHeight="1" x14ac:dyDescent="0.3">
      <c r="A5" s="651" t="s">
        <v>366</v>
      </c>
      <c r="B5" s="471" t="s">
        <v>764</v>
      </c>
      <c r="C5" s="471" t="s">
        <v>769</v>
      </c>
      <c r="D5" s="471" t="s">
        <v>770</v>
      </c>
      <c r="E5" s="471" t="s">
        <v>771</v>
      </c>
      <c r="F5" s="471" t="s">
        <v>772</v>
      </c>
      <c r="G5" s="471" t="s">
        <v>773</v>
      </c>
      <c r="H5" s="471" t="s">
        <v>774</v>
      </c>
      <c r="I5" s="471" t="s">
        <v>775</v>
      </c>
      <c r="J5" s="471" t="s">
        <v>803</v>
      </c>
      <c r="K5" s="471" t="s">
        <v>804</v>
      </c>
      <c r="L5" s="471" t="s">
        <v>805</v>
      </c>
    </row>
    <row r="6" spans="1:12" s="653" customFormat="1" ht="15.75" customHeight="1" x14ac:dyDescent="0.25">
      <c r="A6" s="652"/>
      <c r="B6" s="472" t="s">
        <v>927</v>
      </c>
      <c r="C6" s="472" t="s">
        <v>927</v>
      </c>
      <c r="D6" s="472" t="s">
        <v>927</v>
      </c>
      <c r="E6" s="472" t="s">
        <v>927</v>
      </c>
      <c r="F6" s="472" t="s">
        <v>927</v>
      </c>
      <c r="G6" s="472" t="s">
        <v>927</v>
      </c>
      <c r="H6" s="472" t="s">
        <v>927</v>
      </c>
      <c r="I6" s="472" t="s">
        <v>927</v>
      </c>
      <c r="J6" s="472" t="s">
        <v>927</v>
      </c>
      <c r="K6" s="472" t="s">
        <v>927</v>
      </c>
      <c r="L6" s="472" t="s">
        <v>927</v>
      </c>
    </row>
    <row r="7" spans="1:12" ht="15.75" customHeight="1" x14ac:dyDescent="0.3">
      <c r="A7" s="654" t="s">
        <v>928</v>
      </c>
      <c r="B7" s="473"/>
      <c r="C7" s="473">
        <f>+'[2]Cost &amp; Sales assumptions'!C33*'[2]Cost &amp; Sales assumptions'!C30*1.18/10000</f>
        <v>0</v>
      </c>
      <c r="D7" s="473">
        <f>+'[2]Cost &amp; Sales assumptions'!D33*'[2]Cost &amp; Sales assumptions'!D30*1.18/10000</f>
        <v>175.62825000000001</v>
      </c>
      <c r="E7" s="473">
        <f>+'[2]Cost &amp; Sales assumptions'!E33*'[2]Cost &amp; Sales assumptions'!E30*1.18/10000</f>
        <v>281.0052</v>
      </c>
      <c r="F7" s="473">
        <f>+'[2]Cost &amp; Sales assumptions'!F33*'[2]Cost &amp; Sales assumptions'!F30*1.18/10000</f>
        <v>331.93739249999999</v>
      </c>
      <c r="G7" s="473">
        <f>+'[2]Cost &amp; Sales assumptions'!G33*'[2]Cost &amp; Sales assumptions'!G30*1.18/10000</f>
        <v>348.53426212500005</v>
      </c>
      <c r="H7" s="473">
        <f>+'[2]Cost &amp; Sales assumptions'!H33*'[2]Cost &amp; Sales assumptions'!H30*1.18/10000</f>
        <v>365.96097523125002</v>
      </c>
      <c r="I7" s="473">
        <f>+'[2]Cost &amp; Sales assumptions'!I33*'[2]Cost &amp; Sales assumptions'!I30*1.18/10000</f>
        <v>384.25902399281262</v>
      </c>
      <c r="J7" s="473">
        <f>+'[2]Cost &amp; Sales assumptions'!J33*'[2]Cost &amp; Sales assumptions'!J30*1.18/10000</f>
        <v>403.47197519245327</v>
      </c>
      <c r="K7" s="473">
        <f>+'[2]Cost &amp; Sales assumptions'!K33*'[2]Cost &amp; Sales assumptions'!K30*1.18/10000</f>
        <v>423.64557395207595</v>
      </c>
      <c r="L7" s="473">
        <f>+'[2]Cost &amp; Sales assumptions'!L33*'[2]Cost &amp; Sales assumptions'!L30*1.18/10000</f>
        <v>444.82785264967976</v>
      </c>
    </row>
    <row r="8" spans="1:12" ht="15.75" customHeight="1" x14ac:dyDescent="0.3">
      <c r="A8" s="654" t="s">
        <v>929</v>
      </c>
      <c r="B8" s="474"/>
      <c r="C8" s="474">
        <f>+C7*0.18/1.18</f>
        <v>0</v>
      </c>
      <c r="D8" s="474">
        <f>+D7*0.18/1.18</f>
        <v>26.790750000000003</v>
      </c>
      <c r="E8" s="474">
        <f>+E7*0.18/1.18</f>
        <v>42.865200000000002</v>
      </c>
      <c r="F8" s="474">
        <f t="shared" ref="F8:K8" si="0">+F7*0.18/1.18</f>
        <v>50.634517500000001</v>
      </c>
      <c r="G8" s="474">
        <f t="shared" si="0"/>
        <v>53.166243375000008</v>
      </c>
      <c r="H8" s="474">
        <f t="shared" si="0"/>
        <v>55.824555543750002</v>
      </c>
      <c r="I8" s="474">
        <f t="shared" si="0"/>
        <v>58.615783320937517</v>
      </c>
      <c r="J8" s="474">
        <f t="shared" si="0"/>
        <v>61.546572486984395</v>
      </c>
      <c r="K8" s="474">
        <f t="shared" si="0"/>
        <v>64.623901111333623</v>
      </c>
      <c r="L8" s="474">
        <f>+L7*0.18/1.18</f>
        <v>67.85509616690031</v>
      </c>
    </row>
    <row r="9" spans="1:12" ht="15.75" customHeight="1" x14ac:dyDescent="0.3">
      <c r="A9" s="654" t="s">
        <v>930</v>
      </c>
      <c r="B9" s="473"/>
      <c r="C9" s="473">
        <f>C7-C8</f>
        <v>0</v>
      </c>
      <c r="D9" s="473">
        <f>D7-D8</f>
        <v>148.83750000000001</v>
      </c>
      <c r="E9" s="473">
        <f>E7-E8</f>
        <v>238.14</v>
      </c>
      <c r="F9" s="473">
        <f t="shared" ref="F9:K9" si="1">F7-F8</f>
        <v>281.30287499999997</v>
      </c>
      <c r="G9" s="473">
        <f t="shared" si="1"/>
        <v>295.36801875000003</v>
      </c>
      <c r="H9" s="473">
        <f t="shared" si="1"/>
        <v>310.13641968749999</v>
      </c>
      <c r="I9" s="473">
        <f t="shared" si="1"/>
        <v>325.64324067187511</v>
      </c>
      <c r="J9" s="473">
        <f t="shared" si="1"/>
        <v>341.92540270546885</v>
      </c>
      <c r="K9" s="473">
        <f t="shared" si="1"/>
        <v>359.02167284074233</v>
      </c>
      <c r="L9" s="473">
        <f>L7-L8</f>
        <v>376.97275648277946</v>
      </c>
    </row>
    <row r="10" spans="1:12" ht="15.75" customHeight="1" x14ac:dyDescent="0.3">
      <c r="A10" s="654" t="s">
        <v>931</v>
      </c>
      <c r="B10" s="473"/>
      <c r="C10" s="473"/>
      <c r="D10" s="473"/>
      <c r="E10" s="473"/>
      <c r="F10" s="473"/>
      <c r="G10" s="473"/>
      <c r="H10" s="473"/>
      <c r="I10" s="473"/>
      <c r="J10" s="473"/>
      <c r="K10" s="473"/>
      <c r="L10" s="473"/>
    </row>
    <row r="11" spans="1:12" ht="15.75" customHeight="1" x14ac:dyDescent="0.3">
      <c r="A11" s="654" t="s">
        <v>449</v>
      </c>
      <c r="B11" s="475"/>
      <c r="C11" s="475">
        <f>+C9+C10</f>
        <v>0</v>
      </c>
      <c r="D11" s="475">
        <f>+D9+D10</f>
        <v>148.83750000000001</v>
      </c>
      <c r="E11" s="475">
        <f>+E9+E10</f>
        <v>238.14</v>
      </c>
      <c r="F11" s="475">
        <f t="shared" ref="F11:K11" si="2">+F9+F10</f>
        <v>281.30287499999997</v>
      </c>
      <c r="G11" s="475">
        <f t="shared" si="2"/>
        <v>295.36801875000003</v>
      </c>
      <c r="H11" s="475">
        <f t="shared" si="2"/>
        <v>310.13641968749999</v>
      </c>
      <c r="I11" s="475">
        <f t="shared" si="2"/>
        <v>325.64324067187511</v>
      </c>
      <c r="J11" s="475">
        <f t="shared" si="2"/>
        <v>341.92540270546885</v>
      </c>
      <c r="K11" s="475">
        <f t="shared" si="2"/>
        <v>359.02167284074233</v>
      </c>
      <c r="L11" s="475">
        <f>+L9+L10</f>
        <v>376.97275648277946</v>
      </c>
    </row>
    <row r="12" spans="1:12" ht="15.75" customHeight="1" x14ac:dyDescent="0.3">
      <c r="A12" s="654"/>
      <c r="B12" s="473"/>
      <c r="C12" s="473"/>
      <c r="D12" s="473"/>
      <c r="E12" s="473"/>
      <c r="F12" s="473"/>
      <c r="G12" s="473"/>
      <c r="H12" s="473"/>
      <c r="I12" s="473"/>
      <c r="J12" s="473"/>
      <c r="K12" s="473"/>
      <c r="L12" s="473"/>
    </row>
    <row r="13" spans="1:12" ht="15.75" customHeight="1" x14ac:dyDescent="0.3">
      <c r="A13" s="654" t="s">
        <v>932</v>
      </c>
      <c r="B13" s="473"/>
      <c r="C13" s="473">
        <f>+('[2]Cost &amp; Sales assumptions'!C9+'[2]Cost &amp; Sales assumptions'!C14)*'[2]Cost &amp; Sales assumptions'!C32/10000</f>
        <v>0</v>
      </c>
      <c r="D13" s="473">
        <f>+('[2]Cost &amp; Sales assumptions'!D9+'[2]Cost &amp; Sales assumptions'!D14)*'[2]Cost &amp; Sales assumptions'!D32/10000</f>
        <v>52.200412031250011</v>
      </c>
      <c r="E13" s="473">
        <f>+('[2]Cost &amp; Sales assumptions'!E9+'[2]Cost &amp; Sales assumptions'!E14)*'[2]Cost &amp; Sales assumptions'!E32/10000</f>
        <v>83.520659250000008</v>
      </c>
      <c r="F13" s="473">
        <f>+('[2]Cost &amp; Sales assumptions'!F9+'[2]Cost &amp; Sales assumptions'!F14)*'[2]Cost &amp; Sales assumptions'!F32/10000</f>
        <v>98.658778739062541</v>
      </c>
      <c r="G13" s="473">
        <f>+('[2]Cost &amp; Sales assumptions'!G9+'[2]Cost &amp; Sales assumptions'!G14)*'[2]Cost &amp; Sales assumptions'!G32/10000</f>
        <v>103.59171767601566</v>
      </c>
      <c r="H13" s="473">
        <f>+('[2]Cost &amp; Sales assumptions'!H9+'[2]Cost &amp; Sales assumptions'!H14)*'[2]Cost &amp; Sales assumptions'!H32/10000</f>
        <v>108.77130355981646</v>
      </c>
      <c r="I13" s="473">
        <f>+('[2]Cost &amp; Sales assumptions'!I9+'[2]Cost &amp; Sales assumptions'!I14)*'[2]Cost &amp; Sales assumptions'!I32/10000</f>
        <v>114.20986873780727</v>
      </c>
      <c r="J13" s="473">
        <f>+('[2]Cost &amp; Sales assumptions'!J9+'[2]Cost &amp; Sales assumptions'!J14)*'[2]Cost &amp; Sales assumptions'!J32/10000</f>
        <v>119.92036217469764</v>
      </c>
      <c r="K13" s="473">
        <f>+('[2]Cost &amp; Sales assumptions'!K9+'[2]Cost &amp; Sales assumptions'!K14)*'[2]Cost &amp; Sales assumptions'!K32/10000</f>
        <v>125.91638028343252</v>
      </c>
      <c r="L13" s="473">
        <f>+('[2]Cost &amp; Sales assumptions'!L9+'[2]Cost &amp; Sales assumptions'!L14)*'[2]Cost &amp; Sales assumptions'!L32/10000</f>
        <v>132.21219929760414</v>
      </c>
    </row>
    <row r="14" spans="1:12" ht="15.75" customHeight="1" x14ac:dyDescent="0.3">
      <c r="A14" s="654" t="s">
        <v>933</v>
      </c>
      <c r="B14" s="473"/>
      <c r="C14" s="473">
        <f>+('[2]Cost &amp; Sales assumptions'!C10+'[2]Cost &amp; Sales assumptions'!C15)*'[2]Cost &amp; Sales assumptions'!$C$32/10000</f>
        <v>0</v>
      </c>
      <c r="D14" s="473">
        <f>+('[2]Cost &amp; Sales assumptions'!D10+'[2]Cost &amp; Sales assumptions'!D15)*'[2]Cost &amp; Sales assumptions'!$D$32/10000</f>
        <v>24.51084229125</v>
      </c>
      <c r="E14" s="473">
        <f>+('[2]Cost &amp; Sales assumptions'!E10+'[2]Cost &amp; Sales assumptions'!E15)*'[2]Cost &amp; Sales assumptions'!$E$32/10000</f>
        <v>39.217347666000002</v>
      </c>
      <c r="F14" s="473">
        <f>+('[2]Cost &amp; Sales assumptions'!F10+'[2]Cost &amp; Sales assumptions'!F15)*'[2]Cost &amp; Sales assumptions'!$E$32/10000</f>
        <v>41.178215049300007</v>
      </c>
      <c r="G14" s="473">
        <f>+('[2]Cost &amp; Sales assumptions'!G10+'[2]Cost &amp; Sales assumptions'!G15)*'[2]Cost &amp; Sales assumptions'!$E$32/10000</f>
        <v>43.237125801765004</v>
      </c>
      <c r="H14" s="473">
        <f>+('[2]Cost &amp; Sales assumptions'!H10+'[2]Cost &amp; Sales assumptions'!H15)*'[2]Cost &amp; Sales assumptions'!$E$32/10000</f>
        <v>45.398982091853263</v>
      </c>
      <c r="I14" s="473">
        <f>+('[2]Cost &amp; Sales assumptions'!I10+'[2]Cost &amp; Sales assumptions'!I15)*'[2]Cost &amp; Sales assumptions'!$E$32/10000</f>
        <v>47.668931196445925</v>
      </c>
      <c r="J14" s="473">
        <f>+('[2]Cost &amp; Sales assumptions'!J10+'[2]Cost &amp; Sales assumptions'!J15)*'[2]Cost &amp; Sales assumptions'!$E$32/10000</f>
        <v>50.052377756268221</v>
      </c>
      <c r="K14" s="473">
        <f>+('[2]Cost &amp; Sales assumptions'!K10+'[2]Cost &amp; Sales assumptions'!K15)*'[2]Cost &amp; Sales assumptions'!$E$32/10000</f>
        <v>52.554996644081626</v>
      </c>
      <c r="L14" s="473">
        <f>+('[2]Cost &amp; Sales assumptions'!L10+'[2]Cost &amp; Sales assumptions'!L15)*'[2]Cost &amp; Sales assumptions'!$E$32/10000</f>
        <v>55.182746476285722</v>
      </c>
    </row>
    <row r="15" spans="1:12" ht="15.75" customHeight="1" x14ac:dyDescent="0.3">
      <c r="A15" s="654" t="s">
        <v>934</v>
      </c>
      <c r="B15" s="473"/>
      <c r="C15" s="473">
        <f>+('[2]Cost &amp; Sales assumptions'!C11+'[2]Cost &amp; Sales assumptions'!C16)*'[2]Cost &amp; Sales assumptions'!$C$32/10000</f>
        <v>0</v>
      </c>
      <c r="D15" s="473">
        <f>+('[2]Cost &amp; Sales assumptions'!D11+'[2]Cost &amp; Sales assumptions'!D16)*'[2]Cost &amp; Sales assumptions'!$D$32/10000</f>
        <v>8.9302500000000009</v>
      </c>
      <c r="E15" s="473">
        <f>+('[2]Cost &amp; Sales assumptions'!E11+'[2]Cost &amp; Sales assumptions'!E16)*'[2]Cost &amp; Sales assumptions'!$E$32/10000</f>
        <v>14.288399999999999</v>
      </c>
      <c r="F15" s="473">
        <f>+('[2]Cost &amp; Sales assumptions'!F11+'[2]Cost &amp; Sales assumptions'!F16)*'[2]Cost &amp; Sales assumptions'!$E$32/10000</f>
        <v>15.002820000000002</v>
      </c>
      <c r="G15" s="473">
        <f>+('[2]Cost &amp; Sales assumptions'!G11+'[2]Cost &amp; Sales assumptions'!G16)*'[2]Cost &amp; Sales assumptions'!$E$32/10000</f>
        <v>15.752961000000004</v>
      </c>
      <c r="H15" s="473">
        <f>+('[2]Cost &amp; Sales assumptions'!H11+'[2]Cost &amp; Sales assumptions'!H16)*'[2]Cost &amp; Sales assumptions'!$E$32/10000</f>
        <v>16.540609050000004</v>
      </c>
      <c r="I15" s="473">
        <f>+('[2]Cost &amp; Sales assumptions'!I11+'[2]Cost &amp; Sales assumptions'!I16)*'[2]Cost &amp; Sales assumptions'!$E$32/10000</f>
        <v>17.367639502500005</v>
      </c>
      <c r="J15" s="473">
        <f>+('[2]Cost &amp; Sales assumptions'!J11+'[2]Cost &amp; Sales assumptions'!J16)*'[2]Cost &amp; Sales assumptions'!$E$32/10000</f>
        <v>18.236021477625005</v>
      </c>
      <c r="K15" s="473">
        <f>+('[2]Cost &amp; Sales assumptions'!K11+'[2]Cost &amp; Sales assumptions'!K16)*'[2]Cost &amp; Sales assumptions'!$E$32/10000</f>
        <v>19.147822551506252</v>
      </c>
      <c r="L15" s="473">
        <f>+('[2]Cost &amp; Sales assumptions'!L11+'[2]Cost &amp; Sales assumptions'!L16)*'[2]Cost &amp; Sales assumptions'!$E$32/10000</f>
        <v>20.105213679081565</v>
      </c>
    </row>
    <row r="16" spans="1:12" ht="15.75" customHeight="1" x14ac:dyDescent="0.3">
      <c r="A16" s="654" t="s">
        <v>935</v>
      </c>
      <c r="B16" s="473"/>
      <c r="C16" s="473">
        <f>+('[2]Cost &amp; Sales assumptions'!C17)*'[2]Cost &amp; Sales assumptions'!$C$32/10000</f>
        <v>0</v>
      </c>
      <c r="D16" s="473">
        <f>+(+'[2]Cost &amp; Sales assumptions'!D17)*'[2]Cost &amp; Sales assumptions'!$D$32/10000</f>
        <v>0.59535000000000005</v>
      </c>
      <c r="E16" s="473">
        <f>+('[2]Cost &amp; Sales assumptions'!E17)*'[2]Cost &amp; Sales assumptions'!$E$32/10000</f>
        <v>0.95256000000000007</v>
      </c>
      <c r="F16" s="473">
        <f>+('[2]Cost &amp; Sales assumptions'!F17)*'[2]Cost &amp; Sales assumptions'!$E$32/10000</f>
        <v>1.0001880000000001</v>
      </c>
      <c r="G16" s="473">
        <f>+('[2]Cost &amp; Sales assumptions'!G17)*'[2]Cost &amp; Sales assumptions'!$E$32/10000</f>
        <v>1.0501974000000003</v>
      </c>
      <c r="H16" s="473">
        <f>+('[2]Cost &amp; Sales assumptions'!H17)*'[2]Cost &amp; Sales assumptions'!$E$32/10000</f>
        <v>1.1027072700000005</v>
      </c>
      <c r="I16" s="473">
        <f>+('[2]Cost &amp; Sales assumptions'!I17)*'[2]Cost &amp; Sales assumptions'!$E$32/10000</f>
        <v>1.1578426335000005</v>
      </c>
      <c r="J16" s="473">
        <f>+('[2]Cost &amp; Sales assumptions'!J17)*'[2]Cost &amp; Sales assumptions'!$E$32/10000</f>
        <v>1.2157347651750006</v>
      </c>
      <c r="K16" s="473">
        <f>+('[2]Cost &amp; Sales assumptions'!K17)*'[2]Cost &amp; Sales assumptions'!$E$32/10000</f>
        <v>1.2765215034337507</v>
      </c>
      <c r="L16" s="473">
        <f>+('[2]Cost &amp; Sales assumptions'!L17)*'[2]Cost &amp; Sales assumptions'!$E$32/10000</f>
        <v>1.3403475786054384</v>
      </c>
    </row>
    <row r="17" spans="1:240" ht="15.75" customHeight="1" x14ac:dyDescent="0.3">
      <c r="A17" s="654" t="s">
        <v>936</v>
      </c>
      <c r="B17" s="473"/>
      <c r="C17" s="473">
        <f>+('[2]Cost &amp; Sales assumptions'!C18)*'[2]Cost &amp; Sales assumptions'!$C$32/10000</f>
        <v>0</v>
      </c>
      <c r="D17" s="473">
        <f>+(+'[2]Cost &amp; Sales assumptions'!D18)*'[2]Cost &amp; Sales assumptions'!$D$32/10000</f>
        <v>0.59535000000000005</v>
      </c>
      <c r="E17" s="473">
        <f>+('[2]Cost &amp; Sales assumptions'!E18)*'[2]Cost &amp; Sales assumptions'!$E$32/10000</f>
        <v>0.95256000000000007</v>
      </c>
      <c r="F17" s="473">
        <f>+('[2]Cost &amp; Sales assumptions'!F18)*'[2]Cost &amp; Sales assumptions'!$E$32/10000</f>
        <v>1.0001880000000001</v>
      </c>
      <c r="G17" s="473">
        <f>+('[2]Cost &amp; Sales assumptions'!G18)*'[2]Cost &amp; Sales assumptions'!$E$32/10000</f>
        <v>1.0501974000000003</v>
      </c>
      <c r="H17" s="473">
        <f>+('[2]Cost &amp; Sales assumptions'!H18)*'[2]Cost &amp; Sales assumptions'!$E$32/10000</f>
        <v>1.1027072700000005</v>
      </c>
      <c r="I17" s="473">
        <f>+('[2]Cost &amp; Sales assumptions'!I18)*'[2]Cost &amp; Sales assumptions'!$E$32/10000</f>
        <v>1.1578426335000005</v>
      </c>
      <c r="J17" s="473">
        <f>+('[2]Cost &amp; Sales assumptions'!J18)*'[2]Cost &amp; Sales assumptions'!$E$32/10000</f>
        <v>1.2157347651750006</v>
      </c>
      <c r="K17" s="473">
        <f>+('[2]Cost &amp; Sales assumptions'!K18)*'[2]Cost &amp; Sales assumptions'!$E$32/10000</f>
        <v>1.2765215034337507</v>
      </c>
      <c r="L17" s="473">
        <f>+('[2]Cost &amp; Sales assumptions'!L18)*'[2]Cost &amp; Sales assumptions'!$E$32/10000</f>
        <v>1.3403475786054384</v>
      </c>
    </row>
    <row r="18" spans="1:240" ht="15.75" customHeight="1" x14ac:dyDescent="0.3">
      <c r="A18" s="654" t="s">
        <v>937</v>
      </c>
      <c r="B18" s="473"/>
      <c r="C18" s="473">
        <f>+('[2]Cost &amp; Sales assumptions'!C19)*'[2]Cost &amp; Sales assumptions'!$C$32/10000</f>
        <v>0</v>
      </c>
      <c r="D18" s="473">
        <f>+(+'[2]Cost &amp; Sales assumptions'!D19)*'[2]Cost &amp; Sales assumptions'!$D$32/10000</f>
        <v>2.97675</v>
      </c>
      <c r="E18" s="473">
        <f>+('[2]Cost &amp; Sales assumptions'!E19)*'[2]Cost &amp; Sales assumptions'!$E$32/10000</f>
        <v>4.7628000000000004</v>
      </c>
      <c r="F18" s="473">
        <f>+('[2]Cost &amp; Sales assumptions'!F19)*'[2]Cost &amp; Sales assumptions'!$E$32/10000</f>
        <v>5.0009400000000008</v>
      </c>
      <c r="G18" s="473">
        <f>+('[2]Cost &amp; Sales assumptions'!G19)*'[2]Cost &amp; Sales assumptions'!$E$32/10000</f>
        <v>5.2509870000000012</v>
      </c>
      <c r="H18" s="473">
        <f>+('[2]Cost &amp; Sales assumptions'!H19)*'[2]Cost &amp; Sales assumptions'!$E$32/10000</f>
        <v>5.5135363500000008</v>
      </c>
      <c r="I18" s="473">
        <f>+('[2]Cost &amp; Sales assumptions'!I19)*'[2]Cost &amp; Sales assumptions'!$E$32/10000</f>
        <v>5.7892131675000016</v>
      </c>
      <c r="J18" s="473">
        <f>+('[2]Cost &amp; Sales assumptions'!J19)*'[2]Cost &amp; Sales assumptions'!$E$32/10000</f>
        <v>6.0786738258750015</v>
      </c>
      <c r="K18" s="473">
        <f>+('[2]Cost &amp; Sales assumptions'!K19)*'[2]Cost &amp; Sales assumptions'!$E$32/10000</f>
        <v>6.3826075171687533</v>
      </c>
      <c r="L18" s="473">
        <f>+('[2]Cost &amp; Sales assumptions'!L19)*'[2]Cost &amp; Sales assumptions'!$E$32/10000</f>
        <v>6.7017378930271905</v>
      </c>
    </row>
    <row r="19" spans="1:240" ht="15.75" customHeight="1" x14ac:dyDescent="0.3">
      <c r="A19" s="654" t="s">
        <v>938</v>
      </c>
      <c r="B19" s="475"/>
      <c r="C19" s="475">
        <f>SUM(C13:C18)</f>
        <v>0</v>
      </c>
      <c r="D19" s="475">
        <f>SUM(D13:D18)</f>
        <v>89.8089543225</v>
      </c>
      <c r="E19" s="475">
        <f>SUM(E13:E18)</f>
        <v>143.69432691600002</v>
      </c>
      <c r="F19" s="475">
        <f t="shared" ref="F19:K19" si="3">SUM(F13:F18)</f>
        <v>161.84112978836259</v>
      </c>
      <c r="G19" s="475">
        <f t="shared" si="3"/>
        <v>169.93318627778066</v>
      </c>
      <c r="H19" s="475">
        <f t="shared" si="3"/>
        <v>178.42984559166973</v>
      </c>
      <c r="I19" s="475">
        <f t="shared" si="3"/>
        <v>187.35133787125321</v>
      </c>
      <c r="J19" s="475">
        <f t="shared" si="3"/>
        <v>196.71890476481587</v>
      </c>
      <c r="K19" s="475">
        <f t="shared" si="3"/>
        <v>206.55485000305663</v>
      </c>
      <c r="L19" s="475">
        <f>SUM(L13:L18)</f>
        <v>216.88259250320954</v>
      </c>
    </row>
    <row r="20" spans="1:240" ht="15.75" customHeight="1" x14ac:dyDescent="0.3">
      <c r="A20" s="654" t="s">
        <v>939</v>
      </c>
      <c r="B20" s="473"/>
      <c r="C20" s="473">
        <f>+C11-C19</f>
        <v>0</v>
      </c>
      <c r="D20" s="473">
        <f>+D11-D19</f>
        <v>59.028545677500006</v>
      </c>
      <c r="E20" s="473">
        <f>+E11-E19</f>
        <v>94.445673083999964</v>
      </c>
      <c r="F20" s="473">
        <f t="shared" ref="F20:K20" si="4">+F11-F19</f>
        <v>119.46174521163738</v>
      </c>
      <c r="G20" s="473">
        <f t="shared" si="4"/>
        <v>125.43483247221937</v>
      </c>
      <c r="H20" s="473">
        <f t="shared" si="4"/>
        <v>131.70657409583026</v>
      </c>
      <c r="I20" s="473">
        <f t="shared" si="4"/>
        <v>138.2919028006219</v>
      </c>
      <c r="J20" s="473">
        <f t="shared" si="4"/>
        <v>145.20649794065298</v>
      </c>
      <c r="K20" s="473">
        <f t="shared" si="4"/>
        <v>152.4668228376857</v>
      </c>
      <c r="L20" s="473">
        <f>+L11-L19</f>
        <v>160.09016397956992</v>
      </c>
    </row>
    <row r="21" spans="1:240" ht="15.75" customHeight="1" x14ac:dyDescent="0.3">
      <c r="A21" s="655" t="s">
        <v>940</v>
      </c>
      <c r="B21" s="473"/>
      <c r="C21" s="473"/>
      <c r="D21" s="473"/>
      <c r="E21" s="473"/>
      <c r="F21" s="473"/>
      <c r="G21" s="473"/>
      <c r="H21" s="473"/>
      <c r="I21" s="473"/>
      <c r="J21" s="473"/>
      <c r="K21" s="473"/>
      <c r="L21" s="473"/>
    </row>
    <row r="22" spans="1:240" ht="15.75" customHeight="1" x14ac:dyDescent="0.3">
      <c r="A22" s="654" t="s">
        <v>941</v>
      </c>
      <c r="B22" s="473"/>
      <c r="C22" s="473">
        <f>+'[2]term loans repayments'!F27</f>
        <v>0</v>
      </c>
      <c r="D22" s="473">
        <f>+'[2]term loans repayments'!G39</f>
        <v>14.374999999999998</v>
      </c>
      <c r="E22" s="473">
        <f>+'[2]term loans repayments'!H39</f>
        <v>18.055</v>
      </c>
      <c r="F22" s="473">
        <f>+'[2]term loans repayments'!I39</f>
        <v>16.329999999999998</v>
      </c>
      <c r="G22" s="473">
        <f>+'[2]term loans repayments'!J39</f>
        <v>14.317499999999999</v>
      </c>
      <c r="H22" s="473">
        <f>+'[2]term loans repayments'!K39</f>
        <v>11.845000000000001</v>
      </c>
      <c r="I22" s="473">
        <f>+'[2]term loans repayments'!L39</f>
        <v>9.0850000000000009</v>
      </c>
      <c r="J22" s="473">
        <f>+'[2]term loans repayments'!M39</f>
        <v>6.1524999999999999</v>
      </c>
      <c r="K22" s="473">
        <f>+'[2]term loans repayments'!N39</f>
        <v>2.9324999999999997</v>
      </c>
      <c r="L22" s="473">
        <f>+'[2]term loans repayments'!O39</f>
        <v>0.22999999999999998</v>
      </c>
    </row>
    <row r="23" spans="1:240" ht="15.75" customHeight="1" x14ac:dyDescent="0.3">
      <c r="A23" s="654" t="s">
        <v>942</v>
      </c>
      <c r="B23" s="473"/>
      <c r="C23" s="473">
        <f>+'[2]term loans repayments'!F48</f>
        <v>0</v>
      </c>
      <c r="D23" s="473">
        <f>+'[2]term loans repayments'!G48</f>
        <v>2.4489999999999998</v>
      </c>
      <c r="E23" s="473">
        <f>+'[2]term loans repayments'!H48</f>
        <v>2.9319999999999999</v>
      </c>
      <c r="F23" s="473">
        <f>+'[2]term loans repayments'!I48</f>
        <v>3.415</v>
      </c>
      <c r="G23" s="473">
        <f>+'[2]term loans repayments'!J48</f>
        <v>3.415</v>
      </c>
      <c r="H23" s="473">
        <f>+'[2]term loans repayments'!K48</f>
        <v>3.415</v>
      </c>
      <c r="I23" s="473">
        <f>+'[2]term loans repayments'!L48</f>
        <v>3.415</v>
      </c>
      <c r="J23" s="473">
        <f>+'[2]term loans repayments'!M48</f>
        <v>3.415</v>
      </c>
      <c r="K23" s="473">
        <f>+'[2]term loans repayments'!N48</f>
        <v>3.415</v>
      </c>
      <c r="L23" s="473">
        <f>+'[2]term loans repayments'!O48</f>
        <v>3.415</v>
      </c>
    </row>
    <row r="24" spans="1:240" ht="15.75" customHeight="1" x14ac:dyDescent="0.3">
      <c r="A24" s="654" t="s">
        <v>938</v>
      </c>
      <c r="B24" s="475"/>
      <c r="C24" s="475">
        <f t="shared" ref="C24:H24" si="5">SUM(C22:C23)</f>
        <v>0</v>
      </c>
      <c r="D24" s="475">
        <f t="shared" si="5"/>
        <v>16.823999999999998</v>
      </c>
      <c r="E24" s="475">
        <f t="shared" si="5"/>
        <v>20.986999999999998</v>
      </c>
      <c r="F24" s="475">
        <f t="shared" si="5"/>
        <v>19.744999999999997</v>
      </c>
      <c r="G24" s="475">
        <f t="shared" si="5"/>
        <v>17.732499999999998</v>
      </c>
      <c r="H24" s="475">
        <f t="shared" si="5"/>
        <v>15.260000000000002</v>
      </c>
      <c r="I24" s="475">
        <f>SUM(I22:I23)</f>
        <v>12.5</v>
      </c>
      <c r="J24" s="475">
        <f>SUM(J22:J23)</f>
        <v>9.567499999999999</v>
      </c>
      <c r="K24" s="475">
        <f>SUM(K22:K23)</f>
        <v>6.3475000000000001</v>
      </c>
      <c r="L24" s="475">
        <f>SUM(L22:L23)</f>
        <v>3.645</v>
      </c>
    </row>
    <row r="25" spans="1:240" ht="15.75" customHeight="1" x14ac:dyDescent="0.3">
      <c r="A25" s="654" t="s">
        <v>230</v>
      </c>
      <c r="B25" s="476"/>
      <c r="C25" s="476">
        <f>+[2]Depriciation!E18</f>
        <v>0</v>
      </c>
      <c r="D25" s="476">
        <f>+[2]Depriciation!F18</f>
        <v>7.8280000000000012</v>
      </c>
      <c r="E25" s="476">
        <f>+[2]Depriciation!G18</f>
        <v>10.437333333333333</v>
      </c>
      <c r="F25" s="476">
        <f>+[2]Depriciation!H18</f>
        <v>10.437333333333333</v>
      </c>
      <c r="G25" s="476">
        <f>+[2]Depriciation!I18</f>
        <v>10.437333333333333</v>
      </c>
      <c r="H25" s="476">
        <f>+[2]Depriciation!J18</f>
        <v>10.437333333333333</v>
      </c>
      <c r="I25" s="476">
        <f>+[2]Depriciation!K18</f>
        <v>10.437333333333333</v>
      </c>
      <c r="J25" s="476">
        <f>+[2]Depriciation!L18</f>
        <v>10.437333333333333</v>
      </c>
      <c r="K25" s="473">
        <f>+[2]Depriciation!M18</f>
        <v>10.437333333333333</v>
      </c>
      <c r="L25" s="473">
        <f>+[2]Depriciation!N18</f>
        <v>10.437333333333333</v>
      </c>
    </row>
    <row r="26" spans="1:240" ht="15.75" customHeight="1" x14ac:dyDescent="0.3">
      <c r="A26" s="654" t="s">
        <v>943</v>
      </c>
      <c r="B26" s="473"/>
      <c r="C26" s="473">
        <f t="shared" ref="C26:H26" si="6">C20-C24-C25</f>
        <v>0</v>
      </c>
      <c r="D26" s="473">
        <f t="shared" si="6"/>
        <v>34.376545677500005</v>
      </c>
      <c r="E26" s="473">
        <f t="shared" si="6"/>
        <v>63.021339750666634</v>
      </c>
      <c r="F26" s="473">
        <f t="shared" si="6"/>
        <v>89.279411878304046</v>
      </c>
      <c r="G26" s="473">
        <f t="shared" si="6"/>
        <v>97.26499913888604</v>
      </c>
      <c r="H26" s="473">
        <f t="shared" si="6"/>
        <v>106.00924076249693</v>
      </c>
      <c r="I26" s="473">
        <f>I20-I24-I25</f>
        <v>115.35456946728857</v>
      </c>
      <c r="J26" s="473">
        <f>J20-J24-J25</f>
        <v>125.20166460731966</v>
      </c>
      <c r="K26" s="473">
        <f>K20-K24-K25</f>
        <v>135.68198950435237</v>
      </c>
      <c r="L26" s="473">
        <f>L20-L24-L25</f>
        <v>146.00783064623658</v>
      </c>
    </row>
    <row r="27" spans="1:240" ht="15.75" customHeight="1" x14ac:dyDescent="0.3">
      <c r="A27" s="654" t="s">
        <v>944</v>
      </c>
      <c r="B27" s="473"/>
      <c r="C27" s="473">
        <f>+'[2]Cash Flow'!D47</f>
        <v>0</v>
      </c>
      <c r="D27" s="473">
        <f>+'[2]Cash Flow'!E47</f>
        <v>1.05</v>
      </c>
      <c r="E27" s="473">
        <f>+'[2]Cash Flow'!F47</f>
        <v>3.5</v>
      </c>
      <c r="F27" s="473">
        <f>+'[2]Cash Flow'!G47</f>
        <v>6.65</v>
      </c>
      <c r="G27" s="473">
        <f>+'[2]Cash Flow'!H47</f>
        <v>10.5</v>
      </c>
      <c r="H27" s="473">
        <f>+'[2]Cash Flow'!I47</f>
        <v>15.05</v>
      </c>
      <c r="I27" s="473">
        <f>+'[2]Cash Flow'!J47</f>
        <v>20.3</v>
      </c>
      <c r="J27" s="473">
        <f>+'[2]Cash Flow'!K47</f>
        <v>25.900000000000002</v>
      </c>
      <c r="K27" s="473">
        <f>+'[2]Cash Flow'!L47</f>
        <v>32.200000000000003</v>
      </c>
      <c r="L27" s="473">
        <f>+'[2]Cash Flow'!M47</f>
        <v>39.900000000000006</v>
      </c>
    </row>
    <row r="28" spans="1:240" ht="15.75" customHeight="1" x14ac:dyDescent="0.3">
      <c r="A28" s="654" t="s">
        <v>945</v>
      </c>
      <c r="B28" s="477"/>
      <c r="C28" s="477">
        <f>+C26+C27</f>
        <v>0</v>
      </c>
      <c r="D28" s="477">
        <f>+D26+D27</f>
        <v>35.426545677500002</v>
      </c>
      <c r="E28" s="477">
        <f t="shared" ref="E28:K28" si="7">+E26+E27</f>
        <v>66.521339750666641</v>
      </c>
      <c r="F28" s="477">
        <f t="shared" si="7"/>
        <v>95.929411878304052</v>
      </c>
      <c r="G28" s="477">
        <f t="shared" si="7"/>
        <v>107.76499913888604</v>
      </c>
      <c r="H28" s="477">
        <f t="shared" si="7"/>
        <v>121.05924076249693</v>
      </c>
      <c r="I28" s="477">
        <f t="shared" si="7"/>
        <v>135.65456946728858</v>
      </c>
      <c r="J28" s="477">
        <f t="shared" si="7"/>
        <v>151.10166460731966</v>
      </c>
      <c r="K28" s="477">
        <f t="shared" si="7"/>
        <v>167.88198950435236</v>
      </c>
      <c r="L28" s="477">
        <f>+L26+L27</f>
        <v>185.90783064623659</v>
      </c>
    </row>
    <row r="29" spans="1:240" ht="15.75" customHeight="1" x14ac:dyDescent="0.3">
      <c r="A29" s="654" t="s">
        <v>1825</v>
      </c>
      <c r="B29" s="476"/>
      <c r="C29" s="476">
        <f>+C28*0.1716</f>
        <v>0</v>
      </c>
      <c r="D29" s="476">
        <f>+D28*0.28168</f>
        <v>9.9789493864382006</v>
      </c>
      <c r="E29" s="476">
        <f t="shared" ref="E29:L29" si="8">+E28*0.28168</f>
        <v>18.737730980967779</v>
      </c>
      <c r="F29" s="476">
        <f t="shared" si="8"/>
        <v>27.021396737880686</v>
      </c>
      <c r="G29" s="476">
        <f t="shared" si="8"/>
        <v>30.355244957441418</v>
      </c>
      <c r="H29" s="476">
        <f t="shared" si="8"/>
        <v>34.099966937980135</v>
      </c>
      <c r="I29" s="476">
        <f t="shared" si="8"/>
        <v>38.211179127545847</v>
      </c>
      <c r="J29" s="476">
        <f t="shared" si="8"/>
        <v>42.562316886589798</v>
      </c>
      <c r="K29" s="476">
        <f t="shared" si="8"/>
        <v>47.288998803585969</v>
      </c>
      <c r="L29" s="476">
        <f t="shared" si="8"/>
        <v>52.366517736431923</v>
      </c>
    </row>
    <row r="30" spans="1:240" ht="15.75" customHeight="1" x14ac:dyDescent="0.3">
      <c r="A30" s="656" t="s">
        <v>946</v>
      </c>
      <c r="B30" s="475"/>
      <c r="C30" s="475">
        <f>+C28-C29</f>
        <v>0</v>
      </c>
      <c r="D30" s="475">
        <f t="shared" ref="D30:J30" si="9">+D28-D29</f>
        <v>25.447596291061799</v>
      </c>
      <c r="E30" s="475">
        <f t="shared" si="9"/>
        <v>47.783608769698859</v>
      </c>
      <c r="F30" s="475">
        <f t="shared" si="9"/>
        <v>68.908015140423373</v>
      </c>
      <c r="G30" s="475">
        <f t="shared" si="9"/>
        <v>77.409754181444626</v>
      </c>
      <c r="H30" s="475">
        <f t="shared" si="9"/>
        <v>86.959273824516799</v>
      </c>
      <c r="I30" s="475">
        <f t="shared" si="9"/>
        <v>97.443390339742734</v>
      </c>
      <c r="J30" s="475">
        <f t="shared" si="9"/>
        <v>108.53934772072986</v>
      </c>
      <c r="K30" s="475">
        <f>+K28-K29</f>
        <v>120.59299070076639</v>
      </c>
      <c r="L30" s="475">
        <f>+L28-L29</f>
        <v>133.54131290980467</v>
      </c>
    </row>
    <row r="31" spans="1:240" ht="15.75" customHeight="1" x14ac:dyDescent="0.3">
      <c r="A31" s="657" t="s">
        <v>899</v>
      </c>
      <c r="B31" s="475"/>
      <c r="C31" s="475">
        <f t="shared" ref="C31:J31" si="10">+C30+C25</f>
        <v>0</v>
      </c>
      <c r="D31" s="475">
        <f t="shared" si="10"/>
        <v>33.275596291061802</v>
      </c>
      <c r="E31" s="475">
        <f t="shared" si="10"/>
        <v>58.220942103032193</v>
      </c>
      <c r="F31" s="475">
        <f t="shared" si="10"/>
        <v>79.345348473756701</v>
      </c>
      <c r="G31" s="475">
        <f t="shared" si="10"/>
        <v>87.847087514777954</v>
      </c>
      <c r="H31" s="475">
        <f t="shared" si="10"/>
        <v>97.396607157850127</v>
      </c>
      <c r="I31" s="475">
        <f t="shared" si="10"/>
        <v>107.88072367307606</v>
      </c>
      <c r="J31" s="475">
        <f t="shared" si="10"/>
        <v>118.97668105406319</v>
      </c>
      <c r="K31" s="475">
        <f>+K30+K25</f>
        <v>131.03032403409972</v>
      </c>
      <c r="L31" s="475">
        <f>+L30+L25</f>
        <v>143.978646243138</v>
      </c>
      <c r="IF31" s="478"/>
    </row>
    <row r="32" spans="1:240" ht="15.75" customHeight="1" x14ac:dyDescent="0.3">
      <c r="A32" s="658"/>
      <c r="B32" s="479"/>
      <c r="C32" s="479"/>
      <c r="D32" s="479"/>
      <c r="E32" s="479"/>
      <c r="F32" s="479"/>
      <c r="G32" s="479"/>
      <c r="H32" s="479"/>
      <c r="I32" s="479"/>
      <c r="J32" s="479"/>
      <c r="K32" s="479"/>
      <c r="L32" s="479"/>
      <c r="IF32" s="480"/>
    </row>
    <row r="33" spans="1:12" s="660" customFormat="1" x14ac:dyDescent="0.3">
      <c r="A33" s="659" t="s">
        <v>947</v>
      </c>
      <c r="B33" s="658"/>
      <c r="C33" s="658"/>
      <c r="D33" s="658"/>
      <c r="E33" s="658"/>
      <c r="F33" s="658"/>
      <c r="G33" s="658"/>
      <c r="H33" s="658"/>
      <c r="I33" s="658"/>
      <c r="J33" s="658"/>
      <c r="K33" s="658"/>
      <c r="L33" s="658"/>
    </row>
    <row r="34" spans="1:12" s="660" customFormat="1" x14ac:dyDescent="0.3">
      <c r="A34" s="649" t="s">
        <v>948</v>
      </c>
      <c r="B34" s="481"/>
      <c r="C34" s="481"/>
      <c r="D34" s="481">
        <f t="shared" ref="D34:J34" si="11">+D20/D9</f>
        <v>0.39659726666666667</v>
      </c>
      <c r="E34" s="481">
        <f t="shared" si="11"/>
        <v>0.39659726666666656</v>
      </c>
      <c r="F34" s="481">
        <f t="shared" si="11"/>
        <v>0.42467303333333295</v>
      </c>
      <c r="G34" s="481">
        <f t="shared" si="11"/>
        <v>0.42467303333333328</v>
      </c>
      <c r="H34" s="481">
        <f t="shared" si="11"/>
        <v>0.42467303333333306</v>
      </c>
      <c r="I34" s="481">
        <f t="shared" si="11"/>
        <v>0.42467303333333328</v>
      </c>
      <c r="J34" s="481">
        <f t="shared" si="11"/>
        <v>0.42467303333333328</v>
      </c>
      <c r="K34" s="481">
        <f>+K20/K9</f>
        <v>0.42467303333333345</v>
      </c>
      <c r="L34" s="481">
        <f>+L20/L9</f>
        <v>0.42467303333333328</v>
      </c>
    </row>
    <row r="35" spans="1:12" s="660" customFormat="1" x14ac:dyDescent="0.3">
      <c r="A35" s="649" t="s">
        <v>949</v>
      </c>
      <c r="B35" s="481" t="e">
        <f t="shared" ref="B35:J35" si="12">+B30/B9</f>
        <v>#DIV/0!</v>
      </c>
      <c r="C35" s="481"/>
      <c r="D35" s="481">
        <f t="shared" si="12"/>
        <v>0.17097570364365028</v>
      </c>
      <c r="E35" s="481">
        <f t="shared" si="12"/>
        <v>0.20065343398714564</v>
      </c>
      <c r="F35" s="481">
        <f t="shared" si="12"/>
        <v>0.24496022353281452</v>
      </c>
      <c r="G35" s="481">
        <f t="shared" si="12"/>
        <v>0.26207899727615525</v>
      </c>
      <c r="H35" s="481">
        <f t="shared" si="12"/>
        <v>0.28039039694899037</v>
      </c>
      <c r="I35" s="481">
        <f t="shared" si="12"/>
        <v>0.2992335727242339</v>
      </c>
      <c r="J35" s="481">
        <f t="shared" si="12"/>
        <v>0.3174357531260249</v>
      </c>
      <c r="K35" s="481">
        <f>+K30/K9</f>
        <v>0.33589334523060949</v>
      </c>
      <c r="L35" s="481">
        <f>+L30/L9</f>
        <v>0.35424658841601192</v>
      </c>
    </row>
    <row r="36" spans="1:12" x14ac:dyDescent="0.3">
      <c r="A36" s="649" t="s">
        <v>950</v>
      </c>
      <c r="B36" s="481" t="e">
        <f t="shared" ref="B36:J36" si="13">+B13/B9</f>
        <v>#DIV/0!</v>
      </c>
      <c r="C36" s="481"/>
      <c r="D36" s="481">
        <f>+D13/D9</f>
        <v>0.35072083333333337</v>
      </c>
      <c r="E36" s="481">
        <f t="shared" si="13"/>
        <v>0.35072083333333337</v>
      </c>
      <c r="F36" s="481">
        <f t="shared" si="13"/>
        <v>0.35072083333333354</v>
      </c>
      <c r="G36" s="481">
        <f t="shared" si="13"/>
        <v>0.35072083333333343</v>
      </c>
      <c r="H36" s="481">
        <f t="shared" si="13"/>
        <v>0.35072083333333354</v>
      </c>
      <c r="I36" s="481">
        <f t="shared" si="13"/>
        <v>0.35072083333333337</v>
      </c>
      <c r="J36" s="481">
        <f t="shared" si="13"/>
        <v>0.35072083333333337</v>
      </c>
      <c r="K36" s="481">
        <f>+K13/K9</f>
        <v>0.35072083333333332</v>
      </c>
      <c r="L36" s="481">
        <f>+L13/L9</f>
        <v>0.35072083333333332</v>
      </c>
    </row>
    <row r="37" spans="1:12" x14ac:dyDescent="0.3">
      <c r="A37" s="649" t="s">
        <v>951</v>
      </c>
      <c r="B37" s="661" t="e">
        <f t="shared" ref="B37:J37" si="14">+B20/B22</f>
        <v>#DIV/0!</v>
      </c>
      <c r="C37" s="661"/>
      <c r="D37" s="661">
        <f t="shared" si="14"/>
        <v>4.1063336123478269</v>
      </c>
      <c r="E37" s="661">
        <f t="shared" si="14"/>
        <v>5.2309982322902222</v>
      </c>
      <c r="F37" s="661">
        <f t="shared" si="14"/>
        <v>7.315477355274794</v>
      </c>
      <c r="G37" s="661">
        <f t="shared" si="14"/>
        <v>8.7609451700519916</v>
      </c>
      <c r="H37" s="661">
        <f t="shared" si="14"/>
        <v>11.119170459757726</v>
      </c>
      <c r="I37" s="661">
        <f t="shared" si="14"/>
        <v>15.222003610415177</v>
      </c>
      <c r="J37" s="661">
        <f t="shared" si="14"/>
        <v>23.601218681942786</v>
      </c>
      <c r="K37" s="661">
        <f>+K20/K22</f>
        <v>51.992096449338689</v>
      </c>
      <c r="L37" s="661">
        <f>+L20/L22</f>
        <v>696.04419121552144</v>
      </c>
    </row>
    <row r="39" spans="1:12" x14ac:dyDescent="0.3">
      <c r="B39" s="661"/>
      <c r="C39" s="661"/>
      <c r="D39" s="661"/>
      <c r="E39" s="661"/>
      <c r="F39" s="661"/>
      <c r="G39" s="661"/>
      <c r="H39" s="661"/>
      <c r="I39" s="661"/>
      <c r="J39" s="661"/>
      <c r="K39" s="661"/>
      <c r="L39" s="661"/>
    </row>
  </sheetData>
  <mergeCells count="3">
    <mergeCell ref="A3:K3"/>
    <mergeCell ref="A1:L1"/>
    <mergeCell ref="A2:L2"/>
  </mergeCells>
  <printOptions horizontalCentered="1"/>
  <pageMargins left="0.31496062992125984" right="0.31496062992125984" top="0.74803149606299213" bottom="0.74803149606299213" header="0.31496062992125984" footer="0.31496062992125984"/>
  <pageSetup scale="6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C8BAD-504D-4400-831D-5E618D5E0F89}">
  <dimension ref="A1:N53"/>
  <sheetViews>
    <sheetView topLeftCell="A17" zoomScaleNormal="100" workbookViewId="0">
      <selection activeCell="C24" sqref="A1:XFD1048576"/>
    </sheetView>
  </sheetViews>
  <sheetFormatPr defaultColWidth="9.1796875" defaultRowHeight="14" x14ac:dyDescent="0.3"/>
  <cols>
    <col min="1" max="1" width="36.26953125" style="649" customWidth="1"/>
    <col min="2" max="11" width="11.7265625" style="649" customWidth="1"/>
    <col min="12" max="12" width="12.1796875" style="649" customWidth="1"/>
    <col min="13" max="13" width="9.453125" style="649" customWidth="1"/>
    <col min="14" max="256" width="9.1796875" style="649"/>
    <col min="257" max="257" width="36.26953125" style="649" customWidth="1"/>
    <col min="258" max="267" width="11.7265625" style="649" customWidth="1"/>
    <col min="268" max="268" width="12.1796875" style="649" customWidth="1"/>
    <col min="269" max="269" width="9.453125" style="649" customWidth="1"/>
    <col min="270" max="512" width="9.1796875" style="649"/>
    <col min="513" max="513" width="36.26953125" style="649" customWidth="1"/>
    <col min="514" max="523" width="11.7265625" style="649" customWidth="1"/>
    <col min="524" max="524" width="12.1796875" style="649" customWidth="1"/>
    <col min="525" max="525" width="9.453125" style="649" customWidth="1"/>
    <col min="526" max="768" width="9.1796875" style="649"/>
    <col min="769" max="769" width="36.26953125" style="649" customWidth="1"/>
    <col min="770" max="779" width="11.7265625" style="649" customWidth="1"/>
    <col min="780" max="780" width="12.1796875" style="649" customWidth="1"/>
    <col min="781" max="781" width="9.453125" style="649" customWidth="1"/>
    <col min="782" max="1024" width="9.1796875" style="649"/>
    <col min="1025" max="1025" width="36.26953125" style="649" customWidth="1"/>
    <col min="1026" max="1035" width="11.7265625" style="649" customWidth="1"/>
    <col min="1036" max="1036" width="12.1796875" style="649" customWidth="1"/>
    <col min="1037" max="1037" width="9.453125" style="649" customWidth="1"/>
    <col min="1038" max="1280" width="9.1796875" style="649"/>
    <col min="1281" max="1281" width="36.26953125" style="649" customWidth="1"/>
    <col min="1282" max="1291" width="11.7265625" style="649" customWidth="1"/>
    <col min="1292" max="1292" width="12.1796875" style="649" customWidth="1"/>
    <col min="1293" max="1293" width="9.453125" style="649" customWidth="1"/>
    <col min="1294" max="1536" width="9.1796875" style="649"/>
    <col min="1537" max="1537" width="36.26953125" style="649" customWidth="1"/>
    <col min="1538" max="1547" width="11.7265625" style="649" customWidth="1"/>
    <col min="1548" max="1548" width="12.1796875" style="649" customWidth="1"/>
    <col min="1549" max="1549" width="9.453125" style="649" customWidth="1"/>
    <col min="1550" max="1792" width="9.1796875" style="649"/>
    <col min="1793" max="1793" width="36.26953125" style="649" customWidth="1"/>
    <col min="1794" max="1803" width="11.7265625" style="649" customWidth="1"/>
    <col min="1804" max="1804" width="12.1796875" style="649" customWidth="1"/>
    <col min="1805" max="1805" width="9.453125" style="649" customWidth="1"/>
    <col min="1806" max="2048" width="9.1796875" style="649"/>
    <col min="2049" max="2049" width="36.26953125" style="649" customWidth="1"/>
    <col min="2050" max="2059" width="11.7265625" style="649" customWidth="1"/>
    <col min="2060" max="2060" width="12.1796875" style="649" customWidth="1"/>
    <col min="2061" max="2061" width="9.453125" style="649" customWidth="1"/>
    <col min="2062" max="2304" width="9.1796875" style="649"/>
    <col min="2305" max="2305" width="36.26953125" style="649" customWidth="1"/>
    <col min="2306" max="2315" width="11.7265625" style="649" customWidth="1"/>
    <col min="2316" max="2316" width="12.1796875" style="649" customWidth="1"/>
    <col min="2317" max="2317" width="9.453125" style="649" customWidth="1"/>
    <col min="2318" max="2560" width="9.1796875" style="649"/>
    <col min="2561" max="2561" width="36.26953125" style="649" customWidth="1"/>
    <col min="2562" max="2571" width="11.7265625" style="649" customWidth="1"/>
    <col min="2572" max="2572" width="12.1796875" style="649" customWidth="1"/>
    <col min="2573" max="2573" width="9.453125" style="649" customWidth="1"/>
    <col min="2574" max="2816" width="9.1796875" style="649"/>
    <col min="2817" max="2817" width="36.26953125" style="649" customWidth="1"/>
    <col min="2818" max="2827" width="11.7265625" style="649" customWidth="1"/>
    <col min="2828" max="2828" width="12.1796875" style="649" customWidth="1"/>
    <col min="2829" max="2829" width="9.453125" style="649" customWidth="1"/>
    <col min="2830" max="3072" width="9.1796875" style="649"/>
    <col min="3073" max="3073" width="36.26953125" style="649" customWidth="1"/>
    <col min="3074" max="3083" width="11.7265625" style="649" customWidth="1"/>
    <col min="3084" max="3084" width="12.1796875" style="649" customWidth="1"/>
    <col min="3085" max="3085" width="9.453125" style="649" customWidth="1"/>
    <col min="3086" max="3328" width="9.1796875" style="649"/>
    <col min="3329" max="3329" width="36.26953125" style="649" customWidth="1"/>
    <col min="3330" max="3339" width="11.7265625" style="649" customWidth="1"/>
    <col min="3340" max="3340" width="12.1796875" style="649" customWidth="1"/>
    <col min="3341" max="3341" width="9.453125" style="649" customWidth="1"/>
    <col min="3342" max="3584" width="9.1796875" style="649"/>
    <col min="3585" max="3585" width="36.26953125" style="649" customWidth="1"/>
    <col min="3586" max="3595" width="11.7265625" style="649" customWidth="1"/>
    <col min="3596" max="3596" width="12.1796875" style="649" customWidth="1"/>
    <col min="3597" max="3597" width="9.453125" style="649" customWidth="1"/>
    <col min="3598" max="3840" width="9.1796875" style="649"/>
    <col min="3841" max="3841" width="36.26953125" style="649" customWidth="1"/>
    <col min="3842" max="3851" width="11.7265625" style="649" customWidth="1"/>
    <col min="3852" max="3852" width="12.1796875" style="649" customWidth="1"/>
    <col min="3853" max="3853" width="9.453125" style="649" customWidth="1"/>
    <col min="3854" max="4096" width="9.1796875" style="649"/>
    <col min="4097" max="4097" width="36.26953125" style="649" customWidth="1"/>
    <col min="4098" max="4107" width="11.7265625" style="649" customWidth="1"/>
    <col min="4108" max="4108" width="12.1796875" style="649" customWidth="1"/>
    <col min="4109" max="4109" width="9.453125" style="649" customWidth="1"/>
    <col min="4110" max="4352" width="9.1796875" style="649"/>
    <col min="4353" max="4353" width="36.26953125" style="649" customWidth="1"/>
    <col min="4354" max="4363" width="11.7265625" style="649" customWidth="1"/>
    <col min="4364" max="4364" width="12.1796875" style="649" customWidth="1"/>
    <col min="4365" max="4365" width="9.453125" style="649" customWidth="1"/>
    <col min="4366" max="4608" width="9.1796875" style="649"/>
    <col min="4609" max="4609" width="36.26953125" style="649" customWidth="1"/>
    <col min="4610" max="4619" width="11.7265625" style="649" customWidth="1"/>
    <col min="4620" max="4620" width="12.1796875" style="649" customWidth="1"/>
    <col min="4621" max="4621" width="9.453125" style="649" customWidth="1"/>
    <col min="4622" max="4864" width="9.1796875" style="649"/>
    <col min="4865" max="4865" width="36.26953125" style="649" customWidth="1"/>
    <col min="4866" max="4875" width="11.7265625" style="649" customWidth="1"/>
    <col min="4876" max="4876" width="12.1796875" style="649" customWidth="1"/>
    <col min="4877" max="4877" width="9.453125" style="649" customWidth="1"/>
    <col min="4878" max="5120" width="9.1796875" style="649"/>
    <col min="5121" max="5121" width="36.26953125" style="649" customWidth="1"/>
    <col min="5122" max="5131" width="11.7265625" style="649" customWidth="1"/>
    <col min="5132" max="5132" width="12.1796875" style="649" customWidth="1"/>
    <col min="5133" max="5133" width="9.453125" style="649" customWidth="1"/>
    <col min="5134" max="5376" width="9.1796875" style="649"/>
    <col min="5377" max="5377" width="36.26953125" style="649" customWidth="1"/>
    <col min="5378" max="5387" width="11.7265625" style="649" customWidth="1"/>
    <col min="5388" max="5388" width="12.1796875" style="649" customWidth="1"/>
    <col min="5389" max="5389" width="9.453125" style="649" customWidth="1"/>
    <col min="5390" max="5632" width="9.1796875" style="649"/>
    <col min="5633" max="5633" width="36.26953125" style="649" customWidth="1"/>
    <col min="5634" max="5643" width="11.7265625" style="649" customWidth="1"/>
    <col min="5644" max="5644" width="12.1796875" style="649" customWidth="1"/>
    <col min="5645" max="5645" width="9.453125" style="649" customWidth="1"/>
    <col min="5646" max="5888" width="9.1796875" style="649"/>
    <col min="5889" max="5889" width="36.26953125" style="649" customWidth="1"/>
    <col min="5890" max="5899" width="11.7265625" style="649" customWidth="1"/>
    <col min="5900" max="5900" width="12.1796875" style="649" customWidth="1"/>
    <col min="5901" max="5901" width="9.453125" style="649" customWidth="1"/>
    <col min="5902" max="6144" width="9.1796875" style="649"/>
    <col min="6145" max="6145" width="36.26953125" style="649" customWidth="1"/>
    <col min="6146" max="6155" width="11.7265625" style="649" customWidth="1"/>
    <col min="6156" max="6156" width="12.1796875" style="649" customWidth="1"/>
    <col min="6157" max="6157" width="9.453125" style="649" customWidth="1"/>
    <col min="6158" max="6400" width="9.1796875" style="649"/>
    <col min="6401" max="6401" width="36.26953125" style="649" customWidth="1"/>
    <col min="6402" max="6411" width="11.7265625" style="649" customWidth="1"/>
    <col min="6412" max="6412" width="12.1796875" style="649" customWidth="1"/>
    <col min="6413" max="6413" width="9.453125" style="649" customWidth="1"/>
    <col min="6414" max="6656" width="9.1796875" style="649"/>
    <col min="6657" max="6657" width="36.26953125" style="649" customWidth="1"/>
    <col min="6658" max="6667" width="11.7265625" style="649" customWidth="1"/>
    <col min="6668" max="6668" width="12.1796875" style="649" customWidth="1"/>
    <col min="6669" max="6669" width="9.453125" style="649" customWidth="1"/>
    <col min="6670" max="6912" width="9.1796875" style="649"/>
    <col min="6913" max="6913" width="36.26953125" style="649" customWidth="1"/>
    <col min="6914" max="6923" width="11.7265625" style="649" customWidth="1"/>
    <col min="6924" max="6924" width="12.1796875" style="649" customWidth="1"/>
    <col min="6925" max="6925" width="9.453125" style="649" customWidth="1"/>
    <col min="6926" max="7168" width="9.1796875" style="649"/>
    <col min="7169" max="7169" width="36.26953125" style="649" customWidth="1"/>
    <col min="7170" max="7179" width="11.7265625" style="649" customWidth="1"/>
    <col min="7180" max="7180" width="12.1796875" style="649" customWidth="1"/>
    <col min="7181" max="7181" width="9.453125" style="649" customWidth="1"/>
    <col min="7182" max="7424" width="9.1796875" style="649"/>
    <col min="7425" max="7425" width="36.26953125" style="649" customWidth="1"/>
    <col min="7426" max="7435" width="11.7265625" style="649" customWidth="1"/>
    <col min="7436" max="7436" width="12.1796875" style="649" customWidth="1"/>
    <col min="7437" max="7437" width="9.453125" style="649" customWidth="1"/>
    <col min="7438" max="7680" width="9.1796875" style="649"/>
    <col min="7681" max="7681" width="36.26953125" style="649" customWidth="1"/>
    <col min="7682" max="7691" width="11.7265625" style="649" customWidth="1"/>
    <col min="7692" max="7692" width="12.1796875" style="649" customWidth="1"/>
    <col min="7693" max="7693" width="9.453125" style="649" customWidth="1"/>
    <col min="7694" max="7936" width="9.1796875" style="649"/>
    <col min="7937" max="7937" width="36.26953125" style="649" customWidth="1"/>
    <col min="7938" max="7947" width="11.7265625" style="649" customWidth="1"/>
    <col min="7948" max="7948" width="12.1796875" style="649" customWidth="1"/>
    <col min="7949" max="7949" width="9.453125" style="649" customWidth="1"/>
    <col min="7950" max="8192" width="9.1796875" style="649"/>
    <col min="8193" max="8193" width="36.26953125" style="649" customWidth="1"/>
    <col min="8194" max="8203" width="11.7265625" style="649" customWidth="1"/>
    <col min="8204" max="8204" width="12.1796875" style="649" customWidth="1"/>
    <col min="8205" max="8205" width="9.453125" style="649" customWidth="1"/>
    <col min="8206" max="8448" width="9.1796875" style="649"/>
    <col min="8449" max="8449" width="36.26953125" style="649" customWidth="1"/>
    <col min="8450" max="8459" width="11.7265625" style="649" customWidth="1"/>
    <col min="8460" max="8460" width="12.1796875" style="649" customWidth="1"/>
    <col min="8461" max="8461" width="9.453125" style="649" customWidth="1"/>
    <col min="8462" max="8704" width="9.1796875" style="649"/>
    <col min="8705" max="8705" width="36.26953125" style="649" customWidth="1"/>
    <col min="8706" max="8715" width="11.7265625" style="649" customWidth="1"/>
    <col min="8716" max="8716" width="12.1796875" style="649" customWidth="1"/>
    <col min="8717" max="8717" width="9.453125" style="649" customWidth="1"/>
    <col min="8718" max="8960" width="9.1796875" style="649"/>
    <col min="8961" max="8961" width="36.26953125" style="649" customWidth="1"/>
    <col min="8962" max="8971" width="11.7265625" style="649" customWidth="1"/>
    <col min="8972" max="8972" width="12.1796875" style="649" customWidth="1"/>
    <col min="8973" max="8973" width="9.453125" style="649" customWidth="1"/>
    <col min="8974" max="9216" width="9.1796875" style="649"/>
    <col min="9217" max="9217" width="36.26953125" style="649" customWidth="1"/>
    <col min="9218" max="9227" width="11.7265625" style="649" customWidth="1"/>
    <col min="9228" max="9228" width="12.1796875" style="649" customWidth="1"/>
    <col min="9229" max="9229" width="9.453125" style="649" customWidth="1"/>
    <col min="9230" max="9472" width="9.1796875" style="649"/>
    <col min="9473" max="9473" width="36.26953125" style="649" customWidth="1"/>
    <col min="9474" max="9483" width="11.7265625" style="649" customWidth="1"/>
    <col min="9484" max="9484" width="12.1796875" style="649" customWidth="1"/>
    <col min="9485" max="9485" width="9.453125" style="649" customWidth="1"/>
    <col min="9486" max="9728" width="9.1796875" style="649"/>
    <col min="9729" max="9729" width="36.26953125" style="649" customWidth="1"/>
    <col min="9730" max="9739" width="11.7265625" style="649" customWidth="1"/>
    <col min="9740" max="9740" width="12.1796875" style="649" customWidth="1"/>
    <col min="9741" max="9741" width="9.453125" style="649" customWidth="1"/>
    <col min="9742" max="9984" width="9.1796875" style="649"/>
    <col min="9985" max="9985" width="36.26953125" style="649" customWidth="1"/>
    <col min="9986" max="9995" width="11.7265625" style="649" customWidth="1"/>
    <col min="9996" max="9996" width="12.1796875" style="649" customWidth="1"/>
    <col min="9997" max="9997" width="9.453125" style="649" customWidth="1"/>
    <col min="9998" max="10240" width="9.1796875" style="649"/>
    <col min="10241" max="10241" width="36.26953125" style="649" customWidth="1"/>
    <col min="10242" max="10251" width="11.7265625" style="649" customWidth="1"/>
    <col min="10252" max="10252" width="12.1796875" style="649" customWidth="1"/>
    <col min="10253" max="10253" width="9.453125" style="649" customWidth="1"/>
    <col min="10254" max="10496" width="9.1796875" style="649"/>
    <col min="10497" max="10497" width="36.26953125" style="649" customWidth="1"/>
    <col min="10498" max="10507" width="11.7265625" style="649" customWidth="1"/>
    <col min="10508" max="10508" width="12.1796875" style="649" customWidth="1"/>
    <col min="10509" max="10509" width="9.453125" style="649" customWidth="1"/>
    <col min="10510" max="10752" width="9.1796875" style="649"/>
    <col min="10753" max="10753" width="36.26953125" style="649" customWidth="1"/>
    <col min="10754" max="10763" width="11.7265625" style="649" customWidth="1"/>
    <col min="10764" max="10764" width="12.1796875" style="649" customWidth="1"/>
    <col min="10765" max="10765" width="9.453125" style="649" customWidth="1"/>
    <col min="10766" max="11008" width="9.1796875" style="649"/>
    <col min="11009" max="11009" width="36.26953125" style="649" customWidth="1"/>
    <col min="11010" max="11019" width="11.7265625" style="649" customWidth="1"/>
    <col min="11020" max="11020" width="12.1796875" style="649" customWidth="1"/>
    <col min="11021" max="11021" width="9.453125" style="649" customWidth="1"/>
    <col min="11022" max="11264" width="9.1796875" style="649"/>
    <col min="11265" max="11265" width="36.26953125" style="649" customWidth="1"/>
    <col min="11266" max="11275" width="11.7265625" style="649" customWidth="1"/>
    <col min="11276" max="11276" width="12.1796875" style="649" customWidth="1"/>
    <col min="11277" max="11277" width="9.453125" style="649" customWidth="1"/>
    <col min="11278" max="11520" width="9.1796875" style="649"/>
    <col min="11521" max="11521" width="36.26953125" style="649" customWidth="1"/>
    <col min="11522" max="11531" width="11.7265625" style="649" customWidth="1"/>
    <col min="11532" max="11532" width="12.1796875" style="649" customWidth="1"/>
    <col min="11533" max="11533" width="9.453125" style="649" customWidth="1"/>
    <col min="11534" max="11776" width="9.1796875" style="649"/>
    <col min="11777" max="11777" width="36.26953125" style="649" customWidth="1"/>
    <col min="11778" max="11787" width="11.7265625" style="649" customWidth="1"/>
    <col min="11788" max="11788" width="12.1796875" style="649" customWidth="1"/>
    <col min="11789" max="11789" width="9.453125" style="649" customWidth="1"/>
    <col min="11790" max="12032" width="9.1796875" style="649"/>
    <col min="12033" max="12033" width="36.26953125" style="649" customWidth="1"/>
    <col min="12034" max="12043" width="11.7265625" style="649" customWidth="1"/>
    <col min="12044" max="12044" width="12.1796875" style="649" customWidth="1"/>
    <col min="12045" max="12045" width="9.453125" style="649" customWidth="1"/>
    <col min="12046" max="12288" width="9.1796875" style="649"/>
    <col min="12289" max="12289" width="36.26953125" style="649" customWidth="1"/>
    <col min="12290" max="12299" width="11.7265625" style="649" customWidth="1"/>
    <col min="12300" max="12300" width="12.1796875" style="649" customWidth="1"/>
    <col min="12301" max="12301" width="9.453125" style="649" customWidth="1"/>
    <col min="12302" max="12544" width="9.1796875" style="649"/>
    <col min="12545" max="12545" width="36.26953125" style="649" customWidth="1"/>
    <col min="12546" max="12555" width="11.7265625" style="649" customWidth="1"/>
    <col min="12556" max="12556" width="12.1796875" style="649" customWidth="1"/>
    <col min="12557" max="12557" width="9.453125" style="649" customWidth="1"/>
    <col min="12558" max="12800" width="9.1796875" style="649"/>
    <col min="12801" max="12801" width="36.26953125" style="649" customWidth="1"/>
    <col min="12802" max="12811" width="11.7265625" style="649" customWidth="1"/>
    <col min="12812" max="12812" width="12.1796875" style="649" customWidth="1"/>
    <col min="12813" max="12813" width="9.453125" style="649" customWidth="1"/>
    <col min="12814" max="13056" width="9.1796875" style="649"/>
    <col min="13057" max="13057" width="36.26953125" style="649" customWidth="1"/>
    <col min="13058" max="13067" width="11.7265625" style="649" customWidth="1"/>
    <col min="13068" max="13068" width="12.1796875" style="649" customWidth="1"/>
    <col min="13069" max="13069" width="9.453125" style="649" customWidth="1"/>
    <col min="13070" max="13312" width="9.1796875" style="649"/>
    <col min="13313" max="13313" width="36.26953125" style="649" customWidth="1"/>
    <col min="13314" max="13323" width="11.7265625" style="649" customWidth="1"/>
    <col min="13324" max="13324" width="12.1796875" style="649" customWidth="1"/>
    <col min="13325" max="13325" width="9.453125" style="649" customWidth="1"/>
    <col min="13326" max="13568" width="9.1796875" style="649"/>
    <col min="13569" max="13569" width="36.26953125" style="649" customWidth="1"/>
    <col min="13570" max="13579" width="11.7265625" style="649" customWidth="1"/>
    <col min="13580" max="13580" width="12.1796875" style="649" customWidth="1"/>
    <col min="13581" max="13581" width="9.453125" style="649" customWidth="1"/>
    <col min="13582" max="13824" width="9.1796875" style="649"/>
    <col min="13825" max="13825" width="36.26953125" style="649" customWidth="1"/>
    <col min="13826" max="13835" width="11.7265625" style="649" customWidth="1"/>
    <col min="13836" max="13836" width="12.1796875" style="649" customWidth="1"/>
    <col min="13837" max="13837" width="9.453125" style="649" customWidth="1"/>
    <col min="13838" max="14080" width="9.1796875" style="649"/>
    <col min="14081" max="14081" width="36.26953125" style="649" customWidth="1"/>
    <col min="14082" max="14091" width="11.7265625" style="649" customWidth="1"/>
    <col min="14092" max="14092" width="12.1796875" style="649" customWidth="1"/>
    <col min="14093" max="14093" width="9.453125" style="649" customWidth="1"/>
    <col min="14094" max="14336" width="9.1796875" style="649"/>
    <col min="14337" max="14337" width="36.26953125" style="649" customWidth="1"/>
    <col min="14338" max="14347" width="11.7265625" style="649" customWidth="1"/>
    <col min="14348" max="14348" width="12.1796875" style="649" customWidth="1"/>
    <col min="14349" max="14349" width="9.453125" style="649" customWidth="1"/>
    <col min="14350" max="14592" width="9.1796875" style="649"/>
    <col min="14593" max="14593" width="36.26953125" style="649" customWidth="1"/>
    <col min="14594" max="14603" width="11.7265625" style="649" customWidth="1"/>
    <col min="14604" max="14604" width="12.1796875" style="649" customWidth="1"/>
    <col min="14605" max="14605" width="9.453125" style="649" customWidth="1"/>
    <col min="14606" max="14848" width="9.1796875" style="649"/>
    <col min="14849" max="14849" width="36.26953125" style="649" customWidth="1"/>
    <col min="14850" max="14859" width="11.7265625" style="649" customWidth="1"/>
    <col min="14860" max="14860" width="12.1796875" style="649" customWidth="1"/>
    <col min="14861" max="14861" width="9.453125" style="649" customWidth="1"/>
    <col min="14862" max="15104" width="9.1796875" style="649"/>
    <col min="15105" max="15105" width="36.26953125" style="649" customWidth="1"/>
    <col min="15106" max="15115" width="11.7265625" style="649" customWidth="1"/>
    <col min="15116" max="15116" width="12.1796875" style="649" customWidth="1"/>
    <col min="15117" max="15117" width="9.453125" style="649" customWidth="1"/>
    <col min="15118" max="15360" width="9.1796875" style="649"/>
    <col min="15361" max="15361" width="36.26953125" style="649" customWidth="1"/>
    <col min="15362" max="15371" width="11.7265625" style="649" customWidth="1"/>
    <col min="15372" max="15372" width="12.1796875" style="649" customWidth="1"/>
    <col min="15373" max="15373" width="9.453125" style="649" customWidth="1"/>
    <col min="15374" max="15616" width="9.1796875" style="649"/>
    <col min="15617" max="15617" width="36.26953125" style="649" customWidth="1"/>
    <col min="15618" max="15627" width="11.7265625" style="649" customWidth="1"/>
    <col min="15628" max="15628" width="12.1796875" style="649" customWidth="1"/>
    <col min="15629" max="15629" width="9.453125" style="649" customWidth="1"/>
    <col min="15630" max="15872" width="9.1796875" style="649"/>
    <col min="15873" max="15873" width="36.26953125" style="649" customWidth="1"/>
    <col min="15874" max="15883" width="11.7265625" style="649" customWidth="1"/>
    <col min="15884" max="15884" width="12.1796875" style="649" customWidth="1"/>
    <col min="15885" max="15885" width="9.453125" style="649" customWidth="1"/>
    <col min="15886" max="16128" width="9.1796875" style="649"/>
    <col min="16129" max="16129" width="36.26953125" style="649" customWidth="1"/>
    <col min="16130" max="16139" width="11.7265625" style="649" customWidth="1"/>
    <col min="16140" max="16140" width="12.1796875" style="649" customWidth="1"/>
    <col min="16141" max="16141" width="9.453125" style="649" customWidth="1"/>
    <col min="16142" max="16384" width="9.1796875" style="649"/>
  </cols>
  <sheetData>
    <row r="1" spans="1:12" ht="18" customHeight="1" x14ac:dyDescent="0.3">
      <c r="A1" s="1041" t="s">
        <v>889</v>
      </c>
      <c r="B1" s="1041"/>
      <c r="C1" s="1041"/>
      <c r="D1" s="1041"/>
      <c r="E1" s="1041"/>
      <c r="F1" s="1041"/>
      <c r="G1" s="1041"/>
      <c r="H1" s="1041"/>
      <c r="I1" s="1041"/>
      <c r="J1" s="1041"/>
      <c r="K1" s="1041"/>
      <c r="L1" s="1041"/>
    </row>
    <row r="2" spans="1:12" ht="18" customHeight="1" x14ac:dyDescent="0.3">
      <c r="A2" s="1041" t="s">
        <v>890</v>
      </c>
      <c r="B2" s="1041"/>
      <c r="C2" s="1041"/>
      <c r="D2" s="1041"/>
      <c r="E2" s="1041"/>
      <c r="F2" s="1041"/>
      <c r="G2" s="1041"/>
      <c r="H2" s="1041"/>
      <c r="I2" s="1041"/>
      <c r="J2" s="1041"/>
      <c r="K2" s="1041"/>
      <c r="L2" s="1041"/>
    </row>
    <row r="3" spans="1:12" ht="18" customHeight="1" x14ac:dyDescent="0.3">
      <c r="A3" s="648"/>
      <c r="B3" s="648"/>
      <c r="C3" s="648"/>
      <c r="D3" s="648"/>
      <c r="E3" s="648"/>
      <c r="F3" s="648"/>
      <c r="G3" s="648"/>
      <c r="H3" s="648"/>
      <c r="I3" s="648"/>
      <c r="J3" s="648"/>
    </row>
    <row r="4" spans="1:12" ht="18" customHeight="1" x14ac:dyDescent="0.3">
      <c r="A4" s="1042" t="s">
        <v>952</v>
      </c>
      <c r="B4" s="1042"/>
      <c r="C4" s="1042"/>
      <c r="D4" s="1042"/>
      <c r="E4" s="1042"/>
      <c r="F4" s="1042"/>
      <c r="G4" s="1042"/>
      <c r="H4" s="1042"/>
      <c r="I4" s="1042"/>
      <c r="J4" s="1042"/>
      <c r="K4" s="1042"/>
    </row>
    <row r="5" spans="1:12" ht="18" customHeight="1" x14ac:dyDescent="0.3">
      <c r="L5" s="649" t="s">
        <v>926</v>
      </c>
    </row>
    <row r="6" spans="1:12" ht="18" customHeight="1" x14ac:dyDescent="0.3">
      <c r="A6" s="898"/>
      <c r="B6" s="471" t="s">
        <v>764</v>
      </c>
      <c r="C6" s="471" t="s">
        <v>769</v>
      </c>
      <c r="D6" s="471" t="s">
        <v>770</v>
      </c>
      <c r="E6" s="471" t="s">
        <v>771</v>
      </c>
      <c r="F6" s="471" t="s">
        <v>772</v>
      </c>
      <c r="G6" s="471" t="s">
        <v>773</v>
      </c>
      <c r="H6" s="471" t="s">
        <v>774</v>
      </c>
      <c r="I6" s="471" t="s">
        <v>775</v>
      </c>
      <c r="J6" s="471" t="s">
        <v>803</v>
      </c>
      <c r="K6" s="471" t="s">
        <v>804</v>
      </c>
      <c r="L6" s="471" t="s">
        <v>805</v>
      </c>
    </row>
    <row r="7" spans="1:12" ht="18" customHeight="1" x14ac:dyDescent="0.3">
      <c r="A7" s="899" t="s">
        <v>917</v>
      </c>
      <c r="B7" s="472" t="s">
        <v>927</v>
      </c>
      <c r="C7" s="472" t="s">
        <v>927</v>
      </c>
      <c r="D7" s="472" t="s">
        <v>927</v>
      </c>
      <c r="E7" s="472" t="s">
        <v>927</v>
      </c>
      <c r="F7" s="472" t="s">
        <v>927</v>
      </c>
      <c r="G7" s="472" t="s">
        <v>927</v>
      </c>
      <c r="H7" s="472" t="s">
        <v>927</v>
      </c>
      <c r="I7" s="472" t="s">
        <v>927</v>
      </c>
      <c r="J7" s="472" t="s">
        <v>927</v>
      </c>
      <c r="K7" s="472" t="s">
        <v>927</v>
      </c>
      <c r="L7" s="472" t="s">
        <v>927</v>
      </c>
    </row>
    <row r="8" spans="1:12" ht="18" customHeight="1" x14ac:dyDescent="0.3">
      <c r="A8" s="900" t="s">
        <v>953</v>
      </c>
      <c r="B8" s="898"/>
      <c r="C8" s="898"/>
      <c r="D8" s="898"/>
      <c r="E8" s="898"/>
      <c r="F8" s="898"/>
      <c r="G8" s="898"/>
      <c r="H8" s="898"/>
      <c r="I8" s="898"/>
      <c r="J8" s="898"/>
      <c r="K8" s="898"/>
      <c r="L8" s="898"/>
    </row>
    <row r="9" spans="1:12" ht="18" customHeight="1" x14ac:dyDescent="0.3">
      <c r="A9" s="898" t="s">
        <v>954</v>
      </c>
      <c r="B9" s="482">
        <v>25</v>
      </c>
      <c r="C9" s="482">
        <v>75</v>
      </c>
      <c r="D9" s="482">
        <v>100</v>
      </c>
      <c r="E9" s="482">
        <f t="shared" ref="E9:L9" si="0">+D9</f>
        <v>100</v>
      </c>
      <c r="F9" s="482">
        <f t="shared" si="0"/>
        <v>100</v>
      </c>
      <c r="G9" s="482">
        <f t="shared" si="0"/>
        <v>100</v>
      </c>
      <c r="H9" s="482">
        <f t="shared" si="0"/>
        <v>100</v>
      </c>
      <c r="I9" s="482">
        <f t="shared" si="0"/>
        <v>100</v>
      </c>
      <c r="J9" s="482">
        <f t="shared" si="0"/>
        <v>100</v>
      </c>
      <c r="K9" s="482">
        <f t="shared" si="0"/>
        <v>100</v>
      </c>
      <c r="L9" s="482">
        <f t="shared" si="0"/>
        <v>100</v>
      </c>
    </row>
    <row r="10" spans="1:12" ht="18" customHeight="1" x14ac:dyDescent="0.3">
      <c r="A10" s="898" t="s">
        <v>400</v>
      </c>
      <c r="B10" s="482">
        <v>0</v>
      </c>
      <c r="C10" s="482">
        <f>+B10+[2]Profitability!C30</f>
        <v>0</v>
      </c>
      <c r="D10" s="482">
        <f>+C10+[2]Profitability!D30</f>
        <v>25.447596291061799</v>
      </c>
      <c r="E10" s="482">
        <f>+D10+[2]Profitability!E30</f>
        <v>73.231205060760658</v>
      </c>
      <c r="F10" s="482">
        <f>+E10+[2]Profitability!F30</f>
        <v>142.13922020118403</v>
      </c>
      <c r="G10" s="482">
        <f>+F10+[2]Profitability!G30</f>
        <v>219.54897438262867</v>
      </c>
      <c r="H10" s="482">
        <f>+G10+[2]Profitability!H30</f>
        <v>306.50824820714547</v>
      </c>
      <c r="I10" s="482">
        <f>+H10+[2]Profitability!I30</f>
        <v>403.9516385468882</v>
      </c>
      <c r="J10" s="482">
        <f>+I10+[2]Profitability!J30</f>
        <v>512.49098626761804</v>
      </c>
      <c r="K10" s="482">
        <f>+J10+[2]Profitability!K30</f>
        <v>633.08397696838438</v>
      </c>
      <c r="L10" s="482">
        <f>+K10+[2]Profitability!L30</f>
        <v>766.62528987818905</v>
      </c>
    </row>
    <row r="11" spans="1:12" ht="18" customHeight="1" x14ac:dyDescent="0.3">
      <c r="A11" s="898" t="s">
        <v>955</v>
      </c>
      <c r="B11" s="482">
        <f>+'[2]term loans repayments'!E26</f>
        <v>0</v>
      </c>
      <c r="C11" s="482">
        <f>+'[2]term loans repayments'!F26</f>
        <v>100</v>
      </c>
      <c r="D11" s="482">
        <f>+'[2]term loans repayments'!G26</f>
        <v>200</v>
      </c>
      <c r="E11" s="482">
        <f>+'[2]term loans repayments'!H26</f>
        <v>185</v>
      </c>
      <c r="F11" s="482">
        <f>+'[2]term loans repayments'!I26</f>
        <v>165</v>
      </c>
      <c r="G11" s="482">
        <f>+'[2]term loans repayments'!J26</f>
        <v>140</v>
      </c>
      <c r="H11" s="482">
        <f>+'[2]term loans repayments'!K26</f>
        <v>110</v>
      </c>
      <c r="I11" s="482">
        <f>+'[2]term loans repayments'!L26</f>
        <v>80</v>
      </c>
      <c r="J11" s="482">
        <f>+'[2]term loans repayments'!M26</f>
        <v>45</v>
      </c>
      <c r="K11" s="482">
        <f>+'[2]term loans repayments'!N26</f>
        <v>10</v>
      </c>
      <c r="L11" s="482">
        <f>+'[2]term loans repayments'!O26</f>
        <v>0</v>
      </c>
    </row>
    <row r="12" spans="1:12" ht="18" customHeight="1" x14ac:dyDescent="0.3">
      <c r="A12" s="898" t="s">
        <v>956</v>
      </c>
      <c r="B12" s="482">
        <f>+'[2]term loans repayments'!E36</f>
        <v>25</v>
      </c>
      <c r="C12" s="482">
        <f>+'[2]term loans repayments'!F36</f>
        <v>25</v>
      </c>
      <c r="D12" s="482">
        <f>+'[2]term loans repayments'!G36</f>
        <v>0</v>
      </c>
      <c r="E12" s="482">
        <f>+'[2]term loans repayments'!H36</f>
        <v>0</v>
      </c>
      <c r="F12" s="482">
        <f>+'[2]term loans repayments'!I36</f>
        <v>0</v>
      </c>
      <c r="G12" s="482">
        <f>+'[2]term loans repayments'!J36</f>
        <v>0</v>
      </c>
      <c r="H12" s="482">
        <f>+'[2]term loans repayments'!K36</f>
        <v>0</v>
      </c>
      <c r="I12" s="482">
        <f>+'[2]term loans repayments'!L36</f>
        <v>0</v>
      </c>
      <c r="J12" s="482">
        <f>+'[2]term loans repayments'!M36</f>
        <v>0</v>
      </c>
      <c r="K12" s="482">
        <f>+'[2]term loans repayments'!N36</f>
        <v>0</v>
      </c>
      <c r="L12" s="482">
        <f>+'[2]term loans repayments'!O36</f>
        <v>0</v>
      </c>
    </row>
    <row r="13" spans="1:12" ht="18" customHeight="1" x14ac:dyDescent="0.3">
      <c r="A13" s="898" t="s">
        <v>957</v>
      </c>
      <c r="B13" s="482">
        <v>0</v>
      </c>
      <c r="C13" s="482">
        <f>+'[2]term loans repayments'!F44</f>
        <v>0</v>
      </c>
      <c r="D13" s="482">
        <f>+'[2]term loans repayments'!G44</f>
        <v>22.5</v>
      </c>
      <c r="E13" s="482">
        <f>+'[2]term loans repayments'!H44</f>
        <v>30</v>
      </c>
      <c r="F13" s="482">
        <f>+'[2]term loans repayments'!I44</f>
        <v>37.5</v>
      </c>
      <c r="G13" s="482">
        <f>+'[2]term loans repayments'!J44</f>
        <v>37.5</v>
      </c>
      <c r="H13" s="482">
        <f>+'[2]term loans repayments'!K44</f>
        <v>37.5</v>
      </c>
      <c r="I13" s="482">
        <f>+'[2]term loans repayments'!L44</f>
        <v>37.5</v>
      </c>
      <c r="J13" s="482">
        <f>+'[2]term loans repayments'!M44</f>
        <v>37.5</v>
      </c>
      <c r="K13" s="482">
        <f>+'[2]term loans repayments'!N44</f>
        <v>37.5</v>
      </c>
      <c r="L13" s="482">
        <f>+'[2]term loans repayments'!O44</f>
        <v>37.5</v>
      </c>
    </row>
    <row r="14" spans="1:12" ht="18" customHeight="1" x14ac:dyDescent="0.3">
      <c r="A14" s="898" t="s">
        <v>958</v>
      </c>
      <c r="B14" s="482">
        <v>3</v>
      </c>
      <c r="C14" s="482">
        <v>3</v>
      </c>
      <c r="D14" s="482">
        <f t="shared" ref="D14:L14" si="1">+C14</f>
        <v>3</v>
      </c>
      <c r="E14" s="482">
        <f t="shared" si="1"/>
        <v>3</v>
      </c>
      <c r="F14" s="482">
        <f t="shared" si="1"/>
        <v>3</v>
      </c>
      <c r="G14" s="482">
        <f t="shared" si="1"/>
        <v>3</v>
      </c>
      <c r="H14" s="482">
        <f t="shared" si="1"/>
        <v>3</v>
      </c>
      <c r="I14" s="482">
        <f t="shared" si="1"/>
        <v>3</v>
      </c>
      <c r="J14" s="482">
        <f t="shared" si="1"/>
        <v>3</v>
      </c>
      <c r="K14" s="482">
        <f t="shared" si="1"/>
        <v>3</v>
      </c>
      <c r="L14" s="482">
        <f t="shared" si="1"/>
        <v>3</v>
      </c>
    </row>
    <row r="15" spans="1:12" ht="18" customHeight="1" x14ac:dyDescent="0.3">
      <c r="A15" s="899" t="s">
        <v>959</v>
      </c>
      <c r="B15" s="475">
        <f t="shared" ref="B15:K15" si="2">SUM(B9:B14)</f>
        <v>53</v>
      </c>
      <c r="C15" s="475">
        <f t="shared" si="2"/>
        <v>203</v>
      </c>
      <c r="D15" s="475">
        <f t="shared" si="2"/>
        <v>350.94759629106181</v>
      </c>
      <c r="E15" s="475">
        <f t="shared" si="2"/>
        <v>391.23120506076066</v>
      </c>
      <c r="F15" s="475">
        <f t="shared" si="2"/>
        <v>447.639220201184</v>
      </c>
      <c r="G15" s="475">
        <f t="shared" si="2"/>
        <v>500.04897438262867</v>
      </c>
      <c r="H15" s="475">
        <f t="shared" si="2"/>
        <v>557.00824820714547</v>
      </c>
      <c r="I15" s="475">
        <f t="shared" si="2"/>
        <v>624.45163854688826</v>
      </c>
      <c r="J15" s="475">
        <f t="shared" si="2"/>
        <v>697.99098626761804</v>
      </c>
      <c r="K15" s="475">
        <f t="shared" si="2"/>
        <v>783.58397696838438</v>
      </c>
      <c r="L15" s="475">
        <f>SUM(L9:L14)</f>
        <v>907.12528987818905</v>
      </c>
    </row>
    <row r="16" spans="1:12" ht="18" customHeight="1" x14ac:dyDescent="0.3">
      <c r="A16" s="898"/>
      <c r="B16" s="482"/>
      <c r="C16" s="482"/>
      <c r="D16" s="482"/>
      <c r="E16" s="482"/>
      <c r="F16" s="482"/>
      <c r="G16" s="482"/>
      <c r="H16" s="482"/>
      <c r="I16" s="482"/>
      <c r="J16" s="482"/>
      <c r="K16" s="482"/>
      <c r="L16" s="482"/>
    </row>
    <row r="17" spans="1:14" ht="18" customHeight="1" x14ac:dyDescent="0.3">
      <c r="A17" s="900" t="s">
        <v>960</v>
      </c>
      <c r="B17" s="482"/>
      <c r="C17" s="482"/>
      <c r="D17" s="482"/>
      <c r="E17" s="482"/>
      <c r="F17" s="482"/>
      <c r="G17" s="482"/>
      <c r="H17" s="482"/>
      <c r="I17" s="482"/>
      <c r="J17" s="482"/>
      <c r="K17" s="482"/>
      <c r="L17" s="482"/>
    </row>
    <row r="18" spans="1:14" ht="18" customHeight="1" x14ac:dyDescent="0.3">
      <c r="A18" s="898" t="s">
        <v>961</v>
      </c>
      <c r="B18" s="482">
        <v>50</v>
      </c>
      <c r="C18" s="482">
        <f>+[2]Depriciation!E20</f>
        <v>200</v>
      </c>
      <c r="D18" s="482">
        <f>+[2]Depriciation!F20</f>
        <v>292.5</v>
      </c>
      <c r="E18" s="482">
        <f>+[2]Depriciation!G20</f>
        <v>292.5</v>
      </c>
      <c r="F18" s="482">
        <f>+[2]Depriciation!H20</f>
        <v>292.5</v>
      </c>
      <c r="G18" s="482">
        <f>+[2]Depriciation!I20</f>
        <v>292.5</v>
      </c>
      <c r="H18" s="482">
        <f>+[2]Depriciation!J20</f>
        <v>292.5</v>
      </c>
      <c r="I18" s="482">
        <f>+[2]Depriciation!K20</f>
        <v>292.5</v>
      </c>
      <c r="J18" s="482">
        <f>+[2]Depriciation!L20</f>
        <v>292.5</v>
      </c>
      <c r="K18" s="482">
        <f>+[2]Depriciation!M20</f>
        <v>292.5</v>
      </c>
      <c r="L18" s="482">
        <f>+[2]Depriciation!N20</f>
        <v>292.5</v>
      </c>
    </row>
    <row r="19" spans="1:14" ht="18" customHeight="1" x14ac:dyDescent="0.3">
      <c r="A19" s="898" t="s">
        <v>962</v>
      </c>
      <c r="B19" s="482">
        <v>0</v>
      </c>
      <c r="C19" s="482">
        <f>+[2]Depriciation!E24</f>
        <v>0</v>
      </c>
      <c r="D19" s="482">
        <f>+[2]Depriciation!F24</f>
        <v>7.8280000000000012</v>
      </c>
      <c r="E19" s="482">
        <f>+[2]Depriciation!G24</f>
        <v>18.265333333333334</v>
      </c>
      <c r="F19" s="482">
        <f>+[2]Depriciation!H24</f>
        <v>28.702666666666666</v>
      </c>
      <c r="G19" s="482">
        <f>+[2]Depriciation!I24</f>
        <v>39.14</v>
      </c>
      <c r="H19" s="482">
        <f>+[2]Depriciation!J24</f>
        <v>49.577333333333335</v>
      </c>
      <c r="I19" s="482">
        <f>+[2]Depriciation!K24</f>
        <v>60.01466666666667</v>
      </c>
      <c r="J19" s="482">
        <f>+[2]Depriciation!L24</f>
        <v>70.451999999999998</v>
      </c>
      <c r="K19" s="482">
        <f>+[2]Depriciation!M24</f>
        <v>80.889333333333326</v>
      </c>
      <c r="L19" s="482">
        <f>+[2]Depriciation!N24</f>
        <v>91.326666666666654</v>
      </c>
      <c r="N19" s="901"/>
    </row>
    <row r="20" spans="1:14" ht="18" customHeight="1" x14ac:dyDescent="0.3">
      <c r="A20" s="898" t="s">
        <v>963</v>
      </c>
      <c r="B20" s="475">
        <f t="shared" ref="B20:J20" si="3">B18-B19</f>
        <v>50</v>
      </c>
      <c r="C20" s="475">
        <f t="shared" si="3"/>
        <v>200</v>
      </c>
      <c r="D20" s="475">
        <f t="shared" si="3"/>
        <v>284.67200000000003</v>
      </c>
      <c r="E20" s="475">
        <f t="shared" si="3"/>
        <v>274.23466666666667</v>
      </c>
      <c r="F20" s="475">
        <f t="shared" si="3"/>
        <v>263.79733333333331</v>
      </c>
      <c r="G20" s="475">
        <f t="shared" si="3"/>
        <v>253.36</v>
      </c>
      <c r="H20" s="475">
        <f t="shared" si="3"/>
        <v>242.92266666666666</v>
      </c>
      <c r="I20" s="475">
        <f t="shared" si="3"/>
        <v>232.48533333333333</v>
      </c>
      <c r="J20" s="475">
        <f t="shared" si="3"/>
        <v>222.048</v>
      </c>
      <c r="K20" s="475">
        <f>K18-K19</f>
        <v>211.61066666666667</v>
      </c>
      <c r="L20" s="475">
        <f>L18-L19</f>
        <v>201.17333333333335</v>
      </c>
    </row>
    <row r="21" spans="1:14" ht="18" customHeight="1" x14ac:dyDescent="0.3">
      <c r="A21" s="898" t="s">
        <v>964</v>
      </c>
      <c r="B21" s="482"/>
      <c r="C21" s="482"/>
      <c r="D21" s="482">
        <f>+C21+'[2]Cash Flow'!E43</f>
        <v>30</v>
      </c>
      <c r="E21" s="482">
        <f>+D21+'[2]Cash Flow'!F43</f>
        <v>70</v>
      </c>
      <c r="F21" s="482">
        <f>+E21+'[2]Cash Flow'!G43</f>
        <v>120</v>
      </c>
      <c r="G21" s="482">
        <f>+F21+'[2]Cash Flow'!H43</f>
        <v>180</v>
      </c>
      <c r="H21" s="482">
        <f>+G21+'[2]Cash Flow'!I43</f>
        <v>250</v>
      </c>
      <c r="I21" s="482">
        <f>+H21+'[2]Cash Flow'!J43</f>
        <v>330</v>
      </c>
      <c r="J21" s="482">
        <f>+I21+'[2]Cash Flow'!K43</f>
        <v>410</v>
      </c>
      <c r="K21" s="482">
        <f>+J21+'[2]Cash Flow'!L43</f>
        <v>510</v>
      </c>
      <c r="L21" s="482">
        <f>+K21+'[2]Cash Flow'!M43</f>
        <v>630</v>
      </c>
    </row>
    <row r="22" spans="1:14" ht="18" customHeight="1" x14ac:dyDescent="0.3">
      <c r="A22" s="898" t="s">
        <v>379</v>
      </c>
      <c r="B22" s="482">
        <v>0</v>
      </c>
      <c r="C22" s="482">
        <v>0</v>
      </c>
      <c r="D22" s="482">
        <v>30</v>
      </c>
      <c r="E22" s="482">
        <v>40</v>
      </c>
      <c r="F22" s="482">
        <v>50</v>
      </c>
      <c r="G22" s="482">
        <f t="shared" ref="G22:L22" si="4">+F22</f>
        <v>50</v>
      </c>
      <c r="H22" s="482">
        <f t="shared" si="4"/>
        <v>50</v>
      </c>
      <c r="I22" s="482">
        <f t="shared" si="4"/>
        <v>50</v>
      </c>
      <c r="J22" s="482">
        <f t="shared" si="4"/>
        <v>50</v>
      </c>
      <c r="K22" s="482">
        <f t="shared" si="4"/>
        <v>50</v>
      </c>
      <c r="L22" s="482">
        <f t="shared" si="4"/>
        <v>50</v>
      </c>
    </row>
    <row r="23" spans="1:14" ht="18" customHeight="1" x14ac:dyDescent="0.3">
      <c r="A23" s="898" t="s">
        <v>965</v>
      </c>
      <c r="B23" s="482">
        <f>+'[2]Cash Flow'!C28</f>
        <v>3</v>
      </c>
      <c r="C23" s="482">
        <f>+'[2]Cash Flow'!D28</f>
        <v>1</v>
      </c>
      <c r="D23" s="482">
        <f>+'[2]Cash Flow'!E28</f>
        <v>4.2755962910617882</v>
      </c>
      <c r="E23" s="482">
        <f>+'[2]Cash Flow'!F28</f>
        <v>4.9965383940939887</v>
      </c>
      <c r="F23" s="482">
        <f>+'[2]Cash Flow'!G28</f>
        <v>11.84188686785069</v>
      </c>
      <c r="G23" s="482">
        <f>+'[2]Cash Flow'!H28</f>
        <v>14.688974382628643</v>
      </c>
      <c r="H23" s="482">
        <f>+'[2]Cash Flow'!I28</f>
        <v>12.085581540478771</v>
      </c>
      <c r="I23" s="482">
        <f>+'[2]Cash Flow'!J28</f>
        <v>9.9663052135548327</v>
      </c>
      <c r="J23" s="482">
        <f>+'[2]Cash Flow'!K28</f>
        <v>13.942986267618039</v>
      </c>
      <c r="K23" s="482">
        <f>+'[2]Cash Flow'!L28</f>
        <v>9.9733103017177598</v>
      </c>
      <c r="L23" s="482">
        <f>+'[2]Cash Flow'!M28</f>
        <v>23.951956544855761</v>
      </c>
    </row>
    <row r="24" spans="1:14" ht="18" customHeight="1" x14ac:dyDescent="0.3">
      <c r="A24" s="898" t="s">
        <v>966</v>
      </c>
      <c r="B24" s="482">
        <v>0</v>
      </c>
      <c r="C24" s="482">
        <v>2</v>
      </c>
      <c r="D24" s="482">
        <f>+C24</f>
        <v>2</v>
      </c>
      <c r="E24" s="482">
        <f t="shared" ref="E24:L24" si="5">+D24</f>
        <v>2</v>
      </c>
      <c r="F24" s="482">
        <f t="shared" si="5"/>
        <v>2</v>
      </c>
      <c r="G24" s="482">
        <f t="shared" si="5"/>
        <v>2</v>
      </c>
      <c r="H24" s="482">
        <f t="shared" si="5"/>
        <v>2</v>
      </c>
      <c r="I24" s="482">
        <f t="shared" si="5"/>
        <v>2</v>
      </c>
      <c r="J24" s="482">
        <f t="shared" si="5"/>
        <v>2</v>
      </c>
      <c r="K24" s="482">
        <f t="shared" si="5"/>
        <v>2</v>
      </c>
      <c r="L24" s="482">
        <f t="shared" si="5"/>
        <v>2</v>
      </c>
    </row>
    <row r="25" spans="1:14" ht="18" customHeight="1" x14ac:dyDescent="0.3">
      <c r="A25" s="899" t="s">
        <v>967</v>
      </c>
      <c r="B25" s="475">
        <f t="shared" ref="B25:J25" si="6">SUM(B20:B24)</f>
        <v>53</v>
      </c>
      <c r="C25" s="475">
        <f t="shared" si="6"/>
        <v>203</v>
      </c>
      <c r="D25" s="475">
        <f t="shared" si="6"/>
        <v>350.94759629106181</v>
      </c>
      <c r="E25" s="475">
        <f t="shared" si="6"/>
        <v>391.23120506076066</v>
      </c>
      <c r="F25" s="475">
        <f t="shared" si="6"/>
        <v>447.639220201184</v>
      </c>
      <c r="G25" s="475">
        <f t="shared" si="6"/>
        <v>500.04897438262867</v>
      </c>
      <c r="H25" s="475">
        <f t="shared" si="6"/>
        <v>557.00824820714536</v>
      </c>
      <c r="I25" s="475">
        <f t="shared" si="6"/>
        <v>624.45163854688815</v>
      </c>
      <c r="J25" s="475">
        <f t="shared" si="6"/>
        <v>697.99098626761804</v>
      </c>
      <c r="K25" s="475">
        <f>SUM(K20:K24)</f>
        <v>783.58397696838449</v>
      </c>
      <c r="L25" s="475">
        <f>SUM(L20:L24)</f>
        <v>907.12528987818916</v>
      </c>
    </row>
    <row r="26" spans="1:14" x14ac:dyDescent="0.3">
      <c r="A26" s="898"/>
      <c r="B26" s="483">
        <f t="shared" ref="B26:J26" si="7">B15-B25</f>
        <v>0</v>
      </c>
      <c r="C26" s="483">
        <f t="shared" si="7"/>
        <v>0</v>
      </c>
      <c r="D26" s="483">
        <f t="shared" si="7"/>
        <v>0</v>
      </c>
      <c r="E26" s="483">
        <f t="shared" si="7"/>
        <v>0</v>
      </c>
      <c r="F26" s="483">
        <f t="shared" si="7"/>
        <v>0</v>
      </c>
      <c r="G26" s="483">
        <f t="shared" si="7"/>
        <v>0</v>
      </c>
      <c r="H26" s="483">
        <f t="shared" si="7"/>
        <v>0</v>
      </c>
      <c r="I26" s="483">
        <f t="shared" si="7"/>
        <v>0</v>
      </c>
      <c r="J26" s="483">
        <f t="shared" si="7"/>
        <v>0</v>
      </c>
      <c r="K26" s="483">
        <f>K15-K25</f>
        <v>0</v>
      </c>
      <c r="L26" s="483">
        <f>L15-L25</f>
        <v>0</v>
      </c>
    </row>
    <row r="27" spans="1:14" hidden="1" x14ac:dyDescent="0.3">
      <c r="A27" s="898"/>
      <c r="B27" s="482"/>
      <c r="C27" s="482"/>
      <c r="D27" s="482"/>
      <c r="E27" s="482"/>
      <c r="F27" s="482"/>
      <c r="G27" s="482"/>
      <c r="H27" s="482"/>
      <c r="I27" s="482"/>
      <c r="J27" s="482"/>
      <c r="K27" s="482"/>
      <c r="L27" s="482"/>
    </row>
    <row r="28" spans="1:14" hidden="1" x14ac:dyDescent="0.3">
      <c r="A28" s="898"/>
      <c r="B28" s="482"/>
      <c r="C28" s="482"/>
      <c r="D28" s="482"/>
      <c r="E28" s="482"/>
      <c r="F28" s="482"/>
      <c r="G28" s="482"/>
      <c r="H28" s="482"/>
      <c r="I28" s="482"/>
      <c r="J28" s="482"/>
      <c r="K28" s="482"/>
      <c r="L28" s="482"/>
    </row>
    <row r="29" spans="1:14" hidden="1" x14ac:dyDescent="0.3">
      <c r="A29" s="898"/>
      <c r="B29" s="482"/>
      <c r="C29" s="482"/>
      <c r="D29" s="482"/>
      <c r="E29" s="482"/>
      <c r="F29" s="482"/>
      <c r="G29" s="482"/>
      <c r="H29" s="482"/>
      <c r="I29" s="482"/>
      <c r="J29" s="482"/>
      <c r="K29" s="482"/>
      <c r="L29" s="482"/>
    </row>
    <row r="30" spans="1:14" hidden="1" x14ac:dyDescent="0.3">
      <c r="A30" s="898"/>
      <c r="B30" s="482"/>
      <c r="C30" s="482"/>
      <c r="D30" s="482"/>
      <c r="E30" s="482"/>
      <c r="F30" s="482"/>
      <c r="G30" s="482"/>
      <c r="H30" s="482"/>
      <c r="I30" s="482"/>
      <c r="J30" s="482"/>
      <c r="K30" s="482"/>
      <c r="L30" s="482"/>
    </row>
    <row r="31" spans="1:14" hidden="1" x14ac:dyDescent="0.3">
      <c r="A31" s="898"/>
      <c r="B31" s="482"/>
      <c r="C31" s="482"/>
      <c r="D31" s="482"/>
      <c r="E31" s="482"/>
      <c r="F31" s="482"/>
      <c r="G31" s="482"/>
      <c r="H31" s="482"/>
      <c r="I31" s="482"/>
      <c r="J31" s="482"/>
      <c r="K31" s="482"/>
      <c r="L31" s="482"/>
    </row>
    <row r="32" spans="1:14" hidden="1" x14ac:dyDescent="0.3">
      <c r="A32" s="898"/>
      <c r="B32" s="482"/>
      <c r="C32" s="482"/>
      <c r="D32" s="482"/>
      <c r="E32" s="482"/>
      <c r="F32" s="482"/>
      <c r="G32" s="482"/>
      <c r="H32" s="482"/>
      <c r="I32" s="482"/>
      <c r="J32" s="482"/>
      <c r="K32" s="482"/>
      <c r="L32" s="482"/>
    </row>
    <row r="33" spans="1:12" hidden="1" x14ac:dyDescent="0.3">
      <c r="A33" s="898"/>
      <c r="B33" s="482"/>
      <c r="C33" s="482"/>
      <c r="D33" s="482"/>
      <c r="E33" s="482"/>
      <c r="F33" s="482"/>
      <c r="G33" s="482"/>
      <c r="H33" s="482"/>
      <c r="I33" s="482"/>
      <c r="J33" s="482"/>
      <c r="K33" s="482"/>
      <c r="L33" s="482"/>
    </row>
    <row r="34" spans="1:12" hidden="1" x14ac:dyDescent="0.3">
      <c r="A34" s="898"/>
      <c r="B34" s="482"/>
      <c r="C34" s="482"/>
      <c r="D34" s="482"/>
      <c r="E34" s="482"/>
      <c r="F34" s="482"/>
      <c r="G34" s="482"/>
      <c r="H34" s="482"/>
      <c r="I34" s="482"/>
      <c r="J34" s="482"/>
      <c r="K34" s="482"/>
      <c r="L34" s="482"/>
    </row>
    <row r="35" spans="1:12" hidden="1" x14ac:dyDescent="0.3">
      <c r="A35" s="898"/>
      <c r="B35" s="482"/>
      <c r="C35" s="482"/>
      <c r="D35" s="482"/>
      <c r="E35" s="482"/>
      <c r="F35" s="482"/>
      <c r="G35" s="482"/>
      <c r="H35" s="482"/>
      <c r="I35" s="482"/>
      <c r="J35" s="482"/>
      <c r="K35" s="482"/>
      <c r="L35" s="482"/>
    </row>
    <row r="36" spans="1:12" hidden="1" x14ac:dyDescent="0.3">
      <c r="A36" s="898"/>
      <c r="B36" s="471" t="s">
        <v>968</v>
      </c>
      <c r="C36" s="471" t="s">
        <v>968</v>
      </c>
      <c r="D36" s="471" t="s">
        <v>968</v>
      </c>
      <c r="E36" s="471" t="s">
        <v>968</v>
      </c>
      <c r="F36" s="471" t="s">
        <v>968</v>
      </c>
      <c r="G36" s="471" t="s">
        <v>968</v>
      </c>
      <c r="H36" s="471" t="s">
        <v>968</v>
      </c>
      <c r="I36" s="471" t="s">
        <v>968</v>
      </c>
      <c r="J36" s="471" t="s">
        <v>968</v>
      </c>
      <c r="K36" s="471" t="s">
        <v>968</v>
      </c>
      <c r="L36" s="471" t="s">
        <v>968</v>
      </c>
    </row>
    <row r="37" spans="1:12" hidden="1" x14ac:dyDescent="0.3">
      <c r="A37" s="899" t="s">
        <v>917</v>
      </c>
      <c r="B37" s="898"/>
      <c r="C37" s="898"/>
      <c r="D37" s="898"/>
      <c r="E37" s="898"/>
      <c r="F37" s="898"/>
      <c r="G37" s="898"/>
      <c r="H37" s="898"/>
      <c r="I37" s="898"/>
      <c r="J37" s="898"/>
      <c r="K37" s="898"/>
      <c r="L37" s="898"/>
    </row>
    <row r="38" spans="1:12" hidden="1" x14ac:dyDescent="0.3">
      <c r="A38" s="898"/>
      <c r="B38" s="902" t="s">
        <v>927</v>
      </c>
      <c r="C38" s="902" t="s">
        <v>927</v>
      </c>
      <c r="D38" s="902" t="s">
        <v>927</v>
      </c>
      <c r="E38" s="902" t="s">
        <v>927</v>
      </c>
      <c r="F38" s="902" t="s">
        <v>927</v>
      </c>
      <c r="G38" s="902" t="s">
        <v>927</v>
      </c>
      <c r="H38" s="902" t="s">
        <v>927</v>
      </c>
      <c r="I38" s="902" t="s">
        <v>927</v>
      </c>
      <c r="J38" s="902" t="s">
        <v>927</v>
      </c>
      <c r="K38" s="902" t="s">
        <v>927</v>
      </c>
      <c r="L38" s="902" t="s">
        <v>927</v>
      </c>
    </row>
    <row r="39" spans="1:12" x14ac:dyDescent="0.3">
      <c r="A39" s="900" t="s">
        <v>947</v>
      </c>
      <c r="B39" s="484"/>
      <c r="C39" s="484"/>
      <c r="D39" s="484"/>
      <c r="E39" s="484"/>
      <c r="F39" s="484"/>
      <c r="G39" s="484"/>
      <c r="H39" s="484"/>
      <c r="I39" s="484"/>
      <c r="J39" s="484"/>
      <c r="K39" s="484"/>
      <c r="L39" s="484"/>
    </row>
    <row r="40" spans="1:12" s="660" customFormat="1" x14ac:dyDescent="0.3">
      <c r="A40" s="898" t="s">
        <v>969</v>
      </c>
      <c r="B40" s="482"/>
      <c r="C40" s="482">
        <f>+C11/(C9+C10+C12)</f>
        <v>1</v>
      </c>
      <c r="D40" s="482">
        <f t="shared" ref="D40:K40" si="8">+D11/(D9+D10+D12)</f>
        <v>1.5942912093426065</v>
      </c>
      <c r="E40" s="482">
        <f t="shared" si="8"/>
        <v>1.067936922421751</v>
      </c>
      <c r="F40" s="482">
        <f t="shared" si="8"/>
        <v>0.68142616410058621</v>
      </c>
      <c r="G40" s="482">
        <f t="shared" si="8"/>
        <v>0.43811750693451978</v>
      </c>
      <c r="H40" s="482">
        <f t="shared" si="8"/>
        <v>0.27059721539511544</v>
      </c>
      <c r="I40" s="482">
        <f t="shared" si="8"/>
        <v>0.15874539118609635</v>
      </c>
      <c r="J40" s="482">
        <f t="shared" si="8"/>
        <v>7.3470468968400426E-2</v>
      </c>
      <c r="K40" s="482">
        <f t="shared" si="8"/>
        <v>1.3641002005465015E-2</v>
      </c>
      <c r="L40" s="482">
        <f>+L11/(L9+L10+L12)</f>
        <v>0</v>
      </c>
    </row>
    <row r="41" spans="1:12" s="660" customFormat="1" x14ac:dyDescent="0.3">
      <c r="A41" s="898" t="s">
        <v>970</v>
      </c>
      <c r="B41" s="482"/>
      <c r="C41" s="482">
        <f>(C22+C23+C24+C21)/(C13+C14)</f>
        <v>1</v>
      </c>
      <c r="D41" s="482">
        <f t="shared" ref="D41:J41" si="9">(D22+D23+D24+D21)/(D13+D14)</f>
        <v>2.5990429918063445</v>
      </c>
      <c r="E41" s="482">
        <f t="shared" si="9"/>
        <v>3.5453496483058786</v>
      </c>
      <c r="F41" s="482">
        <f t="shared" si="9"/>
        <v>4.5393058485889055</v>
      </c>
      <c r="G41" s="482">
        <f t="shared" si="9"/>
        <v>6.0910857872253992</v>
      </c>
      <c r="H41" s="482">
        <f t="shared" si="9"/>
        <v>7.7551995442093524</v>
      </c>
      <c r="I41" s="482">
        <f t="shared" si="9"/>
        <v>9.6781803756433291</v>
      </c>
      <c r="J41" s="482">
        <f t="shared" si="9"/>
        <v>11.751678673274519</v>
      </c>
      <c r="K41" s="482">
        <f>(K22+K23+K24+K21)/(K13+K14)</f>
        <v>14.122797785227601</v>
      </c>
      <c r="L41" s="482">
        <f>(L22+L23+L24+L21)/(L13+L14)</f>
        <v>17.430912507280389</v>
      </c>
    </row>
    <row r="42" spans="1:12" s="660" customFormat="1" x14ac:dyDescent="0.3">
      <c r="A42" s="898" t="s">
        <v>971</v>
      </c>
      <c r="B42" s="482"/>
      <c r="C42" s="482">
        <f t="shared" ref="C42:K42" si="10">(C22+C23+C24+C21)/(C13+C14++C49)</f>
        <v>1</v>
      </c>
      <c r="D42" s="482">
        <f t="shared" si="10"/>
        <v>1.6364344763225134</v>
      </c>
      <c r="E42" s="482">
        <f t="shared" si="10"/>
        <v>2.2074818564923393</v>
      </c>
      <c r="F42" s="482">
        <f t="shared" si="10"/>
        <v>2.8067463643946668</v>
      </c>
      <c r="G42" s="482">
        <f t="shared" si="10"/>
        <v>3.4991343884060804</v>
      </c>
      <c r="H42" s="482">
        <f t="shared" si="10"/>
        <v>4.4551146317798409</v>
      </c>
      <c r="I42" s="482">
        <f t="shared" si="10"/>
        <v>5.1916066915702626</v>
      </c>
      <c r="J42" s="482">
        <f t="shared" si="10"/>
        <v>6.3038806128161333</v>
      </c>
      <c r="K42" s="482">
        <f t="shared" si="10"/>
        <v>11.326204164390452</v>
      </c>
      <c r="L42" s="482">
        <f>(L22+L23+L24+L21)/(L13+L14++L49)</f>
        <v>17.430912507280389</v>
      </c>
    </row>
    <row r="43" spans="1:12" s="660" customFormat="1" x14ac:dyDescent="0.3">
      <c r="A43" s="898" t="s">
        <v>972</v>
      </c>
      <c r="B43" s="903"/>
      <c r="C43" s="903">
        <f t="shared" ref="C43:J43" si="11">(+C20)/(C11)</f>
        <v>2</v>
      </c>
      <c r="D43" s="903">
        <f t="shared" si="11"/>
        <v>1.4233600000000002</v>
      </c>
      <c r="E43" s="903">
        <f t="shared" si="11"/>
        <v>1.4823495495495496</v>
      </c>
      <c r="F43" s="903">
        <f t="shared" si="11"/>
        <v>1.5987717171717171</v>
      </c>
      <c r="G43" s="903">
        <f t="shared" si="11"/>
        <v>1.8097142857142858</v>
      </c>
      <c r="H43" s="903">
        <f t="shared" si="11"/>
        <v>2.2083878787878786</v>
      </c>
      <c r="I43" s="903">
        <f t="shared" si="11"/>
        <v>2.9060666666666668</v>
      </c>
      <c r="J43" s="903">
        <f t="shared" si="11"/>
        <v>4.9344000000000001</v>
      </c>
      <c r="K43" s="903"/>
      <c r="L43" s="903"/>
    </row>
    <row r="44" spans="1:12" s="660" customFormat="1" x14ac:dyDescent="0.3">
      <c r="A44" s="898" t="s">
        <v>973</v>
      </c>
      <c r="B44" s="903"/>
      <c r="C44" s="903">
        <f t="shared" ref="C44:K44" si="12">(+C13+C14+C11)/(C9+C10)</f>
        <v>1.3733333333333333</v>
      </c>
      <c r="D44" s="903">
        <f t="shared" si="12"/>
        <v>1.7975633385337888</v>
      </c>
      <c r="E44" s="903">
        <f t="shared" si="12"/>
        <v>1.258433778853739</v>
      </c>
      <c r="F44" s="903">
        <f t="shared" si="12"/>
        <v>0.84868531347073006</v>
      </c>
      <c r="G44" s="903">
        <f t="shared" si="12"/>
        <v>0.56485864286914866</v>
      </c>
      <c r="H44" s="903">
        <f t="shared" si="12"/>
        <v>0.37022619015422614</v>
      </c>
      <c r="I44" s="903">
        <f t="shared" si="12"/>
        <v>0.23911024547405763</v>
      </c>
      <c r="J44" s="903">
        <f t="shared" si="12"/>
        <v>0.13959389103996081</v>
      </c>
      <c r="K44" s="903">
        <f t="shared" si="12"/>
        <v>6.8887060127598321E-2</v>
      </c>
      <c r="L44" s="903">
        <f>(+L13+L14+L11)/(L9+L10)</f>
        <v>4.6733000378621069E-2</v>
      </c>
    </row>
    <row r="45" spans="1:12" s="660" customFormat="1" x14ac:dyDescent="0.3">
      <c r="A45" s="658"/>
      <c r="B45" s="904"/>
      <c r="C45" s="904"/>
      <c r="D45" s="904"/>
      <c r="E45" s="904"/>
      <c r="F45" s="904"/>
      <c r="G45" s="904"/>
      <c r="H45" s="904"/>
      <c r="I45" s="904"/>
      <c r="J45" s="904"/>
    </row>
    <row r="46" spans="1:12" s="660" customFormat="1" x14ac:dyDescent="0.3">
      <c r="A46" s="658"/>
      <c r="B46" s="904"/>
      <c r="C46" s="904"/>
      <c r="D46" s="904"/>
      <c r="E46" s="904"/>
      <c r="F46" s="904"/>
      <c r="G46" s="904"/>
      <c r="H46" s="904"/>
      <c r="I46" s="904"/>
      <c r="J46" s="904"/>
    </row>
    <row r="48" spans="1:12" x14ac:dyDescent="0.3">
      <c r="C48" s="661"/>
      <c r="D48" s="901"/>
      <c r="E48" s="901"/>
      <c r="F48" s="901"/>
      <c r="G48" s="901"/>
      <c r="H48" s="901"/>
      <c r="I48" s="901"/>
      <c r="J48" s="901"/>
    </row>
    <row r="49" spans="1:12" x14ac:dyDescent="0.3">
      <c r="A49" s="649" t="s">
        <v>974</v>
      </c>
      <c r="B49" s="661">
        <f>+'[2]Cash Flow'!D22</f>
        <v>0</v>
      </c>
      <c r="C49" s="661">
        <f>+'[2]Cash Flow'!E22</f>
        <v>0</v>
      </c>
      <c r="D49" s="661">
        <f>+'[2]Cash Flow'!F22</f>
        <v>15</v>
      </c>
      <c r="E49" s="661">
        <f>+'[2]Cash Flow'!G22</f>
        <v>20</v>
      </c>
      <c r="F49" s="661">
        <f>+'[2]Cash Flow'!H22</f>
        <v>25</v>
      </c>
      <c r="G49" s="661">
        <f>+'[2]Cash Flow'!I22</f>
        <v>30</v>
      </c>
      <c r="H49" s="661">
        <f>+'[2]Cash Flow'!J22</f>
        <v>30</v>
      </c>
      <c r="I49" s="661">
        <f>+'[2]Cash Flow'!K22</f>
        <v>35</v>
      </c>
      <c r="J49" s="661">
        <f>+'[2]Cash Flow'!L22</f>
        <v>35</v>
      </c>
      <c r="K49" s="661">
        <f>+'[2]Cash Flow'!M22</f>
        <v>10</v>
      </c>
      <c r="L49" s="661">
        <f>+'[2]Cash Flow'!N22</f>
        <v>0</v>
      </c>
    </row>
    <row r="52" spans="1:12" x14ac:dyDescent="0.3">
      <c r="A52" s="905"/>
    </row>
    <row r="53" spans="1:12" x14ac:dyDescent="0.3">
      <c r="A53" s="905"/>
    </row>
  </sheetData>
  <mergeCells count="3">
    <mergeCell ref="A4:K4"/>
    <mergeCell ref="A1:L1"/>
    <mergeCell ref="A2:L2"/>
  </mergeCells>
  <printOptions horizontalCentered="1"/>
  <pageMargins left="0.70866141732283472" right="0.70866141732283472" top="0.74803149606299213" bottom="0.74803149606299213" header="0.31496062992125984" footer="0.31496062992125984"/>
  <pageSetup scale="7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7C75-ECCB-45C2-9DF1-95EF454A3483}">
  <sheetPr>
    <pageSetUpPr fitToPage="1"/>
  </sheetPr>
  <dimension ref="A1:M49"/>
  <sheetViews>
    <sheetView topLeftCell="A28" zoomScaleNormal="100" workbookViewId="0">
      <selection activeCell="A28" sqref="A1:XFD1048576"/>
    </sheetView>
  </sheetViews>
  <sheetFormatPr defaultRowHeight="14.5" x14ac:dyDescent="0.35"/>
  <cols>
    <col min="1" max="1" width="4.54296875" customWidth="1"/>
    <col min="2" max="2" width="38.7265625" customWidth="1"/>
    <col min="3" max="3" width="12.1796875" customWidth="1"/>
    <col min="4" max="13" width="12.81640625" customWidth="1"/>
    <col min="257" max="257" width="4.54296875" customWidth="1"/>
    <col min="258" max="258" width="38.7265625" customWidth="1"/>
    <col min="259" max="259" width="12.1796875" customWidth="1"/>
    <col min="260" max="269" width="12.81640625" customWidth="1"/>
    <col min="513" max="513" width="4.54296875" customWidth="1"/>
    <col min="514" max="514" width="38.7265625" customWidth="1"/>
    <col min="515" max="515" width="12.1796875" customWidth="1"/>
    <col min="516" max="525" width="12.81640625" customWidth="1"/>
    <col min="769" max="769" width="4.54296875" customWidth="1"/>
    <col min="770" max="770" width="38.7265625" customWidth="1"/>
    <col min="771" max="771" width="12.1796875" customWidth="1"/>
    <col min="772" max="781" width="12.81640625" customWidth="1"/>
    <col min="1025" max="1025" width="4.54296875" customWidth="1"/>
    <col min="1026" max="1026" width="38.7265625" customWidth="1"/>
    <col min="1027" max="1027" width="12.1796875" customWidth="1"/>
    <col min="1028" max="1037" width="12.81640625" customWidth="1"/>
    <col min="1281" max="1281" width="4.54296875" customWidth="1"/>
    <col min="1282" max="1282" width="38.7265625" customWidth="1"/>
    <col min="1283" max="1283" width="12.1796875" customWidth="1"/>
    <col min="1284" max="1293" width="12.81640625" customWidth="1"/>
    <col min="1537" max="1537" width="4.54296875" customWidth="1"/>
    <col min="1538" max="1538" width="38.7265625" customWidth="1"/>
    <col min="1539" max="1539" width="12.1796875" customWidth="1"/>
    <col min="1540" max="1549" width="12.81640625" customWidth="1"/>
    <col min="1793" max="1793" width="4.54296875" customWidth="1"/>
    <col min="1794" max="1794" width="38.7265625" customWidth="1"/>
    <col min="1795" max="1795" width="12.1796875" customWidth="1"/>
    <col min="1796" max="1805" width="12.81640625" customWidth="1"/>
    <col min="2049" max="2049" width="4.54296875" customWidth="1"/>
    <col min="2050" max="2050" width="38.7265625" customWidth="1"/>
    <col min="2051" max="2051" width="12.1796875" customWidth="1"/>
    <col min="2052" max="2061" width="12.81640625" customWidth="1"/>
    <col min="2305" max="2305" width="4.54296875" customWidth="1"/>
    <col min="2306" max="2306" width="38.7265625" customWidth="1"/>
    <col min="2307" max="2307" width="12.1796875" customWidth="1"/>
    <col min="2308" max="2317" width="12.81640625" customWidth="1"/>
    <col min="2561" max="2561" width="4.54296875" customWidth="1"/>
    <col min="2562" max="2562" width="38.7265625" customWidth="1"/>
    <col min="2563" max="2563" width="12.1796875" customWidth="1"/>
    <col min="2564" max="2573" width="12.81640625" customWidth="1"/>
    <col min="2817" max="2817" width="4.54296875" customWidth="1"/>
    <col min="2818" max="2818" width="38.7265625" customWidth="1"/>
    <col min="2819" max="2819" width="12.1796875" customWidth="1"/>
    <col min="2820" max="2829" width="12.81640625" customWidth="1"/>
    <col min="3073" max="3073" width="4.54296875" customWidth="1"/>
    <col min="3074" max="3074" width="38.7265625" customWidth="1"/>
    <col min="3075" max="3075" width="12.1796875" customWidth="1"/>
    <col min="3076" max="3085" width="12.81640625" customWidth="1"/>
    <col min="3329" max="3329" width="4.54296875" customWidth="1"/>
    <col min="3330" max="3330" width="38.7265625" customWidth="1"/>
    <col min="3331" max="3331" width="12.1796875" customWidth="1"/>
    <col min="3332" max="3341" width="12.81640625" customWidth="1"/>
    <col min="3585" max="3585" width="4.54296875" customWidth="1"/>
    <col min="3586" max="3586" width="38.7265625" customWidth="1"/>
    <col min="3587" max="3587" width="12.1796875" customWidth="1"/>
    <col min="3588" max="3597" width="12.81640625" customWidth="1"/>
    <col min="3841" max="3841" width="4.54296875" customWidth="1"/>
    <col min="3842" max="3842" width="38.7265625" customWidth="1"/>
    <col min="3843" max="3843" width="12.1796875" customWidth="1"/>
    <col min="3844" max="3853" width="12.81640625" customWidth="1"/>
    <col min="4097" max="4097" width="4.54296875" customWidth="1"/>
    <col min="4098" max="4098" width="38.7265625" customWidth="1"/>
    <col min="4099" max="4099" width="12.1796875" customWidth="1"/>
    <col min="4100" max="4109" width="12.81640625" customWidth="1"/>
    <col min="4353" max="4353" width="4.54296875" customWidth="1"/>
    <col min="4354" max="4354" width="38.7265625" customWidth="1"/>
    <col min="4355" max="4355" width="12.1796875" customWidth="1"/>
    <col min="4356" max="4365" width="12.81640625" customWidth="1"/>
    <col min="4609" max="4609" width="4.54296875" customWidth="1"/>
    <col min="4610" max="4610" width="38.7265625" customWidth="1"/>
    <col min="4611" max="4611" width="12.1796875" customWidth="1"/>
    <col min="4612" max="4621" width="12.81640625" customWidth="1"/>
    <col min="4865" max="4865" width="4.54296875" customWidth="1"/>
    <col min="4866" max="4866" width="38.7265625" customWidth="1"/>
    <col min="4867" max="4867" width="12.1796875" customWidth="1"/>
    <col min="4868" max="4877" width="12.81640625" customWidth="1"/>
    <col min="5121" max="5121" width="4.54296875" customWidth="1"/>
    <col min="5122" max="5122" width="38.7265625" customWidth="1"/>
    <col min="5123" max="5123" width="12.1796875" customWidth="1"/>
    <col min="5124" max="5133" width="12.81640625" customWidth="1"/>
    <col min="5377" max="5377" width="4.54296875" customWidth="1"/>
    <col min="5378" max="5378" width="38.7265625" customWidth="1"/>
    <col min="5379" max="5379" width="12.1796875" customWidth="1"/>
    <col min="5380" max="5389" width="12.81640625" customWidth="1"/>
    <col min="5633" max="5633" width="4.54296875" customWidth="1"/>
    <col min="5634" max="5634" width="38.7265625" customWidth="1"/>
    <col min="5635" max="5635" width="12.1796875" customWidth="1"/>
    <col min="5636" max="5645" width="12.81640625" customWidth="1"/>
    <col min="5889" max="5889" width="4.54296875" customWidth="1"/>
    <col min="5890" max="5890" width="38.7265625" customWidth="1"/>
    <col min="5891" max="5891" width="12.1796875" customWidth="1"/>
    <col min="5892" max="5901" width="12.81640625" customWidth="1"/>
    <col min="6145" max="6145" width="4.54296875" customWidth="1"/>
    <col min="6146" max="6146" width="38.7265625" customWidth="1"/>
    <col min="6147" max="6147" width="12.1796875" customWidth="1"/>
    <col min="6148" max="6157" width="12.81640625" customWidth="1"/>
    <col min="6401" max="6401" width="4.54296875" customWidth="1"/>
    <col min="6402" max="6402" width="38.7265625" customWidth="1"/>
    <col min="6403" max="6403" width="12.1796875" customWidth="1"/>
    <col min="6404" max="6413" width="12.81640625" customWidth="1"/>
    <col min="6657" max="6657" width="4.54296875" customWidth="1"/>
    <col min="6658" max="6658" width="38.7265625" customWidth="1"/>
    <col min="6659" max="6659" width="12.1796875" customWidth="1"/>
    <col min="6660" max="6669" width="12.81640625" customWidth="1"/>
    <col min="6913" max="6913" width="4.54296875" customWidth="1"/>
    <col min="6914" max="6914" width="38.7265625" customWidth="1"/>
    <col min="6915" max="6915" width="12.1796875" customWidth="1"/>
    <col min="6916" max="6925" width="12.81640625" customWidth="1"/>
    <col min="7169" max="7169" width="4.54296875" customWidth="1"/>
    <col min="7170" max="7170" width="38.7265625" customWidth="1"/>
    <col min="7171" max="7171" width="12.1796875" customWidth="1"/>
    <col min="7172" max="7181" width="12.81640625" customWidth="1"/>
    <col min="7425" max="7425" width="4.54296875" customWidth="1"/>
    <col min="7426" max="7426" width="38.7265625" customWidth="1"/>
    <col min="7427" max="7427" width="12.1796875" customWidth="1"/>
    <col min="7428" max="7437" width="12.81640625" customWidth="1"/>
    <col min="7681" max="7681" width="4.54296875" customWidth="1"/>
    <col min="7682" max="7682" width="38.7265625" customWidth="1"/>
    <col min="7683" max="7683" width="12.1796875" customWidth="1"/>
    <col min="7684" max="7693" width="12.81640625" customWidth="1"/>
    <col min="7937" max="7937" width="4.54296875" customWidth="1"/>
    <col min="7938" max="7938" width="38.7265625" customWidth="1"/>
    <col min="7939" max="7939" width="12.1796875" customWidth="1"/>
    <col min="7940" max="7949" width="12.81640625" customWidth="1"/>
    <col min="8193" max="8193" width="4.54296875" customWidth="1"/>
    <col min="8194" max="8194" width="38.7265625" customWidth="1"/>
    <col min="8195" max="8195" width="12.1796875" customWidth="1"/>
    <col min="8196" max="8205" width="12.81640625" customWidth="1"/>
    <col min="8449" max="8449" width="4.54296875" customWidth="1"/>
    <col min="8450" max="8450" width="38.7265625" customWidth="1"/>
    <col min="8451" max="8451" width="12.1796875" customWidth="1"/>
    <col min="8452" max="8461" width="12.81640625" customWidth="1"/>
    <col min="8705" max="8705" width="4.54296875" customWidth="1"/>
    <col min="8706" max="8706" width="38.7265625" customWidth="1"/>
    <col min="8707" max="8707" width="12.1796875" customWidth="1"/>
    <col min="8708" max="8717" width="12.81640625" customWidth="1"/>
    <col min="8961" max="8961" width="4.54296875" customWidth="1"/>
    <col min="8962" max="8962" width="38.7265625" customWidth="1"/>
    <col min="8963" max="8963" width="12.1796875" customWidth="1"/>
    <col min="8964" max="8973" width="12.81640625" customWidth="1"/>
    <col min="9217" max="9217" width="4.54296875" customWidth="1"/>
    <col min="9218" max="9218" width="38.7265625" customWidth="1"/>
    <col min="9219" max="9219" width="12.1796875" customWidth="1"/>
    <col min="9220" max="9229" width="12.81640625" customWidth="1"/>
    <col min="9473" max="9473" width="4.54296875" customWidth="1"/>
    <col min="9474" max="9474" width="38.7265625" customWidth="1"/>
    <col min="9475" max="9475" width="12.1796875" customWidth="1"/>
    <col min="9476" max="9485" width="12.81640625" customWidth="1"/>
    <col min="9729" max="9729" width="4.54296875" customWidth="1"/>
    <col min="9730" max="9730" width="38.7265625" customWidth="1"/>
    <col min="9731" max="9731" width="12.1796875" customWidth="1"/>
    <col min="9732" max="9741" width="12.81640625" customWidth="1"/>
    <col min="9985" max="9985" width="4.54296875" customWidth="1"/>
    <col min="9986" max="9986" width="38.7265625" customWidth="1"/>
    <col min="9987" max="9987" width="12.1796875" customWidth="1"/>
    <col min="9988" max="9997" width="12.81640625" customWidth="1"/>
    <col min="10241" max="10241" width="4.54296875" customWidth="1"/>
    <col min="10242" max="10242" width="38.7265625" customWidth="1"/>
    <col min="10243" max="10243" width="12.1796875" customWidth="1"/>
    <col min="10244" max="10253" width="12.81640625" customWidth="1"/>
    <col min="10497" max="10497" width="4.54296875" customWidth="1"/>
    <col min="10498" max="10498" width="38.7265625" customWidth="1"/>
    <col min="10499" max="10499" width="12.1796875" customWidth="1"/>
    <col min="10500" max="10509" width="12.81640625" customWidth="1"/>
    <col min="10753" max="10753" width="4.54296875" customWidth="1"/>
    <col min="10754" max="10754" width="38.7265625" customWidth="1"/>
    <col min="10755" max="10755" width="12.1796875" customWidth="1"/>
    <col min="10756" max="10765" width="12.81640625" customWidth="1"/>
    <col min="11009" max="11009" width="4.54296875" customWidth="1"/>
    <col min="11010" max="11010" width="38.7265625" customWidth="1"/>
    <col min="11011" max="11011" width="12.1796875" customWidth="1"/>
    <col min="11012" max="11021" width="12.81640625" customWidth="1"/>
    <col min="11265" max="11265" width="4.54296875" customWidth="1"/>
    <col min="11266" max="11266" width="38.7265625" customWidth="1"/>
    <col min="11267" max="11267" width="12.1796875" customWidth="1"/>
    <col min="11268" max="11277" width="12.81640625" customWidth="1"/>
    <col min="11521" max="11521" width="4.54296875" customWidth="1"/>
    <col min="11522" max="11522" width="38.7265625" customWidth="1"/>
    <col min="11523" max="11523" width="12.1796875" customWidth="1"/>
    <col min="11524" max="11533" width="12.81640625" customWidth="1"/>
    <col min="11777" max="11777" width="4.54296875" customWidth="1"/>
    <col min="11778" max="11778" width="38.7265625" customWidth="1"/>
    <col min="11779" max="11779" width="12.1796875" customWidth="1"/>
    <col min="11780" max="11789" width="12.81640625" customWidth="1"/>
    <col min="12033" max="12033" width="4.54296875" customWidth="1"/>
    <col min="12034" max="12034" width="38.7265625" customWidth="1"/>
    <col min="12035" max="12035" width="12.1796875" customWidth="1"/>
    <col min="12036" max="12045" width="12.81640625" customWidth="1"/>
    <col min="12289" max="12289" width="4.54296875" customWidth="1"/>
    <col min="12290" max="12290" width="38.7265625" customWidth="1"/>
    <col min="12291" max="12291" width="12.1796875" customWidth="1"/>
    <col min="12292" max="12301" width="12.81640625" customWidth="1"/>
    <col min="12545" max="12545" width="4.54296875" customWidth="1"/>
    <col min="12546" max="12546" width="38.7265625" customWidth="1"/>
    <col min="12547" max="12547" width="12.1796875" customWidth="1"/>
    <col min="12548" max="12557" width="12.81640625" customWidth="1"/>
    <col min="12801" max="12801" width="4.54296875" customWidth="1"/>
    <col min="12802" max="12802" width="38.7265625" customWidth="1"/>
    <col min="12803" max="12803" width="12.1796875" customWidth="1"/>
    <col min="12804" max="12813" width="12.81640625" customWidth="1"/>
    <col min="13057" max="13057" width="4.54296875" customWidth="1"/>
    <col min="13058" max="13058" width="38.7265625" customWidth="1"/>
    <col min="13059" max="13059" width="12.1796875" customWidth="1"/>
    <col min="13060" max="13069" width="12.81640625" customWidth="1"/>
    <col min="13313" max="13313" width="4.54296875" customWidth="1"/>
    <col min="13314" max="13314" width="38.7265625" customWidth="1"/>
    <col min="13315" max="13315" width="12.1796875" customWidth="1"/>
    <col min="13316" max="13325" width="12.81640625" customWidth="1"/>
    <col min="13569" max="13569" width="4.54296875" customWidth="1"/>
    <col min="13570" max="13570" width="38.7265625" customWidth="1"/>
    <col min="13571" max="13571" width="12.1796875" customWidth="1"/>
    <col min="13572" max="13581" width="12.81640625" customWidth="1"/>
    <col min="13825" max="13825" width="4.54296875" customWidth="1"/>
    <col min="13826" max="13826" width="38.7265625" customWidth="1"/>
    <col min="13827" max="13827" width="12.1796875" customWidth="1"/>
    <col min="13828" max="13837" width="12.81640625" customWidth="1"/>
    <col min="14081" max="14081" width="4.54296875" customWidth="1"/>
    <col min="14082" max="14082" width="38.7265625" customWidth="1"/>
    <col min="14083" max="14083" width="12.1796875" customWidth="1"/>
    <col min="14084" max="14093" width="12.81640625" customWidth="1"/>
    <col min="14337" max="14337" width="4.54296875" customWidth="1"/>
    <col min="14338" max="14338" width="38.7265625" customWidth="1"/>
    <col min="14339" max="14339" width="12.1796875" customWidth="1"/>
    <col min="14340" max="14349" width="12.81640625" customWidth="1"/>
    <col min="14593" max="14593" width="4.54296875" customWidth="1"/>
    <col min="14594" max="14594" width="38.7265625" customWidth="1"/>
    <col min="14595" max="14595" width="12.1796875" customWidth="1"/>
    <col min="14596" max="14605" width="12.81640625" customWidth="1"/>
    <col min="14849" max="14849" width="4.54296875" customWidth="1"/>
    <col min="14850" max="14850" width="38.7265625" customWidth="1"/>
    <col min="14851" max="14851" width="12.1796875" customWidth="1"/>
    <col min="14852" max="14861" width="12.81640625" customWidth="1"/>
    <col min="15105" max="15105" width="4.54296875" customWidth="1"/>
    <col min="15106" max="15106" width="38.7265625" customWidth="1"/>
    <col min="15107" max="15107" width="12.1796875" customWidth="1"/>
    <col min="15108" max="15117" width="12.81640625" customWidth="1"/>
    <col min="15361" max="15361" width="4.54296875" customWidth="1"/>
    <col min="15362" max="15362" width="38.7265625" customWidth="1"/>
    <col min="15363" max="15363" width="12.1796875" customWidth="1"/>
    <col min="15364" max="15373" width="12.81640625" customWidth="1"/>
    <col min="15617" max="15617" width="4.54296875" customWidth="1"/>
    <col min="15618" max="15618" width="38.7265625" customWidth="1"/>
    <col min="15619" max="15619" width="12.1796875" customWidth="1"/>
    <col min="15620" max="15629" width="12.81640625" customWidth="1"/>
    <col min="15873" max="15873" width="4.54296875" customWidth="1"/>
    <col min="15874" max="15874" width="38.7265625" customWidth="1"/>
    <col min="15875" max="15875" width="12.1796875" customWidth="1"/>
    <col min="15876" max="15885" width="12.81640625" customWidth="1"/>
    <col min="16129" max="16129" width="4.54296875" customWidth="1"/>
    <col min="16130" max="16130" width="38.7265625" customWidth="1"/>
    <col min="16131" max="16131" width="12.1796875" customWidth="1"/>
    <col min="16132" max="16141" width="12.81640625" customWidth="1"/>
  </cols>
  <sheetData>
    <row r="1" spans="1:13" ht="18.75" customHeight="1" x14ac:dyDescent="0.35">
      <c r="A1" s="1025" t="s">
        <v>889</v>
      </c>
      <c r="B1" s="1025"/>
      <c r="C1" s="1025"/>
      <c r="D1" s="1025"/>
      <c r="E1" s="1025"/>
      <c r="F1" s="1025"/>
      <c r="G1" s="1025"/>
      <c r="H1" s="1025"/>
      <c r="I1" s="1025"/>
      <c r="J1" s="1025"/>
      <c r="K1" s="1025"/>
      <c r="L1" s="1025"/>
      <c r="M1" s="1025"/>
    </row>
    <row r="2" spans="1:13" ht="18.75" customHeight="1" x14ac:dyDescent="0.35">
      <c r="A2" s="1025" t="s">
        <v>890</v>
      </c>
      <c r="B2" s="1025"/>
      <c r="C2" s="1025"/>
      <c r="D2" s="1025"/>
      <c r="E2" s="1025"/>
      <c r="F2" s="1025"/>
      <c r="G2" s="1025"/>
      <c r="H2" s="1025"/>
      <c r="I2" s="1025"/>
      <c r="J2" s="1025"/>
      <c r="K2" s="1025"/>
      <c r="L2" s="1025"/>
      <c r="M2" s="1025"/>
    </row>
    <row r="3" spans="1:13" ht="18.75" customHeight="1" x14ac:dyDescent="0.35">
      <c r="A3" s="1043" t="s">
        <v>975</v>
      </c>
      <c r="B3" s="1043"/>
      <c r="C3" s="1043"/>
      <c r="D3" s="1043"/>
      <c r="E3" s="1043"/>
      <c r="F3" s="1043"/>
      <c r="G3" s="1043"/>
      <c r="H3" s="1043"/>
      <c r="I3" s="1043"/>
      <c r="J3" s="1043"/>
      <c r="K3" s="1043"/>
      <c r="L3" s="1043"/>
    </row>
    <row r="4" spans="1:13" ht="18.75" customHeight="1" x14ac:dyDescent="0.35">
      <c r="A4" s="662"/>
      <c r="B4" s="662"/>
      <c r="C4" s="663"/>
      <c r="D4" s="662"/>
      <c r="E4" s="662"/>
      <c r="F4" s="662"/>
      <c r="G4" s="662"/>
      <c r="H4" s="663"/>
      <c r="I4" s="663"/>
      <c r="K4" s="663"/>
      <c r="L4" s="663"/>
      <c r="M4" s="663" t="s">
        <v>926</v>
      </c>
    </row>
    <row r="5" spans="1:13" ht="18.75" customHeight="1" x14ac:dyDescent="0.35">
      <c r="A5" s="485"/>
      <c r="B5" s="486" t="s">
        <v>976</v>
      </c>
      <c r="C5" s="471" t="s">
        <v>764</v>
      </c>
      <c r="D5" s="471" t="s">
        <v>769</v>
      </c>
      <c r="E5" s="471" t="s">
        <v>770</v>
      </c>
      <c r="F5" s="471" t="s">
        <v>771</v>
      </c>
      <c r="G5" s="471" t="s">
        <v>772</v>
      </c>
      <c r="H5" s="471" t="s">
        <v>773</v>
      </c>
      <c r="I5" s="471" t="s">
        <v>774</v>
      </c>
      <c r="J5" s="471" t="s">
        <v>775</v>
      </c>
      <c r="K5" s="471" t="s">
        <v>803</v>
      </c>
      <c r="L5" s="471" t="s">
        <v>804</v>
      </c>
      <c r="M5" s="471" t="s">
        <v>805</v>
      </c>
    </row>
    <row r="6" spans="1:13" ht="18.75" customHeight="1" x14ac:dyDescent="0.35">
      <c r="A6" s="485"/>
      <c r="B6" s="486"/>
      <c r="C6" s="472" t="s">
        <v>927</v>
      </c>
      <c r="D6" s="472" t="s">
        <v>927</v>
      </c>
      <c r="E6" s="472" t="s">
        <v>927</v>
      </c>
      <c r="F6" s="472" t="s">
        <v>927</v>
      </c>
      <c r="G6" s="472" t="s">
        <v>927</v>
      </c>
      <c r="H6" s="472" t="s">
        <v>927</v>
      </c>
      <c r="I6" s="472" t="s">
        <v>927</v>
      </c>
      <c r="J6" s="472" t="s">
        <v>927</v>
      </c>
      <c r="K6" s="472" t="s">
        <v>927</v>
      </c>
      <c r="L6" s="472" t="s">
        <v>927</v>
      </c>
      <c r="M6" s="472" t="s">
        <v>927</v>
      </c>
    </row>
    <row r="7" spans="1:13" ht="18.75" customHeight="1" x14ac:dyDescent="0.35">
      <c r="A7" s="487" t="s">
        <v>977</v>
      </c>
      <c r="B7" s="488" t="s">
        <v>978</v>
      </c>
      <c r="C7" s="488">
        <v>0</v>
      </c>
      <c r="D7" s="488">
        <f t="shared" ref="D7:J7" si="0">+C28</f>
        <v>3</v>
      </c>
      <c r="E7" s="488">
        <f t="shared" si="0"/>
        <v>1</v>
      </c>
      <c r="F7" s="488">
        <f t="shared" si="0"/>
        <v>4.2755962910617882</v>
      </c>
      <c r="G7" s="488">
        <f t="shared" si="0"/>
        <v>4.9965383940939887</v>
      </c>
      <c r="H7" s="488">
        <f t="shared" si="0"/>
        <v>11.84188686785069</v>
      </c>
      <c r="I7" s="488">
        <f t="shared" si="0"/>
        <v>14.688974382628643</v>
      </c>
      <c r="J7" s="488">
        <f t="shared" si="0"/>
        <v>12.085581540478771</v>
      </c>
      <c r="K7" s="488">
        <f>+J28</f>
        <v>9.9663052135548327</v>
      </c>
      <c r="L7" s="488">
        <f>+K28</f>
        <v>13.942986267618039</v>
      </c>
      <c r="M7" s="488">
        <f>+L28</f>
        <v>9.9733103017177598</v>
      </c>
    </row>
    <row r="8" spans="1:13" ht="18.75" customHeight="1" x14ac:dyDescent="0.35">
      <c r="A8" s="489"/>
      <c r="B8" s="490"/>
      <c r="C8" s="491"/>
      <c r="D8" s="491"/>
      <c r="E8" s="491"/>
      <c r="F8" s="491"/>
      <c r="G8" s="491"/>
      <c r="H8" s="491"/>
      <c r="I8" s="491"/>
      <c r="J8" s="491"/>
      <c r="K8" s="491"/>
      <c r="L8" s="24"/>
      <c r="M8" s="24"/>
    </row>
    <row r="9" spans="1:13" ht="18.75" customHeight="1" x14ac:dyDescent="0.35">
      <c r="A9" s="489"/>
      <c r="B9" s="488" t="s">
        <v>979</v>
      </c>
      <c r="C9" s="491"/>
      <c r="D9" s="491"/>
      <c r="E9" s="491"/>
      <c r="F9" s="491"/>
      <c r="G9" s="491"/>
      <c r="H9" s="491"/>
      <c r="I9" s="491"/>
      <c r="J9" s="491"/>
      <c r="K9" s="491"/>
      <c r="L9" s="24"/>
      <c r="M9" s="24"/>
    </row>
    <row r="10" spans="1:13" ht="18.75" customHeight="1" x14ac:dyDescent="0.35">
      <c r="A10" s="492"/>
      <c r="B10" s="468" t="s">
        <v>980</v>
      </c>
      <c r="C10" s="490">
        <f>+[2]Profitability!B30+[2]Profitability!B25</f>
        <v>0</v>
      </c>
      <c r="D10" s="490">
        <f>+[2]Profitability!C30+[2]Profitability!C25</f>
        <v>0</v>
      </c>
      <c r="E10" s="490">
        <f>+[2]Profitability!D30+[2]Profitability!D25</f>
        <v>33.275596291061802</v>
      </c>
      <c r="F10" s="490">
        <f>+[2]Profitability!E30+[2]Profitability!E25</f>
        <v>58.220942103032193</v>
      </c>
      <c r="G10" s="490">
        <f>+[2]Profitability!F30+[2]Profitability!F25</f>
        <v>79.345348473756701</v>
      </c>
      <c r="H10" s="490">
        <f>+[2]Profitability!G30+[2]Profitability!G25</f>
        <v>87.847087514777954</v>
      </c>
      <c r="I10" s="490">
        <f>+[2]Profitability!H30+[2]Profitability!H25</f>
        <v>97.396607157850127</v>
      </c>
      <c r="J10" s="490">
        <f>+[2]Profitability!I30+[2]Profitability!I25</f>
        <v>107.88072367307606</v>
      </c>
      <c r="K10" s="490">
        <f>+[2]Profitability!J30+[2]Profitability!J25</f>
        <v>118.97668105406319</v>
      </c>
      <c r="L10" s="490">
        <f>+[2]Profitability!K30+[2]Profitability!K25</f>
        <v>131.03032403409972</v>
      </c>
      <c r="M10" s="490">
        <f>+[2]Profitability!L30+[2]Profitability!L25</f>
        <v>143.978646243138</v>
      </c>
    </row>
    <row r="11" spans="1:13" ht="18.75" customHeight="1" x14ac:dyDescent="0.35">
      <c r="A11" s="492"/>
      <c r="B11" s="468" t="s">
        <v>981</v>
      </c>
      <c r="C11" s="490">
        <f>+'[2]Balance Sheet'!B9</f>
        <v>25</v>
      </c>
      <c r="D11" s="490">
        <f>+'[2]Balance Sheet'!C9-'[2]Balance Sheet'!B9</f>
        <v>50</v>
      </c>
      <c r="E11" s="490">
        <f>+'[2]Balance Sheet'!D9-'[2]Balance Sheet'!C9</f>
        <v>25</v>
      </c>
      <c r="F11" s="490">
        <f>+'[2]Balance Sheet'!E9-'[2]Balance Sheet'!D9</f>
        <v>0</v>
      </c>
      <c r="G11" s="490">
        <f>+'[2]Balance Sheet'!F9-'[2]Balance Sheet'!E9</f>
        <v>0</v>
      </c>
      <c r="H11" s="490">
        <f>+'[2]Balance Sheet'!G9-'[2]Balance Sheet'!F9</f>
        <v>0</v>
      </c>
      <c r="I11" s="490">
        <f>+'[2]Balance Sheet'!H9-'[2]Balance Sheet'!G9</f>
        <v>0</v>
      </c>
      <c r="J11" s="490">
        <f>+'[2]Balance Sheet'!I9-'[2]Balance Sheet'!H9</f>
        <v>0</v>
      </c>
      <c r="K11" s="490">
        <f>+'[2]Balance Sheet'!J9-'[2]Balance Sheet'!I9</f>
        <v>0</v>
      </c>
      <c r="L11" s="490">
        <f>+'[2]Balance Sheet'!K9-'[2]Balance Sheet'!J9</f>
        <v>0</v>
      </c>
      <c r="M11" s="490">
        <f>+'[2]Balance Sheet'!L9-'[2]Balance Sheet'!K9</f>
        <v>0</v>
      </c>
    </row>
    <row r="12" spans="1:13" ht="18.75" customHeight="1" x14ac:dyDescent="0.35">
      <c r="A12" s="492"/>
      <c r="B12" s="468" t="s">
        <v>982</v>
      </c>
      <c r="C12" s="490">
        <f>+'[2]Balance Sheet'!B14</f>
        <v>3</v>
      </c>
      <c r="D12" s="490">
        <f>+'[2]Balance Sheet'!C14-'[2]Balance Sheet'!B14</f>
        <v>0</v>
      </c>
      <c r="E12" s="490">
        <f>+'[2]Balance Sheet'!D14-'[2]Balance Sheet'!C14</f>
        <v>0</v>
      </c>
      <c r="F12" s="490">
        <f>+'[2]Balance Sheet'!E14-'[2]Balance Sheet'!D14</f>
        <v>0</v>
      </c>
      <c r="G12" s="490">
        <f>+'[2]Balance Sheet'!F14-'[2]Balance Sheet'!E14</f>
        <v>0</v>
      </c>
      <c r="H12" s="490">
        <f>+'[2]Balance Sheet'!G14-'[2]Balance Sheet'!F14</f>
        <v>0</v>
      </c>
      <c r="I12" s="490">
        <f>+'[2]Balance Sheet'!H14-'[2]Balance Sheet'!G14</f>
        <v>0</v>
      </c>
      <c r="J12" s="490">
        <f>+'[2]Balance Sheet'!I14-'[2]Balance Sheet'!H14</f>
        <v>0</v>
      </c>
      <c r="K12" s="490">
        <f>+'[2]Balance Sheet'!J14-'[2]Balance Sheet'!I14</f>
        <v>0</v>
      </c>
      <c r="L12" s="490">
        <f>+'[2]Balance Sheet'!K14-'[2]Balance Sheet'!J14</f>
        <v>0</v>
      </c>
      <c r="M12" s="490">
        <f>+'[2]Balance Sheet'!L14-'[2]Balance Sheet'!K14</f>
        <v>0</v>
      </c>
    </row>
    <row r="13" spans="1:13" ht="18.75" customHeight="1" x14ac:dyDescent="0.35">
      <c r="A13" s="492"/>
      <c r="B13" s="468" t="s">
        <v>983</v>
      </c>
      <c r="C13" s="490"/>
      <c r="D13" s="490">
        <f>+'[2]Balance Sheet'!C13-'[2]Balance Sheet'!B13</f>
        <v>0</v>
      </c>
      <c r="E13" s="490">
        <f>+'[2]Balance Sheet'!D13-'[2]Balance Sheet'!C13</f>
        <v>22.5</v>
      </c>
      <c r="F13" s="490">
        <f>+'[2]Balance Sheet'!E13-'[2]Balance Sheet'!D13</f>
        <v>7.5</v>
      </c>
      <c r="G13" s="490">
        <f>+'[2]Balance Sheet'!F13-'[2]Balance Sheet'!E13</f>
        <v>7.5</v>
      </c>
      <c r="H13" s="490">
        <f>+'[2]Balance Sheet'!G13-'[2]Balance Sheet'!F13</f>
        <v>0</v>
      </c>
      <c r="I13" s="490">
        <f>+'[2]Balance Sheet'!H13-'[2]Balance Sheet'!G13</f>
        <v>0</v>
      </c>
      <c r="J13" s="490">
        <f>+'[2]Balance Sheet'!I13-'[2]Balance Sheet'!H13</f>
        <v>0</v>
      </c>
      <c r="K13" s="490">
        <f>+'[2]Balance Sheet'!J13-'[2]Balance Sheet'!I13</f>
        <v>0</v>
      </c>
      <c r="L13" s="490">
        <f>+'[2]Balance Sheet'!K13-'[2]Balance Sheet'!J13</f>
        <v>0</v>
      </c>
      <c r="M13" s="490">
        <f>+'[2]Balance Sheet'!L13-'[2]Balance Sheet'!K13</f>
        <v>0</v>
      </c>
    </row>
    <row r="14" spans="1:13" ht="18.75" customHeight="1" x14ac:dyDescent="0.35">
      <c r="A14" s="492"/>
      <c r="B14" s="468" t="s">
        <v>984</v>
      </c>
      <c r="C14" s="490"/>
      <c r="D14" s="490">
        <f>+'[2]Balance Sheet'!C11-'[2]Balance Sheet'!B11+D22</f>
        <v>100</v>
      </c>
      <c r="E14" s="490">
        <f>+'[2]Balance Sheet'!D11-'[2]Balance Sheet'!C11+E22</f>
        <v>100</v>
      </c>
      <c r="F14" s="490">
        <f>+'[2]Balance Sheet'!E11-'[2]Balance Sheet'!D11+F22</f>
        <v>0</v>
      </c>
      <c r="G14" s="490">
        <f>+'[2]Balance Sheet'!F11-'[2]Balance Sheet'!E11+G22</f>
        <v>0</v>
      </c>
      <c r="H14" s="490">
        <f>+'[2]Balance Sheet'!G11-'[2]Balance Sheet'!F11+H22</f>
        <v>0</v>
      </c>
      <c r="I14" s="490">
        <f>+'[2]Balance Sheet'!H11-'[2]Balance Sheet'!G11+I22</f>
        <v>0</v>
      </c>
      <c r="J14" s="490">
        <f>+'[2]Balance Sheet'!I11-'[2]Balance Sheet'!H11+J22</f>
        <v>0</v>
      </c>
      <c r="K14" s="490">
        <f>+'[2]Balance Sheet'!J11-'[2]Balance Sheet'!I11+K22</f>
        <v>0</v>
      </c>
      <c r="L14" s="490">
        <f>+'[2]Balance Sheet'!K11-'[2]Balance Sheet'!J11+L22</f>
        <v>0</v>
      </c>
      <c r="M14" s="490">
        <f>+'[2]Balance Sheet'!L11-'[2]Balance Sheet'!K11+M22</f>
        <v>0</v>
      </c>
    </row>
    <row r="15" spans="1:13" ht="18.75" hidden="1" customHeight="1" x14ac:dyDescent="0.35">
      <c r="A15" s="493"/>
      <c r="B15" s="494"/>
      <c r="C15" s="490"/>
      <c r="D15" s="490"/>
      <c r="E15" s="490"/>
      <c r="F15" s="490"/>
      <c r="G15" s="490"/>
      <c r="H15" s="490"/>
      <c r="I15" s="490"/>
      <c r="J15" s="490"/>
      <c r="K15" s="490"/>
      <c r="L15" s="490"/>
      <c r="M15" s="490"/>
    </row>
    <row r="16" spans="1:13" ht="18.75" customHeight="1" x14ac:dyDescent="0.35">
      <c r="A16" s="492"/>
      <c r="B16" s="468" t="s">
        <v>985</v>
      </c>
      <c r="C16" s="490">
        <f>+'[2]Balance Sheet'!B12</f>
        <v>25</v>
      </c>
      <c r="D16" s="490">
        <f>+'[2]Balance Sheet'!C12-'[2]Balance Sheet'!B12+D23</f>
        <v>0</v>
      </c>
      <c r="E16" s="490">
        <f>+'[2]Balance Sheet'!D12-'[2]Balance Sheet'!C12+E23</f>
        <v>0</v>
      </c>
      <c r="F16" s="490">
        <f>+'[2]Balance Sheet'!E12-'[2]Balance Sheet'!D12+F23</f>
        <v>0</v>
      </c>
      <c r="G16" s="490">
        <f>+'[2]Balance Sheet'!F12-'[2]Balance Sheet'!E12+G23</f>
        <v>0</v>
      </c>
      <c r="H16" s="490">
        <f>+'[2]Balance Sheet'!G12-'[2]Balance Sheet'!F12+H23</f>
        <v>0</v>
      </c>
      <c r="I16" s="490">
        <f>+'[2]Balance Sheet'!H12-'[2]Balance Sheet'!G12+I23</f>
        <v>0</v>
      </c>
      <c r="J16" s="490">
        <f>+'[2]Balance Sheet'!I12-'[2]Balance Sheet'!H12+J23</f>
        <v>0</v>
      </c>
      <c r="K16" s="490">
        <f>+'[2]Balance Sheet'!J12-'[2]Balance Sheet'!I12+K23</f>
        <v>0</v>
      </c>
      <c r="L16" s="490">
        <f>+'[2]Balance Sheet'!K12-'[2]Balance Sheet'!J12+L23</f>
        <v>0</v>
      </c>
      <c r="M16" s="490">
        <f>+'[2]Balance Sheet'!L12-'[2]Balance Sheet'!K12+M23</f>
        <v>0</v>
      </c>
    </row>
    <row r="17" spans="1:13" ht="18.75" customHeight="1" x14ac:dyDescent="0.35">
      <c r="A17" s="492" t="s">
        <v>986</v>
      </c>
      <c r="B17" s="442" t="s">
        <v>987</v>
      </c>
      <c r="C17" s="442">
        <f t="shared" ref="C17:K17" si="1">SUM(C10:C16)</f>
        <v>53</v>
      </c>
      <c r="D17" s="442">
        <f t="shared" si="1"/>
        <v>150</v>
      </c>
      <c r="E17" s="442">
        <f t="shared" si="1"/>
        <v>180.77559629106179</v>
      </c>
      <c r="F17" s="442">
        <f t="shared" si="1"/>
        <v>65.720942103032201</v>
      </c>
      <c r="G17" s="442">
        <f t="shared" si="1"/>
        <v>86.845348473756701</v>
      </c>
      <c r="H17" s="442">
        <f t="shared" si="1"/>
        <v>87.847087514777954</v>
      </c>
      <c r="I17" s="442">
        <f t="shared" si="1"/>
        <v>97.396607157850127</v>
      </c>
      <c r="J17" s="442">
        <f t="shared" si="1"/>
        <v>107.88072367307606</v>
      </c>
      <c r="K17" s="442">
        <f t="shared" si="1"/>
        <v>118.97668105406319</v>
      </c>
      <c r="L17" s="442">
        <f>SUM(L10:L16)</f>
        <v>131.03032403409972</v>
      </c>
      <c r="M17" s="442">
        <f>SUM(M10:M16)</f>
        <v>143.978646243138</v>
      </c>
    </row>
    <row r="18" spans="1:13" ht="18.75" customHeight="1" x14ac:dyDescent="0.35">
      <c r="A18" s="492"/>
      <c r="B18" s="442"/>
      <c r="C18" s="468"/>
      <c r="D18" s="468"/>
      <c r="E18" s="468"/>
      <c r="F18" s="468"/>
      <c r="G18" s="468"/>
      <c r="H18" s="468"/>
      <c r="I18" s="468"/>
      <c r="J18" s="468"/>
      <c r="K18" s="468"/>
      <c r="L18" s="468"/>
      <c r="M18" s="468"/>
    </row>
    <row r="19" spans="1:13" ht="18.75" customHeight="1" x14ac:dyDescent="0.35">
      <c r="A19" s="492"/>
      <c r="B19" s="442" t="s">
        <v>988</v>
      </c>
      <c r="C19" s="411"/>
      <c r="D19" s="411"/>
      <c r="E19" s="411"/>
      <c r="F19" s="411"/>
      <c r="G19" s="411"/>
      <c r="H19" s="411"/>
      <c r="I19" s="411"/>
      <c r="J19" s="24"/>
      <c r="K19" s="411"/>
      <c r="L19" s="411"/>
      <c r="M19" s="411"/>
    </row>
    <row r="20" spans="1:13" ht="18.75" customHeight="1" x14ac:dyDescent="0.35">
      <c r="A20" s="492"/>
      <c r="B20" s="468" t="s">
        <v>989</v>
      </c>
      <c r="C20" s="490"/>
      <c r="D20" s="490">
        <f>'[2]Balance Sheet'!C22-'[2]Balance Sheet'!B22</f>
        <v>0</v>
      </c>
      <c r="E20" s="490">
        <f>'[2]Balance Sheet'!D22-'[2]Balance Sheet'!C22</f>
        <v>30</v>
      </c>
      <c r="F20" s="490">
        <f>'[2]Balance Sheet'!E22-'[2]Balance Sheet'!D22</f>
        <v>10</v>
      </c>
      <c r="G20" s="490">
        <f>'[2]Balance Sheet'!F22-'[2]Balance Sheet'!E22</f>
        <v>10</v>
      </c>
      <c r="H20" s="490">
        <f>'[2]Balance Sheet'!G22-'[2]Balance Sheet'!F22</f>
        <v>0</v>
      </c>
      <c r="I20" s="490">
        <f>'[2]Balance Sheet'!H22-'[2]Balance Sheet'!G22</f>
        <v>0</v>
      </c>
      <c r="J20" s="490">
        <f>'[2]Balance Sheet'!I22-'[2]Balance Sheet'!H22</f>
        <v>0</v>
      </c>
      <c r="K20" s="490">
        <f>'[2]Balance Sheet'!J22-'[2]Balance Sheet'!I22</f>
        <v>0</v>
      </c>
      <c r="L20" s="490">
        <f>'[2]Balance Sheet'!K22-'[2]Balance Sheet'!J22</f>
        <v>0</v>
      </c>
      <c r="M20" s="490">
        <f>'[2]Balance Sheet'!L22-'[2]Balance Sheet'!K22</f>
        <v>0</v>
      </c>
    </row>
    <row r="21" spans="1:13" ht="18.75" customHeight="1" x14ac:dyDescent="0.35">
      <c r="A21" s="492"/>
      <c r="B21" s="468" t="s">
        <v>990</v>
      </c>
      <c r="C21" s="491">
        <f>+'[2]Balance Sheet'!B18</f>
        <v>50</v>
      </c>
      <c r="D21" s="491">
        <f>+'[2]Balance Sheet'!C18-'[2]Balance Sheet'!B18</f>
        <v>150</v>
      </c>
      <c r="E21" s="491">
        <f>+'[2]Balance Sheet'!D18-'[2]Balance Sheet'!C18</f>
        <v>92.5</v>
      </c>
      <c r="F21" s="491">
        <f>+'[2]Balance Sheet'!E18-'[2]Balance Sheet'!D18</f>
        <v>0</v>
      </c>
      <c r="G21" s="491">
        <f>+'[2]Balance Sheet'!F18-'[2]Balance Sheet'!E18</f>
        <v>0</v>
      </c>
      <c r="H21" s="491">
        <f>+'[2]Balance Sheet'!G18-'[2]Balance Sheet'!F18</f>
        <v>0</v>
      </c>
      <c r="I21" s="491">
        <f>+'[2]Balance Sheet'!H18-'[2]Balance Sheet'!G18</f>
        <v>0</v>
      </c>
      <c r="J21" s="491">
        <f>+'[2]Balance Sheet'!I18-'[2]Balance Sheet'!H18</f>
        <v>0</v>
      </c>
      <c r="K21" s="491">
        <f>+'[2]Balance Sheet'!J18-'[2]Balance Sheet'!I18</f>
        <v>0</v>
      </c>
      <c r="L21" s="491">
        <f>+'[2]Balance Sheet'!K18-'[2]Balance Sheet'!J18</f>
        <v>0</v>
      </c>
      <c r="M21" s="491">
        <f>+'[2]Balance Sheet'!L18-'[2]Balance Sheet'!K18</f>
        <v>0</v>
      </c>
    </row>
    <row r="22" spans="1:13" ht="18.75" customHeight="1" x14ac:dyDescent="0.35">
      <c r="A22" s="492"/>
      <c r="B22" s="468" t="s">
        <v>991</v>
      </c>
      <c r="C22" s="490">
        <f>+'[2]term loans repayments'!D40</f>
        <v>0</v>
      </c>
      <c r="D22" s="490">
        <f>+'[2]term loans repayments'!F25</f>
        <v>0</v>
      </c>
      <c r="E22" s="490">
        <f>+'[2]term loans repayments'!G25</f>
        <v>0</v>
      </c>
      <c r="F22" s="490">
        <f>+'[2]term loans repayments'!H25</f>
        <v>15</v>
      </c>
      <c r="G22" s="490">
        <f>+'[2]term loans repayments'!I25</f>
        <v>20</v>
      </c>
      <c r="H22" s="490">
        <f>+'[2]term loans repayments'!J25</f>
        <v>25</v>
      </c>
      <c r="I22" s="490">
        <f>+'[2]term loans repayments'!K25</f>
        <v>30</v>
      </c>
      <c r="J22" s="490">
        <f>+'[2]term loans repayments'!L25</f>
        <v>30</v>
      </c>
      <c r="K22" s="490">
        <f>+'[2]term loans repayments'!M25</f>
        <v>35</v>
      </c>
      <c r="L22" s="490">
        <f>+'[2]term loans repayments'!N25</f>
        <v>35</v>
      </c>
      <c r="M22" s="490">
        <f>+'[2]term loans repayments'!O25</f>
        <v>10</v>
      </c>
    </row>
    <row r="23" spans="1:13" ht="18.75" customHeight="1" x14ac:dyDescent="0.35">
      <c r="A23" s="492"/>
      <c r="B23" s="468" t="s">
        <v>992</v>
      </c>
      <c r="C23" s="490"/>
      <c r="D23" s="490">
        <f>+'[2]term loans repayments'!F35</f>
        <v>0</v>
      </c>
      <c r="E23" s="490">
        <f>+'[2]term loans repayments'!G35</f>
        <v>25</v>
      </c>
      <c r="F23" s="490">
        <f>+'[2]term loans repayments'!H35</f>
        <v>0</v>
      </c>
      <c r="G23" s="490">
        <f>+'[2]term loans repayments'!I35</f>
        <v>0</v>
      </c>
      <c r="H23" s="490">
        <f>+'[2]term loans repayments'!J35</f>
        <v>0</v>
      </c>
      <c r="I23" s="490">
        <f>+'[2]term loans repayments'!K35</f>
        <v>0</v>
      </c>
      <c r="J23" s="490">
        <f>+'[2]term loans repayments'!L35</f>
        <v>0</v>
      </c>
      <c r="K23" s="490">
        <f>+'[2]term loans repayments'!M35</f>
        <v>0</v>
      </c>
      <c r="L23" s="490">
        <f>+'[2]term loans repayments'!N35</f>
        <v>0</v>
      </c>
      <c r="M23" s="490">
        <f>+'[2]term loans repayments'!O35</f>
        <v>0</v>
      </c>
    </row>
    <row r="24" spans="1:13" ht="18.75" customHeight="1" x14ac:dyDescent="0.35">
      <c r="A24" s="492"/>
      <c r="B24" s="468" t="s">
        <v>993</v>
      </c>
      <c r="C24" s="490">
        <f>+C43</f>
        <v>0</v>
      </c>
      <c r="D24" s="490">
        <f>+D43</f>
        <v>0</v>
      </c>
      <c r="E24" s="490">
        <f>+'[2]Balance Sheet'!D21-'[2]Balance Sheet'!C21</f>
        <v>30</v>
      </c>
      <c r="F24" s="490">
        <f>+'[2]Balance Sheet'!E21-'[2]Balance Sheet'!D21</f>
        <v>40</v>
      </c>
      <c r="G24" s="490">
        <f>+'[2]Balance Sheet'!F21-'[2]Balance Sheet'!E21</f>
        <v>50</v>
      </c>
      <c r="H24" s="490">
        <f>+'[2]Balance Sheet'!G21-'[2]Balance Sheet'!F21</f>
        <v>60</v>
      </c>
      <c r="I24" s="490">
        <f>+'[2]Balance Sheet'!H21-'[2]Balance Sheet'!G21</f>
        <v>70</v>
      </c>
      <c r="J24" s="490">
        <f>+'[2]Balance Sheet'!I21-'[2]Balance Sheet'!H21</f>
        <v>80</v>
      </c>
      <c r="K24" s="490">
        <f>+'[2]Balance Sheet'!J21-'[2]Balance Sheet'!I21</f>
        <v>80</v>
      </c>
      <c r="L24" s="490">
        <f>+'[2]Balance Sheet'!K21-'[2]Balance Sheet'!J21</f>
        <v>100</v>
      </c>
      <c r="M24" s="490">
        <f>+'[2]Balance Sheet'!L21-'[2]Balance Sheet'!K21</f>
        <v>120</v>
      </c>
    </row>
    <row r="25" spans="1:13" ht="18.75" customHeight="1" x14ac:dyDescent="0.35">
      <c r="A25" s="492"/>
      <c r="B25" s="468" t="s">
        <v>994</v>
      </c>
      <c r="C25" s="490">
        <f>+'[2]Balance Sheet'!B24</f>
        <v>0</v>
      </c>
      <c r="D25" s="490">
        <f>+'[2]Balance Sheet'!C24-'[2]Balance Sheet'!B24</f>
        <v>2</v>
      </c>
      <c r="E25" s="490">
        <f>+'[2]Balance Sheet'!D24-'[2]Balance Sheet'!C24</f>
        <v>0</v>
      </c>
      <c r="F25" s="490">
        <f>+'[2]Balance Sheet'!E24-'[2]Balance Sheet'!D24</f>
        <v>0</v>
      </c>
      <c r="G25" s="490">
        <f>+'[2]Balance Sheet'!F24-'[2]Balance Sheet'!E24</f>
        <v>0</v>
      </c>
      <c r="H25" s="490">
        <f>+'[2]Balance Sheet'!G24-'[2]Balance Sheet'!F24</f>
        <v>0</v>
      </c>
      <c r="I25" s="490">
        <f>+'[2]Balance Sheet'!H24-'[2]Balance Sheet'!G24</f>
        <v>0</v>
      </c>
      <c r="J25" s="490">
        <f>+'[2]Balance Sheet'!I24-'[2]Balance Sheet'!H24</f>
        <v>0</v>
      </c>
      <c r="K25" s="490">
        <f>+'[2]Balance Sheet'!J24-'[2]Balance Sheet'!I24</f>
        <v>0</v>
      </c>
      <c r="L25" s="490">
        <f>+'[2]Balance Sheet'!K24-'[2]Balance Sheet'!J24</f>
        <v>0</v>
      </c>
      <c r="M25" s="490">
        <f>+'[2]Balance Sheet'!L24-'[2]Balance Sheet'!K24</f>
        <v>0</v>
      </c>
    </row>
    <row r="26" spans="1:13" ht="18.75" customHeight="1" x14ac:dyDescent="0.35">
      <c r="A26" s="492" t="s">
        <v>995</v>
      </c>
      <c r="B26" s="442" t="s">
        <v>996</v>
      </c>
      <c r="C26" s="442">
        <f t="shared" ref="C26:K26" si="2">SUM(C20:C25)</f>
        <v>50</v>
      </c>
      <c r="D26" s="442">
        <f t="shared" si="2"/>
        <v>152</v>
      </c>
      <c r="E26" s="442">
        <f t="shared" si="2"/>
        <v>177.5</v>
      </c>
      <c r="F26" s="442">
        <f t="shared" si="2"/>
        <v>65</v>
      </c>
      <c r="G26" s="442">
        <f t="shared" si="2"/>
        <v>80</v>
      </c>
      <c r="H26" s="442">
        <f t="shared" si="2"/>
        <v>85</v>
      </c>
      <c r="I26" s="442">
        <f t="shared" si="2"/>
        <v>100</v>
      </c>
      <c r="J26" s="442">
        <f t="shared" si="2"/>
        <v>110</v>
      </c>
      <c r="K26" s="442">
        <f t="shared" si="2"/>
        <v>115</v>
      </c>
      <c r="L26" s="442">
        <f>SUM(L20:L25)</f>
        <v>135</v>
      </c>
      <c r="M26" s="442">
        <f>SUM(M20:M25)</f>
        <v>130</v>
      </c>
    </row>
    <row r="27" spans="1:13" ht="18.75" customHeight="1" x14ac:dyDescent="0.35">
      <c r="A27" s="492"/>
      <c r="B27" s="442"/>
      <c r="C27" s="468"/>
      <c r="D27" s="468"/>
      <c r="E27" s="468"/>
      <c r="F27" s="468"/>
      <c r="G27" s="468"/>
      <c r="H27" s="468"/>
      <c r="I27" s="468"/>
      <c r="J27" s="468"/>
      <c r="K27" s="468"/>
      <c r="L27" s="468"/>
      <c r="M27" s="468"/>
    </row>
    <row r="28" spans="1:13" ht="18.75" customHeight="1" x14ac:dyDescent="0.35">
      <c r="A28" s="492" t="s">
        <v>997</v>
      </c>
      <c r="B28" s="442" t="s">
        <v>998</v>
      </c>
      <c r="C28" s="442">
        <f t="shared" ref="C28:K28" si="3">+C7+C17-C26</f>
        <v>3</v>
      </c>
      <c r="D28" s="442">
        <f t="shared" si="3"/>
        <v>1</v>
      </c>
      <c r="E28" s="442">
        <f t="shared" si="3"/>
        <v>4.2755962910617882</v>
      </c>
      <c r="F28" s="442">
        <f t="shared" si="3"/>
        <v>4.9965383940939887</v>
      </c>
      <c r="G28" s="442">
        <f t="shared" si="3"/>
        <v>11.84188686785069</v>
      </c>
      <c r="H28" s="442">
        <f t="shared" si="3"/>
        <v>14.688974382628643</v>
      </c>
      <c r="I28" s="442">
        <f t="shared" si="3"/>
        <v>12.085581540478771</v>
      </c>
      <c r="J28" s="442">
        <f t="shared" si="3"/>
        <v>9.9663052135548327</v>
      </c>
      <c r="K28" s="442">
        <f t="shared" si="3"/>
        <v>13.942986267618039</v>
      </c>
      <c r="L28" s="442">
        <f>+L7+L17-L26</f>
        <v>9.9733103017177598</v>
      </c>
      <c r="M28" s="442">
        <f>+M7+M17-M26</f>
        <v>23.951956544855761</v>
      </c>
    </row>
    <row r="29" spans="1:13" ht="18.75" customHeight="1" x14ac:dyDescent="0.35">
      <c r="A29" s="492"/>
      <c r="B29" s="468"/>
      <c r="C29" s="411"/>
      <c r="D29" s="411"/>
      <c r="E29" s="411"/>
      <c r="F29" s="411"/>
      <c r="G29" s="411"/>
      <c r="H29" s="411"/>
      <c r="I29" s="411"/>
      <c r="J29" s="411"/>
      <c r="K29" s="411"/>
      <c r="L29" s="24"/>
      <c r="M29" s="24"/>
    </row>
    <row r="30" spans="1:13" ht="12.5" hidden="1" customHeight="1" x14ac:dyDescent="0.35">
      <c r="A30" s="495"/>
      <c r="B30" s="496"/>
      <c r="C30" s="447">
        <f t="shared" ref="C30:K30" si="4">+C17-C26</f>
        <v>3</v>
      </c>
      <c r="D30" s="447">
        <f t="shared" si="4"/>
        <v>-2</v>
      </c>
      <c r="E30" s="447">
        <f t="shared" si="4"/>
        <v>3.2755962910617882</v>
      </c>
      <c r="F30" s="447">
        <f t="shared" si="4"/>
        <v>0.72094210303220052</v>
      </c>
      <c r="G30" s="447">
        <f t="shared" si="4"/>
        <v>6.845348473756701</v>
      </c>
      <c r="H30" s="447">
        <f t="shared" si="4"/>
        <v>2.8470875147779537</v>
      </c>
      <c r="I30" s="447">
        <f t="shared" si="4"/>
        <v>-2.6033928421498729</v>
      </c>
      <c r="J30" s="447">
        <f t="shared" si="4"/>
        <v>-2.1192763269239379</v>
      </c>
      <c r="K30" s="447">
        <f t="shared" si="4"/>
        <v>3.9766810540631923</v>
      </c>
    </row>
    <row r="31" spans="1:13" x14ac:dyDescent="0.35">
      <c r="A31" s="497"/>
      <c r="B31" s="496"/>
      <c r="C31" s="428"/>
      <c r="D31" s="428"/>
      <c r="E31" s="428"/>
      <c r="F31" s="428"/>
      <c r="G31" s="428"/>
      <c r="H31" s="428"/>
      <c r="I31" s="428"/>
      <c r="J31" s="428"/>
      <c r="K31" s="428"/>
    </row>
    <row r="32" spans="1:13" x14ac:dyDescent="0.35">
      <c r="A32" s="370"/>
      <c r="B32" s="496"/>
      <c r="C32" s="428"/>
      <c r="D32" s="428"/>
      <c r="E32" s="428"/>
      <c r="F32" s="428"/>
      <c r="G32" s="428"/>
      <c r="H32" s="428"/>
      <c r="I32" s="428"/>
      <c r="J32" s="428"/>
      <c r="K32" s="428"/>
    </row>
    <row r="33" spans="1:13" x14ac:dyDescent="0.35">
      <c r="A33" s="617"/>
      <c r="B33" s="496"/>
      <c r="C33" s="664"/>
      <c r="D33" s="664"/>
      <c r="E33" s="664"/>
      <c r="F33" s="664"/>
      <c r="G33" s="428"/>
      <c r="H33" s="664"/>
    </row>
    <row r="34" spans="1:13" ht="15.5" x14ac:dyDescent="0.35">
      <c r="A34" s="617"/>
      <c r="B34" s="1044" t="s">
        <v>999</v>
      </c>
      <c r="C34" s="1044"/>
      <c r="D34" s="1044"/>
      <c r="E34" s="1044"/>
      <c r="F34" s="1044"/>
      <c r="G34" s="1044"/>
      <c r="H34" s="1044"/>
    </row>
    <row r="35" spans="1:13" ht="15.5" x14ac:dyDescent="0.35">
      <c r="A35" s="617"/>
      <c r="B35" s="498"/>
      <c r="C35" s="498"/>
      <c r="D35" s="498"/>
      <c r="E35" s="498"/>
      <c r="F35" s="498"/>
      <c r="G35" s="498"/>
    </row>
    <row r="36" spans="1:13" ht="15.5" x14ac:dyDescent="0.35">
      <c r="B36" s="498"/>
      <c r="C36" s="498"/>
      <c r="D36" s="498"/>
      <c r="E36" s="498"/>
      <c r="F36" s="498"/>
      <c r="G36" s="665"/>
      <c r="H36" s="665"/>
      <c r="I36" s="665"/>
      <c r="J36" s="665"/>
      <c r="K36" s="665"/>
      <c r="L36" s="665"/>
      <c r="M36" s="665"/>
    </row>
    <row r="37" spans="1:13" x14ac:dyDescent="0.35">
      <c r="A37" s="617"/>
      <c r="B37" s="486" t="s">
        <v>976</v>
      </c>
      <c r="C37" s="499" t="s">
        <v>764</v>
      </c>
      <c r="D37" s="471" t="str">
        <f t="shared" ref="D37:L37" si="5">+D5</f>
        <v>2025-26</v>
      </c>
      <c r="E37" s="471" t="str">
        <f t="shared" si="5"/>
        <v>2026-27</v>
      </c>
      <c r="F37" s="471" t="str">
        <f t="shared" si="5"/>
        <v>2027-28</v>
      </c>
      <c r="G37" s="471" t="str">
        <f t="shared" si="5"/>
        <v>2028-29</v>
      </c>
      <c r="H37" s="471" t="str">
        <f t="shared" si="5"/>
        <v>2029-30</v>
      </c>
      <c r="I37" s="471" t="str">
        <f t="shared" si="5"/>
        <v>2030-31</v>
      </c>
      <c r="J37" s="471" t="str">
        <f t="shared" si="5"/>
        <v>2031-32</v>
      </c>
      <c r="K37" s="471" t="str">
        <f t="shared" si="5"/>
        <v>2032-33</v>
      </c>
      <c r="L37" s="471" t="str">
        <f t="shared" si="5"/>
        <v>2033-34</v>
      </c>
      <c r="M37" s="471" t="str">
        <f>+M5</f>
        <v>2034-35</v>
      </c>
    </row>
    <row r="38" spans="1:13" x14ac:dyDescent="0.35">
      <c r="B38" s="485"/>
      <c r="C38" s="608" t="s">
        <v>894</v>
      </c>
      <c r="D38" s="608" t="s">
        <v>894</v>
      </c>
      <c r="E38" s="608" t="s">
        <v>894</v>
      </c>
      <c r="F38" s="608" t="s">
        <v>894</v>
      </c>
      <c r="G38" s="608" t="s">
        <v>894</v>
      </c>
      <c r="H38" s="608" t="s">
        <v>894</v>
      </c>
      <c r="I38" s="608" t="s">
        <v>894</v>
      </c>
      <c r="J38" s="608" t="s">
        <v>894</v>
      </c>
      <c r="K38" s="608" t="s">
        <v>894</v>
      </c>
      <c r="L38" s="608" t="s">
        <v>894</v>
      </c>
      <c r="M38" s="608" t="s">
        <v>894</v>
      </c>
    </row>
    <row r="39" spans="1:13" x14ac:dyDescent="0.35">
      <c r="B39" s="487"/>
      <c r="C39" s="500"/>
      <c r="D39" s="500"/>
      <c r="E39" s="500"/>
      <c r="F39" s="500"/>
      <c r="G39" s="500"/>
      <c r="H39" s="500"/>
      <c r="I39" s="500"/>
      <c r="J39" s="500"/>
      <c r="K39" s="500"/>
      <c r="L39" s="500"/>
      <c r="M39" s="500"/>
    </row>
    <row r="40" spans="1:13" x14ac:dyDescent="0.35">
      <c r="B40" s="501" t="s">
        <v>1000</v>
      </c>
      <c r="C40" s="502">
        <f t="shared" ref="C40:K40" si="6">+C28</f>
        <v>3</v>
      </c>
      <c r="D40" s="502">
        <f t="shared" si="6"/>
        <v>1</v>
      </c>
      <c r="E40" s="502">
        <f t="shared" si="6"/>
        <v>4.2755962910617882</v>
      </c>
      <c r="F40" s="502">
        <f t="shared" si="6"/>
        <v>4.9965383940939887</v>
      </c>
      <c r="G40" s="502">
        <f t="shared" si="6"/>
        <v>11.84188686785069</v>
      </c>
      <c r="H40" s="502">
        <f t="shared" si="6"/>
        <v>14.688974382628643</v>
      </c>
      <c r="I40" s="502">
        <f t="shared" si="6"/>
        <v>12.085581540478771</v>
      </c>
      <c r="J40" s="502">
        <f t="shared" si="6"/>
        <v>9.9663052135548327</v>
      </c>
      <c r="K40" s="502">
        <f t="shared" si="6"/>
        <v>13.942986267618039</v>
      </c>
      <c r="L40" s="502">
        <f>+L28</f>
        <v>9.9733103017177598</v>
      </c>
      <c r="M40" s="502">
        <f>+M28</f>
        <v>23.951956544855761</v>
      </c>
    </row>
    <row r="41" spans="1:13" x14ac:dyDescent="0.35">
      <c r="B41" s="488"/>
      <c r="C41" s="490">
        <f t="shared" ref="C41:K41" si="7">+C40*0.6</f>
        <v>1.7999999999999998</v>
      </c>
      <c r="D41" s="490">
        <f t="shared" si="7"/>
        <v>0.6</v>
      </c>
      <c r="E41" s="490">
        <f t="shared" si="7"/>
        <v>2.5653577746370728</v>
      </c>
      <c r="F41" s="490">
        <f t="shared" si="7"/>
        <v>2.9979230364563931</v>
      </c>
      <c r="G41" s="490">
        <f t="shared" si="7"/>
        <v>7.1051321207104134</v>
      </c>
      <c r="H41" s="490">
        <f t="shared" si="7"/>
        <v>8.813384629577186</v>
      </c>
      <c r="I41" s="490">
        <f t="shared" si="7"/>
        <v>7.251348924287262</v>
      </c>
      <c r="J41" s="490">
        <f t="shared" si="7"/>
        <v>5.9797831281328993</v>
      </c>
      <c r="K41" s="490">
        <f t="shared" si="7"/>
        <v>8.3657917605708239</v>
      </c>
      <c r="L41" s="490">
        <f>+L40*0.6</f>
        <v>5.983986181030656</v>
      </c>
      <c r="M41" s="490">
        <f>+M40*0.6</f>
        <v>14.371173926913457</v>
      </c>
    </row>
    <row r="42" spans="1:13" x14ac:dyDescent="0.35">
      <c r="B42" s="488"/>
      <c r="C42" s="490"/>
      <c r="D42" s="490"/>
      <c r="E42" s="490"/>
      <c r="F42" s="490"/>
      <c r="G42" s="490"/>
      <c r="H42" s="490"/>
      <c r="I42" s="490"/>
      <c r="J42" s="490"/>
      <c r="K42" s="490"/>
      <c r="L42" s="490"/>
      <c r="M42" s="490"/>
    </row>
    <row r="43" spans="1:13" x14ac:dyDescent="0.35">
      <c r="B43" s="468" t="s">
        <v>1001</v>
      </c>
      <c r="C43" s="503">
        <v>0</v>
      </c>
      <c r="D43" s="503">
        <v>0</v>
      </c>
      <c r="E43" s="503">
        <v>30</v>
      </c>
      <c r="F43" s="503">
        <v>40</v>
      </c>
      <c r="G43" s="503">
        <v>50</v>
      </c>
      <c r="H43" s="503">
        <v>60</v>
      </c>
      <c r="I43" s="503">
        <v>70</v>
      </c>
      <c r="J43" s="503">
        <v>80</v>
      </c>
      <c r="K43" s="503">
        <v>80</v>
      </c>
      <c r="L43" s="503">
        <v>100</v>
      </c>
      <c r="M43" s="503">
        <v>120</v>
      </c>
    </row>
    <row r="44" spans="1:13" x14ac:dyDescent="0.35">
      <c r="B44" s="442"/>
      <c r="C44" s="468"/>
      <c r="D44" s="468"/>
      <c r="E44" s="411"/>
      <c r="F44" s="411"/>
      <c r="G44" s="411"/>
      <c r="H44" s="411"/>
      <c r="I44" s="411"/>
      <c r="J44" s="411"/>
      <c r="K44" s="411"/>
      <c r="L44" s="411"/>
      <c r="M44" s="411"/>
    </row>
    <row r="45" spans="1:13" x14ac:dyDescent="0.35">
      <c r="B45" s="468" t="s">
        <v>1002</v>
      </c>
      <c r="C45" s="468">
        <f>+C43</f>
        <v>0</v>
      </c>
      <c r="D45" s="468">
        <f t="shared" ref="D45:M45" si="8">+C45+D43</f>
        <v>0</v>
      </c>
      <c r="E45" s="468">
        <f t="shared" si="8"/>
        <v>30</v>
      </c>
      <c r="F45" s="468">
        <f t="shared" si="8"/>
        <v>70</v>
      </c>
      <c r="G45" s="468">
        <f t="shared" si="8"/>
        <v>120</v>
      </c>
      <c r="H45" s="468">
        <f t="shared" si="8"/>
        <v>180</v>
      </c>
      <c r="I45" s="468">
        <f t="shared" si="8"/>
        <v>250</v>
      </c>
      <c r="J45" s="468">
        <f t="shared" si="8"/>
        <v>330</v>
      </c>
      <c r="K45" s="468">
        <f t="shared" si="8"/>
        <v>410</v>
      </c>
      <c r="L45" s="468">
        <f t="shared" si="8"/>
        <v>510</v>
      </c>
      <c r="M45" s="468">
        <f t="shared" si="8"/>
        <v>630</v>
      </c>
    </row>
    <row r="46" spans="1:13" x14ac:dyDescent="0.35">
      <c r="B46" s="468"/>
      <c r="C46" s="468"/>
      <c r="D46" s="468"/>
      <c r="E46" s="468"/>
      <c r="F46" s="468"/>
      <c r="G46" s="468"/>
      <c r="H46" s="468"/>
      <c r="I46" s="468"/>
      <c r="J46" s="468"/>
      <c r="K46" s="468"/>
      <c r="L46" s="468"/>
      <c r="M46" s="468"/>
    </row>
    <row r="47" spans="1:13" x14ac:dyDescent="0.35">
      <c r="B47" s="501" t="s">
        <v>1826</v>
      </c>
      <c r="C47" s="504">
        <f>(+C43*$B$48/2)</f>
        <v>0</v>
      </c>
      <c r="D47" s="504">
        <f t="shared" ref="D47:M47" si="9">(+D43*$B$48/2)+(C45*$B$48)</f>
        <v>0</v>
      </c>
      <c r="E47" s="504">
        <f t="shared" si="9"/>
        <v>1.05</v>
      </c>
      <c r="F47" s="504">
        <f t="shared" si="9"/>
        <v>3.5</v>
      </c>
      <c r="G47" s="504">
        <f t="shared" si="9"/>
        <v>6.65</v>
      </c>
      <c r="H47" s="504">
        <f t="shared" si="9"/>
        <v>10.5</v>
      </c>
      <c r="I47" s="504">
        <f t="shared" si="9"/>
        <v>15.05</v>
      </c>
      <c r="J47" s="504">
        <f t="shared" si="9"/>
        <v>20.3</v>
      </c>
      <c r="K47" s="504">
        <f t="shared" si="9"/>
        <v>25.900000000000002</v>
      </c>
      <c r="L47" s="504">
        <f t="shared" si="9"/>
        <v>32.200000000000003</v>
      </c>
      <c r="M47" s="504">
        <f t="shared" si="9"/>
        <v>39.900000000000006</v>
      </c>
    </row>
    <row r="48" spans="1:13" x14ac:dyDescent="0.35">
      <c r="B48" s="505">
        <v>7.0000000000000007E-2</v>
      </c>
      <c r="C48" s="506"/>
      <c r="D48" s="506"/>
      <c r="E48" s="506"/>
      <c r="F48" s="506"/>
      <c r="G48" s="506"/>
      <c r="H48" s="506"/>
      <c r="I48" s="506"/>
      <c r="J48" s="506"/>
      <c r="K48" s="506"/>
      <c r="L48" s="506"/>
      <c r="M48" s="506"/>
    </row>
    <row r="49" spans="2:13" x14ac:dyDescent="0.35">
      <c r="B49" s="492" t="s">
        <v>1003</v>
      </c>
      <c r="C49" s="666"/>
      <c r="D49" s="666"/>
      <c r="E49" s="666"/>
      <c r="F49" s="666"/>
      <c r="G49" s="666"/>
      <c r="H49" s="666"/>
      <c r="I49" s="666"/>
      <c r="J49" s="666"/>
      <c r="K49" s="666"/>
      <c r="L49" s="666"/>
      <c r="M49" s="666"/>
    </row>
  </sheetData>
  <mergeCells count="4">
    <mergeCell ref="A3:L3"/>
    <mergeCell ref="B34:H34"/>
    <mergeCell ref="A1:M1"/>
    <mergeCell ref="A2:M2"/>
  </mergeCells>
  <printOptions horizontalCentered="1"/>
  <pageMargins left="0.70866141732283472" right="0.70866141732283472" top="0.74803149606299213" bottom="0.74803149606299213" header="0.31496062992125984" footer="0.31496062992125984"/>
  <pageSetup scale="5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7D4DD-A55F-4119-85B5-2099C3DAA6E2}">
  <sheetPr>
    <pageSetUpPr fitToPage="1"/>
  </sheetPr>
  <dimension ref="A1:V29"/>
  <sheetViews>
    <sheetView workbookViewId="0">
      <selection sqref="A1:XFD1048576"/>
    </sheetView>
  </sheetViews>
  <sheetFormatPr defaultRowHeight="14.5" x14ac:dyDescent="0.35"/>
  <cols>
    <col min="1" max="1" width="27.453125" bestFit="1" customWidth="1"/>
    <col min="2" max="2" width="12.7265625" customWidth="1"/>
    <col min="3" max="3" width="10.26953125" bestFit="1" customWidth="1"/>
    <col min="4" max="4" width="9.26953125" bestFit="1" customWidth="1"/>
    <col min="5" max="8" width="10" customWidth="1"/>
    <col min="9" max="9" width="10.26953125" bestFit="1" customWidth="1"/>
    <col min="10" max="11" width="9.26953125" bestFit="1" customWidth="1"/>
    <col min="12" max="14" width="9.26953125" customWidth="1"/>
    <col min="18" max="19" width="10.26953125" bestFit="1" customWidth="1"/>
    <col min="257" max="257" width="27.453125" bestFit="1" customWidth="1"/>
    <col min="258" max="258" width="12.7265625" customWidth="1"/>
    <col min="259" max="259" width="10.26953125" bestFit="1" customWidth="1"/>
    <col min="260" max="260" width="9.26953125" bestFit="1" customWidth="1"/>
    <col min="261" max="264" width="10" customWidth="1"/>
    <col min="265" max="265" width="10.26953125" bestFit="1" customWidth="1"/>
    <col min="266" max="267" width="9.26953125" bestFit="1" customWidth="1"/>
    <col min="268" max="270" width="9.26953125" customWidth="1"/>
    <col min="274" max="275" width="10.26953125" bestFit="1" customWidth="1"/>
    <col min="513" max="513" width="27.453125" bestFit="1" customWidth="1"/>
    <col min="514" max="514" width="12.7265625" customWidth="1"/>
    <col min="515" max="515" width="10.26953125" bestFit="1" customWidth="1"/>
    <col min="516" max="516" width="9.26953125" bestFit="1" customWidth="1"/>
    <col min="517" max="520" width="10" customWidth="1"/>
    <col min="521" max="521" width="10.26953125" bestFit="1" customWidth="1"/>
    <col min="522" max="523" width="9.26953125" bestFit="1" customWidth="1"/>
    <col min="524" max="526" width="9.26953125" customWidth="1"/>
    <col min="530" max="531" width="10.26953125" bestFit="1" customWidth="1"/>
    <col min="769" max="769" width="27.453125" bestFit="1" customWidth="1"/>
    <col min="770" max="770" width="12.7265625" customWidth="1"/>
    <col min="771" max="771" width="10.26953125" bestFit="1" customWidth="1"/>
    <col min="772" max="772" width="9.26953125" bestFit="1" customWidth="1"/>
    <col min="773" max="776" width="10" customWidth="1"/>
    <col min="777" max="777" width="10.26953125" bestFit="1" customWidth="1"/>
    <col min="778" max="779" width="9.26953125" bestFit="1" customWidth="1"/>
    <col min="780" max="782" width="9.26953125" customWidth="1"/>
    <col min="786" max="787" width="10.26953125" bestFit="1" customWidth="1"/>
    <col min="1025" max="1025" width="27.453125" bestFit="1" customWidth="1"/>
    <col min="1026" max="1026" width="12.7265625" customWidth="1"/>
    <col min="1027" max="1027" width="10.26953125" bestFit="1" customWidth="1"/>
    <col min="1028" max="1028" width="9.26953125" bestFit="1" customWidth="1"/>
    <col min="1029" max="1032" width="10" customWidth="1"/>
    <col min="1033" max="1033" width="10.26953125" bestFit="1" customWidth="1"/>
    <col min="1034" max="1035" width="9.26953125" bestFit="1" customWidth="1"/>
    <col min="1036" max="1038" width="9.26953125" customWidth="1"/>
    <col min="1042" max="1043" width="10.26953125" bestFit="1" customWidth="1"/>
    <col min="1281" max="1281" width="27.453125" bestFit="1" customWidth="1"/>
    <col min="1282" max="1282" width="12.7265625" customWidth="1"/>
    <col min="1283" max="1283" width="10.26953125" bestFit="1" customWidth="1"/>
    <col min="1284" max="1284" width="9.26953125" bestFit="1" customWidth="1"/>
    <col min="1285" max="1288" width="10" customWidth="1"/>
    <col min="1289" max="1289" width="10.26953125" bestFit="1" customWidth="1"/>
    <col min="1290" max="1291" width="9.26953125" bestFit="1" customWidth="1"/>
    <col min="1292" max="1294" width="9.26953125" customWidth="1"/>
    <col min="1298" max="1299" width="10.26953125" bestFit="1" customWidth="1"/>
    <col min="1537" max="1537" width="27.453125" bestFit="1" customWidth="1"/>
    <col min="1538" max="1538" width="12.7265625" customWidth="1"/>
    <col min="1539" max="1539" width="10.26953125" bestFit="1" customWidth="1"/>
    <col min="1540" max="1540" width="9.26953125" bestFit="1" customWidth="1"/>
    <col min="1541" max="1544" width="10" customWidth="1"/>
    <col min="1545" max="1545" width="10.26953125" bestFit="1" customWidth="1"/>
    <col min="1546" max="1547" width="9.26953125" bestFit="1" customWidth="1"/>
    <col min="1548" max="1550" width="9.26953125" customWidth="1"/>
    <col min="1554" max="1555" width="10.26953125" bestFit="1" customWidth="1"/>
    <col min="1793" max="1793" width="27.453125" bestFit="1" customWidth="1"/>
    <col min="1794" max="1794" width="12.7265625" customWidth="1"/>
    <col min="1795" max="1795" width="10.26953125" bestFit="1" customWidth="1"/>
    <col min="1796" max="1796" width="9.26953125" bestFit="1" customWidth="1"/>
    <col min="1797" max="1800" width="10" customWidth="1"/>
    <col min="1801" max="1801" width="10.26953125" bestFit="1" customWidth="1"/>
    <col min="1802" max="1803" width="9.26953125" bestFit="1" customWidth="1"/>
    <col min="1804" max="1806" width="9.26953125" customWidth="1"/>
    <col min="1810" max="1811" width="10.26953125" bestFit="1" customWidth="1"/>
    <col min="2049" max="2049" width="27.453125" bestFit="1" customWidth="1"/>
    <col min="2050" max="2050" width="12.7265625" customWidth="1"/>
    <col min="2051" max="2051" width="10.26953125" bestFit="1" customWidth="1"/>
    <col min="2052" max="2052" width="9.26953125" bestFit="1" customWidth="1"/>
    <col min="2053" max="2056" width="10" customWidth="1"/>
    <col min="2057" max="2057" width="10.26953125" bestFit="1" customWidth="1"/>
    <col min="2058" max="2059" width="9.26953125" bestFit="1" customWidth="1"/>
    <col min="2060" max="2062" width="9.26953125" customWidth="1"/>
    <col min="2066" max="2067" width="10.26953125" bestFit="1" customWidth="1"/>
    <col min="2305" max="2305" width="27.453125" bestFit="1" customWidth="1"/>
    <col min="2306" max="2306" width="12.7265625" customWidth="1"/>
    <col min="2307" max="2307" width="10.26953125" bestFit="1" customWidth="1"/>
    <col min="2308" max="2308" width="9.26953125" bestFit="1" customWidth="1"/>
    <col min="2309" max="2312" width="10" customWidth="1"/>
    <col min="2313" max="2313" width="10.26953125" bestFit="1" customWidth="1"/>
    <col min="2314" max="2315" width="9.26953125" bestFit="1" customWidth="1"/>
    <col min="2316" max="2318" width="9.26953125" customWidth="1"/>
    <col min="2322" max="2323" width="10.26953125" bestFit="1" customWidth="1"/>
    <col min="2561" max="2561" width="27.453125" bestFit="1" customWidth="1"/>
    <col min="2562" max="2562" width="12.7265625" customWidth="1"/>
    <col min="2563" max="2563" width="10.26953125" bestFit="1" customWidth="1"/>
    <col min="2564" max="2564" width="9.26953125" bestFit="1" customWidth="1"/>
    <col min="2565" max="2568" width="10" customWidth="1"/>
    <col min="2569" max="2569" width="10.26953125" bestFit="1" customWidth="1"/>
    <col min="2570" max="2571" width="9.26953125" bestFit="1" customWidth="1"/>
    <col min="2572" max="2574" width="9.26953125" customWidth="1"/>
    <col min="2578" max="2579" width="10.26953125" bestFit="1" customWidth="1"/>
    <col min="2817" max="2817" width="27.453125" bestFit="1" customWidth="1"/>
    <col min="2818" max="2818" width="12.7265625" customWidth="1"/>
    <col min="2819" max="2819" width="10.26953125" bestFit="1" customWidth="1"/>
    <col min="2820" max="2820" width="9.26953125" bestFit="1" customWidth="1"/>
    <col min="2821" max="2824" width="10" customWidth="1"/>
    <col min="2825" max="2825" width="10.26953125" bestFit="1" customWidth="1"/>
    <col min="2826" max="2827" width="9.26953125" bestFit="1" customWidth="1"/>
    <col min="2828" max="2830" width="9.26953125" customWidth="1"/>
    <col min="2834" max="2835" width="10.26953125" bestFit="1" customWidth="1"/>
    <col min="3073" max="3073" width="27.453125" bestFit="1" customWidth="1"/>
    <col min="3074" max="3074" width="12.7265625" customWidth="1"/>
    <col min="3075" max="3075" width="10.26953125" bestFit="1" customWidth="1"/>
    <col min="3076" max="3076" width="9.26953125" bestFit="1" customWidth="1"/>
    <col min="3077" max="3080" width="10" customWidth="1"/>
    <col min="3081" max="3081" width="10.26953125" bestFit="1" customWidth="1"/>
    <col min="3082" max="3083" width="9.26953125" bestFit="1" customWidth="1"/>
    <col min="3084" max="3086" width="9.26953125" customWidth="1"/>
    <col min="3090" max="3091" width="10.26953125" bestFit="1" customWidth="1"/>
    <col min="3329" max="3329" width="27.453125" bestFit="1" customWidth="1"/>
    <col min="3330" max="3330" width="12.7265625" customWidth="1"/>
    <col min="3331" max="3331" width="10.26953125" bestFit="1" customWidth="1"/>
    <col min="3332" max="3332" width="9.26953125" bestFit="1" customWidth="1"/>
    <col min="3333" max="3336" width="10" customWidth="1"/>
    <col min="3337" max="3337" width="10.26953125" bestFit="1" customWidth="1"/>
    <col min="3338" max="3339" width="9.26953125" bestFit="1" customWidth="1"/>
    <col min="3340" max="3342" width="9.26953125" customWidth="1"/>
    <col min="3346" max="3347" width="10.26953125" bestFit="1" customWidth="1"/>
    <col min="3585" max="3585" width="27.453125" bestFit="1" customWidth="1"/>
    <col min="3586" max="3586" width="12.7265625" customWidth="1"/>
    <col min="3587" max="3587" width="10.26953125" bestFit="1" customWidth="1"/>
    <col min="3588" max="3588" width="9.26953125" bestFit="1" customWidth="1"/>
    <col min="3589" max="3592" width="10" customWidth="1"/>
    <col min="3593" max="3593" width="10.26953125" bestFit="1" customWidth="1"/>
    <col min="3594" max="3595" width="9.26953125" bestFit="1" customWidth="1"/>
    <col min="3596" max="3598" width="9.26953125" customWidth="1"/>
    <col min="3602" max="3603" width="10.26953125" bestFit="1" customWidth="1"/>
    <col min="3841" max="3841" width="27.453125" bestFit="1" customWidth="1"/>
    <col min="3842" max="3842" width="12.7265625" customWidth="1"/>
    <col min="3843" max="3843" width="10.26953125" bestFit="1" customWidth="1"/>
    <col min="3844" max="3844" width="9.26953125" bestFit="1" customWidth="1"/>
    <col min="3845" max="3848" width="10" customWidth="1"/>
    <col min="3849" max="3849" width="10.26953125" bestFit="1" customWidth="1"/>
    <col min="3850" max="3851" width="9.26953125" bestFit="1" customWidth="1"/>
    <col min="3852" max="3854" width="9.26953125" customWidth="1"/>
    <col min="3858" max="3859" width="10.26953125" bestFit="1" customWidth="1"/>
    <col min="4097" max="4097" width="27.453125" bestFit="1" customWidth="1"/>
    <col min="4098" max="4098" width="12.7265625" customWidth="1"/>
    <col min="4099" max="4099" width="10.26953125" bestFit="1" customWidth="1"/>
    <col min="4100" max="4100" width="9.26953125" bestFit="1" customWidth="1"/>
    <col min="4101" max="4104" width="10" customWidth="1"/>
    <col min="4105" max="4105" width="10.26953125" bestFit="1" customWidth="1"/>
    <col min="4106" max="4107" width="9.26953125" bestFit="1" customWidth="1"/>
    <col min="4108" max="4110" width="9.26953125" customWidth="1"/>
    <col min="4114" max="4115" width="10.26953125" bestFit="1" customWidth="1"/>
    <col min="4353" max="4353" width="27.453125" bestFit="1" customWidth="1"/>
    <col min="4354" max="4354" width="12.7265625" customWidth="1"/>
    <col min="4355" max="4355" width="10.26953125" bestFit="1" customWidth="1"/>
    <col min="4356" max="4356" width="9.26953125" bestFit="1" customWidth="1"/>
    <col min="4357" max="4360" width="10" customWidth="1"/>
    <col min="4361" max="4361" width="10.26953125" bestFit="1" customWidth="1"/>
    <col min="4362" max="4363" width="9.26953125" bestFit="1" customWidth="1"/>
    <col min="4364" max="4366" width="9.26953125" customWidth="1"/>
    <col min="4370" max="4371" width="10.26953125" bestFit="1" customWidth="1"/>
    <col min="4609" max="4609" width="27.453125" bestFit="1" customWidth="1"/>
    <col min="4610" max="4610" width="12.7265625" customWidth="1"/>
    <col min="4611" max="4611" width="10.26953125" bestFit="1" customWidth="1"/>
    <col min="4612" max="4612" width="9.26953125" bestFit="1" customWidth="1"/>
    <col min="4613" max="4616" width="10" customWidth="1"/>
    <col min="4617" max="4617" width="10.26953125" bestFit="1" customWidth="1"/>
    <col min="4618" max="4619" width="9.26953125" bestFit="1" customWidth="1"/>
    <col min="4620" max="4622" width="9.26953125" customWidth="1"/>
    <col min="4626" max="4627" width="10.26953125" bestFit="1" customWidth="1"/>
    <col min="4865" max="4865" width="27.453125" bestFit="1" customWidth="1"/>
    <col min="4866" max="4866" width="12.7265625" customWidth="1"/>
    <col min="4867" max="4867" width="10.26953125" bestFit="1" customWidth="1"/>
    <col min="4868" max="4868" width="9.26953125" bestFit="1" customWidth="1"/>
    <col min="4869" max="4872" width="10" customWidth="1"/>
    <col min="4873" max="4873" width="10.26953125" bestFit="1" customWidth="1"/>
    <col min="4874" max="4875" width="9.26953125" bestFit="1" customWidth="1"/>
    <col min="4876" max="4878" width="9.26953125" customWidth="1"/>
    <col min="4882" max="4883" width="10.26953125" bestFit="1" customWidth="1"/>
    <col min="5121" max="5121" width="27.453125" bestFit="1" customWidth="1"/>
    <col min="5122" max="5122" width="12.7265625" customWidth="1"/>
    <col min="5123" max="5123" width="10.26953125" bestFit="1" customWidth="1"/>
    <col min="5124" max="5124" width="9.26953125" bestFit="1" customWidth="1"/>
    <col min="5125" max="5128" width="10" customWidth="1"/>
    <col min="5129" max="5129" width="10.26953125" bestFit="1" customWidth="1"/>
    <col min="5130" max="5131" width="9.26953125" bestFit="1" customWidth="1"/>
    <col min="5132" max="5134" width="9.26953125" customWidth="1"/>
    <col min="5138" max="5139" width="10.26953125" bestFit="1" customWidth="1"/>
    <col min="5377" max="5377" width="27.453125" bestFit="1" customWidth="1"/>
    <col min="5378" max="5378" width="12.7265625" customWidth="1"/>
    <col min="5379" max="5379" width="10.26953125" bestFit="1" customWidth="1"/>
    <col min="5380" max="5380" width="9.26953125" bestFit="1" customWidth="1"/>
    <col min="5381" max="5384" width="10" customWidth="1"/>
    <col min="5385" max="5385" width="10.26953125" bestFit="1" customWidth="1"/>
    <col min="5386" max="5387" width="9.26953125" bestFit="1" customWidth="1"/>
    <col min="5388" max="5390" width="9.26953125" customWidth="1"/>
    <col min="5394" max="5395" width="10.26953125" bestFit="1" customWidth="1"/>
    <col min="5633" max="5633" width="27.453125" bestFit="1" customWidth="1"/>
    <col min="5634" max="5634" width="12.7265625" customWidth="1"/>
    <col min="5635" max="5635" width="10.26953125" bestFit="1" customWidth="1"/>
    <col min="5636" max="5636" width="9.26953125" bestFit="1" customWidth="1"/>
    <col min="5637" max="5640" width="10" customWidth="1"/>
    <col min="5641" max="5641" width="10.26953125" bestFit="1" customWidth="1"/>
    <col min="5642" max="5643" width="9.26953125" bestFit="1" customWidth="1"/>
    <col min="5644" max="5646" width="9.26953125" customWidth="1"/>
    <col min="5650" max="5651" width="10.26953125" bestFit="1" customWidth="1"/>
    <col min="5889" max="5889" width="27.453125" bestFit="1" customWidth="1"/>
    <col min="5890" max="5890" width="12.7265625" customWidth="1"/>
    <col min="5891" max="5891" width="10.26953125" bestFit="1" customWidth="1"/>
    <col min="5892" max="5892" width="9.26953125" bestFit="1" customWidth="1"/>
    <col min="5893" max="5896" width="10" customWidth="1"/>
    <col min="5897" max="5897" width="10.26953125" bestFit="1" customWidth="1"/>
    <col min="5898" max="5899" width="9.26953125" bestFit="1" customWidth="1"/>
    <col min="5900" max="5902" width="9.26953125" customWidth="1"/>
    <col min="5906" max="5907" width="10.26953125" bestFit="1" customWidth="1"/>
    <col min="6145" max="6145" width="27.453125" bestFit="1" customWidth="1"/>
    <col min="6146" max="6146" width="12.7265625" customWidth="1"/>
    <col min="6147" max="6147" width="10.26953125" bestFit="1" customWidth="1"/>
    <col min="6148" max="6148" width="9.26953125" bestFit="1" customWidth="1"/>
    <col min="6149" max="6152" width="10" customWidth="1"/>
    <col min="6153" max="6153" width="10.26953125" bestFit="1" customWidth="1"/>
    <col min="6154" max="6155" width="9.26953125" bestFit="1" customWidth="1"/>
    <col min="6156" max="6158" width="9.26953125" customWidth="1"/>
    <col min="6162" max="6163" width="10.26953125" bestFit="1" customWidth="1"/>
    <col min="6401" max="6401" width="27.453125" bestFit="1" customWidth="1"/>
    <col min="6402" max="6402" width="12.7265625" customWidth="1"/>
    <col min="6403" max="6403" width="10.26953125" bestFit="1" customWidth="1"/>
    <col min="6404" max="6404" width="9.26953125" bestFit="1" customWidth="1"/>
    <col min="6405" max="6408" width="10" customWidth="1"/>
    <col min="6409" max="6409" width="10.26953125" bestFit="1" customWidth="1"/>
    <col min="6410" max="6411" width="9.26953125" bestFit="1" customWidth="1"/>
    <col min="6412" max="6414" width="9.26953125" customWidth="1"/>
    <col min="6418" max="6419" width="10.26953125" bestFit="1" customWidth="1"/>
    <col min="6657" max="6657" width="27.453125" bestFit="1" customWidth="1"/>
    <col min="6658" max="6658" width="12.7265625" customWidth="1"/>
    <col min="6659" max="6659" width="10.26953125" bestFit="1" customWidth="1"/>
    <col min="6660" max="6660" width="9.26953125" bestFit="1" customWidth="1"/>
    <col min="6661" max="6664" width="10" customWidth="1"/>
    <col min="6665" max="6665" width="10.26953125" bestFit="1" customWidth="1"/>
    <col min="6666" max="6667" width="9.26953125" bestFit="1" customWidth="1"/>
    <col min="6668" max="6670" width="9.26953125" customWidth="1"/>
    <col min="6674" max="6675" width="10.26953125" bestFit="1" customWidth="1"/>
    <col min="6913" max="6913" width="27.453125" bestFit="1" customWidth="1"/>
    <col min="6914" max="6914" width="12.7265625" customWidth="1"/>
    <col min="6915" max="6915" width="10.26953125" bestFit="1" customWidth="1"/>
    <col min="6916" max="6916" width="9.26953125" bestFit="1" customWidth="1"/>
    <col min="6917" max="6920" width="10" customWidth="1"/>
    <col min="6921" max="6921" width="10.26953125" bestFit="1" customWidth="1"/>
    <col min="6922" max="6923" width="9.26953125" bestFit="1" customWidth="1"/>
    <col min="6924" max="6926" width="9.26953125" customWidth="1"/>
    <col min="6930" max="6931" width="10.26953125" bestFit="1" customWidth="1"/>
    <col min="7169" max="7169" width="27.453125" bestFit="1" customWidth="1"/>
    <col min="7170" max="7170" width="12.7265625" customWidth="1"/>
    <col min="7171" max="7171" width="10.26953125" bestFit="1" customWidth="1"/>
    <col min="7172" max="7172" width="9.26953125" bestFit="1" customWidth="1"/>
    <col min="7173" max="7176" width="10" customWidth="1"/>
    <col min="7177" max="7177" width="10.26953125" bestFit="1" customWidth="1"/>
    <col min="7178" max="7179" width="9.26953125" bestFit="1" customWidth="1"/>
    <col min="7180" max="7182" width="9.26953125" customWidth="1"/>
    <col min="7186" max="7187" width="10.26953125" bestFit="1" customWidth="1"/>
    <col min="7425" max="7425" width="27.453125" bestFit="1" customWidth="1"/>
    <col min="7426" max="7426" width="12.7265625" customWidth="1"/>
    <col min="7427" max="7427" width="10.26953125" bestFit="1" customWidth="1"/>
    <col min="7428" max="7428" width="9.26953125" bestFit="1" customWidth="1"/>
    <col min="7429" max="7432" width="10" customWidth="1"/>
    <col min="7433" max="7433" width="10.26953125" bestFit="1" customWidth="1"/>
    <col min="7434" max="7435" width="9.26953125" bestFit="1" customWidth="1"/>
    <col min="7436" max="7438" width="9.26953125" customWidth="1"/>
    <col min="7442" max="7443" width="10.26953125" bestFit="1" customWidth="1"/>
    <col min="7681" max="7681" width="27.453125" bestFit="1" customWidth="1"/>
    <col min="7682" max="7682" width="12.7265625" customWidth="1"/>
    <col min="7683" max="7683" width="10.26953125" bestFit="1" customWidth="1"/>
    <col min="7684" max="7684" width="9.26953125" bestFit="1" customWidth="1"/>
    <col min="7685" max="7688" width="10" customWidth="1"/>
    <col min="7689" max="7689" width="10.26953125" bestFit="1" customWidth="1"/>
    <col min="7690" max="7691" width="9.26953125" bestFit="1" customWidth="1"/>
    <col min="7692" max="7694" width="9.26953125" customWidth="1"/>
    <col min="7698" max="7699" width="10.26953125" bestFit="1" customWidth="1"/>
    <col min="7937" max="7937" width="27.453125" bestFit="1" customWidth="1"/>
    <col min="7938" max="7938" width="12.7265625" customWidth="1"/>
    <col min="7939" max="7939" width="10.26953125" bestFit="1" customWidth="1"/>
    <col min="7940" max="7940" width="9.26953125" bestFit="1" customWidth="1"/>
    <col min="7941" max="7944" width="10" customWidth="1"/>
    <col min="7945" max="7945" width="10.26953125" bestFit="1" customWidth="1"/>
    <col min="7946" max="7947" width="9.26953125" bestFit="1" customWidth="1"/>
    <col min="7948" max="7950" width="9.26953125" customWidth="1"/>
    <col min="7954" max="7955" width="10.26953125" bestFit="1" customWidth="1"/>
    <col min="8193" max="8193" width="27.453125" bestFit="1" customWidth="1"/>
    <col min="8194" max="8194" width="12.7265625" customWidth="1"/>
    <col min="8195" max="8195" width="10.26953125" bestFit="1" customWidth="1"/>
    <col min="8196" max="8196" width="9.26953125" bestFit="1" customWidth="1"/>
    <col min="8197" max="8200" width="10" customWidth="1"/>
    <col min="8201" max="8201" width="10.26953125" bestFit="1" customWidth="1"/>
    <col min="8202" max="8203" width="9.26953125" bestFit="1" customWidth="1"/>
    <col min="8204" max="8206" width="9.26953125" customWidth="1"/>
    <col min="8210" max="8211" width="10.26953125" bestFit="1" customWidth="1"/>
    <col min="8449" max="8449" width="27.453125" bestFit="1" customWidth="1"/>
    <col min="8450" max="8450" width="12.7265625" customWidth="1"/>
    <col min="8451" max="8451" width="10.26953125" bestFit="1" customWidth="1"/>
    <col min="8452" max="8452" width="9.26953125" bestFit="1" customWidth="1"/>
    <col min="8453" max="8456" width="10" customWidth="1"/>
    <col min="8457" max="8457" width="10.26953125" bestFit="1" customWidth="1"/>
    <col min="8458" max="8459" width="9.26953125" bestFit="1" customWidth="1"/>
    <col min="8460" max="8462" width="9.26953125" customWidth="1"/>
    <col min="8466" max="8467" width="10.26953125" bestFit="1" customWidth="1"/>
    <col min="8705" max="8705" width="27.453125" bestFit="1" customWidth="1"/>
    <col min="8706" max="8706" width="12.7265625" customWidth="1"/>
    <col min="8707" max="8707" width="10.26953125" bestFit="1" customWidth="1"/>
    <col min="8708" max="8708" width="9.26953125" bestFit="1" customWidth="1"/>
    <col min="8709" max="8712" width="10" customWidth="1"/>
    <col min="8713" max="8713" width="10.26953125" bestFit="1" customWidth="1"/>
    <col min="8714" max="8715" width="9.26953125" bestFit="1" customWidth="1"/>
    <col min="8716" max="8718" width="9.26953125" customWidth="1"/>
    <col min="8722" max="8723" width="10.26953125" bestFit="1" customWidth="1"/>
    <col min="8961" max="8961" width="27.453125" bestFit="1" customWidth="1"/>
    <col min="8962" max="8962" width="12.7265625" customWidth="1"/>
    <col min="8963" max="8963" width="10.26953125" bestFit="1" customWidth="1"/>
    <col min="8964" max="8964" width="9.26953125" bestFit="1" customWidth="1"/>
    <col min="8965" max="8968" width="10" customWidth="1"/>
    <col min="8969" max="8969" width="10.26953125" bestFit="1" customWidth="1"/>
    <col min="8970" max="8971" width="9.26953125" bestFit="1" customWidth="1"/>
    <col min="8972" max="8974" width="9.26953125" customWidth="1"/>
    <col min="8978" max="8979" width="10.26953125" bestFit="1" customWidth="1"/>
    <col min="9217" max="9217" width="27.453125" bestFit="1" customWidth="1"/>
    <col min="9218" max="9218" width="12.7265625" customWidth="1"/>
    <col min="9219" max="9219" width="10.26953125" bestFit="1" customWidth="1"/>
    <col min="9220" max="9220" width="9.26953125" bestFit="1" customWidth="1"/>
    <col min="9221" max="9224" width="10" customWidth="1"/>
    <col min="9225" max="9225" width="10.26953125" bestFit="1" customWidth="1"/>
    <col min="9226" max="9227" width="9.26953125" bestFit="1" customWidth="1"/>
    <col min="9228" max="9230" width="9.26953125" customWidth="1"/>
    <col min="9234" max="9235" width="10.26953125" bestFit="1" customWidth="1"/>
    <col min="9473" max="9473" width="27.453125" bestFit="1" customWidth="1"/>
    <col min="9474" max="9474" width="12.7265625" customWidth="1"/>
    <col min="9475" max="9475" width="10.26953125" bestFit="1" customWidth="1"/>
    <col min="9476" max="9476" width="9.26953125" bestFit="1" customWidth="1"/>
    <col min="9477" max="9480" width="10" customWidth="1"/>
    <col min="9481" max="9481" width="10.26953125" bestFit="1" customWidth="1"/>
    <col min="9482" max="9483" width="9.26953125" bestFit="1" customWidth="1"/>
    <col min="9484" max="9486" width="9.26953125" customWidth="1"/>
    <col min="9490" max="9491" width="10.26953125" bestFit="1" customWidth="1"/>
    <col min="9729" max="9729" width="27.453125" bestFit="1" customWidth="1"/>
    <col min="9730" max="9730" width="12.7265625" customWidth="1"/>
    <col min="9731" max="9731" width="10.26953125" bestFit="1" customWidth="1"/>
    <col min="9732" max="9732" width="9.26953125" bestFit="1" customWidth="1"/>
    <col min="9733" max="9736" width="10" customWidth="1"/>
    <col min="9737" max="9737" width="10.26953125" bestFit="1" customWidth="1"/>
    <col min="9738" max="9739" width="9.26953125" bestFit="1" customWidth="1"/>
    <col min="9740" max="9742" width="9.26953125" customWidth="1"/>
    <col min="9746" max="9747" width="10.26953125" bestFit="1" customWidth="1"/>
    <col min="9985" max="9985" width="27.453125" bestFit="1" customWidth="1"/>
    <col min="9986" max="9986" width="12.7265625" customWidth="1"/>
    <col min="9987" max="9987" width="10.26953125" bestFit="1" customWidth="1"/>
    <col min="9988" max="9988" width="9.26953125" bestFit="1" customWidth="1"/>
    <col min="9989" max="9992" width="10" customWidth="1"/>
    <col min="9993" max="9993" width="10.26953125" bestFit="1" customWidth="1"/>
    <col min="9994" max="9995" width="9.26953125" bestFit="1" customWidth="1"/>
    <col min="9996" max="9998" width="9.26953125" customWidth="1"/>
    <col min="10002" max="10003" width="10.26953125" bestFit="1" customWidth="1"/>
    <col min="10241" max="10241" width="27.453125" bestFit="1" customWidth="1"/>
    <col min="10242" max="10242" width="12.7265625" customWidth="1"/>
    <col min="10243" max="10243" width="10.26953125" bestFit="1" customWidth="1"/>
    <col min="10244" max="10244" width="9.26953125" bestFit="1" customWidth="1"/>
    <col min="10245" max="10248" width="10" customWidth="1"/>
    <col min="10249" max="10249" width="10.26953125" bestFit="1" customWidth="1"/>
    <col min="10250" max="10251" width="9.26953125" bestFit="1" customWidth="1"/>
    <col min="10252" max="10254" width="9.26953125" customWidth="1"/>
    <col min="10258" max="10259" width="10.26953125" bestFit="1" customWidth="1"/>
    <col min="10497" max="10497" width="27.453125" bestFit="1" customWidth="1"/>
    <col min="10498" max="10498" width="12.7265625" customWidth="1"/>
    <col min="10499" max="10499" width="10.26953125" bestFit="1" customWidth="1"/>
    <col min="10500" max="10500" width="9.26953125" bestFit="1" customWidth="1"/>
    <col min="10501" max="10504" width="10" customWidth="1"/>
    <col min="10505" max="10505" width="10.26953125" bestFit="1" customWidth="1"/>
    <col min="10506" max="10507" width="9.26953125" bestFit="1" customWidth="1"/>
    <col min="10508" max="10510" width="9.26953125" customWidth="1"/>
    <col min="10514" max="10515" width="10.26953125" bestFit="1" customWidth="1"/>
    <col min="10753" max="10753" width="27.453125" bestFit="1" customWidth="1"/>
    <col min="10754" max="10754" width="12.7265625" customWidth="1"/>
    <col min="10755" max="10755" width="10.26953125" bestFit="1" customWidth="1"/>
    <col min="10756" max="10756" width="9.26953125" bestFit="1" customWidth="1"/>
    <col min="10757" max="10760" width="10" customWidth="1"/>
    <col min="10761" max="10761" width="10.26953125" bestFit="1" customWidth="1"/>
    <col min="10762" max="10763" width="9.26953125" bestFit="1" customWidth="1"/>
    <col min="10764" max="10766" width="9.26953125" customWidth="1"/>
    <col min="10770" max="10771" width="10.26953125" bestFit="1" customWidth="1"/>
    <col min="11009" max="11009" width="27.453125" bestFit="1" customWidth="1"/>
    <col min="11010" max="11010" width="12.7265625" customWidth="1"/>
    <col min="11011" max="11011" width="10.26953125" bestFit="1" customWidth="1"/>
    <col min="11012" max="11012" width="9.26953125" bestFit="1" customWidth="1"/>
    <col min="11013" max="11016" width="10" customWidth="1"/>
    <col min="11017" max="11017" width="10.26953125" bestFit="1" customWidth="1"/>
    <col min="11018" max="11019" width="9.26953125" bestFit="1" customWidth="1"/>
    <col min="11020" max="11022" width="9.26953125" customWidth="1"/>
    <col min="11026" max="11027" width="10.26953125" bestFit="1" customWidth="1"/>
    <col min="11265" max="11265" width="27.453125" bestFit="1" customWidth="1"/>
    <col min="11266" max="11266" width="12.7265625" customWidth="1"/>
    <col min="11267" max="11267" width="10.26953125" bestFit="1" customWidth="1"/>
    <col min="11268" max="11268" width="9.26953125" bestFit="1" customWidth="1"/>
    <col min="11269" max="11272" width="10" customWidth="1"/>
    <col min="11273" max="11273" width="10.26953125" bestFit="1" customWidth="1"/>
    <col min="11274" max="11275" width="9.26953125" bestFit="1" customWidth="1"/>
    <col min="11276" max="11278" width="9.26953125" customWidth="1"/>
    <col min="11282" max="11283" width="10.26953125" bestFit="1" customWidth="1"/>
    <col min="11521" max="11521" width="27.453125" bestFit="1" customWidth="1"/>
    <col min="11522" max="11522" width="12.7265625" customWidth="1"/>
    <col min="11523" max="11523" width="10.26953125" bestFit="1" customWidth="1"/>
    <col min="11524" max="11524" width="9.26953125" bestFit="1" customWidth="1"/>
    <col min="11525" max="11528" width="10" customWidth="1"/>
    <col min="11529" max="11529" width="10.26953125" bestFit="1" customWidth="1"/>
    <col min="11530" max="11531" width="9.26953125" bestFit="1" customWidth="1"/>
    <col min="11532" max="11534" width="9.26953125" customWidth="1"/>
    <col min="11538" max="11539" width="10.26953125" bestFit="1" customWidth="1"/>
    <col min="11777" max="11777" width="27.453125" bestFit="1" customWidth="1"/>
    <col min="11778" max="11778" width="12.7265625" customWidth="1"/>
    <col min="11779" max="11779" width="10.26953125" bestFit="1" customWidth="1"/>
    <col min="11780" max="11780" width="9.26953125" bestFit="1" customWidth="1"/>
    <col min="11781" max="11784" width="10" customWidth="1"/>
    <col min="11785" max="11785" width="10.26953125" bestFit="1" customWidth="1"/>
    <col min="11786" max="11787" width="9.26953125" bestFit="1" customWidth="1"/>
    <col min="11788" max="11790" width="9.26953125" customWidth="1"/>
    <col min="11794" max="11795" width="10.26953125" bestFit="1" customWidth="1"/>
    <col min="12033" max="12033" width="27.453125" bestFit="1" customWidth="1"/>
    <col min="12034" max="12034" width="12.7265625" customWidth="1"/>
    <col min="12035" max="12035" width="10.26953125" bestFit="1" customWidth="1"/>
    <col min="12036" max="12036" width="9.26953125" bestFit="1" customWidth="1"/>
    <col min="12037" max="12040" width="10" customWidth="1"/>
    <col min="12041" max="12041" width="10.26953125" bestFit="1" customWidth="1"/>
    <col min="12042" max="12043" width="9.26953125" bestFit="1" customWidth="1"/>
    <col min="12044" max="12046" width="9.26953125" customWidth="1"/>
    <col min="12050" max="12051" width="10.26953125" bestFit="1" customWidth="1"/>
    <col min="12289" max="12289" width="27.453125" bestFit="1" customWidth="1"/>
    <col min="12290" max="12290" width="12.7265625" customWidth="1"/>
    <col min="12291" max="12291" width="10.26953125" bestFit="1" customWidth="1"/>
    <col min="12292" max="12292" width="9.26953125" bestFit="1" customWidth="1"/>
    <col min="12293" max="12296" width="10" customWidth="1"/>
    <col min="12297" max="12297" width="10.26953125" bestFit="1" customWidth="1"/>
    <col min="12298" max="12299" width="9.26953125" bestFit="1" customWidth="1"/>
    <col min="12300" max="12302" width="9.26953125" customWidth="1"/>
    <col min="12306" max="12307" width="10.26953125" bestFit="1" customWidth="1"/>
    <col min="12545" max="12545" width="27.453125" bestFit="1" customWidth="1"/>
    <col min="12546" max="12546" width="12.7265625" customWidth="1"/>
    <col min="12547" max="12547" width="10.26953125" bestFit="1" customWidth="1"/>
    <col min="12548" max="12548" width="9.26953125" bestFit="1" customWidth="1"/>
    <col min="12549" max="12552" width="10" customWidth="1"/>
    <col min="12553" max="12553" width="10.26953125" bestFit="1" customWidth="1"/>
    <col min="12554" max="12555" width="9.26953125" bestFit="1" customWidth="1"/>
    <col min="12556" max="12558" width="9.26953125" customWidth="1"/>
    <col min="12562" max="12563" width="10.26953125" bestFit="1" customWidth="1"/>
    <col min="12801" max="12801" width="27.453125" bestFit="1" customWidth="1"/>
    <col min="12802" max="12802" width="12.7265625" customWidth="1"/>
    <col min="12803" max="12803" width="10.26953125" bestFit="1" customWidth="1"/>
    <col min="12804" max="12804" width="9.26953125" bestFit="1" customWidth="1"/>
    <col min="12805" max="12808" width="10" customWidth="1"/>
    <col min="12809" max="12809" width="10.26953125" bestFit="1" customWidth="1"/>
    <col min="12810" max="12811" width="9.26953125" bestFit="1" customWidth="1"/>
    <col min="12812" max="12814" width="9.26953125" customWidth="1"/>
    <col min="12818" max="12819" width="10.26953125" bestFit="1" customWidth="1"/>
    <col min="13057" max="13057" width="27.453125" bestFit="1" customWidth="1"/>
    <col min="13058" max="13058" width="12.7265625" customWidth="1"/>
    <col min="13059" max="13059" width="10.26953125" bestFit="1" customWidth="1"/>
    <col min="13060" max="13060" width="9.26953125" bestFit="1" customWidth="1"/>
    <col min="13061" max="13064" width="10" customWidth="1"/>
    <col min="13065" max="13065" width="10.26953125" bestFit="1" customWidth="1"/>
    <col min="13066" max="13067" width="9.26953125" bestFit="1" customWidth="1"/>
    <col min="13068" max="13070" width="9.26953125" customWidth="1"/>
    <col min="13074" max="13075" width="10.26953125" bestFit="1" customWidth="1"/>
    <col min="13313" max="13313" width="27.453125" bestFit="1" customWidth="1"/>
    <col min="13314" max="13314" width="12.7265625" customWidth="1"/>
    <col min="13315" max="13315" width="10.26953125" bestFit="1" customWidth="1"/>
    <col min="13316" max="13316" width="9.26953125" bestFit="1" customWidth="1"/>
    <col min="13317" max="13320" width="10" customWidth="1"/>
    <col min="13321" max="13321" width="10.26953125" bestFit="1" customWidth="1"/>
    <col min="13322" max="13323" width="9.26953125" bestFit="1" customWidth="1"/>
    <col min="13324" max="13326" width="9.26953125" customWidth="1"/>
    <col min="13330" max="13331" width="10.26953125" bestFit="1" customWidth="1"/>
    <col min="13569" max="13569" width="27.453125" bestFit="1" customWidth="1"/>
    <col min="13570" max="13570" width="12.7265625" customWidth="1"/>
    <col min="13571" max="13571" width="10.26953125" bestFit="1" customWidth="1"/>
    <col min="13572" max="13572" width="9.26953125" bestFit="1" customWidth="1"/>
    <col min="13573" max="13576" width="10" customWidth="1"/>
    <col min="13577" max="13577" width="10.26953125" bestFit="1" customWidth="1"/>
    <col min="13578" max="13579" width="9.26953125" bestFit="1" customWidth="1"/>
    <col min="13580" max="13582" width="9.26953125" customWidth="1"/>
    <col min="13586" max="13587" width="10.26953125" bestFit="1" customWidth="1"/>
    <col min="13825" max="13825" width="27.453125" bestFit="1" customWidth="1"/>
    <col min="13826" max="13826" width="12.7265625" customWidth="1"/>
    <col min="13827" max="13827" width="10.26953125" bestFit="1" customWidth="1"/>
    <col min="13828" max="13828" width="9.26953125" bestFit="1" customWidth="1"/>
    <col min="13829" max="13832" width="10" customWidth="1"/>
    <col min="13833" max="13833" width="10.26953125" bestFit="1" customWidth="1"/>
    <col min="13834" max="13835" width="9.26953125" bestFit="1" customWidth="1"/>
    <col min="13836" max="13838" width="9.26953125" customWidth="1"/>
    <col min="13842" max="13843" width="10.26953125" bestFit="1" customWidth="1"/>
    <col min="14081" max="14081" width="27.453125" bestFit="1" customWidth="1"/>
    <col min="14082" max="14082" width="12.7265625" customWidth="1"/>
    <col min="14083" max="14083" width="10.26953125" bestFit="1" customWidth="1"/>
    <col min="14084" max="14084" width="9.26953125" bestFit="1" customWidth="1"/>
    <col min="14085" max="14088" width="10" customWidth="1"/>
    <col min="14089" max="14089" width="10.26953125" bestFit="1" customWidth="1"/>
    <col min="14090" max="14091" width="9.26953125" bestFit="1" customWidth="1"/>
    <col min="14092" max="14094" width="9.26953125" customWidth="1"/>
    <col min="14098" max="14099" width="10.26953125" bestFit="1" customWidth="1"/>
    <col min="14337" max="14337" width="27.453125" bestFit="1" customWidth="1"/>
    <col min="14338" max="14338" width="12.7265625" customWidth="1"/>
    <col min="14339" max="14339" width="10.26953125" bestFit="1" customWidth="1"/>
    <col min="14340" max="14340" width="9.26953125" bestFit="1" customWidth="1"/>
    <col min="14341" max="14344" width="10" customWidth="1"/>
    <col min="14345" max="14345" width="10.26953125" bestFit="1" customWidth="1"/>
    <col min="14346" max="14347" width="9.26953125" bestFit="1" customWidth="1"/>
    <col min="14348" max="14350" width="9.26953125" customWidth="1"/>
    <col min="14354" max="14355" width="10.26953125" bestFit="1" customWidth="1"/>
    <col min="14593" max="14593" width="27.453125" bestFit="1" customWidth="1"/>
    <col min="14594" max="14594" width="12.7265625" customWidth="1"/>
    <col min="14595" max="14595" width="10.26953125" bestFit="1" customWidth="1"/>
    <col min="14596" max="14596" width="9.26953125" bestFit="1" customWidth="1"/>
    <col min="14597" max="14600" width="10" customWidth="1"/>
    <col min="14601" max="14601" width="10.26953125" bestFit="1" customWidth="1"/>
    <col min="14602" max="14603" width="9.26953125" bestFit="1" customWidth="1"/>
    <col min="14604" max="14606" width="9.26953125" customWidth="1"/>
    <col min="14610" max="14611" width="10.26953125" bestFit="1" customWidth="1"/>
    <col min="14849" max="14849" width="27.453125" bestFit="1" customWidth="1"/>
    <col min="14850" max="14850" width="12.7265625" customWidth="1"/>
    <col min="14851" max="14851" width="10.26953125" bestFit="1" customWidth="1"/>
    <col min="14852" max="14852" width="9.26953125" bestFit="1" customWidth="1"/>
    <col min="14853" max="14856" width="10" customWidth="1"/>
    <col min="14857" max="14857" width="10.26953125" bestFit="1" customWidth="1"/>
    <col min="14858" max="14859" width="9.26953125" bestFit="1" customWidth="1"/>
    <col min="14860" max="14862" width="9.26953125" customWidth="1"/>
    <col min="14866" max="14867" width="10.26953125" bestFit="1" customWidth="1"/>
    <col min="15105" max="15105" width="27.453125" bestFit="1" customWidth="1"/>
    <col min="15106" max="15106" width="12.7265625" customWidth="1"/>
    <col min="15107" max="15107" width="10.26953125" bestFit="1" customWidth="1"/>
    <col min="15108" max="15108" width="9.26953125" bestFit="1" customWidth="1"/>
    <col min="15109" max="15112" width="10" customWidth="1"/>
    <col min="15113" max="15113" width="10.26953125" bestFit="1" customWidth="1"/>
    <col min="15114" max="15115" width="9.26953125" bestFit="1" customWidth="1"/>
    <col min="15116" max="15118" width="9.26953125" customWidth="1"/>
    <col min="15122" max="15123" width="10.26953125" bestFit="1" customWidth="1"/>
    <col min="15361" max="15361" width="27.453125" bestFit="1" customWidth="1"/>
    <col min="15362" max="15362" width="12.7265625" customWidth="1"/>
    <col min="15363" max="15363" width="10.26953125" bestFit="1" customWidth="1"/>
    <col min="15364" max="15364" width="9.26953125" bestFit="1" customWidth="1"/>
    <col min="15365" max="15368" width="10" customWidth="1"/>
    <col min="15369" max="15369" width="10.26953125" bestFit="1" customWidth="1"/>
    <col min="15370" max="15371" width="9.26953125" bestFit="1" customWidth="1"/>
    <col min="15372" max="15374" width="9.26953125" customWidth="1"/>
    <col min="15378" max="15379" width="10.26953125" bestFit="1" customWidth="1"/>
    <col min="15617" max="15617" width="27.453125" bestFit="1" customWidth="1"/>
    <col min="15618" max="15618" width="12.7265625" customWidth="1"/>
    <col min="15619" max="15619" width="10.26953125" bestFit="1" customWidth="1"/>
    <col min="15620" max="15620" width="9.26953125" bestFit="1" customWidth="1"/>
    <col min="15621" max="15624" width="10" customWidth="1"/>
    <col min="15625" max="15625" width="10.26953125" bestFit="1" customWidth="1"/>
    <col min="15626" max="15627" width="9.26953125" bestFit="1" customWidth="1"/>
    <col min="15628" max="15630" width="9.26953125" customWidth="1"/>
    <col min="15634" max="15635" width="10.26953125" bestFit="1" customWidth="1"/>
    <col min="15873" max="15873" width="27.453125" bestFit="1" customWidth="1"/>
    <col min="15874" max="15874" width="12.7265625" customWidth="1"/>
    <col min="15875" max="15875" width="10.26953125" bestFit="1" customWidth="1"/>
    <col min="15876" max="15876" width="9.26953125" bestFit="1" customWidth="1"/>
    <col min="15877" max="15880" width="10" customWidth="1"/>
    <col min="15881" max="15881" width="10.26953125" bestFit="1" customWidth="1"/>
    <col min="15882" max="15883" width="9.26953125" bestFit="1" customWidth="1"/>
    <col min="15884" max="15886" width="9.26953125" customWidth="1"/>
    <col min="15890" max="15891" width="10.26953125" bestFit="1" customWidth="1"/>
    <col min="16129" max="16129" width="27.453125" bestFit="1" customWidth="1"/>
    <col min="16130" max="16130" width="12.7265625" customWidth="1"/>
    <col min="16131" max="16131" width="10.26953125" bestFit="1" customWidth="1"/>
    <col min="16132" max="16132" width="9.26953125" bestFit="1" customWidth="1"/>
    <col min="16133" max="16136" width="10" customWidth="1"/>
    <col min="16137" max="16137" width="10.26953125" bestFit="1" customWidth="1"/>
    <col min="16138" max="16139" width="9.26953125" bestFit="1" customWidth="1"/>
    <col min="16140" max="16142" width="9.26953125" customWidth="1"/>
    <col min="16146" max="16147" width="10.26953125" bestFit="1" customWidth="1"/>
  </cols>
  <sheetData>
    <row r="1" spans="1:19" x14ac:dyDescent="0.35">
      <c r="A1" s="1037" t="s">
        <v>889</v>
      </c>
      <c r="B1" s="1037"/>
      <c r="C1" s="1037"/>
      <c r="D1" s="1037"/>
      <c r="E1" s="1037"/>
      <c r="F1" s="1037"/>
      <c r="G1" s="1037"/>
      <c r="H1" s="1037"/>
      <c r="I1" s="1037"/>
      <c r="J1" s="1037"/>
      <c r="K1" s="1037"/>
      <c r="L1" s="1037"/>
      <c r="M1" s="1037"/>
      <c r="N1" s="1037"/>
    </row>
    <row r="2" spans="1:19" x14ac:dyDescent="0.35">
      <c r="A2" s="1037" t="s">
        <v>890</v>
      </c>
      <c r="B2" s="1037"/>
      <c r="C2" s="1037"/>
      <c r="D2" s="1037"/>
      <c r="E2" s="1037"/>
      <c r="F2" s="1037"/>
      <c r="G2" s="1037"/>
      <c r="H2" s="1037"/>
      <c r="I2" s="1037"/>
      <c r="J2" s="1037"/>
      <c r="K2" s="1037"/>
      <c r="L2" s="1037"/>
      <c r="M2" s="1037"/>
      <c r="N2" s="1037"/>
    </row>
    <row r="3" spans="1:19" x14ac:dyDescent="0.35">
      <c r="A3" s="616"/>
      <c r="B3" s="616"/>
      <c r="C3" s="616"/>
      <c r="D3" s="616"/>
      <c r="E3" s="616"/>
      <c r="F3" s="616"/>
      <c r="G3" s="616"/>
      <c r="H3" s="616"/>
      <c r="I3" s="616"/>
      <c r="J3" s="616"/>
      <c r="K3" s="616"/>
      <c r="L3" s="616"/>
      <c r="M3" s="616"/>
      <c r="N3" s="616"/>
    </row>
    <row r="4" spans="1:19" x14ac:dyDescent="0.35">
      <c r="A4" s="616"/>
      <c r="B4" s="616"/>
      <c r="C4" s="616"/>
      <c r="D4" s="616"/>
      <c r="E4" s="616"/>
      <c r="F4" s="616"/>
      <c r="G4" s="616"/>
      <c r="H4" s="616"/>
      <c r="I4" s="616"/>
      <c r="J4" s="616"/>
      <c r="K4" s="616"/>
      <c r="L4" s="616"/>
      <c r="M4" s="616"/>
      <c r="N4" s="616"/>
    </row>
    <row r="5" spans="1:19" x14ac:dyDescent="0.35">
      <c r="A5" s="1037" t="s">
        <v>1004</v>
      </c>
      <c r="B5" s="1037"/>
      <c r="C5" s="1037"/>
      <c r="D5" s="1037"/>
      <c r="E5" s="1037"/>
      <c r="F5" s="1037"/>
      <c r="G5" s="1037"/>
      <c r="H5" s="1037"/>
      <c r="I5" s="1037"/>
      <c r="J5" s="1037"/>
      <c r="K5" s="1037"/>
      <c r="L5" s="1037"/>
      <c r="M5" s="1037"/>
      <c r="N5" s="616"/>
    </row>
    <row r="6" spans="1:19" x14ac:dyDescent="0.35">
      <c r="A6" s="1025"/>
      <c r="B6" s="1025"/>
      <c r="C6" s="1025"/>
      <c r="D6" s="1025"/>
      <c r="E6" s="1025"/>
      <c r="F6" s="1025"/>
      <c r="G6" s="1025"/>
      <c r="H6" s="1025"/>
    </row>
    <row r="7" spans="1:19" x14ac:dyDescent="0.35">
      <c r="H7" s="370"/>
      <c r="I7" s="370"/>
      <c r="J7" s="370"/>
      <c r="K7" s="370"/>
      <c r="L7" s="370"/>
      <c r="M7" s="370"/>
      <c r="N7" s="370" t="s">
        <v>1005</v>
      </c>
    </row>
    <row r="8" spans="1:19" ht="26" x14ac:dyDescent="0.35">
      <c r="A8" s="24" t="s">
        <v>912</v>
      </c>
      <c r="B8" s="667" t="s">
        <v>1006</v>
      </c>
      <c r="C8" s="668" t="s">
        <v>1007</v>
      </c>
      <c r="D8" s="668" t="s">
        <v>1008</v>
      </c>
      <c r="E8" s="507" t="s">
        <v>769</v>
      </c>
      <c r="F8" s="507" t="s">
        <v>770</v>
      </c>
      <c r="G8" s="507" t="s">
        <v>771</v>
      </c>
      <c r="H8" s="507" t="s">
        <v>772</v>
      </c>
      <c r="I8" s="507" t="s">
        <v>773</v>
      </c>
      <c r="J8" s="507" t="s">
        <v>774</v>
      </c>
      <c r="K8" s="507" t="s">
        <v>775</v>
      </c>
      <c r="L8" s="507" t="s">
        <v>803</v>
      </c>
      <c r="M8" s="507" t="s">
        <v>804</v>
      </c>
      <c r="N8" s="507" t="s">
        <v>805</v>
      </c>
      <c r="S8" s="617" t="s">
        <v>1009</v>
      </c>
    </row>
    <row r="9" spans="1:19" x14ac:dyDescent="0.35">
      <c r="A9" s="669"/>
      <c r="B9" s="624"/>
      <c r="C9" s="624" t="s">
        <v>1010</v>
      </c>
      <c r="D9" s="670"/>
      <c r="E9" s="671">
        <v>0</v>
      </c>
      <c r="F9" s="671">
        <v>9</v>
      </c>
      <c r="G9" s="671">
        <v>12</v>
      </c>
      <c r="H9" s="671">
        <v>12</v>
      </c>
      <c r="I9" s="671">
        <v>12</v>
      </c>
      <c r="J9" s="671">
        <v>12</v>
      </c>
      <c r="K9" s="671">
        <v>12</v>
      </c>
      <c r="L9" s="671">
        <v>12</v>
      </c>
      <c r="M9" s="671">
        <v>12</v>
      </c>
      <c r="N9" s="671">
        <v>12</v>
      </c>
    </row>
    <row r="10" spans="1:19" x14ac:dyDescent="0.35">
      <c r="A10" s="669"/>
      <c r="B10" s="669"/>
      <c r="C10" s="644"/>
      <c r="D10" s="672"/>
      <c r="E10" s="669"/>
      <c r="F10" s="669"/>
      <c r="G10" s="669"/>
      <c r="H10" s="669"/>
      <c r="I10" s="669"/>
      <c r="J10" s="669"/>
      <c r="K10" s="669"/>
      <c r="L10" s="669"/>
      <c r="M10" s="669"/>
      <c r="N10" s="669"/>
    </row>
    <row r="11" spans="1:19" x14ac:dyDescent="0.35">
      <c r="A11" s="669" t="s">
        <v>782</v>
      </c>
      <c r="B11" s="510">
        <f>+'[2]Project Cost '!D8/100</f>
        <v>12</v>
      </c>
      <c r="C11" s="512">
        <v>12</v>
      </c>
      <c r="D11" s="672"/>
      <c r="E11" s="669"/>
      <c r="F11" s="669"/>
      <c r="G11" s="669"/>
      <c r="H11" s="669"/>
      <c r="I11" s="669"/>
      <c r="J11" s="669"/>
      <c r="K11" s="669"/>
      <c r="L11" s="669"/>
      <c r="M11" s="669"/>
      <c r="N11" s="669"/>
    </row>
    <row r="12" spans="1:19" x14ac:dyDescent="0.35">
      <c r="A12" s="669"/>
      <c r="B12" s="669"/>
      <c r="C12" s="508"/>
      <c r="D12" s="672"/>
      <c r="E12" s="509"/>
      <c r="F12" s="509"/>
      <c r="G12" s="509"/>
      <c r="H12" s="509"/>
      <c r="I12" s="509"/>
      <c r="J12" s="439"/>
      <c r="K12" s="439"/>
      <c r="L12" s="439"/>
      <c r="M12" s="439"/>
      <c r="N12" s="439"/>
      <c r="Q12" s="672"/>
    </row>
    <row r="13" spans="1:19" x14ac:dyDescent="0.35">
      <c r="A13" s="669" t="s">
        <v>1011</v>
      </c>
      <c r="B13" s="510">
        <f>+'[2]Project Cost '!D10/100</f>
        <v>35</v>
      </c>
      <c r="C13" s="508">
        <f>+B13</f>
        <v>35</v>
      </c>
      <c r="D13" s="673">
        <v>3.1666666666666662E-2</v>
      </c>
      <c r="E13" s="509">
        <f>+$B13*$D13*E$9/12</f>
        <v>0</v>
      </c>
      <c r="F13" s="509">
        <f>+$B13*$D13*F$9/12</f>
        <v>0.83124999999999982</v>
      </c>
      <c r="G13" s="509">
        <f t="shared" ref="G13:N13" si="0">+$B13*$D13*G$9/12</f>
        <v>1.1083333333333332</v>
      </c>
      <c r="H13" s="509">
        <f t="shared" si="0"/>
        <v>1.1083333333333332</v>
      </c>
      <c r="I13" s="509">
        <f t="shared" si="0"/>
        <v>1.1083333333333332</v>
      </c>
      <c r="J13" s="439">
        <f t="shared" si="0"/>
        <v>1.1083333333333332</v>
      </c>
      <c r="K13" s="439">
        <f t="shared" si="0"/>
        <v>1.1083333333333332</v>
      </c>
      <c r="L13" s="439">
        <f t="shared" si="0"/>
        <v>1.1083333333333332</v>
      </c>
      <c r="M13" s="439">
        <f t="shared" si="0"/>
        <v>1.1083333333333332</v>
      </c>
      <c r="N13" s="439">
        <f t="shared" si="0"/>
        <v>1.1083333333333332</v>
      </c>
      <c r="O13">
        <v>30</v>
      </c>
      <c r="P13" t="s">
        <v>1012</v>
      </c>
      <c r="Q13" s="673">
        <v>3.1666666666666662E-2</v>
      </c>
    </row>
    <row r="14" spans="1:19" x14ac:dyDescent="0.35">
      <c r="A14" s="669" t="s">
        <v>1013</v>
      </c>
      <c r="B14" s="510"/>
      <c r="C14" s="508"/>
      <c r="D14" s="672"/>
      <c r="E14" s="510"/>
      <c r="F14" s="510"/>
      <c r="G14" s="510"/>
      <c r="H14" s="510"/>
      <c r="I14" s="510"/>
      <c r="J14" s="511"/>
      <c r="K14" s="511"/>
      <c r="L14" s="511"/>
      <c r="M14" s="511"/>
      <c r="N14" s="511"/>
      <c r="Q14" s="672"/>
    </row>
    <row r="15" spans="1:19" x14ac:dyDescent="0.35">
      <c r="A15" s="669" t="s">
        <v>1014</v>
      </c>
      <c r="B15" s="510">
        <f>(+'[2]Project Cost '!D12+'[2]Project Cost '!D14+'[2]Project Cost '!D16+'[2]Project Cost '!D18+'[2]Project Cost '!D22+'[2]Project Cost '!D24+'[2]Project Cost '!D20)/100</f>
        <v>245.5</v>
      </c>
      <c r="C15" s="512">
        <f>+B15</f>
        <v>245.5</v>
      </c>
      <c r="D15" s="674">
        <v>3.7999999999999999E-2</v>
      </c>
      <c r="E15" s="509">
        <f>+$B15*$D15*E$9/12</f>
        <v>0</v>
      </c>
      <c r="F15" s="509">
        <f t="shared" ref="F15:N15" si="1">+$B15*$D15*F$9/12</f>
        <v>6.9967500000000014</v>
      </c>
      <c r="G15" s="509">
        <f t="shared" si="1"/>
        <v>9.3290000000000006</v>
      </c>
      <c r="H15" s="509">
        <f t="shared" si="1"/>
        <v>9.3290000000000006</v>
      </c>
      <c r="I15" s="509">
        <f t="shared" si="1"/>
        <v>9.3290000000000006</v>
      </c>
      <c r="J15" s="439">
        <f t="shared" si="1"/>
        <v>9.3290000000000006</v>
      </c>
      <c r="K15" s="439">
        <f t="shared" si="1"/>
        <v>9.3290000000000006</v>
      </c>
      <c r="L15" s="439">
        <f t="shared" si="1"/>
        <v>9.3290000000000006</v>
      </c>
      <c r="M15" s="439">
        <f t="shared" si="1"/>
        <v>9.3290000000000006</v>
      </c>
      <c r="N15" s="439">
        <f t="shared" si="1"/>
        <v>9.3290000000000006</v>
      </c>
      <c r="O15">
        <v>25</v>
      </c>
      <c r="P15" t="s">
        <v>1012</v>
      </c>
      <c r="Q15" s="673">
        <v>3.7999999999999999E-2</v>
      </c>
    </row>
    <row r="16" spans="1:19" x14ac:dyDescent="0.35">
      <c r="A16" s="669"/>
      <c r="B16" s="669"/>
      <c r="C16" s="513"/>
      <c r="D16" s="672"/>
      <c r="E16" s="509"/>
      <c r="F16" s="509"/>
      <c r="G16" s="509"/>
      <c r="H16" s="509"/>
      <c r="I16" s="509"/>
      <c r="J16" s="439"/>
      <c r="K16" s="439"/>
      <c r="L16" s="439"/>
      <c r="M16" s="439"/>
      <c r="N16" s="439"/>
      <c r="Q16" s="672"/>
    </row>
    <row r="17" spans="1:22" x14ac:dyDescent="0.35">
      <c r="A17" s="669"/>
      <c r="B17" s="669"/>
      <c r="C17" s="514"/>
      <c r="D17" s="514"/>
      <c r="E17" s="515"/>
      <c r="F17" s="515"/>
      <c r="G17" s="515"/>
      <c r="H17" s="515"/>
      <c r="I17" s="515"/>
      <c r="J17" s="516"/>
      <c r="K17" s="516"/>
      <c r="L17" s="516"/>
      <c r="M17" s="516"/>
      <c r="N17" s="516"/>
    </row>
    <row r="18" spans="1:22" x14ac:dyDescent="0.35">
      <c r="A18" s="675" t="s">
        <v>41</v>
      </c>
      <c r="B18" s="491">
        <f>SUM(B11:B17)</f>
        <v>292.5</v>
      </c>
      <c r="C18" s="491">
        <f>SUM(C11:C17)</f>
        <v>292.5</v>
      </c>
      <c r="D18" s="517"/>
      <c r="E18" s="468">
        <f t="shared" ref="E18:L18" si="2">SUM(E12:E16)</f>
        <v>0</v>
      </c>
      <c r="F18" s="468">
        <f t="shared" si="2"/>
        <v>7.8280000000000012</v>
      </c>
      <c r="G18" s="468">
        <f t="shared" si="2"/>
        <v>10.437333333333333</v>
      </c>
      <c r="H18" s="468">
        <f t="shared" si="2"/>
        <v>10.437333333333333</v>
      </c>
      <c r="I18" s="468">
        <f t="shared" si="2"/>
        <v>10.437333333333333</v>
      </c>
      <c r="J18" s="468">
        <f t="shared" si="2"/>
        <v>10.437333333333333</v>
      </c>
      <c r="K18" s="468">
        <f t="shared" si="2"/>
        <v>10.437333333333333</v>
      </c>
      <c r="L18" s="468">
        <f t="shared" si="2"/>
        <v>10.437333333333333</v>
      </c>
      <c r="M18" s="468">
        <f>SUM(M12:M16)</f>
        <v>10.437333333333333</v>
      </c>
      <c r="N18" s="468">
        <f>SUM(N12:N16)</f>
        <v>10.437333333333333</v>
      </c>
    </row>
    <row r="19" spans="1:22" x14ac:dyDescent="0.35">
      <c r="C19" s="518"/>
      <c r="D19" s="518"/>
      <c r="E19" s="428"/>
      <c r="F19" s="428"/>
      <c r="G19" s="428"/>
      <c r="H19" s="428"/>
      <c r="I19" s="428"/>
      <c r="J19" s="428"/>
      <c r="K19" s="428"/>
      <c r="L19" s="428"/>
      <c r="M19" s="428"/>
      <c r="N19" s="428"/>
    </row>
    <row r="20" spans="1:22" x14ac:dyDescent="0.35">
      <c r="A20" t="s">
        <v>1009</v>
      </c>
      <c r="C20" s="518">
        <f>+C18-C19</f>
        <v>292.5</v>
      </c>
      <c r="D20" s="518"/>
      <c r="E20" s="518">
        <v>200</v>
      </c>
      <c r="F20" s="518">
        <f>+C20-E23+E20</f>
        <v>292.5</v>
      </c>
      <c r="G20" s="518">
        <f t="shared" ref="G20:N20" si="3">+F23</f>
        <v>292.5</v>
      </c>
      <c r="H20" s="518">
        <f t="shared" si="3"/>
        <v>292.5</v>
      </c>
      <c r="I20" s="518">
        <f t="shared" si="3"/>
        <v>292.5</v>
      </c>
      <c r="J20" s="518">
        <f t="shared" si="3"/>
        <v>292.5</v>
      </c>
      <c r="K20" s="518">
        <f t="shared" si="3"/>
        <v>292.5</v>
      </c>
      <c r="L20" s="518">
        <f t="shared" si="3"/>
        <v>292.5</v>
      </c>
      <c r="M20" s="518">
        <f t="shared" si="3"/>
        <v>292.5</v>
      </c>
      <c r="N20" s="518">
        <f t="shared" si="3"/>
        <v>292.5</v>
      </c>
      <c r="Q20" s="617"/>
      <c r="R20" s="617"/>
      <c r="S20" s="617"/>
    </row>
    <row r="21" spans="1:22" x14ac:dyDescent="0.35">
      <c r="A21" s="676" t="s">
        <v>1015</v>
      </c>
      <c r="B21" s="676"/>
      <c r="C21" s="519"/>
      <c r="D21" s="519"/>
      <c r="E21" s="519">
        <v>0</v>
      </c>
      <c r="F21" s="519"/>
      <c r="G21" s="519">
        <v>0</v>
      </c>
      <c r="H21" s="519">
        <v>0</v>
      </c>
      <c r="I21" s="519">
        <v>0</v>
      </c>
      <c r="J21" s="519">
        <v>0</v>
      </c>
      <c r="K21" s="519">
        <v>0</v>
      </c>
      <c r="L21" s="519">
        <v>0</v>
      </c>
      <c r="M21" s="519">
        <v>0</v>
      </c>
      <c r="N21" s="519">
        <v>0</v>
      </c>
    </row>
    <row r="22" spans="1:22" x14ac:dyDescent="0.35">
      <c r="A22" s="677" t="s">
        <v>1016</v>
      </c>
      <c r="B22" s="677"/>
      <c r="C22" s="519"/>
      <c r="D22" s="519"/>
      <c r="E22" s="519">
        <v>0</v>
      </c>
      <c r="F22" s="519"/>
      <c r="G22" s="519"/>
      <c r="H22" s="519"/>
      <c r="I22" s="519"/>
      <c r="J22" s="519"/>
      <c r="K22" s="519"/>
      <c r="L22" s="519"/>
      <c r="M22" s="519"/>
      <c r="N22" s="519"/>
    </row>
    <row r="23" spans="1:22" x14ac:dyDescent="0.35">
      <c r="A23" s="370" t="s">
        <v>397</v>
      </c>
      <c r="B23" s="370"/>
      <c r="C23" s="518">
        <f>+C18</f>
        <v>292.5</v>
      </c>
      <c r="D23" s="518"/>
      <c r="E23" s="518">
        <f t="shared" ref="E23:L23" si="4">+E20+E21+E22</f>
        <v>200</v>
      </c>
      <c r="F23" s="518">
        <f t="shared" si="4"/>
        <v>292.5</v>
      </c>
      <c r="G23" s="518">
        <f t="shared" si="4"/>
        <v>292.5</v>
      </c>
      <c r="H23" s="518">
        <f t="shared" si="4"/>
        <v>292.5</v>
      </c>
      <c r="I23" s="518">
        <f t="shared" si="4"/>
        <v>292.5</v>
      </c>
      <c r="J23" s="518">
        <f t="shared" si="4"/>
        <v>292.5</v>
      </c>
      <c r="K23" s="518">
        <f t="shared" si="4"/>
        <v>292.5</v>
      </c>
      <c r="L23" s="518">
        <f t="shared" si="4"/>
        <v>292.5</v>
      </c>
      <c r="M23" s="518">
        <f>+M20+M21+M22</f>
        <v>292.5</v>
      </c>
      <c r="N23" s="518">
        <f>+N20+N21+N22</f>
        <v>292.5</v>
      </c>
      <c r="P23" s="428"/>
      <c r="Q23" s="428"/>
      <c r="R23" s="428"/>
      <c r="S23" s="428"/>
      <c r="T23" s="428"/>
      <c r="U23" s="428"/>
      <c r="V23" s="428"/>
    </row>
    <row r="24" spans="1:22" x14ac:dyDescent="0.35">
      <c r="A24" t="s">
        <v>230</v>
      </c>
      <c r="C24" s="518"/>
      <c r="D24" s="518"/>
      <c r="E24" s="518">
        <f>+C24+E18</f>
        <v>0</v>
      </c>
      <c r="F24" s="518">
        <f>+F18+E24</f>
        <v>7.8280000000000012</v>
      </c>
      <c r="G24" s="518">
        <f t="shared" ref="G24:N24" si="5">+G18+F24</f>
        <v>18.265333333333334</v>
      </c>
      <c r="H24" s="518">
        <f t="shared" si="5"/>
        <v>28.702666666666666</v>
      </c>
      <c r="I24" s="518">
        <f t="shared" si="5"/>
        <v>39.14</v>
      </c>
      <c r="J24" s="518">
        <f t="shared" si="5"/>
        <v>49.577333333333335</v>
      </c>
      <c r="K24" s="518">
        <f t="shared" si="5"/>
        <v>60.01466666666667</v>
      </c>
      <c r="L24" s="518">
        <f t="shared" si="5"/>
        <v>70.451999999999998</v>
      </c>
      <c r="M24" s="518">
        <f t="shared" si="5"/>
        <v>80.889333333333326</v>
      </c>
      <c r="N24" s="518">
        <f t="shared" si="5"/>
        <v>91.326666666666654</v>
      </c>
      <c r="P24" s="428"/>
      <c r="Q24" s="428"/>
      <c r="R24" s="428"/>
      <c r="S24" s="428"/>
      <c r="T24" s="428"/>
      <c r="U24" s="428"/>
      <c r="V24" s="428"/>
    </row>
    <row r="25" spans="1:22" x14ac:dyDescent="0.35">
      <c r="A25" s="370" t="s">
        <v>1017</v>
      </c>
      <c r="B25" s="370"/>
      <c r="C25" s="518">
        <f>+C23-C24</f>
        <v>292.5</v>
      </c>
      <c r="D25" s="518"/>
      <c r="E25" s="520">
        <f t="shared" ref="E25:L25" si="6">+E23-E24</f>
        <v>200</v>
      </c>
      <c r="F25" s="520">
        <f t="shared" si="6"/>
        <v>284.67200000000003</v>
      </c>
      <c r="G25" s="520">
        <f t="shared" si="6"/>
        <v>274.23466666666667</v>
      </c>
      <c r="H25" s="520">
        <f t="shared" si="6"/>
        <v>263.79733333333331</v>
      </c>
      <c r="I25" s="520">
        <f t="shared" si="6"/>
        <v>253.36</v>
      </c>
      <c r="J25" s="520">
        <f t="shared" si="6"/>
        <v>242.92266666666666</v>
      </c>
      <c r="K25" s="520">
        <f t="shared" si="6"/>
        <v>232.48533333333333</v>
      </c>
      <c r="L25" s="520">
        <f t="shared" si="6"/>
        <v>222.048</v>
      </c>
      <c r="M25" s="520">
        <f>+M23-M24</f>
        <v>211.61066666666667</v>
      </c>
      <c r="N25" s="520">
        <f>+N23-N24</f>
        <v>201.17333333333335</v>
      </c>
      <c r="P25" s="428"/>
      <c r="Q25" s="428"/>
      <c r="R25" s="428"/>
      <c r="S25" s="428"/>
      <c r="T25" s="428"/>
      <c r="U25" s="428"/>
      <c r="V25" s="428"/>
    </row>
    <row r="26" spans="1:22" x14ac:dyDescent="0.35">
      <c r="A26" s="370"/>
      <c r="B26" s="370"/>
      <c r="C26" s="678"/>
      <c r="D26" s="678"/>
      <c r="E26" s="679"/>
      <c r="F26" s="370"/>
      <c r="H26" s="680"/>
    </row>
    <row r="27" spans="1:22" ht="17" x14ac:dyDescent="0.6">
      <c r="A27" s="370"/>
      <c r="B27" s="370"/>
      <c r="C27" s="370"/>
      <c r="D27" s="370"/>
      <c r="E27" s="681"/>
      <c r="F27" s="682"/>
      <c r="I27" s="428"/>
    </row>
    <row r="28" spans="1:22" x14ac:dyDescent="0.35">
      <c r="A28" s="370"/>
      <c r="B28" s="370"/>
      <c r="C28" s="370"/>
      <c r="D28" s="370"/>
      <c r="E28" s="681"/>
      <c r="F28" s="617"/>
      <c r="I28" s="428"/>
    </row>
    <row r="29" spans="1:22" x14ac:dyDescent="0.35">
      <c r="A29" s="370"/>
      <c r="B29" s="370"/>
      <c r="C29" s="370"/>
      <c r="D29" s="370"/>
      <c r="E29" s="681"/>
      <c r="F29" s="617"/>
      <c r="I29" s="428"/>
    </row>
  </sheetData>
  <mergeCells count="4">
    <mergeCell ref="A5:M5"/>
    <mergeCell ref="A6:H6"/>
    <mergeCell ref="A1:N1"/>
    <mergeCell ref="A2:N2"/>
  </mergeCells>
  <printOptions horizontalCentered="1"/>
  <pageMargins left="0.74803149606299213" right="0.74803149606299213" top="0.98425196850393704" bottom="0.98425196850393704" header="0.51181102362204722" footer="0.51181102362204722"/>
  <pageSetup scale="84"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8A995-1C7B-4D7D-86B0-24520B370E48}">
  <sheetPr>
    <pageSetUpPr fitToPage="1"/>
  </sheetPr>
  <dimension ref="A1:P73"/>
  <sheetViews>
    <sheetView topLeftCell="A53" zoomScale="115" zoomScaleNormal="115" workbookViewId="0">
      <selection activeCell="H62" sqref="A1:XFD1048576"/>
    </sheetView>
  </sheetViews>
  <sheetFormatPr defaultColWidth="9.1796875" defaultRowHeight="12.5" x14ac:dyDescent="0.25"/>
  <cols>
    <col min="1" max="1" width="5.453125" style="617" customWidth="1"/>
    <col min="2" max="2" width="24" style="617" customWidth="1"/>
    <col min="3" max="3" width="30.54296875" style="617" bestFit="1" customWidth="1"/>
    <col min="4" max="4" width="8" style="617" customWidth="1"/>
    <col min="5" max="5" width="10.26953125" style="617" customWidth="1"/>
    <col min="6" max="6" width="13" style="617" customWidth="1"/>
    <col min="7" max="9" width="9.1796875" style="617" customWidth="1"/>
    <col min="10" max="12" width="10.26953125" style="617" bestFit="1" customWidth="1"/>
    <col min="13" max="256" width="9.1796875" style="617"/>
    <col min="257" max="257" width="5.453125" style="617" customWidth="1"/>
    <col min="258" max="258" width="24" style="617" customWidth="1"/>
    <col min="259" max="259" width="30.54296875" style="617" bestFit="1" customWidth="1"/>
    <col min="260" max="260" width="8" style="617" customWidth="1"/>
    <col min="261" max="261" width="10.26953125" style="617" customWidth="1"/>
    <col min="262" max="262" width="13" style="617" customWidth="1"/>
    <col min="263" max="265" width="9.1796875" style="617"/>
    <col min="266" max="268" width="10.26953125" style="617" bestFit="1" customWidth="1"/>
    <col min="269" max="512" width="9.1796875" style="617"/>
    <col min="513" max="513" width="5.453125" style="617" customWidth="1"/>
    <col min="514" max="514" width="24" style="617" customWidth="1"/>
    <col min="515" max="515" width="30.54296875" style="617" bestFit="1" customWidth="1"/>
    <col min="516" max="516" width="8" style="617" customWidth="1"/>
    <col min="517" max="517" width="10.26953125" style="617" customWidth="1"/>
    <col min="518" max="518" width="13" style="617" customWidth="1"/>
    <col min="519" max="521" width="9.1796875" style="617"/>
    <col min="522" max="524" width="10.26953125" style="617" bestFit="1" customWidth="1"/>
    <col min="525" max="768" width="9.1796875" style="617"/>
    <col min="769" max="769" width="5.453125" style="617" customWidth="1"/>
    <col min="770" max="770" width="24" style="617" customWidth="1"/>
    <col min="771" max="771" width="30.54296875" style="617" bestFit="1" customWidth="1"/>
    <col min="772" max="772" width="8" style="617" customWidth="1"/>
    <col min="773" max="773" width="10.26953125" style="617" customWidth="1"/>
    <col min="774" max="774" width="13" style="617" customWidth="1"/>
    <col min="775" max="777" width="9.1796875" style="617"/>
    <col min="778" max="780" width="10.26953125" style="617" bestFit="1" customWidth="1"/>
    <col min="781" max="1024" width="9.1796875" style="617"/>
    <col min="1025" max="1025" width="5.453125" style="617" customWidth="1"/>
    <col min="1026" max="1026" width="24" style="617" customWidth="1"/>
    <col min="1027" max="1027" width="30.54296875" style="617" bestFit="1" customWidth="1"/>
    <col min="1028" max="1028" width="8" style="617" customWidth="1"/>
    <col min="1029" max="1029" width="10.26953125" style="617" customWidth="1"/>
    <col min="1030" max="1030" width="13" style="617" customWidth="1"/>
    <col min="1031" max="1033" width="9.1796875" style="617"/>
    <col min="1034" max="1036" width="10.26953125" style="617" bestFit="1" customWidth="1"/>
    <col min="1037" max="1280" width="9.1796875" style="617"/>
    <col min="1281" max="1281" width="5.453125" style="617" customWidth="1"/>
    <col min="1282" max="1282" width="24" style="617" customWidth="1"/>
    <col min="1283" max="1283" width="30.54296875" style="617" bestFit="1" customWidth="1"/>
    <col min="1284" max="1284" width="8" style="617" customWidth="1"/>
    <col min="1285" max="1285" width="10.26953125" style="617" customWidth="1"/>
    <col min="1286" max="1286" width="13" style="617" customWidth="1"/>
    <col min="1287" max="1289" width="9.1796875" style="617"/>
    <col min="1290" max="1292" width="10.26953125" style="617" bestFit="1" customWidth="1"/>
    <col min="1293" max="1536" width="9.1796875" style="617"/>
    <col min="1537" max="1537" width="5.453125" style="617" customWidth="1"/>
    <col min="1538" max="1538" width="24" style="617" customWidth="1"/>
    <col min="1539" max="1539" width="30.54296875" style="617" bestFit="1" customWidth="1"/>
    <col min="1540" max="1540" width="8" style="617" customWidth="1"/>
    <col min="1541" max="1541" width="10.26953125" style="617" customWidth="1"/>
    <col min="1542" max="1542" width="13" style="617" customWidth="1"/>
    <col min="1543" max="1545" width="9.1796875" style="617"/>
    <col min="1546" max="1548" width="10.26953125" style="617" bestFit="1" customWidth="1"/>
    <col min="1549" max="1792" width="9.1796875" style="617"/>
    <col min="1793" max="1793" width="5.453125" style="617" customWidth="1"/>
    <col min="1794" max="1794" width="24" style="617" customWidth="1"/>
    <col min="1795" max="1795" width="30.54296875" style="617" bestFit="1" customWidth="1"/>
    <col min="1796" max="1796" width="8" style="617" customWidth="1"/>
    <col min="1797" max="1797" width="10.26953125" style="617" customWidth="1"/>
    <col min="1798" max="1798" width="13" style="617" customWidth="1"/>
    <col min="1799" max="1801" width="9.1796875" style="617"/>
    <col min="1802" max="1804" width="10.26953125" style="617" bestFit="1" customWidth="1"/>
    <col min="1805" max="2048" width="9.1796875" style="617"/>
    <col min="2049" max="2049" width="5.453125" style="617" customWidth="1"/>
    <col min="2050" max="2050" width="24" style="617" customWidth="1"/>
    <col min="2051" max="2051" width="30.54296875" style="617" bestFit="1" customWidth="1"/>
    <col min="2052" max="2052" width="8" style="617" customWidth="1"/>
    <col min="2053" max="2053" width="10.26953125" style="617" customWidth="1"/>
    <col min="2054" max="2054" width="13" style="617" customWidth="1"/>
    <col min="2055" max="2057" width="9.1796875" style="617"/>
    <col min="2058" max="2060" width="10.26953125" style="617" bestFit="1" customWidth="1"/>
    <col min="2061" max="2304" width="9.1796875" style="617"/>
    <col min="2305" max="2305" width="5.453125" style="617" customWidth="1"/>
    <col min="2306" max="2306" width="24" style="617" customWidth="1"/>
    <col min="2307" max="2307" width="30.54296875" style="617" bestFit="1" customWidth="1"/>
    <col min="2308" max="2308" width="8" style="617" customWidth="1"/>
    <col min="2309" max="2309" width="10.26953125" style="617" customWidth="1"/>
    <col min="2310" max="2310" width="13" style="617" customWidth="1"/>
    <col min="2311" max="2313" width="9.1796875" style="617"/>
    <col min="2314" max="2316" width="10.26953125" style="617" bestFit="1" customWidth="1"/>
    <col min="2317" max="2560" width="9.1796875" style="617"/>
    <col min="2561" max="2561" width="5.453125" style="617" customWidth="1"/>
    <col min="2562" max="2562" width="24" style="617" customWidth="1"/>
    <col min="2563" max="2563" width="30.54296875" style="617" bestFit="1" customWidth="1"/>
    <col min="2564" max="2564" width="8" style="617" customWidth="1"/>
    <col min="2565" max="2565" width="10.26953125" style="617" customWidth="1"/>
    <col min="2566" max="2566" width="13" style="617" customWidth="1"/>
    <col min="2567" max="2569" width="9.1796875" style="617"/>
    <col min="2570" max="2572" width="10.26953125" style="617" bestFit="1" customWidth="1"/>
    <col min="2573" max="2816" width="9.1796875" style="617"/>
    <col min="2817" max="2817" width="5.453125" style="617" customWidth="1"/>
    <col min="2818" max="2818" width="24" style="617" customWidth="1"/>
    <col min="2819" max="2819" width="30.54296875" style="617" bestFit="1" customWidth="1"/>
    <col min="2820" max="2820" width="8" style="617" customWidth="1"/>
    <col min="2821" max="2821" width="10.26953125" style="617" customWidth="1"/>
    <col min="2822" max="2822" width="13" style="617" customWidth="1"/>
    <col min="2823" max="2825" width="9.1796875" style="617"/>
    <col min="2826" max="2828" width="10.26953125" style="617" bestFit="1" customWidth="1"/>
    <col min="2829" max="3072" width="9.1796875" style="617"/>
    <col min="3073" max="3073" width="5.453125" style="617" customWidth="1"/>
    <col min="3074" max="3074" width="24" style="617" customWidth="1"/>
    <col min="3075" max="3075" width="30.54296875" style="617" bestFit="1" customWidth="1"/>
    <col min="3076" max="3076" width="8" style="617" customWidth="1"/>
    <col min="3077" max="3077" width="10.26953125" style="617" customWidth="1"/>
    <col min="3078" max="3078" width="13" style="617" customWidth="1"/>
    <col min="3079" max="3081" width="9.1796875" style="617"/>
    <col min="3082" max="3084" width="10.26953125" style="617" bestFit="1" customWidth="1"/>
    <col min="3085" max="3328" width="9.1796875" style="617"/>
    <col min="3329" max="3329" width="5.453125" style="617" customWidth="1"/>
    <col min="3330" max="3330" width="24" style="617" customWidth="1"/>
    <col min="3331" max="3331" width="30.54296875" style="617" bestFit="1" customWidth="1"/>
    <col min="3332" max="3332" width="8" style="617" customWidth="1"/>
    <col min="3333" max="3333" width="10.26953125" style="617" customWidth="1"/>
    <col min="3334" max="3334" width="13" style="617" customWidth="1"/>
    <col min="3335" max="3337" width="9.1796875" style="617"/>
    <col min="3338" max="3340" width="10.26953125" style="617" bestFit="1" customWidth="1"/>
    <col min="3341" max="3584" width="9.1796875" style="617"/>
    <col min="3585" max="3585" width="5.453125" style="617" customWidth="1"/>
    <col min="3586" max="3586" width="24" style="617" customWidth="1"/>
    <col min="3587" max="3587" width="30.54296875" style="617" bestFit="1" customWidth="1"/>
    <col min="3588" max="3588" width="8" style="617" customWidth="1"/>
    <col min="3589" max="3589" width="10.26953125" style="617" customWidth="1"/>
    <col min="3590" max="3590" width="13" style="617" customWidth="1"/>
    <col min="3591" max="3593" width="9.1796875" style="617"/>
    <col min="3594" max="3596" width="10.26953125" style="617" bestFit="1" customWidth="1"/>
    <col min="3597" max="3840" width="9.1796875" style="617"/>
    <col min="3841" max="3841" width="5.453125" style="617" customWidth="1"/>
    <col min="3842" max="3842" width="24" style="617" customWidth="1"/>
    <col min="3843" max="3843" width="30.54296875" style="617" bestFit="1" customWidth="1"/>
    <col min="3844" max="3844" width="8" style="617" customWidth="1"/>
    <col min="3845" max="3845" width="10.26953125" style="617" customWidth="1"/>
    <col min="3846" max="3846" width="13" style="617" customWidth="1"/>
    <col min="3847" max="3849" width="9.1796875" style="617"/>
    <col min="3850" max="3852" width="10.26953125" style="617" bestFit="1" customWidth="1"/>
    <col min="3853" max="4096" width="9.1796875" style="617"/>
    <col min="4097" max="4097" width="5.453125" style="617" customWidth="1"/>
    <col min="4098" max="4098" width="24" style="617" customWidth="1"/>
    <col min="4099" max="4099" width="30.54296875" style="617" bestFit="1" customWidth="1"/>
    <col min="4100" max="4100" width="8" style="617" customWidth="1"/>
    <col min="4101" max="4101" width="10.26953125" style="617" customWidth="1"/>
    <col min="4102" max="4102" width="13" style="617" customWidth="1"/>
    <col min="4103" max="4105" width="9.1796875" style="617"/>
    <col min="4106" max="4108" width="10.26953125" style="617" bestFit="1" customWidth="1"/>
    <col min="4109" max="4352" width="9.1796875" style="617"/>
    <col min="4353" max="4353" width="5.453125" style="617" customWidth="1"/>
    <col min="4354" max="4354" width="24" style="617" customWidth="1"/>
    <col min="4355" max="4355" width="30.54296875" style="617" bestFit="1" customWidth="1"/>
    <col min="4356" max="4356" width="8" style="617" customWidth="1"/>
    <col min="4357" max="4357" width="10.26953125" style="617" customWidth="1"/>
    <col min="4358" max="4358" width="13" style="617" customWidth="1"/>
    <col min="4359" max="4361" width="9.1796875" style="617"/>
    <col min="4362" max="4364" width="10.26953125" style="617" bestFit="1" customWidth="1"/>
    <col min="4365" max="4608" width="9.1796875" style="617"/>
    <col min="4609" max="4609" width="5.453125" style="617" customWidth="1"/>
    <col min="4610" max="4610" width="24" style="617" customWidth="1"/>
    <col min="4611" max="4611" width="30.54296875" style="617" bestFit="1" customWidth="1"/>
    <col min="4612" max="4612" width="8" style="617" customWidth="1"/>
    <col min="4613" max="4613" width="10.26953125" style="617" customWidth="1"/>
    <col min="4614" max="4614" width="13" style="617" customWidth="1"/>
    <col min="4615" max="4617" width="9.1796875" style="617"/>
    <col min="4618" max="4620" width="10.26953125" style="617" bestFit="1" customWidth="1"/>
    <col min="4621" max="4864" width="9.1796875" style="617"/>
    <col min="4865" max="4865" width="5.453125" style="617" customWidth="1"/>
    <col min="4866" max="4866" width="24" style="617" customWidth="1"/>
    <col min="4867" max="4867" width="30.54296875" style="617" bestFit="1" customWidth="1"/>
    <col min="4868" max="4868" width="8" style="617" customWidth="1"/>
    <col min="4869" max="4869" width="10.26953125" style="617" customWidth="1"/>
    <col min="4870" max="4870" width="13" style="617" customWidth="1"/>
    <col min="4871" max="4873" width="9.1796875" style="617"/>
    <col min="4874" max="4876" width="10.26953125" style="617" bestFit="1" customWidth="1"/>
    <col min="4877" max="5120" width="9.1796875" style="617"/>
    <col min="5121" max="5121" width="5.453125" style="617" customWidth="1"/>
    <col min="5122" max="5122" width="24" style="617" customWidth="1"/>
    <col min="5123" max="5123" width="30.54296875" style="617" bestFit="1" customWidth="1"/>
    <col min="5124" max="5124" width="8" style="617" customWidth="1"/>
    <col min="5125" max="5125" width="10.26953125" style="617" customWidth="1"/>
    <col min="5126" max="5126" width="13" style="617" customWidth="1"/>
    <col min="5127" max="5129" width="9.1796875" style="617"/>
    <col min="5130" max="5132" width="10.26953125" style="617" bestFit="1" customWidth="1"/>
    <col min="5133" max="5376" width="9.1796875" style="617"/>
    <col min="5377" max="5377" width="5.453125" style="617" customWidth="1"/>
    <col min="5378" max="5378" width="24" style="617" customWidth="1"/>
    <col min="5379" max="5379" width="30.54296875" style="617" bestFit="1" customWidth="1"/>
    <col min="5380" max="5380" width="8" style="617" customWidth="1"/>
    <col min="5381" max="5381" width="10.26953125" style="617" customWidth="1"/>
    <col min="5382" max="5382" width="13" style="617" customWidth="1"/>
    <col min="5383" max="5385" width="9.1796875" style="617"/>
    <col min="5386" max="5388" width="10.26953125" style="617" bestFit="1" customWidth="1"/>
    <col min="5389" max="5632" width="9.1796875" style="617"/>
    <col min="5633" max="5633" width="5.453125" style="617" customWidth="1"/>
    <col min="5634" max="5634" width="24" style="617" customWidth="1"/>
    <col min="5635" max="5635" width="30.54296875" style="617" bestFit="1" customWidth="1"/>
    <col min="5636" max="5636" width="8" style="617" customWidth="1"/>
    <col min="5637" max="5637" width="10.26953125" style="617" customWidth="1"/>
    <col min="5638" max="5638" width="13" style="617" customWidth="1"/>
    <col min="5639" max="5641" width="9.1796875" style="617"/>
    <col min="5642" max="5644" width="10.26953125" style="617" bestFit="1" customWidth="1"/>
    <col min="5645" max="5888" width="9.1796875" style="617"/>
    <col min="5889" max="5889" width="5.453125" style="617" customWidth="1"/>
    <col min="5890" max="5890" width="24" style="617" customWidth="1"/>
    <col min="5891" max="5891" width="30.54296875" style="617" bestFit="1" customWidth="1"/>
    <col min="5892" max="5892" width="8" style="617" customWidth="1"/>
    <col min="5893" max="5893" width="10.26953125" style="617" customWidth="1"/>
    <col min="5894" max="5894" width="13" style="617" customWidth="1"/>
    <col min="5895" max="5897" width="9.1796875" style="617"/>
    <col min="5898" max="5900" width="10.26953125" style="617" bestFit="1" customWidth="1"/>
    <col min="5901" max="6144" width="9.1796875" style="617"/>
    <col min="6145" max="6145" width="5.453125" style="617" customWidth="1"/>
    <col min="6146" max="6146" width="24" style="617" customWidth="1"/>
    <col min="6147" max="6147" width="30.54296875" style="617" bestFit="1" customWidth="1"/>
    <col min="6148" max="6148" width="8" style="617" customWidth="1"/>
    <col min="6149" max="6149" width="10.26953125" style="617" customWidth="1"/>
    <col min="6150" max="6150" width="13" style="617" customWidth="1"/>
    <col min="6151" max="6153" width="9.1796875" style="617"/>
    <col min="6154" max="6156" width="10.26953125" style="617" bestFit="1" customWidth="1"/>
    <col min="6157" max="6400" width="9.1796875" style="617"/>
    <col min="6401" max="6401" width="5.453125" style="617" customWidth="1"/>
    <col min="6402" max="6402" width="24" style="617" customWidth="1"/>
    <col min="6403" max="6403" width="30.54296875" style="617" bestFit="1" customWidth="1"/>
    <col min="6404" max="6404" width="8" style="617" customWidth="1"/>
    <col min="6405" max="6405" width="10.26953125" style="617" customWidth="1"/>
    <col min="6406" max="6406" width="13" style="617" customWidth="1"/>
    <col min="6407" max="6409" width="9.1796875" style="617"/>
    <col min="6410" max="6412" width="10.26953125" style="617" bestFit="1" customWidth="1"/>
    <col min="6413" max="6656" width="9.1796875" style="617"/>
    <col min="6657" max="6657" width="5.453125" style="617" customWidth="1"/>
    <col min="6658" max="6658" width="24" style="617" customWidth="1"/>
    <col min="6659" max="6659" width="30.54296875" style="617" bestFit="1" customWidth="1"/>
    <col min="6660" max="6660" width="8" style="617" customWidth="1"/>
    <col min="6661" max="6661" width="10.26953125" style="617" customWidth="1"/>
    <col min="6662" max="6662" width="13" style="617" customWidth="1"/>
    <col min="6663" max="6665" width="9.1796875" style="617"/>
    <col min="6666" max="6668" width="10.26953125" style="617" bestFit="1" customWidth="1"/>
    <col min="6669" max="6912" width="9.1796875" style="617"/>
    <col min="6913" max="6913" width="5.453125" style="617" customWidth="1"/>
    <col min="6914" max="6914" width="24" style="617" customWidth="1"/>
    <col min="6915" max="6915" width="30.54296875" style="617" bestFit="1" customWidth="1"/>
    <col min="6916" max="6916" width="8" style="617" customWidth="1"/>
    <col min="6917" max="6917" width="10.26953125" style="617" customWidth="1"/>
    <col min="6918" max="6918" width="13" style="617" customWidth="1"/>
    <col min="6919" max="6921" width="9.1796875" style="617"/>
    <col min="6922" max="6924" width="10.26953125" style="617" bestFit="1" customWidth="1"/>
    <col min="6925" max="7168" width="9.1796875" style="617"/>
    <col min="7169" max="7169" width="5.453125" style="617" customWidth="1"/>
    <col min="7170" max="7170" width="24" style="617" customWidth="1"/>
    <col min="7171" max="7171" width="30.54296875" style="617" bestFit="1" customWidth="1"/>
    <col min="7172" max="7172" width="8" style="617" customWidth="1"/>
    <col min="7173" max="7173" width="10.26953125" style="617" customWidth="1"/>
    <col min="7174" max="7174" width="13" style="617" customWidth="1"/>
    <col min="7175" max="7177" width="9.1796875" style="617"/>
    <col min="7178" max="7180" width="10.26953125" style="617" bestFit="1" customWidth="1"/>
    <col min="7181" max="7424" width="9.1796875" style="617"/>
    <col min="7425" max="7425" width="5.453125" style="617" customWidth="1"/>
    <col min="7426" max="7426" width="24" style="617" customWidth="1"/>
    <col min="7427" max="7427" width="30.54296875" style="617" bestFit="1" customWidth="1"/>
    <col min="7428" max="7428" width="8" style="617" customWidth="1"/>
    <col min="7429" max="7429" width="10.26953125" style="617" customWidth="1"/>
    <col min="7430" max="7430" width="13" style="617" customWidth="1"/>
    <col min="7431" max="7433" width="9.1796875" style="617"/>
    <col min="7434" max="7436" width="10.26953125" style="617" bestFit="1" customWidth="1"/>
    <col min="7437" max="7680" width="9.1796875" style="617"/>
    <col min="7681" max="7681" width="5.453125" style="617" customWidth="1"/>
    <col min="7682" max="7682" width="24" style="617" customWidth="1"/>
    <col min="7683" max="7683" width="30.54296875" style="617" bestFit="1" customWidth="1"/>
    <col min="7684" max="7684" width="8" style="617" customWidth="1"/>
    <col min="7685" max="7685" width="10.26953125" style="617" customWidth="1"/>
    <col min="7686" max="7686" width="13" style="617" customWidth="1"/>
    <col min="7687" max="7689" width="9.1796875" style="617"/>
    <col min="7690" max="7692" width="10.26953125" style="617" bestFit="1" customWidth="1"/>
    <col min="7693" max="7936" width="9.1796875" style="617"/>
    <col min="7937" max="7937" width="5.453125" style="617" customWidth="1"/>
    <col min="7938" max="7938" width="24" style="617" customWidth="1"/>
    <col min="7939" max="7939" width="30.54296875" style="617" bestFit="1" customWidth="1"/>
    <col min="7940" max="7940" width="8" style="617" customWidth="1"/>
    <col min="7941" max="7941" width="10.26953125" style="617" customWidth="1"/>
    <col min="7942" max="7942" width="13" style="617" customWidth="1"/>
    <col min="7943" max="7945" width="9.1796875" style="617"/>
    <col min="7946" max="7948" width="10.26953125" style="617" bestFit="1" customWidth="1"/>
    <col min="7949" max="8192" width="9.1796875" style="617"/>
    <col min="8193" max="8193" width="5.453125" style="617" customWidth="1"/>
    <col min="8194" max="8194" width="24" style="617" customWidth="1"/>
    <col min="8195" max="8195" width="30.54296875" style="617" bestFit="1" customWidth="1"/>
    <col min="8196" max="8196" width="8" style="617" customWidth="1"/>
    <col min="8197" max="8197" width="10.26953125" style="617" customWidth="1"/>
    <col min="8198" max="8198" width="13" style="617" customWidth="1"/>
    <col min="8199" max="8201" width="9.1796875" style="617"/>
    <col min="8202" max="8204" width="10.26953125" style="617" bestFit="1" customWidth="1"/>
    <col min="8205" max="8448" width="9.1796875" style="617"/>
    <col min="8449" max="8449" width="5.453125" style="617" customWidth="1"/>
    <col min="8450" max="8450" width="24" style="617" customWidth="1"/>
    <col min="8451" max="8451" width="30.54296875" style="617" bestFit="1" customWidth="1"/>
    <col min="8452" max="8452" width="8" style="617" customWidth="1"/>
    <col min="8453" max="8453" width="10.26953125" style="617" customWidth="1"/>
    <col min="8454" max="8454" width="13" style="617" customWidth="1"/>
    <col min="8455" max="8457" width="9.1796875" style="617"/>
    <col min="8458" max="8460" width="10.26953125" style="617" bestFit="1" customWidth="1"/>
    <col min="8461" max="8704" width="9.1796875" style="617"/>
    <col min="8705" max="8705" width="5.453125" style="617" customWidth="1"/>
    <col min="8706" max="8706" width="24" style="617" customWidth="1"/>
    <col min="8707" max="8707" width="30.54296875" style="617" bestFit="1" customWidth="1"/>
    <col min="8708" max="8708" width="8" style="617" customWidth="1"/>
    <col min="8709" max="8709" width="10.26953125" style="617" customWidth="1"/>
    <col min="8710" max="8710" width="13" style="617" customWidth="1"/>
    <col min="8711" max="8713" width="9.1796875" style="617"/>
    <col min="8714" max="8716" width="10.26953125" style="617" bestFit="1" customWidth="1"/>
    <col min="8717" max="8960" width="9.1796875" style="617"/>
    <col min="8961" max="8961" width="5.453125" style="617" customWidth="1"/>
    <col min="8962" max="8962" width="24" style="617" customWidth="1"/>
    <col min="8963" max="8963" width="30.54296875" style="617" bestFit="1" customWidth="1"/>
    <col min="8964" max="8964" width="8" style="617" customWidth="1"/>
    <col min="8965" max="8965" width="10.26953125" style="617" customWidth="1"/>
    <col min="8966" max="8966" width="13" style="617" customWidth="1"/>
    <col min="8967" max="8969" width="9.1796875" style="617"/>
    <col min="8970" max="8972" width="10.26953125" style="617" bestFit="1" customWidth="1"/>
    <col min="8973" max="9216" width="9.1796875" style="617"/>
    <col min="9217" max="9217" width="5.453125" style="617" customWidth="1"/>
    <col min="9218" max="9218" width="24" style="617" customWidth="1"/>
    <col min="9219" max="9219" width="30.54296875" style="617" bestFit="1" customWidth="1"/>
    <col min="9220" max="9220" width="8" style="617" customWidth="1"/>
    <col min="9221" max="9221" width="10.26953125" style="617" customWidth="1"/>
    <col min="9222" max="9222" width="13" style="617" customWidth="1"/>
    <col min="9223" max="9225" width="9.1796875" style="617"/>
    <col min="9226" max="9228" width="10.26953125" style="617" bestFit="1" customWidth="1"/>
    <col min="9229" max="9472" width="9.1796875" style="617"/>
    <col min="9473" max="9473" width="5.453125" style="617" customWidth="1"/>
    <col min="9474" max="9474" width="24" style="617" customWidth="1"/>
    <col min="9475" max="9475" width="30.54296875" style="617" bestFit="1" customWidth="1"/>
    <col min="9476" max="9476" width="8" style="617" customWidth="1"/>
    <col min="9477" max="9477" width="10.26953125" style="617" customWidth="1"/>
    <col min="9478" max="9478" width="13" style="617" customWidth="1"/>
    <col min="9479" max="9481" width="9.1796875" style="617"/>
    <col min="9482" max="9484" width="10.26953125" style="617" bestFit="1" customWidth="1"/>
    <col min="9485" max="9728" width="9.1796875" style="617"/>
    <col min="9729" max="9729" width="5.453125" style="617" customWidth="1"/>
    <col min="9730" max="9730" width="24" style="617" customWidth="1"/>
    <col min="9731" max="9731" width="30.54296875" style="617" bestFit="1" customWidth="1"/>
    <col min="9732" max="9732" width="8" style="617" customWidth="1"/>
    <col min="9733" max="9733" width="10.26953125" style="617" customWidth="1"/>
    <col min="9734" max="9734" width="13" style="617" customWidth="1"/>
    <col min="9735" max="9737" width="9.1796875" style="617"/>
    <col min="9738" max="9740" width="10.26953125" style="617" bestFit="1" customWidth="1"/>
    <col min="9741" max="9984" width="9.1796875" style="617"/>
    <col min="9985" max="9985" width="5.453125" style="617" customWidth="1"/>
    <col min="9986" max="9986" width="24" style="617" customWidth="1"/>
    <col min="9987" max="9987" width="30.54296875" style="617" bestFit="1" customWidth="1"/>
    <col min="9988" max="9988" width="8" style="617" customWidth="1"/>
    <col min="9989" max="9989" width="10.26953125" style="617" customWidth="1"/>
    <col min="9990" max="9990" width="13" style="617" customWidth="1"/>
    <col min="9991" max="9993" width="9.1796875" style="617"/>
    <col min="9994" max="9996" width="10.26953125" style="617" bestFit="1" customWidth="1"/>
    <col min="9997" max="10240" width="9.1796875" style="617"/>
    <col min="10241" max="10241" width="5.453125" style="617" customWidth="1"/>
    <col min="10242" max="10242" width="24" style="617" customWidth="1"/>
    <col min="10243" max="10243" width="30.54296875" style="617" bestFit="1" customWidth="1"/>
    <col min="10244" max="10244" width="8" style="617" customWidth="1"/>
    <col min="10245" max="10245" width="10.26953125" style="617" customWidth="1"/>
    <col min="10246" max="10246" width="13" style="617" customWidth="1"/>
    <col min="10247" max="10249" width="9.1796875" style="617"/>
    <col min="10250" max="10252" width="10.26953125" style="617" bestFit="1" customWidth="1"/>
    <col min="10253" max="10496" width="9.1796875" style="617"/>
    <col min="10497" max="10497" width="5.453125" style="617" customWidth="1"/>
    <col min="10498" max="10498" width="24" style="617" customWidth="1"/>
    <col min="10499" max="10499" width="30.54296875" style="617" bestFit="1" customWidth="1"/>
    <col min="10500" max="10500" width="8" style="617" customWidth="1"/>
    <col min="10501" max="10501" width="10.26953125" style="617" customWidth="1"/>
    <col min="10502" max="10502" width="13" style="617" customWidth="1"/>
    <col min="10503" max="10505" width="9.1796875" style="617"/>
    <col min="10506" max="10508" width="10.26953125" style="617" bestFit="1" customWidth="1"/>
    <col min="10509" max="10752" width="9.1796875" style="617"/>
    <col min="10753" max="10753" width="5.453125" style="617" customWidth="1"/>
    <col min="10754" max="10754" width="24" style="617" customWidth="1"/>
    <col min="10755" max="10755" width="30.54296875" style="617" bestFit="1" customWidth="1"/>
    <col min="10756" max="10756" width="8" style="617" customWidth="1"/>
    <col min="10757" max="10757" width="10.26953125" style="617" customWidth="1"/>
    <col min="10758" max="10758" width="13" style="617" customWidth="1"/>
    <col min="10759" max="10761" width="9.1796875" style="617"/>
    <col min="10762" max="10764" width="10.26953125" style="617" bestFit="1" customWidth="1"/>
    <col min="10765" max="11008" width="9.1796875" style="617"/>
    <col min="11009" max="11009" width="5.453125" style="617" customWidth="1"/>
    <col min="11010" max="11010" width="24" style="617" customWidth="1"/>
    <col min="11011" max="11011" width="30.54296875" style="617" bestFit="1" customWidth="1"/>
    <col min="11012" max="11012" width="8" style="617" customWidth="1"/>
    <col min="11013" max="11013" width="10.26953125" style="617" customWidth="1"/>
    <col min="11014" max="11014" width="13" style="617" customWidth="1"/>
    <col min="11015" max="11017" width="9.1796875" style="617"/>
    <col min="11018" max="11020" width="10.26953125" style="617" bestFit="1" customWidth="1"/>
    <col min="11021" max="11264" width="9.1796875" style="617"/>
    <col min="11265" max="11265" width="5.453125" style="617" customWidth="1"/>
    <col min="11266" max="11266" width="24" style="617" customWidth="1"/>
    <col min="11267" max="11267" width="30.54296875" style="617" bestFit="1" customWidth="1"/>
    <col min="11268" max="11268" width="8" style="617" customWidth="1"/>
    <col min="11269" max="11269" width="10.26953125" style="617" customWidth="1"/>
    <col min="11270" max="11270" width="13" style="617" customWidth="1"/>
    <col min="11271" max="11273" width="9.1796875" style="617"/>
    <col min="11274" max="11276" width="10.26953125" style="617" bestFit="1" customWidth="1"/>
    <col min="11277" max="11520" width="9.1796875" style="617"/>
    <col min="11521" max="11521" width="5.453125" style="617" customWidth="1"/>
    <col min="11522" max="11522" width="24" style="617" customWidth="1"/>
    <col min="11523" max="11523" width="30.54296875" style="617" bestFit="1" customWidth="1"/>
    <col min="11524" max="11524" width="8" style="617" customWidth="1"/>
    <col min="11525" max="11525" width="10.26953125" style="617" customWidth="1"/>
    <col min="11526" max="11526" width="13" style="617" customWidth="1"/>
    <col min="11527" max="11529" width="9.1796875" style="617"/>
    <col min="11530" max="11532" width="10.26953125" style="617" bestFit="1" customWidth="1"/>
    <col min="11533" max="11776" width="9.1796875" style="617"/>
    <col min="11777" max="11777" width="5.453125" style="617" customWidth="1"/>
    <col min="11778" max="11778" width="24" style="617" customWidth="1"/>
    <col min="11779" max="11779" width="30.54296875" style="617" bestFit="1" customWidth="1"/>
    <col min="11780" max="11780" width="8" style="617" customWidth="1"/>
    <col min="11781" max="11781" width="10.26953125" style="617" customWidth="1"/>
    <col min="11782" max="11782" width="13" style="617" customWidth="1"/>
    <col min="11783" max="11785" width="9.1796875" style="617"/>
    <col min="11786" max="11788" width="10.26953125" style="617" bestFit="1" customWidth="1"/>
    <col min="11789" max="12032" width="9.1796875" style="617"/>
    <col min="12033" max="12033" width="5.453125" style="617" customWidth="1"/>
    <col min="12034" max="12034" width="24" style="617" customWidth="1"/>
    <col min="12035" max="12035" width="30.54296875" style="617" bestFit="1" customWidth="1"/>
    <col min="12036" max="12036" width="8" style="617" customWidth="1"/>
    <col min="12037" max="12037" width="10.26953125" style="617" customWidth="1"/>
    <col min="12038" max="12038" width="13" style="617" customWidth="1"/>
    <col min="12039" max="12041" width="9.1796875" style="617"/>
    <col min="12042" max="12044" width="10.26953125" style="617" bestFit="1" customWidth="1"/>
    <col min="12045" max="12288" width="9.1796875" style="617"/>
    <col min="12289" max="12289" width="5.453125" style="617" customWidth="1"/>
    <col min="12290" max="12290" width="24" style="617" customWidth="1"/>
    <col min="12291" max="12291" width="30.54296875" style="617" bestFit="1" customWidth="1"/>
    <col min="12292" max="12292" width="8" style="617" customWidth="1"/>
    <col min="12293" max="12293" width="10.26953125" style="617" customWidth="1"/>
    <col min="12294" max="12294" width="13" style="617" customWidth="1"/>
    <col min="12295" max="12297" width="9.1796875" style="617"/>
    <col min="12298" max="12300" width="10.26953125" style="617" bestFit="1" customWidth="1"/>
    <col min="12301" max="12544" width="9.1796875" style="617"/>
    <col min="12545" max="12545" width="5.453125" style="617" customWidth="1"/>
    <col min="12546" max="12546" width="24" style="617" customWidth="1"/>
    <col min="12547" max="12547" width="30.54296875" style="617" bestFit="1" customWidth="1"/>
    <col min="12548" max="12548" width="8" style="617" customWidth="1"/>
    <col min="12549" max="12549" width="10.26953125" style="617" customWidth="1"/>
    <col min="12550" max="12550" width="13" style="617" customWidth="1"/>
    <col min="12551" max="12553" width="9.1796875" style="617"/>
    <col min="12554" max="12556" width="10.26953125" style="617" bestFit="1" customWidth="1"/>
    <col min="12557" max="12800" width="9.1796875" style="617"/>
    <col min="12801" max="12801" width="5.453125" style="617" customWidth="1"/>
    <col min="12802" max="12802" width="24" style="617" customWidth="1"/>
    <col min="12803" max="12803" width="30.54296875" style="617" bestFit="1" customWidth="1"/>
    <col min="12804" max="12804" width="8" style="617" customWidth="1"/>
    <col min="12805" max="12805" width="10.26953125" style="617" customWidth="1"/>
    <col min="12806" max="12806" width="13" style="617" customWidth="1"/>
    <col min="12807" max="12809" width="9.1796875" style="617"/>
    <col min="12810" max="12812" width="10.26953125" style="617" bestFit="1" customWidth="1"/>
    <col min="12813" max="13056" width="9.1796875" style="617"/>
    <col min="13057" max="13057" width="5.453125" style="617" customWidth="1"/>
    <col min="13058" max="13058" width="24" style="617" customWidth="1"/>
    <col min="13059" max="13059" width="30.54296875" style="617" bestFit="1" customWidth="1"/>
    <col min="13060" max="13060" width="8" style="617" customWidth="1"/>
    <col min="13061" max="13061" width="10.26953125" style="617" customWidth="1"/>
    <col min="13062" max="13062" width="13" style="617" customWidth="1"/>
    <col min="13063" max="13065" width="9.1796875" style="617"/>
    <col min="13066" max="13068" width="10.26953125" style="617" bestFit="1" customWidth="1"/>
    <col min="13069" max="13312" width="9.1796875" style="617"/>
    <col min="13313" max="13313" width="5.453125" style="617" customWidth="1"/>
    <col min="13314" max="13314" width="24" style="617" customWidth="1"/>
    <col min="13315" max="13315" width="30.54296875" style="617" bestFit="1" customWidth="1"/>
    <col min="13316" max="13316" width="8" style="617" customWidth="1"/>
    <col min="13317" max="13317" width="10.26953125" style="617" customWidth="1"/>
    <col min="13318" max="13318" width="13" style="617" customWidth="1"/>
    <col min="13319" max="13321" width="9.1796875" style="617"/>
    <col min="13322" max="13324" width="10.26953125" style="617" bestFit="1" customWidth="1"/>
    <col min="13325" max="13568" width="9.1796875" style="617"/>
    <col min="13569" max="13569" width="5.453125" style="617" customWidth="1"/>
    <col min="13570" max="13570" width="24" style="617" customWidth="1"/>
    <col min="13571" max="13571" width="30.54296875" style="617" bestFit="1" customWidth="1"/>
    <col min="13572" max="13572" width="8" style="617" customWidth="1"/>
    <col min="13573" max="13573" width="10.26953125" style="617" customWidth="1"/>
    <col min="13574" max="13574" width="13" style="617" customWidth="1"/>
    <col min="13575" max="13577" width="9.1796875" style="617"/>
    <col min="13578" max="13580" width="10.26953125" style="617" bestFit="1" customWidth="1"/>
    <col min="13581" max="13824" width="9.1796875" style="617"/>
    <col min="13825" max="13825" width="5.453125" style="617" customWidth="1"/>
    <col min="13826" max="13826" width="24" style="617" customWidth="1"/>
    <col min="13827" max="13827" width="30.54296875" style="617" bestFit="1" customWidth="1"/>
    <col min="13828" max="13828" width="8" style="617" customWidth="1"/>
    <col min="13829" max="13829" width="10.26953125" style="617" customWidth="1"/>
    <col min="13830" max="13830" width="13" style="617" customWidth="1"/>
    <col min="13831" max="13833" width="9.1796875" style="617"/>
    <col min="13834" max="13836" width="10.26953125" style="617" bestFit="1" customWidth="1"/>
    <col min="13837" max="14080" width="9.1796875" style="617"/>
    <col min="14081" max="14081" width="5.453125" style="617" customWidth="1"/>
    <col min="14082" max="14082" width="24" style="617" customWidth="1"/>
    <col min="14083" max="14083" width="30.54296875" style="617" bestFit="1" customWidth="1"/>
    <col min="14084" max="14084" width="8" style="617" customWidth="1"/>
    <col min="14085" max="14085" width="10.26953125" style="617" customWidth="1"/>
    <col min="14086" max="14086" width="13" style="617" customWidth="1"/>
    <col min="14087" max="14089" width="9.1796875" style="617"/>
    <col min="14090" max="14092" width="10.26953125" style="617" bestFit="1" customWidth="1"/>
    <col min="14093" max="14336" width="9.1796875" style="617"/>
    <col min="14337" max="14337" width="5.453125" style="617" customWidth="1"/>
    <col min="14338" max="14338" width="24" style="617" customWidth="1"/>
    <col min="14339" max="14339" width="30.54296875" style="617" bestFit="1" customWidth="1"/>
    <col min="14340" max="14340" width="8" style="617" customWidth="1"/>
    <col min="14341" max="14341" width="10.26953125" style="617" customWidth="1"/>
    <col min="14342" max="14342" width="13" style="617" customWidth="1"/>
    <col min="14343" max="14345" width="9.1796875" style="617"/>
    <col min="14346" max="14348" width="10.26953125" style="617" bestFit="1" customWidth="1"/>
    <col min="14349" max="14592" width="9.1796875" style="617"/>
    <col min="14593" max="14593" width="5.453125" style="617" customWidth="1"/>
    <col min="14594" max="14594" width="24" style="617" customWidth="1"/>
    <col min="14595" max="14595" width="30.54296875" style="617" bestFit="1" customWidth="1"/>
    <col min="14596" max="14596" width="8" style="617" customWidth="1"/>
    <col min="14597" max="14597" width="10.26953125" style="617" customWidth="1"/>
    <col min="14598" max="14598" width="13" style="617" customWidth="1"/>
    <col min="14599" max="14601" width="9.1796875" style="617"/>
    <col min="14602" max="14604" width="10.26953125" style="617" bestFit="1" customWidth="1"/>
    <col min="14605" max="14848" width="9.1796875" style="617"/>
    <col min="14849" max="14849" width="5.453125" style="617" customWidth="1"/>
    <col min="14850" max="14850" width="24" style="617" customWidth="1"/>
    <col min="14851" max="14851" width="30.54296875" style="617" bestFit="1" customWidth="1"/>
    <col min="14852" max="14852" width="8" style="617" customWidth="1"/>
    <col min="14853" max="14853" width="10.26953125" style="617" customWidth="1"/>
    <col min="14854" max="14854" width="13" style="617" customWidth="1"/>
    <col min="14855" max="14857" width="9.1796875" style="617"/>
    <col min="14858" max="14860" width="10.26953125" style="617" bestFit="1" customWidth="1"/>
    <col min="14861" max="15104" width="9.1796875" style="617"/>
    <col min="15105" max="15105" width="5.453125" style="617" customWidth="1"/>
    <col min="15106" max="15106" width="24" style="617" customWidth="1"/>
    <col min="15107" max="15107" width="30.54296875" style="617" bestFit="1" customWidth="1"/>
    <col min="15108" max="15108" width="8" style="617" customWidth="1"/>
    <col min="15109" max="15109" width="10.26953125" style="617" customWidth="1"/>
    <col min="15110" max="15110" width="13" style="617" customWidth="1"/>
    <col min="15111" max="15113" width="9.1796875" style="617"/>
    <col min="15114" max="15116" width="10.26953125" style="617" bestFit="1" customWidth="1"/>
    <col min="15117" max="15360" width="9.1796875" style="617"/>
    <col min="15361" max="15361" width="5.453125" style="617" customWidth="1"/>
    <col min="15362" max="15362" width="24" style="617" customWidth="1"/>
    <col min="15363" max="15363" width="30.54296875" style="617" bestFit="1" customWidth="1"/>
    <col min="15364" max="15364" width="8" style="617" customWidth="1"/>
    <col min="15365" max="15365" width="10.26953125" style="617" customWidth="1"/>
    <col min="15366" max="15366" width="13" style="617" customWidth="1"/>
    <col min="15367" max="15369" width="9.1796875" style="617"/>
    <col min="15370" max="15372" width="10.26953125" style="617" bestFit="1" customWidth="1"/>
    <col min="15373" max="15616" width="9.1796875" style="617"/>
    <col min="15617" max="15617" width="5.453125" style="617" customWidth="1"/>
    <col min="15618" max="15618" width="24" style="617" customWidth="1"/>
    <col min="15619" max="15619" width="30.54296875" style="617" bestFit="1" customWidth="1"/>
    <col min="15620" max="15620" width="8" style="617" customWidth="1"/>
    <col min="15621" max="15621" width="10.26953125" style="617" customWidth="1"/>
    <col min="15622" max="15622" width="13" style="617" customWidth="1"/>
    <col min="15623" max="15625" width="9.1796875" style="617"/>
    <col min="15626" max="15628" width="10.26953125" style="617" bestFit="1" customWidth="1"/>
    <col min="15629" max="15872" width="9.1796875" style="617"/>
    <col min="15873" max="15873" width="5.453125" style="617" customWidth="1"/>
    <col min="15874" max="15874" width="24" style="617" customWidth="1"/>
    <col min="15875" max="15875" width="30.54296875" style="617" bestFit="1" customWidth="1"/>
    <col min="15876" max="15876" width="8" style="617" customWidth="1"/>
    <col min="15877" max="15877" width="10.26953125" style="617" customWidth="1"/>
    <col min="15878" max="15878" width="13" style="617" customWidth="1"/>
    <col min="15879" max="15881" width="9.1796875" style="617"/>
    <col min="15882" max="15884" width="10.26953125" style="617" bestFit="1" customWidth="1"/>
    <col min="15885" max="16128" width="9.1796875" style="617"/>
    <col min="16129" max="16129" width="5.453125" style="617" customWidth="1"/>
    <col min="16130" max="16130" width="24" style="617" customWidth="1"/>
    <col min="16131" max="16131" width="30.54296875" style="617" bestFit="1" customWidth="1"/>
    <col min="16132" max="16132" width="8" style="617" customWidth="1"/>
    <col min="16133" max="16133" width="10.26953125" style="617" customWidth="1"/>
    <col min="16134" max="16134" width="13" style="617" customWidth="1"/>
    <col min="16135" max="16137" width="9.1796875" style="617"/>
    <col min="16138" max="16140" width="10.26953125" style="617" bestFit="1" customWidth="1"/>
    <col min="16141" max="16384" width="9.1796875" style="617"/>
  </cols>
  <sheetData>
    <row r="1" spans="1:16" ht="13" x14ac:dyDescent="0.3">
      <c r="A1" s="1025" t="s">
        <v>889</v>
      </c>
      <c r="B1" s="1025"/>
      <c r="C1" s="1025"/>
      <c r="D1" s="1025"/>
      <c r="E1" s="1025"/>
      <c r="F1" s="1025"/>
      <c r="G1" s="1025"/>
      <c r="H1" s="1025"/>
      <c r="I1" s="1025"/>
      <c r="J1" s="1025"/>
      <c r="K1" s="1025"/>
      <c r="L1" s="1025"/>
      <c r="M1" s="1025"/>
      <c r="N1" s="1025"/>
      <c r="O1" s="1025"/>
    </row>
    <row r="2" spans="1:16" x14ac:dyDescent="0.25">
      <c r="A2" s="1045" t="s">
        <v>890</v>
      </c>
      <c r="B2" s="1045"/>
      <c r="C2" s="1045"/>
      <c r="D2" s="1045"/>
      <c r="E2" s="1045"/>
      <c r="F2" s="1045"/>
      <c r="G2" s="1045"/>
      <c r="H2" s="1045"/>
      <c r="I2" s="1045"/>
      <c r="J2" s="1045"/>
      <c r="K2" s="1045"/>
      <c r="L2" s="1045"/>
      <c r="M2" s="1045"/>
      <c r="N2" s="1045"/>
      <c r="O2" s="1045"/>
    </row>
    <row r="3" spans="1:16" x14ac:dyDescent="0.25">
      <c r="A3" s="1026" t="s">
        <v>1018</v>
      </c>
      <c r="B3" s="1026"/>
      <c r="C3" s="1026"/>
      <c r="D3" s="1026"/>
      <c r="E3" s="1026"/>
      <c r="F3" s="1026"/>
      <c r="G3" s="1026"/>
      <c r="H3" s="1026"/>
      <c r="I3" s="1026"/>
      <c r="J3" s="1026"/>
      <c r="K3" s="1026"/>
      <c r="L3" s="1026"/>
      <c r="M3" s="1026"/>
      <c r="N3" s="1026"/>
    </row>
    <row r="4" spans="1:16" x14ac:dyDescent="0.25">
      <c r="A4" s="1045"/>
      <c r="B4" s="1045"/>
      <c r="C4" s="1045"/>
      <c r="D4" s="1045"/>
      <c r="E4" s="1045"/>
      <c r="F4" s="1045"/>
      <c r="G4" s="1045"/>
      <c r="H4" s="1045"/>
      <c r="I4" s="1045"/>
      <c r="J4" s="1045"/>
      <c r="K4" s="1045"/>
      <c r="L4" s="605"/>
    </row>
    <row r="5" spans="1:16" ht="13" x14ac:dyDescent="0.3">
      <c r="A5" s="606"/>
      <c r="B5" s="606"/>
      <c r="F5" s="683"/>
      <c r="G5" s="684"/>
      <c r="H5" s="684">
        <v>7.4999999999999997E-2</v>
      </c>
      <c r="I5" s="684">
        <v>0.1</v>
      </c>
      <c r="J5" s="684">
        <v>0.125</v>
      </c>
      <c r="K5" s="684">
        <v>0.15</v>
      </c>
      <c r="L5" s="684">
        <v>0.15</v>
      </c>
      <c r="M5" s="684">
        <v>0.17499999999999999</v>
      </c>
      <c r="N5" s="684">
        <v>0.17499999999999999</v>
      </c>
      <c r="O5" s="684">
        <v>0.05</v>
      </c>
      <c r="P5" s="684">
        <f>SUM(H5:O5)</f>
        <v>1</v>
      </c>
    </row>
    <row r="6" spans="1:16" ht="14" x14ac:dyDescent="0.3">
      <c r="A6" s="376" t="s">
        <v>1019</v>
      </c>
      <c r="B6" s="376" t="s">
        <v>1020</v>
      </c>
      <c r="C6" s="376" t="s">
        <v>366</v>
      </c>
      <c r="D6" s="376" t="s">
        <v>1021</v>
      </c>
      <c r="E6" s="471" t="s">
        <v>764</v>
      </c>
      <c r="F6" s="471" t="s">
        <v>769</v>
      </c>
      <c r="G6" s="471" t="s">
        <v>770</v>
      </c>
      <c r="H6" s="471" t="s">
        <v>771</v>
      </c>
      <c r="I6" s="471" t="s">
        <v>772</v>
      </c>
      <c r="J6" s="471" t="s">
        <v>773</v>
      </c>
      <c r="K6" s="471" t="s">
        <v>774</v>
      </c>
      <c r="L6" s="471" t="s">
        <v>775</v>
      </c>
      <c r="M6" s="471" t="s">
        <v>803</v>
      </c>
      <c r="N6" s="471" t="s">
        <v>804</v>
      </c>
      <c r="O6" s="471" t="s">
        <v>805</v>
      </c>
    </row>
    <row r="7" spans="1:16" x14ac:dyDescent="0.25">
      <c r="A7" s="372"/>
      <c r="B7" s="372"/>
      <c r="C7" s="372" t="s">
        <v>525</v>
      </c>
      <c r="D7" s="372"/>
      <c r="E7" s="685">
        <v>9.1999999999999998E-2</v>
      </c>
      <c r="F7" s="685">
        <v>9.1999999999999998E-2</v>
      </c>
      <c r="G7" s="685">
        <v>9.1999999999999998E-2</v>
      </c>
      <c r="H7" s="685">
        <v>9.1999999999999998E-2</v>
      </c>
      <c r="I7" s="685">
        <v>9.1999999999999998E-2</v>
      </c>
      <c r="J7" s="685">
        <v>9.1999999999999998E-2</v>
      </c>
      <c r="K7" s="685">
        <v>9.1999999999999998E-2</v>
      </c>
      <c r="L7" s="685">
        <v>9.1999999999999998E-2</v>
      </c>
      <c r="M7" s="685">
        <v>9.1999999999999998E-2</v>
      </c>
      <c r="N7" s="685">
        <v>9.1999999999999998E-2</v>
      </c>
      <c r="O7" s="685">
        <v>9.1999999999999998E-2</v>
      </c>
    </row>
    <row r="8" spans="1:16" hidden="1" x14ac:dyDescent="0.25">
      <c r="A8" s="372"/>
      <c r="B8" s="372"/>
      <c r="C8" s="372"/>
      <c r="D8" s="372"/>
      <c r="E8" s="372"/>
      <c r="F8" s="372"/>
      <c r="G8" s="372"/>
      <c r="H8" s="372"/>
      <c r="I8" s="372"/>
      <c r="J8" s="372"/>
      <c r="K8" s="372"/>
      <c r="L8" s="372"/>
      <c r="M8" s="372"/>
      <c r="N8" s="372"/>
      <c r="O8" s="372"/>
    </row>
    <row r="9" spans="1:16" ht="13" hidden="1" x14ac:dyDescent="0.3">
      <c r="A9" s="372"/>
      <c r="B9" s="372"/>
      <c r="C9" s="372"/>
      <c r="D9" s="372"/>
      <c r="E9" s="488"/>
      <c r="F9" s="490"/>
      <c r="G9" s="490"/>
      <c r="H9" s="490"/>
      <c r="I9" s="490"/>
      <c r="J9" s="490"/>
      <c r="K9" s="490"/>
      <c r="L9" s="490"/>
      <c r="M9" s="372"/>
      <c r="N9" s="372"/>
      <c r="O9" s="372"/>
    </row>
    <row r="10" spans="1:16" hidden="1" x14ac:dyDescent="0.25">
      <c r="A10" s="372"/>
      <c r="B10" s="372"/>
      <c r="C10" s="372"/>
      <c r="D10" s="372"/>
      <c r="E10" s="490"/>
      <c r="F10" s="490"/>
      <c r="G10" s="490"/>
      <c r="H10" s="490"/>
      <c r="I10" s="490"/>
      <c r="J10" s="490"/>
      <c r="K10" s="490"/>
      <c r="L10" s="490"/>
      <c r="M10" s="372"/>
      <c r="N10" s="372"/>
      <c r="O10" s="372"/>
    </row>
    <row r="11" spans="1:16" hidden="1" x14ac:dyDescent="0.25">
      <c r="A11" s="372"/>
      <c r="B11" s="372"/>
      <c r="C11" s="372"/>
      <c r="D11" s="372"/>
      <c r="E11" s="490"/>
      <c r="F11" s="490"/>
      <c r="G11" s="490"/>
      <c r="H11" s="490"/>
      <c r="I11" s="490"/>
      <c r="J11" s="490"/>
      <c r="K11" s="490"/>
      <c r="L11" s="490"/>
      <c r="M11" s="372"/>
      <c r="N11" s="372"/>
      <c r="O11" s="372"/>
    </row>
    <row r="12" spans="1:16" hidden="1" x14ac:dyDescent="0.25">
      <c r="A12" s="372"/>
      <c r="B12" s="372"/>
      <c r="C12" s="372"/>
      <c r="D12" s="372"/>
      <c r="E12" s="490"/>
      <c r="F12" s="490"/>
      <c r="G12" s="490"/>
      <c r="H12" s="490"/>
      <c r="I12" s="490"/>
      <c r="J12" s="490"/>
      <c r="K12" s="490"/>
      <c r="L12" s="490"/>
      <c r="M12" s="372"/>
      <c r="N12" s="372"/>
      <c r="O12" s="372"/>
    </row>
    <row r="13" spans="1:16" hidden="1" x14ac:dyDescent="0.25">
      <c r="A13" s="372"/>
      <c r="B13" s="372"/>
      <c r="C13" s="372"/>
      <c r="D13" s="372"/>
      <c r="E13" s="490"/>
      <c r="F13" s="490"/>
      <c r="G13" s="490"/>
      <c r="H13" s="490"/>
      <c r="I13" s="490"/>
      <c r="J13" s="490"/>
      <c r="K13" s="490"/>
      <c r="L13" s="490"/>
      <c r="M13" s="372"/>
      <c r="N13" s="372"/>
      <c r="O13" s="372"/>
    </row>
    <row r="14" spans="1:16" ht="13" hidden="1" x14ac:dyDescent="0.3">
      <c r="A14" s="372"/>
      <c r="B14" s="372"/>
      <c r="C14" s="372"/>
      <c r="D14" s="372"/>
      <c r="E14" s="488"/>
      <c r="F14" s="488"/>
      <c r="G14" s="488"/>
      <c r="H14" s="488"/>
      <c r="I14" s="488"/>
      <c r="J14" s="488"/>
      <c r="K14" s="488"/>
      <c r="L14" s="488"/>
      <c r="M14" s="372"/>
      <c r="N14" s="372"/>
      <c r="O14" s="372"/>
    </row>
    <row r="15" spans="1:16" hidden="1" x14ac:dyDescent="0.25">
      <c r="A15" s="372"/>
      <c r="B15" s="372"/>
      <c r="C15" s="372"/>
      <c r="D15" s="372"/>
      <c r="E15" s="490"/>
      <c r="F15" s="490"/>
      <c r="G15" s="490"/>
      <c r="H15" s="490"/>
      <c r="I15" s="490"/>
      <c r="J15" s="490"/>
      <c r="K15" s="490"/>
      <c r="L15" s="490"/>
      <c r="M15" s="372"/>
      <c r="N15" s="372"/>
      <c r="O15" s="372"/>
    </row>
    <row r="16" spans="1:16" ht="13" hidden="1" x14ac:dyDescent="0.3">
      <c r="A16" s="372"/>
      <c r="B16" s="372"/>
      <c r="C16" s="376"/>
      <c r="D16" s="376"/>
      <c r="E16" s="488"/>
      <c r="F16" s="488"/>
      <c r="G16" s="488"/>
      <c r="H16" s="488"/>
      <c r="I16" s="488"/>
      <c r="J16" s="488"/>
      <c r="K16" s="488"/>
      <c r="L16" s="488"/>
      <c r="M16" s="372"/>
      <c r="N16" s="372"/>
      <c r="O16" s="372"/>
    </row>
    <row r="17" spans="1:15" hidden="1" x14ac:dyDescent="0.25">
      <c r="A17" s="372"/>
      <c r="B17" s="372"/>
      <c r="C17" s="372"/>
      <c r="D17" s="372"/>
      <c r="E17" s="490"/>
      <c r="F17" s="490"/>
      <c r="G17" s="490"/>
      <c r="H17" s="490"/>
      <c r="I17" s="490"/>
      <c r="J17" s="490"/>
      <c r="K17" s="490"/>
      <c r="L17" s="490"/>
      <c r="M17" s="372"/>
      <c r="N17" s="372"/>
      <c r="O17" s="372"/>
    </row>
    <row r="18" spans="1:15" x14ac:dyDescent="0.25">
      <c r="A18" s="372"/>
      <c r="B18" s="372"/>
      <c r="C18" s="372"/>
      <c r="D18" s="372"/>
      <c r="E18" s="490"/>
      <c r="F18" s="490"/>
      <c r="G18" s="490"/>
      <c r="H18" s="490"/>
      <c r="I18" s="490"/>
      <c r="J18" s="490"/>
      <c r="K18" s="490"/>
      <c r="L18" s="490"/>
      <c r="M18" s="372"/>
      <c r="N18" s="372"/>
      <c r="O18" s="372"/>
    </row>
    <row r="19" spans="1:15" ht="13" x14ac:dyDescent="0.3">
      <c r="A19" s="372"/>
      <c r="B19" s="372"/>
      <c r="C19" s="376"/>
      <c r="D19" s="376"/>
      <c r="E19" s="488"/>
      <c r="F19" s="488"/>
      <c r="G19" s="488"/>
      <c r="H19" s="488"/>
      <c r="I19" s="488"/>
      <c r="J19" s="488"/>
      <c r="K19" s="521"/>
      <c r="L19" s="521"/>
      <c r="M19" s="372"/>
      <c r="N19" s="372"/>
      <c r="O19" s="372"/>
    </row>
    <row r="20" spans="1:15" ht="13" x14ac:dyDescent="0.3">
      <c r="A20" s="372">
        <v>1</v>
      </c>
      <c r="B20" s="372" t="s">
        <v>1022</v>
      </c>
      <c r="C20" s="372" t="s">
        <v>487</v>
      </c>
      <c r="D20" s="372"/>
      <c r="E20" s="488"/>
      <c r="F20" s="490">
        <v>100</v>
      </c>
      <c r="G20" s="490">
        <v>200</v>
      </c>
      <c r="H20" s="490">
        <f t="shared" ref="H20:O20" si="0">+G26</f>
        <v>200</v>
      </c>
      <c r="I20" s="490">
        <f t="shared" si="0"/>
        <v>185</v>
      </c>
      <c r="J20" s="490">
        <f t="shared" si="0"/>
        <v>165</v>
      </c>
      <c r="K20" s="490">
        <f t="shared" si="0"/>
        <v>140</v>
      </c>
      <c r="L20" s="490">
        <f t="shared" si="0"/>
        <v>110</v>
      </c>
      <c r="M20" s="490">
        <f t="shared" si="0"/>
        <v>80</v>
      </c>
      <c r="N20" s="490">
        <f t="shared" si="0"/>
        <v>45</v>
      </c>
      <c r="O20" s="490">
        <f t="shared" si="0"/>
        <v>10</v>
      </c>
    </row>
    <row r="21" spans="1:15" x14ac:dyDescent="0.25">
      <c r="A21" s="372"/>
      <c r="B21" s="372"/>
      <c r="C21" s="372" t="s">
        <v>1023</v>
      </c>
      <c r="D21" s="372" t="s">
        <v>1024</v>
      </c>
      <c r="E21" s="490"/>
      <c r="F21" s="490"/>
      <c r="G21" s="490"/>
      <c r="H21" s="490"/>
      <c r="I21" s="490">
        <f t="shared" ref="I21:N21" si="1">+$G$20*I5/4</f>
        <v>5</v>
      </c>
      <c r="J21" s="490">
        <f t="shared" si="1"/>
        <v>6.25</v>
      </c>
      <c r="K21" s="490">
        <f t="shared" si="1"/>
        <v>7.5</v>
      </c>
      <c r="L21" s="490">
        <f t="shared" si="1"/>
        <v>7.5</v>
      </c>
      <c r="M21" s="490">
        <f t="shared" si="1"/>
        <v>8.75</v>
      </c>
      <c r="N21" s="490">
        <f t="shared" si="1"/>
        <v>8.75</v>
      </c>
      <c r="O21" s="490">
        <f>+$G$20*O5</f>
        <v>10</v>
      </c>
    </row>
    <row r="22" spans="1:15" x14ac:dyDescent="0.25">
      <c r="A22" s="372"/>
      <c r="B22" s="372"/>
      <c r="C22" s="372" t="s">
        <v>1023</v>
      </c>
      <c r="D22" s="372" t="s">
        <v>1025</v>
      </c>
      <c r="E22" s="490"/>
      <c r="F22" s="490"/>
      <c r="G22" s="490"/>
      <c r="H22" s="490">
        <f>+$G$20*H$5/3</f>
        <v>5</v>
      </c>
      <c r="I22" s="490">
        <f t="shared" ref="I22:N24" si="2">+I21</f>
        <v>5</v>
      </c>
      <c r="J22" s="490">
        <f t="shared" si="2"/>
        <v>6.25</v>
      </c>
      <c r="K22" s="490">
        <f t="shared" si="2"/>
        <v>7.5</v>
      </c>
      <c r="L22" s="490">
        <f t="shared" si="2"/>
        <v>7.5</v>
      </c>
      <c r="M22" s="490">
        <f t="shared" si="2"/>
        <v>8.75</v>
      </c>
      <c r="N22" s="490">
        <f t="shared" si="2"/>
        <v>8.75</v>
      </c>
      <c r="O22" s="490"/>
    </row>
    <row r="23" spans="1:15" x14ac:dyDescent="0.25">
      <c r="A23" s="372"/>
      <c r="B23" s="372"/>
      <c r="C23" s="372" t="s">
        <v>1023</v>
      </c>
      <c r="D23" s="372" t="s">
        <v>1026</v>
      </c>
      <c r="E23" s="490"/>
      <c r="F23" s="490"/>
      <c r="G23" s="490"/>
      <c r="H23" s="490">
        <f>+H22</f>
        <v>5</v>
      </c>
      <c r="I23" s="490">
        <f t="shared" si="2"/>
        <v>5</v>
      </c>
      <c r="J23" s="490">
        <f t="shared" si="2"/>
        <v>6.25</v>
      </c>
      <c r="K23" s="490">
        <f t="shared" si="2"/>
        <v>7.5</v>
      </c>
      <c r="L23" s="490">
        <f t="shared" si="2"/>
        <v>7.5</v>
      </c>
      <c r="M23" s="490">
        <f t="shared" si="2"/>
        <v>8.75</v>
      </c>
      <c r="N23" s="490">
        <f t="shared" si="2"/>
        <v>8.75</v>
      </c>
      <c r="O23" s="490"/>
    </row>
    <row r="24" spans="1:15" x14ac:dyDescent="0.25">
      <c r="A24" s="372"/>
      <c r="B24" s="372"/>
      <c r="C24" s="372" t="s">
        <v>1023</v>
      </c>
      <c r="D24" s="372" t="s">
        <v>1027</v>
      </c>
      <c r="E24" s="490"/>
      <c r="F24" s="490"/>
      <c r="G24" s="490">
        <f>+F20*G5</f>
        <v>0</v>
      </c>
      <c r="H24" s="490">
        <f>+H23</f>
        <v>5</v>
      </c>
      <c r="I24" s="490">
        <f t="shared" si="2"/>
        <v>5</v>
      </c>
      <c r="J24" s="490">
        <f t="shared" si="2"/>
        <v>6.25</v>
      </c>
      <c r="K24" s="490">
        <f t="shared" si="2"/>
        <v>7.5</v>
      </c>
      <c r="L24" s="490">
        <f t="shared" si="2"/>
        <v>7.5</v>
      </c>
      <c r="M24" s="490">
        <f t="shared" si="2"/>
        <v>8.75</v>
      </c>
      <c r="N24" s="490">
        <f t="shared" si="2"/>
        <v>8.75</v>
      </c>
      <c r="O24" s="490"/>
    </row>
    <row r="25" spans="1:15" ht="13" x14ac:dyDescent="0.3">
      <c r="A25" s="372"/>
      <c r="B25" s="372"/>
      <c r="C25" s="372" t="s">
        <v>1028</v>
      </c>
      <c r="D25" s="372"/>
      <c r="E25" s="488">
        <f t="shared" ref="E25:L25" si="3">+SUM(E21:E24)</f>
        <v>0</v>
      </c>
      <c r="F25" s="488">
        <f t="shared" si="3"/>
        <v>0</v>
      </c>
      <c r="G25" s="488">
        <f t="shared" si="3"/>
        <v>0</v>
      </c>
      <c r="H25" s="488">
        <f t="shared" si="3"/>
        <v>15</v>
      </c>
      <c r="I25" s="488">
        <f t="shared" si="3"/>
        <v>20</v>
      </c>
      <c r="J25" s="488">
        <f t="shared" si="3"/>
        <v>25</v>
      </c>
      <c r="K25" s="488">
        <f t="shared" si="3"/>
        <v>30</v>
      </c>
      <c r="L25" s="488">
        <f t="shared" si="3"/>
        <v>30</v>
      </c>
      <c r="M25" s="488">
        <f>+SUM(M21:M24)</f>
        <v>35</v>
      </c>
      <c r="N25" s="488">
        <f>+SUM(N21:N24)</f>
        <v>35</v>
      </c>
      <c r="O25" s="488">
        <f>+SUM(O21:O24)</f>
        <v>10</v>
      </c>
    </row>
    <row r="26" spans="1:15" x14ac:dyDescent="0.25">
      <c r="A26" s="372"/>
      <c r="B26" s="372"/>
      <c r="C26" s="372" t="s">
        <v>1029</v>
      </c>
      <c r="D26" s="372"/>
      <c r="E26" s="490">
        <f t="shared" ref="E26:L26" si="4">+E20-E25</f>
        <v>0</v>
      </c>
      <c r="F26" s="490">
        <f t="shared" si="4"/>
        <v>100</v>
      </c>
      <c r="G26" s="490">
        <f t="shared" si="4"/>
        <v>200</v>
      </c>
      <c r="H26" s="490">
        <f t="shared" si="4"/>
        <v>185</v>
      </c>
      <c r="I26" s="490">
        <f t="shared" si="4"/>
        <v>165</v>
      </c>
      <c r="J26" s="490">
        <f t="shared" si="4"/>
        <v>140</v>
      </c>
      <c r="K26" s="490">
        <f t="shared" si="4"/>
        <v>110</v>
      </c>
      <c r="L26" s="490">
        <f t="shared" si="4"/>
        <v>80</v>
      </c>
      <c r="M26" s="490">
        <f>+M20-M25</f>
        <v>45</v>
      </c>
      <c r="N26" s="490">
        <f>+N20-N25</f>
        <v>10</v>
      </c>
      <c r="O26" s="490">
        <f>+O20-O25</f>
        <v>0</v>
      </c>
    </row>
    <row r="27" spans="1:15" ht="13" x14ac:dyDescent="0.3">
      <c r="A27" s="372"/>
      <c r="B27" s="372"/>
      <c r="C27" s="376" t="s">
        <v>453</v>
      </c>
      <c r="D27" s="376"/>
      <c r="E27" s="488">
        <f>+((E20*E$7)/4+(E20-E21)*E$7/4)+(E20-E21-E22)*E$7/4+(E20-E21-E22-E23)*E$7/4</f>
        <v>0</v>
      </c>
      <c r="F27" s="488">
        <v>0</v>
      </c>
      <c r="G27" s="488">
        <f>+(+(G20-G21)*G$7/4)+(G20-G21-G22)*G$7/4+(G20-G21-G22-G23)*G$7/4</f>
        <v>13.799999999999999</v>
      </c>
      <c r="H27" s="488">
        <f t="shared" ref="H27:M27" si="5">+((H20*H$7)/4+(H20-H21)*H$7/4)+(H20-H21-H22)*H$7/4+(H20-H21-H22-H23)*H$7/4</f>
        <v>18.055</v>
      </c>
      <c r="I27" s="488">
        <f t="shared" si="5"/>
        <v>16.329999999999998</v>
      </c>
      <c r="J27" s="488">
        <f t="shared" si="5"/>
        <v>14.317499999999999</v>
      </c>
      <c r="K27" s="488">
        <f t="shared" si="5"/>
        <v>11.845000000000001</v>
      </c>
      <c r="L27" s="488">
        <f t="shared" si="5"/>
        <v>9.0850000000000009</v>
      </c>
      <c r="M27" s="488">
        <f t="shared" si="5"/>
        <v>6.1524999999999999</v>
      </c>
      <c r="N27" s="488">
        <f>+((N20*N$7)/4+(N20-N21)*N$7/4)+(N20-N21-N22)*N$7/4+(N20-N21-N22-N23)*N$7/4</f>
        <v>2.9324999999999997</v>
      </c>
      <c r="O27" s="488">
        <f>+((O20*O$7)/4+(O20-O21)*O$7/4)+(O20-O21-O22)*O$7/4+(O20-O21-O22-O23)*O$7/4</f>
        <v>0.22999999999999998</v>
      </c>
    </row>
    <row r="28" spans="1:15" ht="13" x14ac:dyDescent="0.3">
      <c r="A28" s="372"/>
      <c r="B28" s="372"/>
      <c r="C28" s="376"/>
      <c r="D28" s="376"/>
      <c r="E28" s="488"/>
      <c r="F28" s="488"/>
      <c r="G28" s="488"/>
      <c r="H28" s="488"/>
      <c r="I28" s="488"/>
      <c r="J28" s="488"/>
      <c r="K28" s="488"/>
      <c r="L28" s="488"/>
      <c r="M28" s="488"/>
      <c r="N28" s="488"/>
      <c r="O28" s="488"/>
    </row>
    <row r="29" spans="1:15" ht="13" x14ac:dyDescent="0.3">
      <c r="A29" s="372"/>
      <c r="B29" s="372"/>
      <c r="C29" s="376"/>
      <c r="D29" s="376"/>
      <c r="E29" s="488"/>
      <c r="F29" s="488"/>
      <c r="G29" s="488"/>
      <c r="H29" s="488"/>
      <c r="I29" s="488"/>
      <c r="J29" s="488"/>
      <c r="K29" s="488"/>
      <c r="L29" s="488"/>
      <c r="M29" s="488"/>
      <c r="N29" s="488"/>
      <c r="O29" s="488"/>
    </row>
    <row r="30" spans="1:15" x14ac:dyDescent="0.25">
      <c r="A30" s="372">
        <v>2</v>
      </c>
      <c r="B30" s="372" t="s">
        <v>956</v>
      </c>
      <c r="C30" s="372" t="s">
        <v>1030</v>
      </c>
      <c r="D30" s="372"/>
      <c r="E30" s="490">
        <v>25</v>
      </c>
      <c r="F30" s="522">
        <v>25</v>
      </c>
      <c r="G30" s="490">
        <f t="shared" ref="G30:O30" si="6">+F36</f>
        <v>25</v>
      </c>
      <c r="H30" s="490">
        <f t="shared" si="6"/>
        <v>0</v>
      </c>
      <c r="I30" s="490">
        <f t="shared" si="6"/>
        <v>0</v>
      </c>
      <c r="J30" s="490">
        <f t="shared" si="6"/>
        <v>0</v>
      </c>
      <c r="K30" s="490">
        <f t="shared" si="6"/>
        <v>0</v>
      </c>
      <c r="L30" s="490">
        <f t="shared" si="6"/>
        <v>0</v>
      </c>
      <c r="M30" s="490">
        <f t="shared" si="6"/>
        <v>0</v>
      </c>
      <c r="N30" s="490">
        <f t="shared" si="6"/>
        <v>0</v>
      </c>
      <c r="O30" s="490">
        <f t="shared" si="6"/>
        <v>0</v>
      </c>
    </row>
    <row r="31" spans="1:15" x14ac:dyDescent="0.25">
      <c r="A31" s="372"/>
      <c r="B31" s="372"/>
      <c r="C31" s="372" t="s">
        <v>1023</v>
      </c>
      <c r="D31" s="372" t="s">
        <v>1024</v>
      </c>
      <c r="E31" s="490"/>
      <c r="F31" s="490"/>
      <c r="G31" s="522">
        <v>25</v>
      </c>
      <c r="H31" s="490">
        <f>+$H$30*H5/4</f>
        <v>0</v>
      </c>
      <c r="I31" s="490">
        <f t="shared" ref="I31:N31" si="7">+$H$30*I5/4</f>
        <v>0</v>
      </c>
      <c r="J31" s="490">
        <f t="shared" si="7"/>
        <v>0</v>
      </c>
      <c r="K31" s="490">
        <f t="shared" si="7"/>
        <v>0</v>
      </c>
      <c r="L31" s="490">
        <f t="shared" si="7"/>
        <v>0</v>
      </c>
      <c r="M31" s="490">
        <f t="shared" si="7"/>
        <v>0</v>
      </c>
      <c r="N31" s="490">
        <f t="shared" si="7"/>
        <v>0</v>
      </c>
      <c r="O31" s="490">
        <f>+$H$30*P5/4</f>
        <v>0</v>
      </c>
    </row>
    <row r="32" spans="1:15" x14ac:dyDescent="0.25">
      <c r="A32" s="372"/>
      <c r="B32" s="372"/>
      <c r="C32" s="372" t="s">
        <v>1023</v>
      </c>
      <c r="D32" s="372" t="s">
        <v>1025</v>
      </c>
      <c r="E32" s="490"/>
      <c r="F32" s="490"/>
      <c r="G32" s="490"/>
      <c r="H32" s="490">
        <f>+H31</f>
        <v>0</v>
      </c>
      <c r="I32" s="490">
        <f t="shared" ref="I32:N34" si="8">+I31</f>
        <v>0</v>
      </c>
      <c r="J32" s="490">
        <f t="shared" si="8"/>
        <v>0</v>
      </c>
      <c r="K32" s="490">
        <f t="shared" si="8"/>
        <v>0</v>
      </c>
      <c r="L32" s="490">
        <f t="shared" si="8"/>
        <v>0</v>
      </c>
      <c r="M32" s="490">
        <f t="shared" si="8"/>
        <v>0</v>
      </c>
      <c r="N32" s="490">
        <f t="shared" si="8"/>
        <v>0</v>
      </c>
      <c r="O32" s="490">
        <f>+O31</f>
        <v>0</v>
      </c>
    </row>
    <row r="33" spans="1:15" x14ac:dyDescent="0.25">
      <c r="A33" s="372"/>
      <c r="B33" s="372"/>
      <c r="C33" s="372" t="s">
        <v>1023</v>
      </c>
      <c r="D33" s="372" t="s">
        <v>1026</v>
      </c>
      <c r="E33" s="490"/>
      <c r="F33" s="490"/>
      <c r="G33" s="490"/>
      <c r="H33" s="490">
        <f>+H32</f>
        <v>0</v>
      </c>
      <c r="I33" s="490">
        <f t="shared" si="8"/>
        <v>0</v>
      </c>
      <c r="J33" s="490">
        <f t="shared" si="8"/>
        <v>0</v>
      </c>
      <c r="K33" s="490">
        <f t="shared" si="8"/>
        <v>0</v>
      </c>
      <c r="L33" s="490">
        <f t="shared" si="8"/>
        <v>0</v>
      </c>
      <c r="M33" s="490">
        <f t="shared" si="8"/>
        <v>0</v>
      </c>
      <c r="N33" s="490">
        <f t="shared" si="8"/>
        <v>0</v>
      </c>
      <c r="O33" s="490">
        <f>+O32</f>
        <v>0</v>
      </c>
    </row>
    <row r="34" spans="1:15" x14ac:dyDescent="0.25">
      <c r="A34" s="372"/>
      <c r="B34" s="372"/>
      <c r="C34" s="372" t="s">
        <v>1023</v>
      </c>
      <c r="D34" s="372" t="s">
        <v>1027</v>
      </c>
      <c r="E34" s="490"/>
      <c r="F34" s="490"/>
      <c r="G34" s="490">
        <f>+F30*G15</f>
        <v>0</v>
      </c>
      <c r="H34" s="490">
        <f>+H33</f>
        <v>0</v>
      </c>
      <c r="I34" s="490">
        <f t="shared" si="8"/>
        <v>0</v>
      </c>
      <c r="J34" s="490">
        <f t="shared" si="8"/>
        <v>0</v>
      </c>
      <c r="K34" s="490">
        <f t="shared" si="8"/>
        <v>0</v>
      </c>
      <c r="L34" s="490">
        <f t="shared" si="8"/>
        <v>0</v>
      </c>
      <c r="M34" s="490">
        <f t="shared" si="8"/>
        <v>0</v>
      </c>
      <c r="N34" s="490">
        <f t="shared" si="8"/>
        <v>0</v>
      </c>
      <c r="O34" s="490">
        <f>+O33</f>
        <v>0</v>
      </c>
    </row>
    <row r="35" spans="1:15" ht="13" x14ac:dyDescent="0.3">
      <c r="A35" s="372"/>
      <c r="B35" s="372"/>
      <c r="C35" s="372" t="s">
        <v>1028</v>
      </c>
      <c r="D35" s="372"/>
      <c r="E35" s="488">
        <f t="shared" ref="E35:L35" si="9">+SUM(E31:E34)</f>
        <v>0</v>
      </c>
      <c r="F35" s="488">
        <f t="shared" si="9"/>
        <v>0</v>
      </c>
      <c r="G35" s="488">
        <f t="shared" si="9"/>
        <v>25</v>
      </c>
      <c r="H35" s="488">
        <f t="shared" si="9"/>
        <v>0</v>
      </c>
      <c r="I35" s="488">
        <f t="shared" si="9"/>
        <v>0</v>
      </c>
      <c r="J35" s="488">
        <f t="shared" si="9"/>
        <v>0</v>
      </c>
      <c r="K35" s="488">
        <f t="shared" si="9"/>
        <v>0</v>
      </c>
      <c r="L35" s="488">
        <f t="shared" si="9"/>
        <v>0</v>
      </c>
      <c r="M35" s="488">
        <f>+SUM(M31:M34)</f>
        <v>0</v>
      </c>
      <c r="N35" s="488">
        <f>+SUM(N31:N34)</f>
        <v>0</v>
      </c>
      <c r="O35" s="488">
        <f>+SUM(O31:O34)</f>
        <v>0</v>
      </c>
    </row>
    <row r="36" spans="1:15" x14ac:dyDescent="0.25">
      <c r="A36" s="372"/>
      <c r="B36" s="372"/>
      <c r="C36" s="372" t="s">
        <v>1029</v>
      </c>
      <c r="D36" s="372"/>
      <c r="E36" s="490">
        <f t="shared" ref="E36:L36" si="10">+E30-E35</f>
        <v>25</v>
      </c>
      <c r="F36" s="490">
        <f t="shared" si="10"/>
        <v>25</v>
      </c>
      <c r="G36" s="490">
        <f t="shared" si="10"/>
        <v>0</v>
      </c>
      <c r="H36" s="490">
        <f t="shared" si="10"/>
        <v>0</v>
      </c>
      <c r="I36" s="490">
        <f t="shared" si="10"/>
        <v>0</v>
      </c>
      <c r="J36" s="490">
        <f t="shared" si="10"/>
        <v>0</v>
      </c>
      <c r="K36" s="490">
        <f t="shared" si="10"/>
        <v>0</v>
      </c>
      <c r="L36" s="490">
        <f t="shared" si="10"/>
        <v>0</v>
      </c>
      <c r="M36" s="490">
        <f>+M30-M35</f>
        <v>0</v>
      </c>
      <c r="N36" s="490">
        <f>+N30-N35</f>
        <v>0</v>
      </c>
      <c r="O36" s="490">
        <f>+O30-O35</f>
        <v>0</v>
      </c>
    </row>
    <row r="37" spans="1:15" ht="13" x14ac:dyDescent="0.3">
      <c r="A37" s="372"/>
      <c r="B37" s="372"/>
      <c r="C37" s="376" t="s">
        <v>453</v>
      </c>
      <c r="D37" s="376"/>
      <c r="E37" s="488">
        <v>0</v>
      </c>
      <c r="F37" s="488">
        <v>0</v>
      </c>
      <c r="G37" s="488">
        <f>+((G30*G$7)/4+(G30-G31)*G$7/4)+(G30-G31-G32)*G$7/4+(G30-G31-G32-G33)*G$7/4</f>
        <v>0.57499999999999996</v>
      </c>
      <c r="H37" s="488">
        <f t="shared" ref="H37:N37" si="11">+((H30*H$7)/4+(H30-H31)*H$7/4)+(H30-H31-H32)*H$7/4+(H30-H31-H32-H33)*H$7/4</f>
        <v>0</v>
      </c>
      <c r="I37" s="488">
        <f t="shared" si="11"/>
        <v>0</v>
      </c>
      <c r="J37" s="488">
        <f t="shared" si="11"/>
        <v>0</v>
      </c>
      <c r="K37" s="488">
        <f t="shared" si="11"/>
        <v>0</v>
      </c>
      <c r="L37" s="488">
        <f t="shared" si="11"/>
        <v>0</v>
      </c>
      <c r="M37" s="488">
        <f t="shared" si="11"/>
        <v>0</v>
      </c>
      <c r="N37" s="488">
        <f t="shared" si="11"/>
        <v>0</v>
      </c>
      <c r="O37" s="488">
        <f>+((O30*O$7)/4+(O30-O31)*O$7/4)+(O30-O31-O32)*O$7/4+(O30-O31-O32-O33)*O$7/4</f>
        <v>0</v>
      </c>
    </row>
    <row r="38" spans="1:15" ht="13" x14ac:dyDescent="0.3">
      <c r="A38" s="372"/>
      <c r="B38" s="372"/>
      <c r="C38" s="376"/>
      <c r="D38" s="376"/>
      <c r="E38" s="488"/>
      <c r="F38" s="488"/>
      <c r="G38" s="488"/>
      <c r="H38" s="488"/>
      <c r="I38" s="488"/>
      <c r="J38" s="488"/>
      <c r="K38" s="488"/>
      <c r="L38" s="488"/>
      <c r="M38" s="488"/>
      <c r="N38" s="488"/>
      <c r="O38" s="488"/>
    </row>
    <row r="39" spans="1:15" ht="13" x14ac:dyDescent="0.3">
      <c r="A39" s="372"/>
      <c r="B39" s="372"/>
      <c r="C39" s="372" t="s">
        <v>1031</v>
      </c>
      <c r="D39" s="376"/>
      <c r="E39" s="490">
        <f>+E27+E37</f>
        <v>0</v>
      </c>
      <c r="F39" s="490">
        <f t="shared" ref="F39:N39" si="12">+F27+F37</f>
        <v>0</v>
      </c>
      <c r="G39" s="490">
        <f t="shared" si="12"/>
        <v>14.374999999999998</v>
      </c>
      <c r="H39" s="490">
        <f t="shared" si="12"/>
        <v>18.055</v>
      </c>
      <c r="I39" s="490">
        <f t="shared" si="12"/>
        <v>16.329999999999998</v>
      </c>
      <c r="J39" s="490">
        <f t="shared" si="12"/>
        <v>14.317499999999999</v>
      </c>
      <c r="K39" s="490">
        <f t="shared" si="12"/>
        <v>11.845000000000001</v>
      </c>
      <c r="L39" s="490">
        <f t="shared" si="12"/>
        <v>9.0850000000000009</v>
      </c>
      <c r="M39" s="490">
        <f t="shared" si="12"/>
        <v>6.1524999999999999</v>
      </c>
      <c r="N39" s="490">
        <f t="shared" si="12"/>
        <v>2.9324999999999997</v>
      </c>
      <c r="O39" s="490">
        <f>+O27+O37</f>
        <v>0.22999999999999998</v>
      </c>
    </row>
    <row r="40" spans="1:15" ht="13" x14ac:dyDescent="0.3">
      <c r="A40" s="372"/>
      <c r="B40" s="372"/>
      <c r="C40" s="372" t="s">
        <v>1028</v>
      </c>
      <c r="D40" s="376"/>
      <c r="E40" s="490">
        <f>+E25+E35</f>
        <v>0</v>
      </c>
      <c r="F40" s="490">
        <f t="shared" ref="F40:N40" si="13">+F25+F35</f>
        <v>0</v>
      </c>
      <c r="G40" s="490">
        <f t="shared" si="13"/>
        <v>25</v>
      </c>
      <c r="H40" s="490">
        <f t="shared" si="13"/>
        <v>15</v>
      </c>
      <c r="I40" s="490">
        <f t="shared" si="13"/>
        <v>20</v>
      </c>
      <c r="J40" s="490">
        <f t="shared" si="13"/>
        <v>25</v>
      </c>
      <c r="K40" s="490">
        <f t="shared" si="13"/>
        <v>30</v>
      </c>
      <c r="L40" s="490">
        <f t="shared" si="13"/>
        <v>30</v>
      </c>
      <c r="M40" s="490">
        <f t="shared" si="13"/>
        <v>35</v>
      </c>
      <c r="N40" s="490">
        <f t="shared" si="13"/>
        <v>35</v>
      </c>
      <c r="O40" s="490">
        <f>+O25+O35</f>
        <v>10</v>
      </c>
    </row>
    <row r="41" spans="1:15" ht="13" x14ac:dyDescent="0.3">
      <c r="A41" s="372"/>
      <c r="B41" s="372"/>
      <c r="C41" s="376"/>
      <c r="D41" s="376"/>
      <c r="E41" s="488"/>
      <c r="F41" s="488"/>
      <c r="G41" s="488"/>
      <c r="H41" s="488"/>
      <c r="I41" s="488"/>
      <c r="J41" s="488"/>
      <c r="K41" s="488"/>
      <c r="L41" s="488"/>
      <c r="M41" s="488"/>
      <c r="N41" s="488"/>
      <c r="O41" s="488"/>
    </row>
    <row r="42" spans="1:15" ht="13" x14ac:dyDescent="0.3">
      <c r="A42" s="372"/>
      <c r="B42" s="372"/>
      <c r="C42" s="376"/>
      <c r="D42" s="376"/>
      <c r="E42" s="488"/>
      <c r="F42" s="488"/>
      <c r="G42" s="488"/>
      <c r="H42" s="488"/>
      <c r="I42" s="488"/>
      <c r="J42" s="488"/>
      <c r="K42" s="488"/>
      <c r="L42" s="488"/>
      <c r="M42" s="372"/>
      <c r="N42" s="372"/>
      <c r="O42" s="372"/>
    </row>
    <row r="43" spans="1:15" x14ac:dyDescent="0.25">
      <c r="A43" s="372">
        <v>3</v>
      </c>
      <c r="B43" s="372" t="s">
        <v>1032</v>
      </c>
      <c r="C43" s="372"/>
      <c r="D43" s="372"/>
      <c r="E43" s="372"/>
      <c r="F43" s="372"/>
      <c r="G43" s="372"/>
      <c r="H43" s="372"/>
      <c r="I43" s="372"/>
      <c r="J43" s="372"/>
      <c r="K43" s="372"/>
      <c r="L43" s="372"/>
      <c r="M43" s="372"/>
      <c r="N43" s="372"/>
      <c r="O43" s="372"/>
    </row>
    <row r="44" spans="1:15" x14ac:dyDescent="0.25">
      <c r="A44" s="372"/>
      <c r="B44" s="372"/>
      <c r="C44" s="372" t="s">
        <v>1033</v>
      </c>
      <c r="D44" s="372"/>
      <c r="E44" s="490"/>
      <c r="F44" s="490">
        <v>0</v>
      </c>
      <c r="G44" s="490">
        <f>+'[2]Balance Sheet'!D22*0.75</f>
        <v>22.5</v>
      </c>
      <c r="H44" s="490">
        <f>+'[2]Balance Sheet'!E22*0.75</f>
        <v>30</v>
      </c>
      <c r="I44" s="490">
        <f>+'[2]Balance Sheet'!F22*0.75</f>
        <v>37.5</v>
      </c>
      <c r="J44" s="490">
        <f>+'[2]Balance Sheet'!G22*0.75</f>
        <v>37.5</v>
      </c>
      <c r="K44" s="490">
        <f>+'[2]Balance Sheet'!H22*0.75</f>
        <v>37.5</v>
      </c>
      <c r="L44" s="490">
        <f>+'[2]Balance Sheet'!I22*0.75</f>
        <v>37.5</v>
      </c>
      <c r="M44" s="490">
        <f>+'[2]Balance Sheet'!J22*0.75</f>
        <v>37.5</v>
      </c>
      <c r="N44" s="490">
        <f>+'[2]Balance Sheet'!K22*0.75</f>
        <v>37.5</v>
      </c>
      <c r="O44" s="490">
        <f>+N44</f>
        <v>37.5</v>
      </c>
    </row>
    <row r="45" spans="1:15" x14ac:dyDescent="0.25">
      <c r="A45" s="372"/>
      <c r="B45" s="372"/>
      <c r="C45" s="372" t="s">
        <v>1034</v>
      </c>
      <c r="D45" s="372"/>
      <c r="E45" s="686"/>
      <c r="F45" s="685">
        <f>70%/4</f>
        <v>0.17499999999999999</v>
      </c>
      <c r="G45" s="685">
        <v>0.7</v>
      </c>
      <c r="H45" s="685">
        <v>0.7</v>
      </c>
      <c r="I45" s="685">
        <v>0.7</v>
      </c>
      <c r="J45" s="685">
        <v>0.7</v>
      </c>
      <c r="K45" s="685">
        <v>0.7</v>
      </c>
      <c r="L45" s="685">
        <v>0.7</v>
      </c>
      <c r="M45" s="685">
        <v>0.7</v>
      </c>
      <c r="N45" s="685">
        <v>0.7</v>
      </c>
      <c r="O45" s="685">
        <v>0.7</v>
      </c>
    </row>
    <row r="46" spans="1:15" ht="13" x14ac:dyDescent="0.3">
      <c r="A46" s="372"/>
      <c r="B46" s="372"/>
      <c r="C46" s="376" t="s">
        <v>1035</v>
      </c>
      <c r="D46" s="372"/>
      <c r="E46" s="686"/>
      <c r="F46" s="490">
        <f t="shared" ref="F46:N46" si="14">+F44*F45*F7</f>
        <v>0</v>
      </c>
      <c r="G46" s="490">
        <f t="shared" si="14"/>
        <v>1.4489999999999998</v>
      </c>
      <c r="H46" s="490">
        <f t="shared" si="14"/>
        <v>1.9319999999999999</v>
      </c>
      <c r="I46" s="490">
        <f t="shared" si="14"/>
        <v>2.415</v>
      </c>
      <c r="J46" s="490">
        <f t="shared" si="14"/>
        <v>2.415</v>
      </c>
      <c r="K46" s="490">
        <f t="shared" si="14"/>
        <v>2.415</v>
      </c>
      <c r="L46" s="490">
        <f t="shared" si="14"/>
        <v>2.415</v>
      </c>
      <c r="M46" s="490">
        <f t="shared" si="14"/>
        <v>2.415</v>
      </c>
      <c r="N46" s="490">
        <f t="shared" si="14"/>
        <v>2.415</v>
      </c>
      <c r="O46" s="490">
        <f>+O44*O45*O7</f>
        <v>2.415</v>
      </c>
    </row>
    <row r="47" spans="1:15" x14ac:dyDescent="0.25">
      <c r="A47" s="372"/>
      <c r="B47" s="372"/>
      <c r="C47" s="372" t="s">
        <v>1036</v>
      </c>
      <c r="D47" s="372"/>
      <c r="E47" s="686"/>
      <c r="F47" s="490">
        <v>0</v>
      </c>
      <c r="G47" s="490">
        <v>1</v>
      </c>
      <c r="H47" s="490">
        <v>1</v>
      </c>
      <c r="I47" s="490">
        <v>1</v>
      </c>
      <c r="J47" s="490">
        <v>1</v>
      </c>
      <c r="K47" s="490">
        <v>1</v>
      </c>
      <c r="L47" s="490">
        <v>1</v>
      </c>
      <c r="M47" s="490">
        <v>1</v>
      </c>
      <c r="N47" s="490">
        <v>1</v>
      </c>
      <c r="O47" s="490">
        <v>1</v>
      </c>
    </row>
    <row r="48" spans="1:15" ht="13" x14ac:dyDescent="0.3">
      <c r="A48" s="372"/>
      <c r="B48" s="372"/>
      <c r="C48" s="376" t="s">
        <v>1037</v>
      </c>
      <c r="D48" s="376"/>
      <c r="E48" s="687"/>
      <c r="F48" s="488">
        <f>+F46+F47</f>
        <v>0</v>
      </c>
      <c r="G48" s="488">
        <f t="shared" ref="G48:M48" si="15">+G46+G47</f>
        <v>2.4489999999999998</v>
      </c>
      <c r="H48" s="488">
        <f t="shared" si="15"/>
        <v>2.9319999999999999</v>
      </c>
      <c r="I48" s="488">
        <f t="shared" si="15"/>
        <v>3.415</v>
      </c>
      <c r="J48" s="488">
        <f t="shared" si="15"/>
        <v>3.415</v>
      </c>
      <c r="K48" s="488">
        <f t="shared" si="15"/>
        <v>3.415</v>
      </c>
      <c r="L48" s="488">
        <f t="shared" si="15"/>
        <v>3.415</v>
      </c>
      <c r="M48" s="488">
        <f t="shared" si="15"/>
        <v>3.415</v>
      </c>
      <c r="N48" s="488">
        <f>+N46+N47</f>
        <v>3.415</v>
      </c>
      <c r="O48" s="488">
        <f>+O46+O47</f>
        <v>3.415</v>
      </c>
    </row>
    <row r="49" spans="1:15" ht="13" x14ac:dyDescent="0.3">
      <c r="A49" s="372"/>
      <c r="B49" s="372"/>
      <c r="C49" s="376"/>
      <c r="D49" s="376"/>
      <c r="E49" s="687"/>
      <c r="F49" s="488"/>
      <c r="G49" s="488"/>
      <c r="H49" s="488"/>
      <c r="I49" s="488"/>
      <c r="J49" s="488"/>
      <c r="K49" s="488"/>
      <c r="L49" s="488"/>
      <c r="M49" s="372"/>
      <c r="N49" s="372"/>
      <c r="O49" s="372"/>
    </row>
    <row r="50" spans="1:15" x14ac:dyDescent="0.25">
      <c r="C50" s="688"/>
    </row>
    <row r="51" spans="1:15" x14ac:dyDescent="0.25">
      <c r="C51" s="688"/>
    </row>
    <row r="56" spans="1:15" ht="13" x14ac:dyDescent="0.3">
      <c r="B56" s="606" t="s">
        <v>1827</v>
      </c>
      <c r="E56" s="617" t="s">
        <v>893</v>
      </c>
    </row>
    <row r="57" spans="1:15" ht="13" x14ac:dyDescent="0.3">
      <c r="B57" s="376" t="s">
        <v>1828</v>
      </c>
      <c r="C57" s="376" t="s">
        <v>1829</v>
      </c>
      <c r="D57" s="376" t="s">
        <v>1830</v>
      </c>
      <c r="E57" s="376" t="s">
        <v>246</v>
      </c>
    </row>
    <row r="58" spans="1:15" x14ac:dyDescent="0.25">
      <c r="B58" s="372" t="s">
        <v>1831</v>
      </c>
      <c r="C58" s="490">
        <v>0</v>
      </c>
      <c r="D58" s="372">
        <v>0</v>
      </c>
      <c r="E58" s="490">
        <f t="shared" ref="E58:E63" si="16">+C58*D58*$F$7/12</f>
        <v>0</v>
      </c>
    </row>
    <row r="59" spans="1:15" x14ac:dyDescent="0.25">
      <c r="B59" s="372" t="s">
        <v>1832</v>
      </c>
      <c r="C59" s="490">
        <v>20</v>
      </c>
      <c r="D59" s="372">
        <v>10.5</v>
      </c>
      <c r="E59" s="490">
        <f t="shared" si="16"/>
        <v>1.61</v>
      </c>
    </row>
    <row r="60" spans="1:15" x14ac:dyDescent="0.25">
      <c r="B60" s="372" t="s">
        <v>1833</v>
      </c>
      <c r="C60" s="490">
        <v>30</v>
      </c>
      <c r="D60" s="372">
        <v>7.5</v>
      </c>
      <c r="E60" s="490">
        <f t="shared" si="16"/>
        <v>1.7249999999999999</v>
      </c>
    </row>
    <row r="61" spans="1:15" x14ac:dyDescent="0.25">
      <c r="B61" s="372" t="s">
        <v>1834</v>
      </c>
      <c r="C61" s="490">
        <v>50</v>
      </c>
      <c r="D61" s="372">
        <v>4.5</v>
      </c>
      <c r="E61" s="490">
        <f t="shared" si="16"/>
        <v>1.7249999999999999</v>
      </c>
    </row>
    <row r="62" spans="1:15" x14ac:dyDescent="0.25">
      <c r="B62" s="372" t="s">
        <v>1835</v>
      </c>
      <c r="C62" s="490">
        <v>80</v>
      </c>
      <c r="D62" s="372">
        <v>1.5</v>
      </c>
      <c r="E62" s="490">
        <f t="shared" si="16"/>
        <v>0.91999999999999993</v>
      </c>
    </row>
    <row r="63" spans="1:15" x14ac:dyDescent="0.25">
      <c r="B63" s="372" t="s">
        <v>1836</v>
      </c>
      <c r="C63" s="490">
        <v>20</v>
      </c>
      <c r="D63" s="372">
        <v>0</v>
      </c>
      <c r="E63" s="490">
        <f t="shared" si="16"/>
        <v>0</v>
      </c>
    </row>
    <row r="64" spans="1:15" ht="13" x14ac:dyDescent="0.3">
      <c r="B64" s="376" t="s">
        <v>1837</v>
      </c>
      <c r="C64" s="689"/>
      <c r="D64" s="372"/>
      <c r="E64" s="377">
        <f>SUM(E58:E63)</f>
        <v>5.9799999999999995</v>
      </c>
    </row>
    <row r="65" spans="2:5" x14ac:dyDescent="0.25">
      <c r="B65" s="372" t="s">
        <v>1838</v>
      </c>
      <c r="C65" s="372"/>
      <c r="D65" s="372"/>
      <c r="E65" s="689">
        <f>+E66-E64</f>
        <v>2.0200000000000005</v>
      </c>
    </row>
    <row r="66" spans="2:5" ht="13" x14ac:dyDescent="0.3">
      <c r="B66" s="376" t="s">
        <v>1839</v>
      </c>
      <c r="C66" s="372"/>
      <c r="D66" s="372"/>
      <c r="E66" s="377">
        <f>+'[2]Project Cost '!D22/100</f>
        <v>8</v>
      </c>
    </row>
    <row r="67" spans="2:5" ht="13" x14ac:dyDescent="0.3">
      <c r="B67" s="690" t="s">
        <v>1840</v>
      </c>
      <c r="E67" s="680"/>
    </row>
    <row r="68" spans="2:5" ht="13" x14ac:dyDescent="0.3">
      <c r="B68" s="370"/>
      <c r="E68" s="680"/>
    </row>
    <row r="69" spans="2:5" ht="13" x14ac:dyDescent="0.3">
      <c r="B69" s="370"/>
      <c r="E69" s="680"/>
    </row>
    <row r="70" spans="2:5" x14ac:dyDescent="0.25">
      <c r="B70" s="617" t="s">
        <v>1824</v>
      </c>
      <c r="C70" s="691" t="s">
        <v>1841</v>
      </c>
    </row>
    <row r="73" spans="2:5" x14ac:dyDescent="0.25">
      <c r="C73" s="635">
        <f>SUM(C58:C64)</f>
        <v>200</v>
      </c>
    </row>
  </sheetData>
  <mergeCells count="4">
    <mergeCell ref="A3:N3"/>
    <mergeCell ref="A4:K4"/>
    <mergeCell ref="A1:O1"/>
    <mergeCell ref="A2:O2"/>
  </mergeCells>
  <printOptions horizontalCentered="1"/>
  <pageMargins left="0.70866141732283472" right="0.70866141732283472" top="0.74803149606299213" bottom="0.74803149606299213" header="0.31496062992125984" footer="0.31496062992125984"/>
  <pageSetup scale="73"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CBB1D-DD46-428B-8661-A1A79DAAD423}">
  <sheetPr>
    <pageSetUpPr fitToPage="1"/>
  </sheetPr>
  <dimension ref="A1:N31"/>
  <sheetViews>
    <sheetView workbookViewId="0">
      <selection activeCell="E9" sqref="A1:XFD1048576"/>
    </sheetView>
  </sheetViews>
  <sheetFormatPr defaultRowHeight="14.5" x14ac:dyDescent="0.35"/>
  <cols>
    <col min="1" max="1" width="32.54296875" bestFit="1" customWidth="1"/>
    <col min="2" max="9" width="9.26953125" bestFit="1" customWidth="1"/>
    <col min="10" max="10" width="10.26953125" bestFit="1" customWidth="1"/>
    <col min="11" max="12" width="10.26953125" customWidth="1"/>
    <col min="13" max="13" width="10.26953125" bestFit="1" customWidth="1"/>
    <col min="257" max="257" width="32.54296875" bestFit="1" customWidth="1"/>
    <col min="258" max="265" width="9.26953125" bestFit="1" customWidth="1"/>
    <col min="266" max="266" width="10.26953125" bestFit="1" customWidth="1"/>
    <col min="267" max="268" width="10.26953125" customWidth="1"/>
    <col min="269" max="269" width="10.26953125" bestFit="1" customWidth="1"/>
    <col min="513" max="513" width="32.54296875" bestFit="1" customWidth="1"/>
    <col min="514" max="521" width="9.26953125" bestFit="1" customWidth="1"/>
    <col min="522" max="522" width="10.26953125" bestFit="1" customWidth="1"/>
    <col min="523" max="524" width="10.26953125" customWidth="1"/>
    <col min="525" max="525" width="10.26953125" bestFit="1" customWidth="1"/>
    <col min="769" max="769" width="32.54296875" bestFit="1" customWidth="1"/>
    <col min="770" max="777" width="9.26953125" bestFit="1" customWidth="1"/>
    <col min="778" max="778" width="10.26953125" bestFit="1" customWidth="1"/>
    <col min="779" max="780" width="10.26953125" customWidth="1"/>
    <col min="781" max="781" width="10.26953125" bestFit="1" customWidth="1"/>
    <col min="1025" max="1025" width="32.54296875" bestFit="1" customWidth="1"/>
    <col min="1026" max="1033" width="9.26953125" bestFit="1" customWidth="1"/>
    <col min="1034" max="1034" width="10.26953125" bestFit="1" customWidth="1"/>
    <col min="1035" max="1036" width="10.26953125" customWidth="1"/>
    <col min="1037" max="1037" width="10.26953125" bestFit="1" customWidth="1"/>
    <col min="1281" max="1281" width="32.54296875" bestFit="1" customWidth="1"/>
    <col min="1282" max="1289" width="9.26953125" bestFit="1" customWidth="1"/>
    <col min="1290" max="1290" width="10.26953125" bestFit="1" customWidth="1"/>
    <col min="1291" max="1292" width="10.26953125" customWidth="1"/>
    <col min="1293" max="1293" width="10.26953125" bestFit="1" customWidth="1"/>
    <col min="1537" max="1537" width="32.54296875" bestFit="1" customWidth="1"/>
    <col min="1538" max="1545" width="9.26953125" bestFit="1" customWidth="1"/>
    <col min="1546" max="1546" width="10.26953125" bestFit="1" customWidth="1"/>
    <col min="1547" max="1548" width="10.26953125" customWidth="1"/>
    <col min="1549" max="1549" width="10.26953125" bestFit="1" customWidth="1"/>
    <col min="1793" max="1793" width="32.54296875" bestFit="1" customWidth="1"/>
    <col min="1794" max="1801" width="9.26953125" bestFit="1" customWidth="1"/>
    <col min="1802" max="1802" width="10.26953125" bestFit="1" customWidth="1"/>
    <col min="1803" max="1804" width="10.26953125" customWidth="1"/>
    <col min="1805" max="1805" width="10.26953125" bestFit="1" customWidth="1"/>
    <col min="2049" max="2049" width="32.54296875" bestFit="1" customWidth="1"/>
    <col min="2050" max="2057" width="9.26953125" bestFit="1" customWidth="1"/>
    <col min="2058" max="2058" width="10.26953125" bestFit="1" customWidth="1"/>
    <col min="2059" max="2060" width="10.26953125" customWidth="1"/>
    <col min="2061" max="2061" width="10.26953125" bestFit="1" customWidth="1"/>
    <col min="2305" max="2305" width="32.54296875" bestFit="1" customWidth="1"/>
    <col min="2306" max="2313" width="9.26953125" bestFit="1" customWidth="1"/>
    <col min="2314" max="2314" width="10.26953125" bestFit="1" customWidth="1"/>
    <col min="2315" max="2316" width="10.26953125" customWidth="1"/>
    <col min="2317" max="2317" width="10.26953125" bestFit="1" customWidth="1"/>
    <col min="2561" max="2561" width="32.54296875" bestFit="1" customWidth="1"/>
    <col min="2562" max="2569" width="9.26953125" bestFit="1" customWidth="1"/>
    <col min="2570" max="2570" width="10.26953125" bestFit="1" customWidth="1"/>
    <col min="2571" max="2572" width="10.26953125" customWidth="1"/>
    <col min="2573" max="2573" width="10.26953125" bestFit="1" customWidth="1"/>
    <col min="2817" max="2817" width="32.54296875" bestFit="1" customWidth="1"/>
    <col min="2818" max="2825" width="9.26953125" bestFit="1" customWidth="1"/>
    <col min="2826" max="2826" width="10.26953125" bestFit="1" customWidth="1"/>
    <col min="2827" max="2828" width="10.26953125" customWidth="1"/>
    <col min="2829" max="2829" width="10.26953125" bestFit="1" customWidth="1"/>
    <col min="3073" max="3073" width="32.54296875" bestFit="1" customWidth="1"/>
    <col min="3074" max="3081" width="9.26953125" bestFit="1" customWidth="1"/>
    <col min="3082" max="3082" width="10.26953125" bestFit="1" customWidth="1"/>
    <col min="3083" max="3084" width="10.26953125" customWidth="1"/>
    <col min="3085" max="3085" width="10.26953125" bestFit="1" customWidth="1"/>
    <col min="3329" max="3329" width="32.54296875" bestFit="1" customWidth="1"/>
    <col min="3330" max="3337" width="9.26953125" bestFit="1" customWidth="1"/>
    <col min="3338" max="3338" width="10.26953125" bestFit="1" customWidth="1"/>
    <col min="3339" max="3340" width="10.26953125" customWidth="1"/>
    <col min="3341" max="3341" width="10.26953125" bestFit="1" customWidth="1"/>
    <col min="3585" max="3585" width="32.54296875" bestFit="1" customWidth="1"/>
    <col min="3586" max="3593" width="9.26953125" bestFit="1" customWidth="1"/>
    <col min="3594" max="3594" width="10.26953125" bestFit="1" customWidth="1"/>
    <col min="3595" max="3596" width="10.26953125" customWidth="1"/>
    <col min="3597" max="3597" width="10.26953125" bestFit="1" customWidth="1"/>
    <col min="3841" max="3841" width="32.54296875" bestFit="1" customWidth="1"/>
    <col min="3842" max="3849" width="9.26953125" bestFit="1" customWidth="1"/>
    <col min="3850" max="3850" width="10.26953125" bestFit="1" customWidth="1"/>
    <col min="3851" max="3852" width="10.26953125" customWidth="1"/>
    <col min="3853" max="3853" width="10.26953125" bestFit="1" customWidth="1"/>
    <col min="4097" max="4097" width="32.54296875" bestFit="1" customWidth="1"/>
    <col min="4098" max="4105" width="9.26953125" bestFit="1" customWidth="1"/>
    <col min="4106" max="4106" width="10.26953125" bestFit="1" customWidth="1"/>
    <col min="4107" max="4108" width="10.26953125" customWidth="1"/>
    <col min="4109" max="4109" width="10.26953125" bestFit="1" customWidth="1"/>
    <col min="4353" max="4353" width="32.54296875" bestFit="1" customWidth="1"/>
    <col min="4354" max="4361" width="9.26953125" bestFit="1" customWidth="1"/>
    <col min="4362" max="4362" width="10.26953125" bestFit="1" customWidth="1"/>
    <col min="4363" max="4364" width="10.26953125" customWidth="1"/>
    <col min="4365" max="4365" width="10.26953125" bestFit="1" customWidth="1"/>
    <col min="4609" max="4609" width="32.54296875" bestFit="1" customWidth="1"/>
    <col min="4610" max="4617" width="9.26953125" bestFit="1" customWidth="1"/>
    <col min="4618" max="4618" width="10.26953125" bestFit="1" customWidth="1"/>
    <col min="4619" max="4620" width="10.26953125" customWidth="1"/>
    <col min="4621" max="4621" width="10.26953125" bestFit="1" customWidth="1"/>
    <col min="4865" max="4865" width="32.54296875" bestFit="1" customWidth="1"/>
    <col min="4866" max="4873" width="9.26953125" bestFit="1" customWidth="1"/>
    <col min="4874" max="4874" width="10.26953125" bestFit="1" customWidth="1"/>
    <col min="4875" max="4876" width="10.26953125" customWidth="1"/>
    <col min="4877" max="4877" width="10.26953125" bestFit="1" customWidth="1"/>
    <col min="5121" max="5121" width="32.54296875" bestFit="1" customWidth="1"/>
    <col min="5122" max="5129" width="9.26953125" bestFit="1" customWidth="1"/>
    <col min="5130" max="5130" width="10.26953125" bestFit="1" customWidth="1"/>
    <col min="5131" max="5132" width="10.26953125" customWidth="1"/>
    <col min="5133" max="5133" width="10.26953125" bestFit="1" customWidth="1"/>
    <col min="5377" max="5377" width="32.54296875" bestFit="1" customWidth="1"/>
    <col min="5378" max="5385" width="9.26953125" bestFit="1" customWidth="1"/>
    <col min="5386" max="5386" width="10.26953125" bestFit="1" customWidth="1"/>
    <col min="5387" max="5388" width="10.26953125" customWidth="1"/>
    <col min="5389" max="5389" width="10.26953125" bestFit="1" customWidth="1"/>
    <col min="5633" max="5633" width="32.54296875" bestFit="1" customWidth="1"/>
    <col min="5634" max="5641" width="9.26953125" bestFit="1" customWidth="1"/>
    <col min="5642" max="5642" width="10.26953125" bestFit="1" customWidth="1"/>
    <col min="5643" max="5644" width="10.26953125" customWidth="1"/>
    <col min="5645" max="5645" width="10.26953125" bestFit="1" customWidth="1"/>
    <col min="5889" max="5889" width="32.54296875" bestFit="1" customWidth="1"/>
    <col min="5890" max="5897" width="9.26953125" bestFit="1" customWidth="1"/>
    <col min="5898" max="5898" width="10.26953125" bestFit="1" customWidth="1"/>
    <col min="5899" max="5900" width="10.26953125" customWidth="1"/>
    <col min="5901" max="5901" width="10.26953125" bestFit="1" customWidth="1"/>
    <col min="6145" max="6145" width="32.54296875" bestFit="1" customWidth="1"/>
    <col min="6146" max="6153" width="9.26953125" bestFit="1" customWidth="1"/>
    <col min="6154" max="6154" width="10.26953125" bestFit="1" customWidth="1"/>
    <col min="6155" max="6156" width="10.26953125" customWidth="1"/>
    <col min="6157" max="6157" width="10.26953125" bestFit="1" customWidth="1"/>
    <col min="6401" max="6401" width="32.54296875" bestFit="1" customWidth="1"/>
    <col min="6402" max="6409" width="9.26953125" bestFit="1" customWidth="1"/>
    <col min="6410" max="6410" width="10.26953125" bestFit="1" customWidth="1"/>
    <col min="6411" max="6412" width="10.26953125" customWidth="1"/>
    <col min="6413" max="6413" width="10.26953125" bestFit="1" customWidth="1"/>
    <col min="6657" max="6657" width="32.54296875" bestFit="1" customWidth="1"/>
    <col min="6658" max="6665" width="9.26953125" bestFit="1" customWidth="1"/>
    <col min="6666" max="6666" width="10.26953125" bestFit="1" customWidth="1"/>
    <col min="6667" max="6668" width="10.26953125" customWidth="1"/>
    <col min="6669" max="6669" width="10.26953125" bestFit="1" customWidth="1"/>
    <col min="6913" max="6913" width="32.54296875" bestFit="1" customWidth="1"/>
    <col min="6914" max="6921" width="9.26953125" bestFit="1" customWidth="1"/>
    <col min="6922" max="6922" width="10.26953125" bestFit="1" customWidth="1"/>
    <col min="6923" max="6924" width="10.26953125" customWidth="1"/>
    <col min="6925" max="6925" width="10.26953125" bestFit="1" customWidth="1"/>
    <col min="7169" max="7169" width="32.54296875" bestFit="1" customWidth="1"/>
    <col min="7170" max="7177" width="9.26953125" bestFit="1" customWidth="1"/>
    <col min="7178" max="7178" width="10.26953125" bestFit="1" customWidth="1"/>
    <col min="7179" max="7180" width="10.26953125" customWidth="1"/>
    <col min="7181" max="7181" width="10.26953125" bestFit="1" customWidth="1"/>
    <col min="7425" max="7425" width="32.54296875" bestFit="1" customWidth="1"/>
    <col min="7426" max="7433" width="9.26953125" bestFit="1" customWidth="1"/>
    <col min="7434" max="7434" width="10.26953125" bestFit="1" customWidth="1"/>
    <col min="7435" max="7436" width="10.26953125" customWidth="1"/>
    <col min="7437" max="7437" width="10.26953125" bestFit="1" customWidth="1"/>
    <col min="7681" max="7681" width="32.54296875" bestFit="1" customWidth="1"/>
    <col min="7682" max="7689" width="9.26953125" bestFit="1" customWidth="1"/>
    <col min="7690" max="7690" width="10.26953125" bestFit="1" customWidth="1"/>
    <col min="7691" max="7692" width="10.26953125" customWidth="1"/>
    <col min="7693" max="7693" width="10.26953125" bestFit="1" customWidth="1"/>
    <col min="7937" max="7937" width="32.54296875" bestFit="1" customWidth="1"/>
    <col min="7938" max="7945" width="9.26953125" bestFit="1" customWidth="1"/>
    <col min="7946" max="7946" width="10.26953125" bestFit="1" customWidth="1"/>
    <col min="7947" max="7948" width="10.26953125" customWidth="1"/>
    <col min="7949" max="7949" width="10.26953125" bestFit="1" customWidth="1"/>
    <col min="8193" max="8193" width="32.54296875" bestFit="1" customWidth="1"/>
    <col min="8194" max="8201" width="9.26953125" bestFit="1" customWidth="1"/>
    <col min="8202" max="8202" width="10.26953125" bestFit="1" customWidth="1"/>
    <col min="8203" max="8204" width="10.26953125" customWidth="1"/>
    <col min="8205" max="8205" width="10.26953125" bestFit="1" customWidth="1"/>
    <col min="8449" max="8449" width="32.54296875" bestFit="1" customWidth="1"/>
    <col min="8450" max="8457" width="9.26953125" bestFit="1" customWidth="1"/>
    <col min="8458" max="8458" width="10.26953125" bestFit="1" customWidth="1"/>
    <col min="8459" max="8460" width="10.26953125" customWidth="1"/>
    <col min="8461" max="8461" width="10.26953125" bestFit="1" customWidth="1"/>
    <col min="8705" max="8705" width="32.54296875" bestFit="1" customWidth="1"/>
    <col min="8706" max="8713" width="9.26953125" bestFit="1" customWidth="1"/>
    <col min="8714" max="8714" width="10.26953125" bestFit="1" customWidth="1"/>
    <col min="8715" max="8716" width="10.26953125" customWidth="1"/>
    <col min="8717" max="8717" width="10.26953125" bestFit="1" customWidth="1"/>
    <col min="8961" max="8961" width="32.54296875" bestFit="1" customWidth="1"/>
    <col min="8962" max="8969" width="9.26953125" bestFit="1" customWidth="1"/>
    <col min="8970" max="8970" width="10.26953125" bestFit="1" customWidth="1"/>
    <col min="8971" max="8972" width="10.26953125" customWidth="1"/>
    <col min="8973" max="8973" width="10.26953125" bestFit="1" customWidth="1"/>
    <col min="9217" max="9217" width="32.54296875" bestFit="1" customWidth="1"/>
    <col min="9218" max="9225" width="9.26953125" bestFit="1" customWidth="1"/>
    <col min="9226" max="9226" width="10.26953125" bestFit="1" customWidth="1"/>
    <col min="9227" max="9228" width="10.26953125" customWidth="1"/>
    <col min="9229" max="9229" width="10.26953125" bestFit="1" customWidth="1"/>
    <col min="9473" max="9473" width="32.54296875" bestFit="1" customWidth="1"/>
    <col min="9474" max="9481" width="9.26953125" bestFit="1" customWidth="1"/>
    <col min="9482" max="9482" width="10.26953125" bestFit="1" customWidth="1"/>
    <col min="9483" max="9484" width="10.26953125" customWidth="1"/>
    <col min="9485" max="9485" width="10.26953125" bestFit="1" customWidth="1"/>
    <col min="9729" max="9729" width="32.54296875" bestFit="1" customWidth="1"/>
    <col min="9730" max="9737" width="9.26953125" bestFit="1" customWidth="1"/>
    <col min="9738" max="9738" width="10.26953125" bestFit="1" customWidth="1"/>
    <col min="9739" max="9740" width="10.26953125" customWidth="1"/>
    <col min="9741" max="9741" width="10.26953125" bestFit="1" customWidth="1"/>
    <col min="9985" max="9985" width="32.54296875" bestFit="1" customWidth="1"/>
    <col min="9986" max="9993" width="9.26953125" bestFit="1" customWidth="1"/>
    <col min="9994" max="9994" width="10.26953125" bestFit="1" customWidth="1"/>
    <col min="9995" max="9996" width="10.26953125" customWidth="1"/>
    <col min="9997" max="9997" width="10.26953125" bestFit="1" customWidth="1"/>
    <col min="10241" max="10241" width="32.54296875" bestFit="1" customWidth="1"/>
    <col min="10242" max="10249" width="9.26953125" bestFit="1" customWidth="1"/>
    <col min="10250" max="10250" width="10.26953125" bestFit="1" customWidth="1"/>
    <col min="10251" max="10252" width="10.26953125" customWidth="1"/>
    <col min="10253" max="10253" width="10.26953125" bestFit="1" customWidth="1"/>
    <col min="10497" max="10497" width="32.54296875" bestFit="1" customWidth="1"/>
    <col min="10498" max="10505" width="9.26953125" bestFit="1" customWidth="1"/>
    <col min="10506" max="10506" width="10.26953125" bestFit="1" customWidth="1"/>
    <col min="10507" max="10508" width="10.26953125" customWidth="1"/>
    <col min="10509" max="10509" width="10.26953125" bestFit="1" customWidth="1"/>
    <col min="10753" max="10753" width="32.54296875" bestFit="1" customWidth="1"/>
    <col min="10754" max="10761" width="9.26953125" bestFit="1" customWidth="1"/>
    <col min="10762" max="10762" width="10.26953125" bestFit="1" customWidth="1"/>
    <col min="10763" max="10764" width="10.26953125" customWidth="1"/>
    <col min="10765" max="10765" width="10.26953125" bestFit="1" customWidth="1"/>
    <col min="11009" max="11009" width="32.54296875" bestFit="1" customWidth="1"/>
    <col min="11010" max="11017" width="9.26953125" bestFit="1" customWidth="1"/>
    <col min="11018" max="11018" width="10.26953125" bestFit="1" customWidth="1"/>
    <col min="11019" max="11020" width="10.26953125" customWidth="1"/>
    <col min="11021" max="11021" width="10.26953125" bestFit="1" customWidth="1"/>
    <col min="11265" max="11265" width="32.54296875" bestFit="1" customWidth="1"/>
    <col min="11266" max="11273" width="9.26953125" bestFit="1" customWidth="1"/>
    <col min="11274" max="11274" width="10.26953125" bestFit="1" customWidth="1"/>
    <col min="11275" max="11276" width="10.26953125" customWidth="1"/>
    <col min="11277" max="11277" width="10.26953125" bestFit="1" customWidth="1"/>
    <col min="11521" max="11521" width="32.54296875" bestFit="1" customWidth="1"/>
    <col min="11522" max="11529" width="9.26953125" bestFit="1" customWidth="1"/>
    <col min="11530" max="11530" width="10.26953125" bestFit="1" customWidth="1"/>
    <col min="11531" max="11532" width="10.26953125" customWidth="1"/>
    <col min="11533" max="11533" width="10.26953125" bestFit="1" customWidth="1"/>
    <col min="11777" max="11777" width="32.54296875" bestFit="1" customWidth="1"/>
    <col min="11778" max="11785" width="9.26953125" bestFit="1" customWidth="1"/>
    <col min="11786" max="11786" width="10.26953125" bestFit="1" customWidth="1"/>
    <col min="11787" max="11788" width="10.26953125" customWidth="1"/>
    <col min="11789" max="11789" width="10.26953125" bestFit="1" customWidth="1"/>
    <col min="12033" max="12033" width="32.54296875" bestFit="1" customWidth="1"/>
    <col min="12034" max="12041" width="9.26953125" bestFit="1" customWidth="1"/>
    <col min="12042" max="12042" width="10.26953125" bestFit="1" customWidth="1"/>
    <col min="12043" max="12044" width="10.26953125" customWidth="1"/>
    <col min="12045" max="12045" width="10.26953125" bestFit="1" customWidth="1"/>
    <col min="12289" max="12289" width="32.54296875" bestFit="1" customWidth="1"/>
    <col min="12290" max="12297" width="9.26953125" bestFit="1" customWidth="1"/>
    <col min="12298" max="12298" width="10.26953125" bestFit="1" customWidth="1"/>
    <col min="12299" max="12300" width="10.26953125" customWidth="1"/>
    <col min="12301" max="12301" width="10.26953125" bestFit="1" customWidth="1"/>
    <col min="12545" max="12545" width="32.54296875" bestFit="1" customWidth="1"/>
    <col min="12546" max="12553" width="9.26953125" bestFit="1" customWidth="1"/>
    <col min="12554" max="12554" width="10.26953125" bestFit="1" customWidth="1"/>
    <col min="12555" max="12556" width="10.26953125" customWidth="1"/>
    <col min="12557" max="12557" width="10.26953125" bestFit="1" customWidth="1"/>
    <col min="12801" max="12801" width="32.54296875" bestFit="1" customWidth="1"/>
    <col min="12802" max="12809" width="9.26953125" bestFit="1" customWidth="1"/>
    <col min="12810" max="12810" width="10.26953125" bestFit="1" customWidth="1"/>
    <col min="12811" max="12812" width="10.26953125" customWidth="1"/>
    <col min="12813" max="12813" width="10.26953125" bestFit="1" customWidth="1"/>
    <col min="13057" max="13057" width="32.54296875" bestFit="1" customWidth="1"/>
    <col min="13058" max="13065" width="9.26953125" bestFit="1" customWidth="1"/>
    <col min="13066" max="13066" width="10.26953125" bestFit="1" customWidth="1"/>
    <col min="13067" max="13068" width="10.26953125" customWidth="1"/>
    <col min="13069" max="13069" width="10.26953125" bestFit="1" customWidth="1"/>
    <col min="13313" max="13313" width="32.54296875" bestFit="1" customWidth="1"/>
    <col min="13314" max="13321" width="9.26953125" bestFit="1" customWidth="1"/>
    <col min="13322" max="13322" width="10.26953125" bestFit="1" customWidth="1"/>
    <col min="13323" max="13324" width="10.26953125" customWidth="1"/>
    <col min="13325" max="13325" width="10.26953125" bestFit="1" customWidth="1"/>
    <col min="13569" max="13569" width="32.54296875" bestFit="1" customWidth="1"/>
    <col min="13570" max="13577" width="9.26953125" bestFit="1" customWidth="1"/>
    <col min="13578" max="13578" width="10.26953125" bestFit="1" customWidth="1"/>
    <col min="13579" max="13580" width="10.26953125" customWidth="1"/>
    <col min="13581" max="13581" width="10.26953125" bestFit="1" customWidth="1"/>
    <col min="13825" max="13825" width="32.54296875" bestFit="1" customWidth="1"/>
    <col min="13826" max="13833" width="9.26953125" bestFit="1" customWidth="1"/>
    <col min="13834" max="13834" width="10.26953125" bestFit="1" customWidth="1"/>
    <col min="13835" max="13836" width="10.26953125" customWidth="1"/>
    <col min="13837" max="13837" width="10.26953125" bestFit="1" customWidth="1"/>
    <col min="14081" max="14081" width="32.54296875" bestFit="1" customWidth="1"/>
    <col min="14082" max="14089" width="9.26953125" bestFit="1" customWidth="1"/>
    <col min="14090" max="14090" width="10.26953125" bestFit="1" customWidth="1"/>
    <col min="14091" max="14092" width="10.26953125" customWidth="1"/>
    <col min="14093" max="14093" width="10.26953125" bestFit="1" customWidth="1"/>
    <col min="14337" max="14337" width="32.54296875" bestFit="1" customWidth="1"/>
    <col min="14338" max="14345" width="9.26953125" bestFit="1" customWidth="1"/>
    <col min="14346" max="14346" width="10.26953125" bestFit="1" customWidth="1"/>
    <col min="14347" max="14348" width="10.26953125" customWidth="1"/>
    <col min="14349" max="14349" width="10.26953125" bestFit="1" customWidth="1"/>
    <col min="14593" max="14593" width="32.54296875" bestFit="1" customWidth="1"/>
    <col min="14594" max="14601" width="9.26953125" bestFit="1" customWidth="1"/>
    <col min="14602" max="14602" width="10.26953125" bestFit="1" customWidth="1"/>
    <col min="14603" max="14604" width="10.26953125" customWidth="1"/>
    <col min="14605" max="14605" width="10.26953125" bestFit="1" customWidth="1"/>
    <col min="14849" max="14849" width="32.54296875" bestFit="1" customWidth="1"/>
    <col min="14850" max="14857" width="9.26953125" bestFit="1" customWidth="1"/>
    <col min="14858" max="14858" width="10.26953125" bestFit="1" customWidth="1"/>
    <col min="14859" max="14860" width="10.26953125" customWidth="1"/>
    <col min="14861" max="14861" width="10.26953125" bestFit="1" customWidth="1"/>
    <col min="15105" max="15105" width="32.54296875" bestFit="1" customWidth="1"/>
    <col min="15106" max="15113" width="9.26953125" bestFit="1" customWidth="1"/>
    <col min="15114" max="15114" width="10.26953125" bestFit="1" customWidth="1"/>
    <col min="15115" max="15116" width="10.26953125" customWidth="1"/>
    <col min="15117" max="15117" width="10.26953125" bestFit="1" customWidth="1"/>
    <col min="15361" max="15361" width="32.54296875" bestFit="1" customWidth="1"/>
    <col min="15362" max="15369" width="9.26953125" bestFit="1" customWidth="1"/>
    <col min="15370" max="15370" width="10.26953125" bestFit="1" customWidth="1"/>
    <col min="15371" max="15372" width="10.26953125" customWidth="1"/>
    <col min="15373" max="15373" width="10.26953125" bestFit="1" customWidth="1"/>
    <col min="15617" max="15617" width="32.54296875" bestFit="1" customWidth="1"/>
    <col min="15618" max="15625" width="9.26953125" bestFit="1" customWidth="1"/>
    <col min="15626" max="15626" width="10.26953125" bestFit="1" customWidth="1"/>
    <col min="15627" max="15628" width="10.26953125" customWidth="1"/>
    <col min="15629" max="15629" width="10.26953125" bestFit="1" customWidth="1"/>
    <col min="15873" max="15873" width="32.54296875" bestFit="1" customWidth="1"/>
    <col min="15874" max="15881" width="9.26953125" bestFit="1" customWidth="1"/>
    <col min="15882" max="15882" width="10.26953125" bestFit="1" customWidth="1"/>
    <col min="15883" max="15884" width="10.26953125" customWidth="1"/>
    <col min="15885" max="15885" width="10.26953125" bestFit="1" customWidth="1"/>
    <col min="16129" max="16129" width="32.54296875" bestFit="1" customWidth="1"/>
    <col min="16130" max="16137" width="9.26953125" bestFit="1" customWidth="1"/>
    <col min="16138" max="16138" width="10.26953125" bestFit="1" customWidth="1"/>
    <col min="16139" max="16140" width="10.26953125" customWidth="1"/>
    <col min="16141" max="16141" width="10.26953125" bestFit="1" customWidth="1"/>
  </cols>
  <sheetData>
    <row r="1" spans="1:14" x14ac:dyDescent="0.35">
      <c r="A1" s="1025" t="s">
        <v>889</v>
      </c>
      <c r="B1" s="1025"/>
      <c r="C1" s="1025"/>
      <c r="D1" s="1025"/>
      <c r="E1" s="1025"/>
      <c r="F1" s="1025"/>
      <c r="G1" s="1025"/>
      <c r="H1" s="1025"/>
      <c r="I1" s="1025"/>
      <c r="J1" s="1025"/>
      <c r="K1" s="1025"/>
      <c r="L1" s="1025"/>
      <c r="M1" s="1025"/>
    </row>
    <row r="2" spans="1:14" x14ac:dyDescent="0.35">
      <c r="A2" s="1025" t="s">
        <v>890</v>
      </c>
      <c r="B2" s="1025"/>
      <c r="C2" s="1025"/>
      <c r="D2" s="1025"/>
      <c r="E2" s="1025"/>
      <c r="F2" s="1025"/>
      <c r="G2" s="1025"/>
      <c r="H2" s="1025"/>
      <c r="I2" s="1025"/>
      <c r="J2" s="1025"/>
      <c r="K2" s="1025"/>
      <c r="L2" s="1025"/>
      <c r="M2" s="1025"/>
    </row>
    <row r="3" spans="1:14" x14ac:dyDescent="0.35">
      <c r="A3" s="604"/>
      <c r="B3" s="604"/>
      <c r="C3" s="604"/>
      <c r="D3" s="604"/>
      <c r="E3" s="604"/>
      <c r="F3" s="604"/>
      <c r="G3" s="604"/>
      <c r="H3" s="604"/>
      <c r="I3" s="604"/>
      <c r="J3" s="604"/>
      <c r="K3" s="604"/>
      <c r="L3" s="604"/>
      <c r="M3" s="604"/>
    </row>
    <row r="4" spans="1:14" x14ac:dyDescent="0.35">
      <c r="A4" s="1025" t="s">
        <v>1038</v>
      </c>
      <c r="B4" s="1025"/>
      <c r="C4" s="1025"/>
      <c r="D4" s="1025"/>
      <c r="E4" s="1025"/>
      <c r="F4" s="1025"/>
      <c r="G4" s="1025"/>
      <c r="H4" s="1025"/>
      <c r="I4" s="1025"/>
      <c r="J4" s="1025"/>
      <c r="K4" s="1025"/>
      <c r="L4" s="1025"/>
      <c r="M4" s="1025"/>
    </row>
    <row r="5" spans="1:14" x14ac:dyDescent="0.35">
      <c r="A5" s="1025"/>
      <c r="B5" s="1025"/>
      <c r="C5" s="1025"/>
      <c r="D5" s="1025"/>
      <c r="E5" s="1025"/>
      <c r="F5" s="1025"/>
      <c r="G5" s="1025"/>
      <c r="H5" s="1025"/>
      <c r="I5" s="1025"/>
      <c r="J5" s="1025"/>
      <c r="K5" s="604"/>
      <c r="L5" s="604"/>
    </row>
    <row r="6" spans="1:14" x14ac:dyDescent="0.35">
      <c r="A6" s="370"/>
      <c r="J6" s="617"/>
      <c r="K6" s="617"/>
      <c r="L6" s="617"/>
      <c r="M6" s="617" t="s">
        <v>926</v>
      </c>
    </row>
    <row r="7" spans="1:14" x14ac:dyDescent="0.35">
      <c r="A7" s="376" t="s">
        <v>366</v>
      </c>
      <c r="B7" s="471" t="s">
        <v>764</v>
      </c>
      <c r="C7" s="471" t="s">
        <v>769</v>
      </c>
      <c r="D7" s="471" t="s">
        <v>770</v>
      </c>
      <c r="E7" s="471" t="s">
        <v>771</v>
      </c>
      <c r="F7" s="471" t="s">
        <v>772</v>
      </c>
      <c r="G7" s="471" t="s">
        <v>773</v>
      </c>
      <c r="H7" s="471" t="s">
        <v>774</v>
      </c>
      <c r="I7" s="471" t="s">
        <v>775</v>
      </c>
      <c r="J7" s="471" t="s">
        <v>803</v>
      </c>
      <c r="K7" s="471" t="s">
        <v>804</v>
      </c>
      <c r="L7" s="471" t="s">
        <v>805</v>
      </c>
      <c r="M7" s="608" t="s">
        <v>449</v>
      </c>
    </row>
    <row r="8" spans="1:14" x14ac:dyDescent="0.35">
      <c r="A8" s="24"/>
      <c r="B8" s="24"/>
      <c r="C8" s="24"/>
      <c r="D8" s="24"/>
      <c r="E8" s="24"/>
      <c r="F8" s="24"/>
      <c r="G8" s="24"/>
      <c r="H8" s="24"/>
      <c r="I8" s="24"/>
      <c r="J8" s="24"/>
      <c r="K8" s="24"/>
      <c r="L8" s="24"/>
      <c r="M8" s="24"/>
    </row>
    <row r="9" spans="1:14" x14ac:dyDescent="0.35">
      <c r="A9" s="24" t="s">
        <v>1039</v>
      </c>
      <c r="B9" s="468">
        <f>+[2]Profitability!B30</f>
        <v>0</v>
      </c>
      <c r="C9" s="468">
        <f>+[2]Profitability!C30</f>
        <v>0</v>
      </c>
      <c r="D9" s="468">
        <f>+[2]Profitability!D30</f>
        <v>25.447596291061799</v>
      </c>
      <c r="E9" s="468">
        <f>+[2]Profitability!E30</f>
        <v>47.783608769698859</v>
      </c>
      <c r="F9" s="468">
        <f>+[2]Profitability!F30</f>
        <v>68.908015140423373</v>
      </c>
      <c r="G9" s="468">
        <f>+[2]Profitability!G30</f>
        <v>77.409754181444626</v>
      </c>
      <c r="H9" s="468">
        <f>+[2]Profitability!H30</f>
        <v>86.959273824516799</v>
      </c>
      <c r="I9" s="468">
        <f>+[2]Profitability!I30</f>
        <v>97.443390339742734</v>
      </c>
      <c r="J9" s="468">
        <f>+[2]Profitability!J30</f>
        <v>108.53934772072986</v>
      </c>
      <c r="K9" s="468">
        <f>+[2]Profitability!K30</f>
        <v>120.59299070076639</v>
      </c>
      <c r="L9" s="468">
        <f>+[2]Profitability!L30</f>
        <v>133.54131290980467</v>
      </c>
      <c r="M9" s="442">
        <f>SUM(B9:L9)</f>
        <v>766.62528987818905</v>
      </c>
      <c r="N9" s="428"/>
    </row>
    <row r="10" spans="1:14" x14ac:dyDescent="0.35">
      <c r="A10" s="24" t="s">
        <v>230</v>
      </c>
      <c r="B10" s="468">
        <f>+[2]Profitability!B25</f>
        <v>0</v>
      </c>
      <c r="C10" s="468">
        <f>+[2]Profitability!C25</f>
        <v>0</v>
      </c>
      <c r="D10" s="468">
        <f>+[2]Profitability!D25</f>
        <v>7.8280000000000012</v>
      </c>
      <c r="E10" s="468">
        <f>+[2]Profitability!E25</f>
        <v>10.437333333333333</v>
      </c>
      <c r="F10" s="468">
        <f>+[2]Profitability!F25</f>
        <v>10.437333333333333</v>
      </c>
      <c r="G10" s="468">
        <f>+[2]Profitability!G25</f>
        <v>10.437333333333333</v>
      </c>
      <c r="H10" s="468">
        <f>+[2]Profitability!H25</f>
        <v>10.437333333333333</v>
      </c>
      <c r="I10" s="468">
        <f>+[2]Profitability!I25</f>
        <v>10.437333333333333</v>
      </c>
      <c r="J10" s="468">
        <f>+[2]Profitability!J25</f>
        <v>10.437333333333333</v>
      </c>
      <c r="K10" s="468">
        <f>+[2]Profitability!K25</f>
        <v>10.437333333333333</v>
      </c>
      <c r="L10" s="468">
        <f>+[2]Profitability!L25</f>
        <v>10.437333333333333</v>
      </c>
      <c r="M10" s="442">
        <f>SUM(B10:L10)</f>
        <v>91.326666666666654</v>
      </c>
      <c r="N10" s="428"/>
    </row>
    <row r="11" spans="1:14" x14ac:dyDescent="0.35">
      <c r="A11" s="24" t="s">
        <v>1040</v>
      </c>
      <c r="B11" s="468">
        <f>+[2]Profitability!B22</f>
        <v>0</v>
      </c>
      <c r="C11" s="468">
        <f>+[2]Profitability!C22</f>
        <v>0</v>
      </c>
      <c r="D11" s="468">
        <f>+[2]Profitability!D22</f>
        <v>14.374999999999998</v>
      </c>
      <c r="E11" s="468">
        <f>+[2]Profitability!E22</f>
        <v>18.055</v>
      </c>
      <c r="F11" s="468">
        <f>+[2]Profitability!F22</f>
        <v>16.329999999999998</v>
      </c>
      <c r="G11" s="468">
        <f>+[2]Profitability!G22</f>
        <v>14.317499999999999</v>
      </c>
      <c r="H11" s="468">
        <f>+[2]Profitability!H22</f>
        <v>11.845000000000001</v>
      </c>
      <c r="I11" s="468">
        <f>+[2]Profitability!I22</f>
        <v>9.0850000000000009</v>
      </c>
      <c r="J11" s="468">
        <f>+[2]Profitability!J22</f>
        <v>6.1524999999999999</v>
      </c>
      <c r="K11" s="468">
        <f>+[2]Profitability!K22</f>
        <v>2.9324999999999997</v>
      </c>
      <c r="L11" s="468">
        <f>+[2]Profitability!L22</f>
        <v>0.22999999999999998</v>
      </c>
      <c r="M11" s="442">
        <f>SUM(B11:L11)</f>
        <v>93.322500000000005</v>
      </c>
      <c r="N11" s="428"/>
    </row>
    <row r="12" spans="1:14" x14ac:dyDescent="0.35">
      <c r="A12" s="376" t="s">
        <v>1041</v>
      </c>
      <c r="B12" s="442">
        <f t="shared" ref="B12:J12" si="0">SUM(B9:B11)</f>
        <v>0</v>
      </c>
      <c r="C12" s="442">
        <f t="shared" si="0"/>
        <v>0</v>
      </c>
      <c r="D12" s="442">
        <f t="shared" si="0"/>
        <v>47.650596291061802</v>
      </c>
      <c r="E12" s="442">
        <f t="shared" si="0"/>
        <v>76.275942103032193</v>
      </c>
      <c r="F12" s="442">
        <f t="shared" si="0"/>
        <v>95.675348473756699</v>
      </c>
      <c r="G12" s="442">
        <f t="shared" si="0"/>
        <v>102.16458751477795</v>
      </c>
      <c r="H12" s="442">
        <f t="shared" si="0"/>
        <v>109.24160715785013</v>
      </c>
      <c r="I12" s="442">
        <f t="shared" si="0"/>
        <v>116.96572367307607</v>
      </c>
      <c r="J12" s="442">
        <f t="shared" si="0"/>
        <v>125.1291810540632</v>
      </c>
      <c r="K12" s="442">
        <f>SUM(K9:K11)</f>
        <v>133.96282403409973</v>
      </c>
      <c r="L12" s="442">
        <f>SUM(L9:L11)</f>
        <v>144.20864624313799</v>
      </c>
      <c r="M12" s="442">
        <f>SUM(M9:M11)</f>
        <v>951.27445654485564</v>
      </c>
      <c r="N12" s="428"/>
    </row>
    <row r="13" spans="1:14" x14ac:dyDescent="0.35">
      <c r="A13" s="24"/>
      <c r="B13" s="468"/>
      <c r="C13" s="468"/>
      <c r="D13" s="468"/>
      <c r="E13" s="468"/>
      <c r="F13" s="468"/>
      <c r="G13" s="468"/>
      <c r="H13" s="468"/>
      <c r="I13" s="468"/>
      <c r="J13" s="468"/>
      <c r="K13" s="468"/>
      <c r="L13" s="468"/>
      <c r="M13" s="468"/>
      <c r="N13" s="428"/>
    </row>
    <row r="14" spans="1:14" x14ac:dyDescent="0.35">
      <c r="A14" s="24" t="s">
        <v>1042</v>
      </c>
      <c r="B14" s="411">
        <f t="shared" ref="B14:H14" si="1">+B11</f>
        <v>0</v>
      </c>
      <c r="C14" s="411">
        <f t="shared" si="1"/>
        <v>0</v>
      </c>
      <c r="D14" s="411">
        <f t="shared" si="1"/>
        <v>14.374999999999998</v>
      </c>
      <c r="E14" s="411">
        <f t="shared" si="1"/>
        <v>18.055</v>
      </c>
      <c r="F14" s="411">
        <f t="shared" si="1"/>
        <v>16.329999999999998</v>
      </c>
      <c r="G14" s="411">
        <f t="shared" si="1"/>
        <v>14.317499999999999</v>
      </c>
      <c r="H14" s="411">
        <f t="shared" si="1"/>
        <v>11.845000000000001</v>
      </c>
      <c r="I14" s="411">
        <f>+I11</f>
        <v>9.0850000000000009</v>
      </c>
      <c r="J14" s="411">
        <f>+J11</f>
        <v>6.1524999999999999</v>
      </c>
      <c r="K14" s="411">
        <f>+K11</f>
        <v>2.9324999999999997</v>
      </c>
      <c r="L14" s="411">
        <f>+L11</f>
        <v>0.22999999999999998</v>
      </c>
      <c r="M14" s="442">
        <f>SUM(B14:L14)</f>
        <v>93.322500000000005</v>
      </c>
      <c r="N14" s="428"/>
    </row>
    <row r="15" spans="1:14" x14ac:dyDescent="0.35">
      <c r="A15" s="24" t="s">
        <v>1043</v>
      </c>
      <c r="B15" s="411">
        <f>+'[2]term loans repayments'!E25</f>
        <v>0</v>
      </c>
      <c r="C15" s="411">
        <f>+'[2]term loans repayments'!F25</f>
        <v>0</v>
      </c>
      <c r="D15" s="411">
        <f>+'[2]term loans repayments'!G25</f>
        <v>0</v>
      </c>
      <c r="E15" s="411">
        <f>+'[2]term loans repayments'!H25</f>
        <v>15</v>
      </c>
      <c r="F15" s="411">
        <f>+'[2]term loans repayments'!I25</f>
        <v>20</v>
      </c>
      <c r="G15" s="411">
        <f>+'[2]term loans repayments'!J25</f>
        <v>25</v>
      </c>
      <c r="H15" s="411">
        <f>+'[2]term loans repayments'!K25</f>
        <v>30</v>
      </c>
      <c r="I15" s="411">
        <f>+'[2]term loans repayments'!L25</f>
        <v>30</v>
      </c>
      <c r="J15" s="411">
        <f>+'[2]term loans repayments'!M25</f>
        <v>35</v>
      </c>
      <c r="K15" s="411">
        <f>+'[2]term loans repayments'!N25</f>
        <v>35</v>
      </c>
      <c r="L15" s="411">
        <f>+'[2]term loans repayments'!O25</f>
        <v>10</v>
      </c>
      <c r="M15" s="442">
        <f>SUM(B15:L15)</f>
        <v>200</v>
      </c>
      <c r="N15" s="428"/>
    </row>
    <row r="16" spans="1:14" x14ac:dyDescent="0.35">
      <c r="A16" s="376" t="s">
        <v>1044</v>
      </c>
      <c r="B16" s="442">
        <f t="shared" ref="B16:H16" si="2">+B14+B15</f>
        <v>0</v>
      </c>
      <c r="C16" s="442">
        <f t="shared" si="2"/>
        <v>0</v>
      </c>
      <c r="D16" s="442">
        <f t="shared" si="2"/>
        <v>14.374999999999998</v>
      </c>
      <c r="E16" s="442">
        <f t="shared" si="2"/>
        <v>33.055</v>
      </c>
      <c r="F16" s="442">
        <f t="shared" si="2"/>
        <v>36.33</v>
      </c>
      <c r="G16" s="442">
        <f t="shared" si="2"/>
        <v>39.317499999999995</v>
      </c>
      <c r="H16" s="442">
        <f t="shared" si="2"/>
        <v>41.844999999999999</v>
      </c>
      <c r="I16" s="442">
        <f>+I14+I15</f>
        <v>39.085000000000001</v>
      </c>
      <c r="J16" s="442">
        <f>+J14+J15</f>
        <v>41.152500000000003</v>
      </c>
      <c r="K16" s="442">
        <f>+K14+K15</f>
        <v>37.932499999999997</v>
      </c>
      <c r="L16" s="442">
        <f>+L14+L15</f>
        <v>10.23</v>
      </c>
      <c r="M16" s="442">
        <f>SUM(M14:M15)</f>
        <v>293.32249999999999</v>
      </c>
      <c r="N16" s="428"/>
    </row>
    <row r="17" spans="1:14" x14ac:dyDescent="0.35">
      <c r="A17" s="24"/>
      <c r="B17" s="411"/>
      <c r="C17" s="411"/>
      <c r="D17" s="411"/>
      <c r="E17" s="411"/>
      <c r="F17" s="411"/>
      <c r="G17" s="411"/>
      <c r="H17" s="411"/>
      <c r="I17" s="411"/>
      <c r="J17" s="411"/>
      <c r="K17" s="411"/>
      <c r="L17" s="411"/>
      <c r="M17" s="411"/>
      <c r="N17" s="428"/>
    </row>
    <row r="18" spans="1:14" x14ac:dyDescent="0.35">
      <c r="A18" s="376" t="s">
        <v>1045</v>
      </c>
      <c r="B18" s="442"/>
      <c r="C18" s="442"/>
      <c r="D18" s="442">
        <f t="shared" ref="D18:M18" si="3">D12/D16</f>
        <v>3.3148240898129955</v>
      </c>
      <c r="E18" s="442">
        <f t="shared" si="3"/>
        <v>2.3075462744828981</v>
      </c>
      <c r="F18" s="442">
        <f t="shared" si="3"/>
        <v>2.6335080780004598</v>
      </c>
      <c r="G18" s="442">
        <f t="shared" si="3"/>
        <v>2.5984507538571364</v>
      </c>
      <c r="H18" s="442">
        <f t="shared" si="3"/>
        <v>2.6106250963759141</v>
      </c>
      <c r="I18" s="442">
        <f t="shared" si="3"/>
        <v>2.9925987891282095</v>
      </c>
      <c r="J18" s="442">
        <f t="shared" si="3"/>
        <v>3.0406216160394433</v>
      </c>
      <c r="K18" s="442">
        <f t="shared" si="3"/>
        <v>3.531610730484406</v>
      </c>
      <c r="L18" s="442">
        <f>L12/L16</f>
        <v>14.096641861499315</v>
      </c>
      <c r="M18" s="442">
        <f t="shared" si="3"/>
        <v>3.2431008754693407</v>
      </c>
      <c r="N18" s="428"/>
    </row>
    <row r="19" spans="1:14" x14ac:dyDescent="0.35">
      <c r="B19" s="428"/>
      <c r="C19" s="428"/>
      <c r="D19" s="428"/>
      <c r="E19" s="428"/>
      <c r="F19" s="428"/>
      <c r="G19" s="428"/>
      <c r="H19" s="428"/>
      <c r="I19" s="428"/>
      <c r="J19" s="447"/>
      <c r="K19" s="447"/>
      <c r="L19" s="447"/>
      <c r="M19" s="428"/>
      <c r="N19" s="428"/>
    </row>
    <row r="20" spans="1:14" x14ac:dyDescent="0.35">
      <c r="A20" s="604" t="s">
        <v>368</v>
      </c>
      <c r="B20" s="23" t="s">
        <v>1046</v>
      </c>
      <c r="C20" s="23">
        <f>MAX(C18:L18)</f>
        <v>14.096641861499315</v>
      </c>
      <c r="J20" s="617"/>
      <c r="K20" s="617"/>
      <c r="L20" s="617"/>
    </row>
    <row r="21" spans="1:14" x14ac:dyDescent="0.35">
      <c r="B21" s="23" t="s">
        <v>1047</v>
      </c>
      <c r="C21" s="23">
        <f>MIN(C18:L18)</f>
        <v>2.3075462744828981</v>
      </c>
      <c r="J21" s="617"/>
      <c r="K21" s="617"/>
      <c r="L21" s="617"/>
    </row>
    <row r="22" spans="1:14" x14ac:dyDescent="0.35">
      <c r="B22" s="23" t="s">
        <v>1048</v>
      </c>
      <c r="C22" s="23">
        <f>+M18</f>
        <v>3.2431008754693407</v>
      </c>
      <c r="J22" s="617"/>
      <c r="K22" s="617"/>
      <c r="L22" s="617"/>
    </row>
    <row r="23" spans="1:14" x14ac:dyDescent="0.35">
      <c r="J23" s="617"/>
      <c r="K23" s="617"/>
      <c r="L23" s="617"/>
    </row>
    <row r="24" spans="1:14" x14ac:dyDescent="0.35">
      <c r="J24" s="617"/>
      <c r="K24" s="617"/>
      <c r="L24" s="617"/>
    </row>
    <row r="25" spans="1:14" x14ac:dyDescent="0.35">
      <c r="J25" s="617"/>
      <c r="K25" s="617"/>
      <c r="L25" s="617"/>
    </row>
    <row r="26" spans="1:14" x14ac:dyDescent="0.35">
      <c r="J26" s="617"/>
      <c r="K26" s="617"/>
      <c r="L26" s="617"/>
    </row>
    <row r="27" spans="1:14" x14ac:dyDescent="0.35">
      <c r="J27" s="617"/>
      <c r="K27" s="617"/>
      <c r="L27" s="617"/>
    </row>
    <row r="28" spans="1:14" x14ac:dyDescent="0.35">
      <c r="J28" s="617"/>
      <c r="K28" s="617"/>
      <c r="L28" s="617"/>
    </row>
    <row r="29" spans="1:14" x14ac:dyDescent="0.35">
      <c r="J29" s="617"/>
      <c r="K29" s="617"/>
      <c r="L29" s="617"/>
    </row>
    <row r="30" spans="1:14" x14ac:dyDescent="0.35">
      <c r="J30" s="617"/>
      <c r="K30" s="617"/>
      <c r="L30" s="617"/>
    </row>
    <row r="31" spans="1:14" x14ac:dyDescent="0.35">
      <c r="J31" s="617"/>
      <c r="K31" s="617"/>
      <c r="L31" s="617"/>
    </row>
  </sheetData>
  <mergeCells count="4">
    <mergeCell ref="A5:J5"/>
    <mergeCell ref="A1:M1"/>
    <mergeCell ref="A2:M2"/>
    <mergeCell ref="A4:M4"/>
  </mergeCells>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D7231-99D2-4F8D-857B-E9B81C753A20}">
  <sheetPr>
    <pageSetUpPr fitToPage="1"/>
  </sheetPr>
  <dimension ref="A1:M32"/>
  <sheetViews>
    <sheetView zoomScale="130" zoomScaleNormal="130" workbookViewId="0">
      <selection sqref="A1:XFD1048576"/>
    </sheetView>
  </sheetViews>
  <sheetFormatPr defaultRowHeight="14.5" x14ac:dyDescent="0.35"/>
  <cols>
    <col min="1" max="1" width="21.7265625" customWidth="1"/>
    <col min="2" max="2" width="12.26953125" bestFit="1" customWidth="1"/>
    <col min="3" max="3" width="12.26953125" customWidth="1"/>
    <col min="4" max="4" width="11" bestFit="1" customWidth="1"/>
    <col min="7" max="8" width="9.26953125" bestFit="1" customWidth="1"/>
    <col min="257" max="257" width="21.7265625" customWidth="1"/>
    <col min="258" max="258" width="12.26953125" bestFit="1" customWidth="1"/>
    <col min="259" max="259" width="12.26953125" customWidth="1"/>
    <col min="260" max="260" width="11" bestFit="1" customWidth="1"/>
    <col min="263" max="264" width="9.26953125" bestFit="1" customWidth="1"/>
    <col min="513" max="513" width="21.7265625" customWidth="1"/>
    <col min="514" max="514" width="12.26953125" bestFit="1" customWidth="1"/>
    <col min="515" max="515" width="12.26953125" customWidth="1"/>
    <col min="516" max="516" width="11" bestFit="1" customWidth="1"/>
    <col min="519" max="520" width="9.26953125" bestFit="1" customWidth="1"/>
    <col min="769" max="769" width="21.7265625" customWidth="1"/>
    <col min="770" max="770" width="12.26953125" bestFit="1" customWidth="1"/>
    <col min="771" max="771" width="12.26953125" customWidth="1"/>
    <col min="772" max="772" width="11" bestFit="1" customWidth="1"/>
    <col min="775" max="776" width="9.26953125" bestFit="1" customWidth="1"/>
    <col min="1025" max="1025" width="21.7265625" customWidth="1"/>
    <col min="1026" max="1026" width="12.26953125" bestFit="1" customWidth="1"/>
    <col min="1027" max="1027" width="12.26953125" customWidth="1"/>
    <col min="1028" max="1028" width="11" bestFit="1" customWidth="1"/>
    <col min="1031" max="1032" width="9.26953125" bestFit="1" customWidth="1"/>
    <col min="1281" max="1281" width="21.7265625" customWidth="1"/>
    <col min="1282" max="1282" width="12.26953125" bestFit="1" customWidth="1"/>
    <col min="1283" max="1283" width="12.26953125" customWidth="1"/>
    <col min="1284" max="1284" width="11" bestFit="1" customWidth="1"/>
    <col min="1287" max="1288" width="9.26953125" bestFit="1" customWidth="1"/>
    <col min="1537" max="1537" width="21.7265625" customWidth="1"/>
    <col min="1538" max="1538" width="12.26953125" bestFit="1" customWidth="1"/>
    <col min="1539" max="1539" width="12.26953125" customWidth="1"/>
    <col min="1540" max="1540" width="11" bestFit="1" customWidth="1"/>
    <col min="1543" max="1544" width="9.26953125" bestFit="1" customWidth="1"/>
    <col min="1793" max="1793" width="21.7265625" customWidth="1"/>
    <col min="1794" max="1794" width="12.26953125" bestFit="1" customWidth="1"/>
    <col min="1795" max="1795" width="12.26953125" customWidth="1"/>
    <col min="1796" max="1796" width="11" bestFit="1" customWidth="1"/>
    <col min="1799" max="1800" width="9.26953125" bestFit="1" customWidth="1"/>
    <col min="2049" max="2049" width="21.7265625" customWidth="1"/>
    <col min="2050" max="2050" width="12.26953125" bestFit="1" customWidth="1"/>
    <col min="2051" max="2051" width="12.26953125" customWidth="1"/>
    <col min="2052" max="2052" width="11" bestFit="1" customWidth="1"/>
    <col min="2055" max="2056" width="9.26953125" bestFit="1" customWidth="1"/>
    <col min="2305" max="2305" width="21.7265625" customWidth="1"/>
    <col min="2306" max="2306" width="12.26953125" bestFit="1" customWidth="1"/>
    <col min="2307" max="2307" width="12.26953125" customWidth="1"/>
    <col min="2308" max="2308" width="11" bestFit="1" customWidth="1"/>
    <col min="2311" max="2312" width="9.26953125" bestFit="1" customWidth="1"/>
    <col min="2561" max="2561" width="21.7265625" customWidth="1"/>
    <col min="2562" max="2562" width="12.26953125" bestFit="1" customWidth="1"/>
    <col min="2563" max="2563" width="12.26953125" customWidth="1"/>
    <col min="2564" max="2564" width="11" bestFit="1" customWidth="1"/>
    <col min="2567" max="2568" width="9.26953125" bestFit="1" customWidth="1"/>
    <col min="2817" max="2817" width="21.7265625" customWidth="1"/>
    <col min="2818" max="2818" width="12.26953125" bestFit="1" customWidth="1"/>
    <col min="2819" max="2819" width="12.26953125" customWidth="1"/>
    <col min="2820" max="2820" width="11" bestFit="1" customWidth="1"/>
    <col min="2823" max="2824" width="9.26953125" bestFit="1" customWidth="1"/>
    <col min="3073" max="3073" width="21.7265625" customWidth="1"/>
    <col min="3074" max="3074" width="12.26953125" bestFit="1" customWidth="1"/>
    <col min="3075" max="3075" width="12.26953125" customWidth="1"/>
    <col min="3076" max="3076" width="11" bestFit="1" customWidth="1"/>
    <col min="3079" max="3080" width="9.26953125" bestFit="1" customWidth="1"/>
    <col min="3329" max="3329" width="21.7265625" customWidth="1"/>
    <col min="3330" max="3330" width="12.26953125" bestFit="1" customWidth="1"/>
    <col min="3331" max="3331" width="12.26953125" customWidth="1"/>
    <col min="3332" max="3332" width="11" bestFit="1" customWidth="1"/>
    <col min="3335" max="3336" width="9.26953125" bestFit="1" customWidth="1"/>
    <col min="3585" max="3585" width="21.7265625" customWidth="1"/>
    <col min="3586" max="3586" width="12.26953125" bestFit="1" customWidth="1"/>
    <col min="3587" max="3587" width="12.26953125" customWidth="1"/>
    <col min="3588" max="3588" width="11" bestFit="1" customWidth="1"/>
    <col min="3591" max="3592" width="9.26953125" bestFit="1" customWidth="1"/>
    <col min="3841" max="3841" width="21.7265625" customWidth="1"/>
    <col min="3842" max="3842" width="12.26953125" bestFit="1" customWidth="1"/>
    <col min="3843" max="3843" width="12.26953125" customWidth="1"/>
    <col min="3844" max="3844" width="11" bestFit="1" customWidth="1"/>
    <col min="3847" max="3848" width="9.26953125" bestFit="1" customWidth="1"/>
    <col min="4097" max="4097" width="21.7265625" customWidth="1"/>
    <col min="4098" max="4098" width="12.26953125" bestFit="1" customWidth="1"/>
    <col min="4099" max="4099" width="12.26953125" customWidth="1"/>
    <col min="4100" max="4100" width="11" bestFit="1" customWidth="1"/>
    <col min="4103" max="4104" width="9.26953125" bestFit="1" customWidth="1"/>
    <col min="4353" max="4353" width="21.7265625" customWidth="1"/>
    <col min="4354" max="4354" width="12.26953125" bestFit="1" customWidth="1"/>
    <col min="4355" max="4355" width="12.26953125" customWidth="1"/>
    <col min="4356" max="4356" width="11" bestFit="1" customWidth="1"/>
    <col min="4359" max="4360" width="9.26953125" bestFit="1" customWidth="1"/>
    <col min="4609" max="4609" width="21.7265625" customWidth="1"/>
    <col min="4610" max="4610" width="12.26953125" bestFit="1" customWidth="1"/>
    <col min="4611" max="4611" width="12.26953125" customWidth="1"/>
    <col min="4612" max="4612" width="11" bestFit="1" customWidth="1"/>
    <col min="4615" max="4616" width="9.26953125" bestFit="1" customWidth="1"/>
    <col min="4865" max="4865" width="21.7265625" customWidth="1"/>
    <col min="4866" max="4866" width="12.26953125" bestFit="1" customWidth="1"/>
    <col min="4867" max="4867" width="12.26953125" customWidth="1"/>
    <col min="4868" max="4868" width="11" bestFit="1" customWidth="1"/>
    <col min="4871" max="4872" width="9.26953125" bestFit="1" customWidth="1"/>
    <col min="5121" max="5121" width="21.7265625" customWidth="1"/>
    <col min="5122" max="5122" width="12.26953125" bestFit="1" customWidth="1"/>
    <col min="5123" max="5123" width="12.26953125" customWidth="1"/>
    <col min="5124" max="5124" width="11" bestFit="1" customWidth="1"/>
    <col min="5127" max="5128" width="9.26953125" bestFit="1" customWidth="1"/>
    <col min="5377" max="5377" width="21.7265625" customWidth="1"/>
    <col min="5378" max="5378" width="12.26953125" bestFit="1" customWidth="1"/>
    <col min="5379" max="5379" width="12.26953125" customWidth="1"/>
    <col min="5380" max="5380" width="11" bestFit="1" customWidth="1"/>
    <col min="5383" max="5384" width="9.26953125" bestFit="1" customWidth="1"/>
    <col min="5633" max="5633" width="21.7265625" customWidth="1"/>
    <col min="5634" max="5634" width="12.26953125" bestFit="1" customWidth="1"/>
    <col min="5635" max="5635" width="12.26953125" customWidth="1"/>
    <col min="5636" max="5636" width="11" bestFit="1" customWidth="1"/>
    <col min="5639" max="5640" width="9.26953125" bestFit="1" customWidth="1"/>
    <col min="5889" max="5889" width="21.7265625" customWidth="1"/>
    <col min="5890" max="5890" width="12.26953125" bestFit="1" customWidth="1"/>
    <col min="5891" max="5891" width="12.26953125" customWidth="1"/>
    <col min="5892" max="5892" width="11" bestFit="1" customWidth="1"/>
    <col min="5895" max="5896" width="9.26953125" bestFit="1" customWidth="1"/>
    <col min="6145" max="6145" width="21.7265625" customWidth="1"/>
    <col min="6146" max="6146" width="12.26953125" bestFit="1" customWidth="1"/>
    <col min="6147" max="6147" width="12.26953125" customWidth="1"/>
    <col min="6148" max="6148" width="11" bestFit="1" customWidth="1"/>
    <col min="6151" max="6152" width="9.26953125" bestFit="1" customWidth="1"/>
    <col min="6401" max="6401" width="21.7265625" customWidth="1"/>
    <col min="6402" max="6402" width="12.26953125" bestFit="1" customWidth="1"/>
    <col min="6403" max="6403" width="12.26953125" customWidth="1"/>
    <col min="6404" max="6404" width="11" bestFit="1" customWidth="1"/>
    <col min="6407" max="6408" width="9.26953125" bestFit="1" customWidth="1"/>
    <col min="6657" max="6657" width="21.7265625" customWidth="1"/>
    <col min="6658" max="6658" width="12.26953125" bestFit="1" customWidth="1"/>
    <col min="6659" max="6659" width="12.26953125" customWidth="1"/>
    <col min="6660" max="6660" width="11" bestFit="1" customWidth="1"/>
    <col min="6663" max="6664" width="9.26953125" bestFit="1" customWidth="1"/>
    <col min="6913" max="6913" width="21.7265625" customWidth="1"/>
    <col min="6914" max="6914" width="12.26953125" bestFit="1" customWidth="1"/>
    <col min="6915" max="6915" width="12.26953125" customWidth="1"/>
    <col min="6916" max="6916" width="11" bestFit="1" customWidth="1"/>
    <col min="6919" max="6920" width="9.26953125" bestFit="1" customWidth="1"/>
    <col min="7169" max="7169" width="21.7265625" customWidth="1"/>
    <col min="7170" max="7170" width="12.26953125" bestFit="1" customWidth="1"/>
    <col min="7171" max="7171" width="12.26953125" customWidth="1"/>
    <col min="7172" max="7172" width="11" bestFit="1" customWidth="1"/>
    <col min="7175" max="7176" width="9.26953125" bestFit="1" customWidth="1"/>
    <col min="7425" max="7425" width="21.7265625" customWidth="1"/>
    <col min="7426" max="7426" width="12.26953125" bestFit="1" customWidth="1"/>
    <col min="7427" max="7427" width="12.26953125" customWidth="1"/>
    <col min="7428" max="7428" width="11" bestFit="1" customWidth="1"/>
    <col min="7431" max="7432" width="9.26953125" bestFit="1" customWidth="1"/>
    <col min="7681" max="7681" width="21.7265625" customWidth="1"/>
    <col min="7682" max="7682" width="12.26953125" bestFit="1" customWidth="1"/>
    <col min="7683" max="7683" width="12.26953125" customWidth="1"/>
    <col min="7684" max="7684" width="11" bestFit="1" customWidth="1"/>
    <col min="7687" max="7688" width="9.26953125" bestFit="1" customWidth="1"/>
    <col min="7937" max="7937" width="21.7265625" customWidth="1"/>
    <col min="7938" max="7938" width="12.26953125" bestFit="1" customWidth="1"/>
    <col min="7939" max="7939" width="12.26953125" customWidth="1"/>
    <col min="7940" max="7940" width="11" bestFit="1" customWidth="1"/>
    <col min="7943" max="7944" width="9.26953125" bestFit="1" customWidth="1"/>
    <col min="8193" max="8193" width="21.7265625" customWidth="1"/>
    <col min="8194" max="8194" width="12.26953125" bestFit="1" customWidth="1"/>
    <col min="8195" max="8195" width="12.26953125" customWidth="1"/>
    <col min="8196" max="8196" width="11" bestFit="1" customWidth="1"/>
    <col min="8199" max="8200" width="9.26953125" bestFit="1" customWidth="1"/>
    <col min="8449" max="8449" width="21.7265625" customWidth="1"/>
    <col min="8450" max="8450" width="12.26953125" bestFit="1" customWidth="1"/>
    <col min="8451" max="8451" width="12.26953125" customWidth="1"/>
    <col min="8452" max="8452" width="11" bestFit="1" customWidth="1"/>
    <col min="8455" max="8456" width="9.26953125" bestFit="1" customWidth="1"/>
    <col min="8705" max="8705" width="21.7265625" customWidth="1"/>
    <col min="8706" max="8706" width="12.26953125" bestFit="1" customWidth="1"/>
    <col min="8707" max="8707" width="12.26953125" customWidth="1"/>
    <col min="8708" max="8708" width="11" bestFit="1" customWidth="1"/>
    <col min="8711" max="8712" width="9.26953125" bestFit="1" customWidth="1"/>
    <col min="8961" max="8961" width="21.7265625" customWidth="1"/>
    <col min="8962" max="8962" width="12.26953125" bestFit="1" customWidth="1"/>
    <col min="8963" max="8963" width="12.26953125" customWidth="1"/>
    <col min="8964" max="8964" width="11" bestFit="1" customWidth="1"/>
    <col min="8967" max="8968" width="9.26953125" bestFit="1" customWidth="1"/>
    <col min="9217" max="9217" width="21.7265625" customWidth="1"/>
    <col min="9218" max="9218" width="12.26953125" bestFit="1" customWidth="1"/>
    <col min="9219" max="9219" width="12.26953125" customWidth="1"/>
    <col min="9220" max="9220" width="11" bestFit="1" customWidth="1"/>
    <col min="9223" max="9224" width="9.26953125" bestFit="1" customWidth="1"/>
    <col min="9473" max="9473" width="21.7265625" customWidth="1"/>
    <col min="9474" max="9474" width="12.26953125" bestFit="1" customWidth="1"/>
    <col min="9475" max="9475" width="12.26953125" customWidth="1"/>
    <col min="9476" max="9476" width="11" bestFit="1" customWidth="1"/>
    <col min="9479" max="9480" width="9.26953125" bestFit="1" customWidth="1"/>
    <col min="9729" max="9729" width="21.7265625" customWidth="1"/>
    <col min="9730" max="9730" width="12.26953125" bestFit="1" customWidth="1"/>
    <col min="9731" max="9731" width="12.26953125" customWidth="1"/>
    <col min="9732" max="9732" width="11" bestFit="1" customWidth="1"/>
    <col min="9735" max="9736" width="9.26953125" bestFit="1" customWidth="1"/>
    <col min="9985" max="9985" width="21.7265625" customWidth="1"/>
    <col min="9986" max="9986" width="12.26953125" bestFit="1" customWidth="1"/>
    <col min="9987" max="9987" width="12.26953125" customWidth="1"/>
    <col min="9988" max="9988" width="11" bestFit="1" customWidth="1"/>
    <col min="9991" max="9992" width="9.26953125" bestFit="1" customWidth="1"/>
    <col min="10241" max="10241" width="21.7265625" customWidth="1"/>
    <col min="10242" max="10242" width="12.26953125" bestFit="1" customWidth="1"/>
    <col min="10243" max="10243" width="12.26953125" customWidth="1"/>
    <col min="10244" max="10244" width="11" bestFit="1" customWidth="1"/>
    <col min="10247" max="10248" width="9.26953125" bestFit="1" customWidth="1"/>
    <col min="10497" max="10497" width="21.7265625" customWidth="1"/>
    <col min="10498" max="10498" width="12.26953125" bestFit="1" customWidth="1"/>
    <col min="10499" max="10499" width="12.26953125" customWidth="1"/>
    <col min="10500" max="10500" width="11" bestFit="1" customWidth="1"/>
    <col min="10503" max="10504" width="9.26953125" bestFit="1" customWidth="1"/>
    <col min="10753" max="10753" width="21.7265625" customWidth="1"/>
    <col min="10754" max="10754" width="12.26953125" bestFit="1" customWidth="1"/>
    <col min="10755" max="10755" width="12.26953125" customWidth="1"/>
    <col min="10756" max="10756" width="11" bestFit="1" customWidth="1"/>
    <col min="10759" max="10760" width="9.26953125" bestFit="1" customWidth="1"/>
    <col min="11009" max="11009" width="21.7265625" customWidth="1"/>
    <col min="11010" max="11010" width="12.26953125" bestFit="1" customWidth="1"/>
    <col min="11011" max="11011" width="12.26953125" customWidth="1"/>
    <col min="11012" max="11012" width="11" bestFit="1" customWidth="1"/>
    <col min="11015" max="11016" width="9.26953125" bestFit="1" customWidth="1"/>
    <col min="11265" max="11265" width="21.7265625" customWidth="1"/>
    <col min="11266" max="11266" width="12.26953125" bestFit="1" customWidth="1"/>
    <col min="11267" max="11267" width="12.26953125" customWidth="1"/>
    <col min="11268" max="11268" width="11" bestFit="1" customWidth="1"/>
    <col min="11271" max="11272" width="9.26953125" bestFit="1" customWidth="1"/>
    <col min="11521" max="11521" width="21.7265625" customWidth="1"/>
    <col min="11522" max="11522" width="12.26953125" bestFit="1" customWidth="1"/>
    <col min="11523" max="11523" width="12.26953125" customWidth="1"/>
    <col min="11524" max="11524" width="11" bestFit="1" customWidth="1"/>
    <col min="11527" max="11528" width="9.26953125" bestFit="1" customWidth="1"/>
    <col min="11777" max="11777" width="21.7265625" customWidth="1"/>
    <col min="11778" max="11778" width="12.26953125" bestFit="1" customWidth="1"/>
    <col min="11779" max="11779" width="12.26953125" customWidth="1"/>
    <col min="11780" max="11780" width="11" bestFit="1" customWidth="1"/>
    <col min="11783" max="11784" width="9.26953125" bestFit="1" customWidth="1"/>
    <col min="12033" max="12033" width="21.7265625" customWidth="1"/>
    <col min="12034" max="12034" width="12.26953125" bestFit="1" customWidth="1"/>
    <col min="12035" max="12035" width="12.26953125" customWidth="1"/>
    <col min="12036" max="12036" width="11" bestFit="1" customWidth="1"/>
    <col min="12039" max="12040" width="9.26953125" bestFit="1" customWidth="1"/>
    <col min="12289" max="12289" width="21.7265625" customWidth="1"/>
    <col min="12290" max="12290" width="12.26953125" bestFit="1" customWidth="1"/>
    <col min="12291" max="12291" width="12.26953125" customWidth="1"/>
    <col min="12292" max="12292" width="11" bestFit="1" customWidth="1"/>
    <col min="12295" max="12296" width="9.26953125" bestFit="1" customWidth="1"/>
    <col min="12545" max="12545" width="21.7265625" customWidth="1"/>
    <col min="12546" max="12546" width="12.26953125" bestFit="1" customWidth="1"/>
    <col min="12547" max="12547" width="12.26953125" customWidth="1"/>
    <col min="12548" max="12548" width="11" bestFit="1" customWidth="1"/>
    <col min="12551" max="12552" width="9.26953125" bestFit="1" customWidth="1"/>
    <col min="12801" max="12801" width="21.7265625" customWidth="1"/>
    <col min="12802" max="12802" width="12.26953125" bestFit="1" customWidth="1"/>
    <col min="12803" max="12803" width="12.26953125" customWidth="1"/>
    <col min="12804" max="12804" width="11" bestFit="1" customWidth="1"/>
    <col min="12807" max="12808" width="9.26953125" bestFit="1" customWidth="1"/>
    <col min="13057" max="13057" width="21.7265625" customWidth="1"/>
    <col min="13058" max="13058" width="12.26953125" bestFit="1" customWidth="1"/>
    <col min="13059" max="13059" width="12.26953125" customWidth="1"/>
    <col min="13060" max="13060" width="11" bestFit="1" customWidth="1"/>
    <col min="13063" max="13064" width="9.26953125" bestFit="1" customWidth="1"/>
    <col min="13313" max="13313" width="21.7265625" customWidth="1"/>
    <col min="13314" max="13314" width="12.26953125" bestFit="1" customWidth="1"/>
    <col min="13315" max="13315" width="12.26953125" customWidth="1"/>
    <col min="13316" max="13316" width="11" bestFit="1" customWidth="1"/>
    <col min="13319" max="13320" width="9.26953125" bestFit="1" customWidth="1"/>
    <col min="13569" max="13569" width="21.7265625" customWidth="1"/>
    <col min="13570" max="13570" width="12.26953125" bestFit="1" customWidth="1"/>
    <col min="13571" max="13571" width="12.26953125" customWidth="1"/>
    <col min="13572" max="13572" width="11" bestFit="1" customWidth="1"/>
    <col min="13575" max="13576" width="9.26953125" bestFit="1" customWidth="1"/>
    <col min="13825" max="13825" width="21.7265625" customWidth="1"/>
    <col min="13826" max="13826" width="12.26953125" bestFit="1" customWidth="1"/>
    <col min="13827" max="13827" width="12.26953125" customWidth="1"/>
    <col min="13828" max="13828" width="11" bestFit="1" customWidth="1"/>
    <col min="13831" max="13832" width="9.26953125" bestFit="1" customWidth="1"/>
    <col min="14081" max="14081" width="21.7265625" customWidth="1"/>
    <col min="14082" max="14082" width="12.26953125" bestFit="1" customWidth="1"/>
    <col min="14083" max="14083" width="12.26953125" customWidth="1"/>
    <col min="14084" max="14084" width="11" bestFit="1" customWidth="1"/>
    <col min="14087" max="14088" width="9.26953125" bestFit="1" customWidth="1"/>
    <col min="14337" max="14337" width="21.7265625" customWidth="1"/>
    <col min="14338" max="14338" width="12.26953125" bestFit="1" customWidth="1"/>
    <col min="14339" max="14339" width="12.26953125" customWidth="1"/>
    <col min="14340" max="14340" width="11" bestFit="1" customWidth="1"/>
    <col min="14343" max="14344" width="9.26953125" bestFit="1" customWidth="1"/>
    <col min="14593" max="14593" width="21.7265625" customWidth="1"/>
    <col min="14594" max="14594" width="12.26953125" bestFit="1" customWidth="1"/>
    <col min="14595" max="14595" width="12.26953125" customWidth="1"/>
    <col min="14596" max="14596" width="11" bestFit="1" customWidth="1"/>
    <col min="14599" max="14600" width="9.26953125" bestFit="1" customWidth="1"/>
    <col min="14849" max="14849" width="21.7265625" customWidth="1"/>
    <col min="14850" max="14850" width="12.26953125" bestFit="1" customWidth="1"/>
    <col min="14851" max="14851" width="12.26953125" customWidth="1"/>
    <col min="14852" max="14852" width="11" bestFit="1" customWidth="1"/>
    <col min="14855" max="14856" width="9.26953125" bestFit="1" customWidth="1"/>
    <col min="15105" max="15105" width="21.7265625" customWidth="1"/>
    <col min="15106" max="15106" width="12.26953125" bestFit="1" customWidth="1"/>
    <col min="15107" max="15107" width="12.26953125" customWidth="1"/>
    <col min="15108" max="15108" width="11" bestFit="1" customWidth="1"/>
    <col min="15111" max="15112" width="9.26953125" bestFit="1" customWidth="1"/>
    <col min="15361" max="15361" width="21.7265625" customWidth="1"/>
    <col min="15362" max="15362" width="12.26953125" bestFit="1" customWidth="1"/>
    <col min="15363" max="15363" width="12.26953125" customWidth="1"/>
    <col min="15364" max="15364" width="11" bestFit="1" customWidth="1"/>
    <col min="15367" max="15368" width="9.26953125" bestFit="1" customWidth="1"/>
    <col min="15617" max="15617" width="21.7265625" customWidth="1"/>
    <col min="15618" max="15618" width="12.26953125" bestFit="1" customWidth="1"/>
    <col min="15619" max="15619" width="12.26953125" customWidth="1"/>
    <col min="15620" max="15620" width="11" bestFit="1" customWidth="1"/>
    <col min="15623" max="15624" width="9.26953125" bestFit="1" customWidth="1"/>
    <col min="15873" max="15873" width="21.7265625" customWidth="1"/>
    <col min="15874" max="15874" width="12.26953125" bestFit="1" customWidth="1"/>
    <col min="15875" max="15875" width="12.26953125" customWidth="1"/>
    <col min="15876" max="15876" width="11" bestFit="1" customWidth="1"/>
    <col min="15879" max="15880" width="9.26953125" bestFit="1" customWidth="1"/>
    <col min="16129" max="16129" width="21.7265625" customWidth="1"/>
    <col min="16130" max="16130" width="12.26953125" bestFit="1" customWidth="1"/>
    <col min="16131" max="16131" width="12.26953125" customWidth="1"/>
    <col min="16132" max="16132" width="11" bestFit="1" customWidth="1"/>
    <col min="16135" max="16136" width="9.26953125" bestFit="1" customWidth="1"/>
  </cols>
  <sheetData>
    <row r="1" spans="1:13" x14ac:dyDescent="0.35">
      <c r="A1" s="1025" t="s">
        <v>1049</v>
      </c>
      <c r="B1" s="1025"/>
      <c r="C1" s="1025"/>
      <c r="D1" s="1025"/>
      <c r="E1" s="1025"/>
      <c r="F1" s="1025"/>
      <c r="G1" s="1025"/>
      <c r="H1" s="1025"/>
      <c r="I1" s="1025"/>
      <c r="J1" s="1025"/>
      <c r="K1" s="1025"/>
      <c r="L1" s="1025"/>
      <c r="M1" s="1025"/>
    </row>
    <row r="2" spans="1:13" x14ac:dyDescent="0.35">
      <c r="A2" s="1025" t="s">
        <v>890</v>
      </c>
      <c r="B2" s="1025"/>
      <c r="C2" s="1025"/>
      <c r="D2" s="1025"/>
      <c r="E2" s="1025"/>
      <c r="F2" s="1025"/>
      <c r="G2" s="1025"/>
      <c r="H2" s="1025"/>
      <c r="I2" s="1025"/>
      <c r="J2" s="1025"/>
      <c r="K2" s="1025"/>
      <c r="L2" s="1025"/>
      <c r="M2" s="1025"/>
    </row>
    <row r="3" spans="1:13" x14ac:dyDescent="0.35">
      <c r="A3" s="604"/>
      <c r="B3" s="604"/>
      <c r="C3" s="604"/>
      <c r="D3" s="604"/>
      <c r="E3" s="604"/>
      <c r="F3" s="604"/>
      <c r="G3" s="604"/>
      <c r="H3" s="604"/>
      <c r="I3" s="604"/>
      <c r="J3" s="604"/>
      <c r="K3" s="604"/>
    </row>
    <row r="4" spans="1:13" x14ac:dyDescent="0.35">
      <c r="A4" s="1025" t="s">
        <v>1050</v>
      </c>
      <c r="B4" s="1025"/>
      <c r="C4" s="1025"/>
      <c r="D4" s="1025"/>
      <c r="E4" s="1025"/>
      <c r="F4" s="1025"/>
      <c r="G4" s="1025"/>
      <c r="H4" s="1025"/>
      <c r="I4" s="1025"/>
      <c r="J4" s="1025"/>
      <c r="K4" s="1025"/>
    </row>
    <row r="5" spans="1:13" x14ac:dyDescent="0.35">
      <c r="A5" s="604"/>
      <c r="B5" s="604"/>
      <c r="C5" s="604"/>
      <c r="D5" s="604"/>
      <c r="E5" s="604"/>
      <c r="F5" s="604"/>
      <c r="G5" s="604"/>
      <c r="H5" s="604"/>
      <c r="I5" s="604"/>
      <c r="J5" s="604"/>
      <c r="K5" s="604"/>
    </row>
    <row r="6" spans="1:13" x14ac:dyDescent="0.35">
      <c r="A6" s="617" t="s">
        <v>245</v>
      </c>
      <c r="B6" s="605"/>
      <c r="C6" s="605" t="s">
        <v>1051</v>
      </c>
      <c r="D6" s="605">
        <v>0</v>
      </c>
      <c r="E6" s="605">
        <v>1</v>
      </c>
      <c r="F6" s="605">
        <f>+E6+1</f>
        <v>2</v>
      </c>
      <c r="G6" s="605">
        <f t="shared" ref="G6:M6" si="0">+F6+1</f>
        <v>3</v>
      </c>
      <c r="H6" s="605">
        <f t="shared" si="0"/>
        <v>4</v>
      </c>
      <c r="I6" s="605">
        <f t="shared" si="0"/>
        <v>5</v>
      </c>
      <c r="J6" s="605">
        <f t="shared" si="0"/>
        <v>6</v>
      </c>
      <c r="K6" s="605">
        <f t="shared" si="0"/>
        <v>7</v>
      </c>
      <c r="L6" s="605">
        <f t="shared" si="0"/>
        <v>8</v>
      </c>
      <c r="M6" s="605">
        <f t="shared" si="0"/>
        <v>9</v>
      </c>
    </row>
    <row r="7" spans="1:13" x14ac:dyDescent="0.35">
      <c r="A7" s="617"/>
      <c r="B7" s="617"/>
      <c r="C7" s="617"/>
      <c r="D7" s="617"/>
      <c r="E7" s="617"/>
      <c r="F7" s="617"/>
      <c r="G7" s="617"/>
      <c r="H7" s="605"/>
      <c r="I7" s="617"/>
      <c r="J7" s="617"/>
      <c r="K7" s="617"/>
      <c r="L7" s="617"/>
      <c r="M7" s="617" t="s">
        <v>1052</v>
      </c>
    </row>
    <row r="8" spans="1:13" x14ac:dyDescent="0.35">
      <c r="A8" s="372"/>
      <c r="B8" s="372" t="s">
        <v>1053</v>
      </c>
      <c r="C8" s="371">
        <f>+[2]IRR!C6</f>
        <v>0</v>
      </c>
      <c r="D8" s="371" t="str">
        <f>+[2]IRR!D6</f>
        <v>2025-26</v>
      </c>
      <c r="E8" s="371" t="str">
        <f>+[2]IRR!E6</f>
        <v>2026-27</v>
      </c>
      <c r="F8" s="371" t="str">
        <f>+[2]IRR!F6</f>
        <v>2027-28</v>
      </c>
      <c r="G8" s="371" t="str">
        <f>+[2]IRR!G6</f>
        <v>2028-29</v>
      </c>
      <c r="H8" s="371" t="str">
        <f>+[2]IRR!H6</f>
        <v>2029-30</v>
      </c>
      <c r="I8" s="371" t="str">
        <f>+[2]IRR!I6</f>
        <v>2030-31</v>
      </c>
      <c r="J8" s="371" t="str">
        <f>+[2]IRR!J6</f>
        <v>2031-32</v>
      </c>
      <c r="K8" s="371" t="str">
        <f>+[2]IRR!K6</f>
        <v>2032-33</v>
      </c>
      <c r="L8" s="371" t="str">
        <f>+[2]IRR!L6</f>
        <v>2033-34</v>
      </c>
      <c r="M8" s="371" t="str">
        <f>+[2]IRR!M6</f>
        <v>2034-35</v>
      </c>
    </row>
    <row r="9" spans="1:13" x14ac:dyDescent="0.35">
      <c r="A9" s="372"/>
      <c r="B9" s="372"/>
      <c r="C9" s="372"/>
      <c r="D9" s="372" t="s">
        <v>1054</v>
      </c>
      <c r="E9" s="372"/>
      <c r="F9" s="372"/>
      <c r="G9" s="372"/>
      <c r="H9" s="372"/>
      <c r="I9" s="372"/>
      <c r="J9" s="372"/>
      <c r="K9" s="372"/>
      <c r="L9" s="372"/>
      <c r="M9" s="372"/>
    </row>
    <row r="10" spans="1:13" x14ac:dyDescent="0.35">
      <c r="A10" s="372" t="s">
        <v>1055</v>
      </c>
      <c r="C10" s="468">
        <v>-100</v>
      </c>
      <c r="D10" s="468">
        <f>-'[2]Project Cost '!D29/100-[2]payback!C10</f>
        <v>-200</v>
      </c>
      <c r="E10" s="468"/>
      <c r="F10" s="468"/>
      <c r="G10" s="468"/>
      <c r="H10" s="468"/>
      <c r="I10" s="468"/>
      <c r="J10" s="468"/>
      <c r="K10" s="468"/>
      <c r="L10" s="468"/>
      <c r="M10" s="468"/>
    </row>
    <row r="11" spans="1:13" x14ac:dyDescent="0.35">
      <c r="A11" s="372"/>
      <c r="B11" s="468"/>
      <c r="C11" s="468"/>
      <c r="D11" s="468"/>
      <c r="E11" s="468"/>
      <c r="F11" s="468"/>
      <c r="G11" s="468"/>
      <c r="H11" s="468"/>
      <c r="I11" s="468"/>
      <c r="J11" s="468"/>
      <c r="K11" s="468"/>
      <c r="L11" s="468"/>
      <c r="M11" s="468"/>
    </row>
    <row r="12" spans="1:13" x14ac:dyDescent="0.35">
      <c r="A12" s="372" t="s">
        <v>1056</v>
      </c>
      <c r="B12" s="468"/>
      <c r="C12" s="468"/>
      <c r="D12" s="468"/>
      <c r="E12" s="468"/>
      <c r="F12" s="468"/>
      <c r="G12" s="468"/>
      <c r="H12" s="468"/>
      <c r="I12" s="468"/>
      <c r="J12" s="468"/>
      <c r="K12" s="468"/>
      <c r="L12" s="468"/>
      <c r="M12" s="468"/>
    </row>
    <row r="13" spans="1:13" x14ac:dyDescent="0.35">
      <c r="A13" s="372" t="s">
        <v>56</v>
      </c>
      <c r="B13" s="468"/>
      <c r="C13" s="468">
        <f>+[2]Profitability!B30</f>
        <v>0</v>
      </c>
      <c r="D13" s="468">
        <f>+[2]Profitability!C30</f>
        <v>0</v>
      </c>
      <c r="E13" s="468">
        <f>+[2]Profitability!D30</f>
        <v>25.447596291061799</v>
      </c>
      <c r="F13" s="468">
        <f>+[2]Profitability!E30</f>
        <v>47.783608769698859</v>
      </c>
      <c r="G13" s="468">
        <f>+[2]Profitability!F30</f>
        <v>68.908015140423373</v>
      </c>
      <c r="H13" s="468">
        <f>+[2]Profitability!G30</f>
        <v>77.409754181444626</v>
      </c>
      <c r="I13" s="468">
        <f>+[2]Profitability!H30</f>
        <v>86.959273824516799</v>
      </c>
      <c r="J13" s="468">
        <f>+[2]Profitability!I30</f>
        <v>97.443390339742734</v>
      </c>
      <c r="K13" s="468">
        <f>+[2]Profitability!J30</f>
        <v>108.53934772072986</v>
      </c>
      <c r="L13" s="468">
        <f>+[2]Profitability!K30</f>
        <v>120.59299070076639</v>
      </c>
      <c r="M13" s="468">
        <f>+[2]Profitability!L30</f>
        <v>133.54131290980467</v>
      </c>
    </row>
    <row r="14" spans="1:13" x14ac:dyDescent="0.35">
      <c r="A14" s="372" t="s">
        <v>230</v>
      </c>
      <c r="B14" s="468"/>
      <c r="C14" s="468">
        <f>+[2]Profitability!B25</f>
        <v>0</v>
      </c>
      <c r="D14" s="468">
        <f>+[2]Profitability!C25</f>
        <v>0</v>
      </c>
      <c r="E14" s="468">
        <f>+[2]Profitability!D25</f>
        <v>7.8280000000000012</v>
      </c>
      <c r="F14" s="468">
        <f>+[2]Profitability!E25</f>
        <v>10.437333333333333</v>
      </c>
      <c r="G14" s="468">
        <f>+[2]Profitability!F25</f>
        <v>10.437333333333333</v>
      </c>
      <c r="H14" s="468">
        <f>+[2]Profitability!G25</f>
        <v>10.437333333333333</v>
      </c>
      <c r="I14" s="468">
        <f>+[2]Profitability!H25</f>
        <v>10.437333333333333</v>
      </c>
      <c r="J14" s="468">
        <f>+[2]Profitability!I25</f>
        <v>10.437333333333333</v>
      </c>
      <c r="K14" s="468">
        <f>+[2]Profitability!J25</f>
        <v>10.437333333333333</v>
      </c>
      <c r="L14" s="468">
        <f>+[2]Profitability!K25</f>
        <v>10.437333333333333</v>
      </c>
      <c r="M14" s="468">
        <f>+[2]Profitability!L25</f>
        <v>10.437333333333333</v>
      </c>
    </row>
    <row r="15" spans="1:13" x14ac:dyDescent="0.35">
      <c r="A15" s="372" t="s">
        <v>449</v>
      </c>
      <c r="B15" s="468"/>
      <c r="C15" s="468">
        <f t="shared" ref="C15:K15" si="1">SUM(C13:C14)</f>
        <v>0</v>
      </c>
      <c r="D15" s="468">
        <f t="shared" si="1"/>
        <v>0</v>
      </c>
      <c r="E15" s="468">
        <f t="shared" si="1"/>
        <v>33.275596291061802</v>
      </c>
      <c r="F15" s="468">
        <f t="shared" si="1"/>
        <v>58.220942103032193</v>
      </c>
      <c r="G15" s="468">
        <f t="shared" si="1"/>
        <v>79.345348473756701</v>
      </c>
      <c r="H15" s="468">
        <f t="shared" si="1"/>
        <v>87.847087514777954</v>
      </c>
      <c r="I15" s="468">
        <f t="shared" si="1"/>
        <v>97.396607157850127</v>
      </c>
      <c r="J15" s="468">
        <f t="shared" si="1"/>
        <v>107.88072367307606</v>
      </c>
      <c r="K15" s="468">
        <f t="shared" si="1"/>
        <v>118.97668105406319</v>
      </c>
      <c r="L15" s="468">
        <f>SUM(L13:L14)</f>
        <v>131.03032403409972</v>
      </c>
      <c r="M15" s="468">
        <f>SUM(M13:M14)</f>
        <v>143.978646243138</v>
      </c>
    </row>
    <row r="16" spans="1:13" x14ac:dyDescent="0.35">
      <c r="A16" s="372"/>
      <c r="B16" s="468"/>
      <c r="C16" s="468"/>
      <c r="D16" s="468"/>
      <c r="E16" s="468"/>
      <c r="F16" s="468"/>
      <c r="G16" s="468"/>
      <c r="H16" s="468"/>
      <c r="I16" s="468"/>
      <c r="J16" s="468"/>
      <c r="K16" s="468"/>
      <c r="L16" s="468"/>
      <c r="M16" s="468"/>
    </row>
    <row r="17" spans="1:13" x14ac:dyDescent="0.35">
      <c r="A17" s="372" t="s">
        <v>1057</v>
      </c>
      <c r="B17" s="468"/>
      <c r="C17" s="468">
        <f>C15</f>
        <v>0</v>
      </c>
      <c r="D17" s="468">
        <f>+C17+D15</f>
        <v>0</v>
      </c>
      <c r="E17" s="468">
        <f t="shared" ref="E17:M17" si="2">E15+D17</f>
        <v>33.275596291061802</v>
      </c>
      <c r="F17" s="468">
        <f t="shared" si="2"/>
        <v>91.496538394093989</v>
      </c>
      <c r="G17" s="468">
        <f t="shared" si="2"/>
        <v>170.84188686785069</v>
      </c>
      <c r="H17" s="468">
        <f t="shared" si="2"/>
        <v>258.68897438262866</v>
      </c>
      <c r="I17" s="468">
        <f t="shared" si="2"/>
        <v>356.08558154047876</v>
      </c>
      <c r="J17" s="468">
        <f t="shared" si="2"/>
        <v>463.96630521355485</v>
      </c>
      <c r="K17" s="468">
        <f t="shared" si="2"/>
        <v>582.94298626761804</v>
      </c>
      <c r="L17" s="468">
        <f t="shared" si="2"/>
        <v>713.97331030171779</v>
      </c>
      <c r="M17" s="468">
        <f t="shared" si="2"/>
        <v>857.95195654485576</v>
      </c>
    </row>
    <row r="18" spans="1:13" x14ac:dyDescent="0.35">
      <c r="A18" s="617"/>
      <c r="B18" s="447"/>
      <c r="C18" s="447">
        <f>+C15-[2]Profitability!B31</f>
        <v>0</v>
      </c>
      <c r="D18" s="447">
        <f>+D15-[2]Profitability!C31</f>
        <v>0</v>
      </c>
      <c r="E18" s="447">
        <f>+E15-[2]Profitability!D31</f>
        <v>0</v>
      </c>
      <c r="F18" s="447">
        <f>+F15-[2]Profitability!E31</f>
        <v>0</v>
      </c>
      <c r="G18" s="447">
        <f>+G15-[2]Profitability!F31</f>
        <v>0</v>
      </c>
      <c r="H18" s="447">
        <f>+H15-[2]Profitability!G31</f>
        <v>0</v>
      </c>
      <c r="I18" s="447">
        <f>+I15-[2]Profitability!H31</f>
        <v>0</v>
      </c>
      <c r="J18" s="447">
        <f>+J15-[2]Profitability!I31</f>
        <v>0</v>
      </c>
      <c r="K18" s="447">
        <f>+K15-[2]Profitability!J31</f>
        <v>0</v>
      </c>
      <c r="L18" s="447">
        <f>+L15-[2]Profitability!K31</f>
        <v>0</v>
      </c>
      <c r="M18" s="447">
        <f>+M15-[2]Profitability!L31</f>
        <v>0</v>
      </c>
    </row>
    <row r="19" spans="1:13" x14ac:dyDescent="0.35">
      <c r="A19" s="370" t="s">
        <v>606</v>
      </c>
      <c r="B19" s="447"/>
      <c r="C19" s="447"/>
      <c r="D19" s="523" t="s">
        <v>1842</v>
      </c>
      <c r="E19" s="524">
        <f>+H32</f>
        <v>0.9830274114316051</v>
      </c>
      <c r="F19" s="523" t="s">
        <v>907</v>
      </c>
      <c r="G19" s="428"/>
      <c r="H19" s="428"/>
      <c r="I19" s="447"/>
      <c r="J19" s="447"/>
      <c r="K19" s="447"/>
      <c r="L19" s="428"/>
      <c r="M19" s="428"/>
    </row>
    <row r="20" spans="1:13" x14ac:dyDescent="0.35">
      <c r="B20" s="428"/>
      <c r="C20" s="428"/>
      <c r="D20" s="428"/>
      <c r="E20" s="428"/>
      <c r="F20" s="428"/>
      <c r="G20" s="428"/>
      <c r="H20" s="428"/>
      <c r="I20" s="428"/>
      <c r="J20" s="428"/>
      <c r="K20" s="428"/>
      <c r="L20" s="428"/>
      <c r="M20" s="428"/>
    </row>
    <row r="21" spans="1:13" x14ac:dyDescent="0.35">
      <c r="B21" s="428"/>
      <c r="C21" s="428"/>
      <c r="D21" s="428"/>
      <c r="E21" s="428"/>
      <c r="F21" s="428"/>
      <c r="G21" s="428"/>
      <c r="H21" s="428"/>
      <c r="I21" s="428"/>
      <c r="J21" s="428"/>
      <c r="K21" s="428"/>
      <c r="L21" s="428"/>
      <c r="M21" s="428"/>
    </row>
    <row r="22" spans="1:13" x14ac:dyDescent="0.35">
      <c r="B22" s="428"/>
      <c r="C22" s="428"/>
      <c r="D22" s="428"/>
      <c r="E22" s="428"/>
      <c r="F22" s="428"/>
      <c r="G22" s="428"/>
      <c r="H22" s="428"/>
      <c r="I22" s="428"/>
      <c r="J22" s="428"/>
      <c r="K22" s="428"/>
      <c r="L22" s="428"/>
      <c r="M22" s="428"/>
    </row>
    <row r="23" spans="1:13" x14ac:dyDescent="0.35">
      <c r="I23" s="664"/>
    </row>
    <row r="25" spans="1:13" x14ac:dyDescent="0.35">
      <c r="A25" s="606"/>
    </row>
    <row r="28" spans="1:13" x14ac:dyDescent="0.35">
      <c r="G28" s="678">
        <f>+$D$10+G17</f>
        <v>-29.15811313214931</v>
      </c>
      <c r="H28" s="692">
        <f>+H15</f>
        <v>87.847087514777954</v>
      </c>
      <c r="I28" t="s">
        <v>1058</v>
      </c>
    </row>
    <row r="29" spans="1:13" x14ac:dyDescent="0.35">
      <c r="H29" s="693">
        <f>+H28/12</f>
        <v>7.3205906262314961</v>
      </c>
      <c r="I29" t="s">
        <v>1059</v>
      </c>
    </row>
    <row r="30" spans="1:13" x14ac:dyDescent="0.35">
      <c r="H30" s="694">
        <f>-G28/H29</f>
        <v>3.9830274114316051</v>
      </c>
      <c r="I30" t="s">
        <v>1060</v>
      </c>
    </row>
    <row r="31" spans="1:13" x14ac:dyDescent="0.35">
      <c r="H31">
        <v>-3</v>
      </c>
      <c r="I31" s="617" t="s">
        <v>1061</v>
      </c>
      <c r="J31" s="525"/>
    </row>
    <row r="32" spans="1:13" x14ac:dyDescent="0.35">
      <c r="H32" s="681">
        <f>+H30+H31</f>
        <v>0.9830274114316051</v>
      </c>
      <c r="I32" s="695"/>
      <c r="J32" s="680"/>
    </row>
  </sheetData>
  <mergeCells count="3">
    <mergeCell ref="A4:K4"/>
    <mergeCell ref="A1:M1"/>
    <mergeCell ref="A2:M2"/>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D7A41-6117-4766-8044-E44F8561BD42}">
  <sheetPr>
    <pageSetUpPr fitToPage="1"/>
  </sheetPr>
  <dimension ref="A1:Q24"/>
  <sheetViews>
    <sheetView workbookViewId="0">
      <selection sqref="A1:XFD1048576"/>
    </sheetView>
  </sheetViews>
  <sheetFormatPr defaultRowHeight="14.5" x14ac:dyDescent="0.35"/>
  <cols>
    <col min="1" max="1" width="3.54296875" customWidth="1"/>
    <col min="2" max="2" width="31.453125" customWidth="1"/>
    <col min="3" max="3" width="13.54296875" hidden="1" customWidth="1"/>
    <col min="4" max="11" width="13.54296875" customWidth="1"/>
    <col min="12" max="12" width="10.81640625" bestFit="1" customWidth="1"/>
    <col min="13" max="13" width="12.1796875" customWidth="1"/>
    <col min="257" max="257" width="3.54296875" customWidth="1"/>
    <col min="258" max="258" width="31.453125" customWidth="1"/>
    <col min="259" max="259" width="0" hidden="1" customWidth="1"/>
    <col min="260" max="267" width="13.54296875" customWidth="1"/>
    <col min="268" max="268" width="10.81640625" bestFit="1" customWidth="1"/>
    <col min="269" max="269" width="12.1796875" customWidth="1"/>
    <col min="513" max="513" width="3.54296875" customWidth="1"/>
    <col min="514" max="514" width="31.453125" customWidth="1"/>
    <col min="515" max="515" width="0" hidden="1" customWidth="1"/>
    <col min="516" max="523" width="13.54296875" customWidth="1"/>
    <col min="524" max="524" width="10.81640625" bestFit="1" customWidth="1"/>
    <col min="525" max="525" width="12.1796875" customWidth="1"/>
    <col min="769" max="769" width="3.54296875" customWidth="1"/>
    <col min="770" max="770" width="31.453125" customWidth="1"/>
    <col min="771" max="771" width="0" hidden="1" customWidth="1"/>
    <col min="772" max="779" width="13.54296875" customWidth="1"/>
    <col min="780" max="780" width="10.81640625" bestFit="1" customWidth="1"/>
    <col min="781" max="781" width="12.1796875" customWidth="1"/>
    <col min="1025" max="1025" width="3.54296875" customWidth="1"/>
    <col min="1026" max="1026" width="31.453125" customWidth="1"/>
    <col min="1027" max="1027" width="0" hidden="1" customWidth="1"/>
    <col min="1028" max="1035" width="13.54296875" customWidth="1"/>
    <col min="1036" max="1036" width="10.81640625" bestFit="1" customWidth="1"/>
    <col min="1037" max="1037" width="12.1796875" customWidth="1"/>
    <col min="1281" max="1281" width="3.54296875" customWidth="1"/>
    <col min="1282" max="1282" width="31.453125" customWidth="1"/>
    <col min="1283" max="1283" width="0" hidden="1" customWidth="1"/>
    <col min="1284" max="1291" width="13.54296875" customWidth="1"/>
    <col min="1292" max="1292" width="10.81640625" bestFit="1" customWidth="1"/>
    <col min="1293" max="1293" width="12.1796875" customWidth="1"/>
    <col min="1537" max="1537" width="3.54296875" customWidth="1"/>
    <col min="1538" max="1538" width="31.453125" customWidth="1"/>
    <col min="1539" max="1539" width="0" hidden="1" customWidth="1"/>
    <col min="1540" max="1547" width="13.54296875" customWidth="1"/>
    <col min="1548" max="1548" width="10.81640625" bestFit="1" customWidth="1"/>
    <col min="1549" max="1549" width="12.1796875" customWidth="1"/>
    <col min="1793" max="1793" width="3.54296875" customWidth="1"/>
    <col min="1794" max="1794" width="31.453125" customWidth="1"/>
    <col min="1795" max="1795" width="0" hidden="1" customWidth="1"/>
    <col min="1796" max="1803" width="13.54296875" customWidth="1"/>
    <col min="1804" max="1804" width="10.81640625" bestFit="1" customWidth="1"/>
    <col min="1805" max="1805" width="12.1796875" customWidth="1"/>
    <col min="2049" max="2049" width="3.54296875" customWidth="1"/>
    <col min="2050" max="2050" width="31.453125" customWidth="1"/>
    <col min="2051" max="2051" width="0" hidden="1" customWidth="1"/>
    <col min="2052" max="2059" width="13.54296875" customWidth="1"/>
    <col min="2060" max="2060" width="10.81640625" bestFit="1" customWidth="1"/>
    <col min="2061" max="2061" width="12.1796875" customWidth="1"/>
    <col min="2305" max="2305" width="3.54296875" customWidth="1"/>
    <col min="2306" max="2306" width="31.453125" customWidth="1"/>
    <col min="2307" max="2307" width="0" hidden="1" customWidth="1"/>
    <col min="2308" max="2315" width="13.54296875" customWidth="1"/>
    <col min="2316" max="2316" width="10.81640625" bestFit="1" customWidth="1"/>
    <col min="2317" max="2317" width="12.1796875" customWidth="1"/>
    <col min="2561" max="2561" width="3.54296875" customWidth="1"/>
    <col min="2562" max="2562" width="31.453125" customWidth="1"/>
    <col min="2563" max="2563" width="0" hidden="1" customWidth="1"/>
    <col min="2564" max="2571" width="13.54296875" customWidth="1"/>
    <col min="2572" max="2572" width="10.81640625" bestFit="1" customWidth="1"/>
    <col min="2573" max="2573" width="12.1796875" customWidth="1"/>
    <col min="2817" max="2817" width="3.54296875" customWidth="1"/>
    <col min="2818" max="2818" width="31.453125" customWidth="1"/>
    <col min="2819" max="2819" width="0" hidden="1" customWidth="1"/>
    <col min="2820" max="2827" width="13.54296875" customWidth="1"/>
    <col min="2828" max="2828" width="10.81640625" bestFit="1" customWidth="1"/>
    <col min="2829" max="2829" width="12.1796875" customWidth="1"/>
    <col min="3073" max="3073" width="3.54296875" customWidth="1"/>
    <col min="3074" max="3074" width="31.453125" customWidth="1"/>
    <col min="3075" max="3075" width="0" hidden="1" customWidth="1"/>
    <col min="3076" max="3083" width="13.54296875" customWidth="1"/>
    <col min="3084" max="3084" width="10.81640625" bestFit="1" customWidth="1"/>
    <col min="3085" max="3085" width="12.1796875" customWidth="1"/>
    <col min="3329" max="3329" width="3.54296875" customWidth="1"/>
    <col min="3330" max="3330" width="31.453125" customWidth="1"/>
    <col min="3331" max="3331" width="0" hidden="1" customWidth="1"/>
    <col min="3332" max="3339" width="13.54296875" customWidth="1"/>
    <col min="3340" max="3340" width="10.81640625" bestFit="1" customWidth="1"/>
    <col min="3341" max="3341" width="12.1796875" customWidth="1"/>
    <col min="3585" max="3585" width="3.54296875" customWidth="1"/>
    <col min="3586" max="3586" width="31.453125" customWidth="1"/>
    <col min="3587" max="3587" width="0" hidden="1" customWidth="1"/>
    <col min="3588" max="3595" width="13.54296875" customWidth="1"/>
    <col min="3596" max="3596" width="10.81640625" bestFit="1" customWidth="1"/>
    <col min="3597" max="3597" width="12.1796875" customWidth="1"/>
    <col min="3841" max="3841" width="3.54296875" customWidth="1"/>
    <col min="3842" max="3842" width="31.453125" customWidth="1"/>
    <col min="3843" max="3843" width="0" hidden="1" customWidth="1"/>
    <col min="3844" max="3851" width="13.54296875" customWidth="1"/>
    <col min="3852" max="3852" width="10.81640625" bestFit="1" customWidth="1"/>
    <col min="3853" max="3853" width="12.1796875" customWidth="1"/>
    <col min="4097" max="4097" width="3.54296875" customWidth="1"/>
    <col min="4098" max="4098" width="31.453125" customWidth="1"/>
    <col min="4099" max="4099" width="0" hidden="1" customWidth="1"/>
    <col min="4100" max="4107" width="13.54296875" customWidth="1"/>
    <col min="4108" max="4108" width="10.81640625" bestFit="1" customWidth="1"/>
    <col min="4109" max="4109" width="12.1796875" customWidth="1"/>
    <col min="4353" max="4353" width="3.54296875" customWidth="1"/>
    <col min="4354" max="4354" width="31.453125" customWidth="1"/>
    <col min="4355" max="4355" width="0" hidden="1" customWidth="1"/>
    <col min="4356" max="4363" width="13.54296875" customWidth="1"/>
    <col min="4364" max="4364" width="10.81640625" bestFit="1" customWidth="1"/>
    <col min="4365" max="4365" width="12.1796875" customWidth="1"/>
    <col min="4609" max="4609" width="3.54296875" customWidth="1"/>
    <col min="4610" max="4610" width="31.453125" customWidth="1"/>
    <col min="4611" max="4611" width="0" hidden="1" customWidth="1"/>
    <col min="4612" max="4619" width="13.54296875" customWidth="1"/>
    <col min="4620" max="4620" width="10.81640625" bestFit="1" customWidth="1"/>
    <col min="4621" max="4621" width="12.1796875" customWidth="1"/>
    <col min="4865" max="4865" width="3.54296875" customWidth="1"/>
    <col min="4866" max="4866" width="31.453125" customWidth="1"/>
    <col min="4867" max="4867" width="0" hidden="1" customWidth="1"/>
    <col min="4868" max="4875" width="13.54296875" customWidth="1"/>
    <col min="4876" max="4876" width="10.81640625" bestFit="1" customWidth="1"/>
    <col min="4877" max="4877" width="12.1796875" customWidth="1"/>
    <col min="5121" max="5121" width="3.54296875" customWidth="1"/>
    <col min="5122" max="5122" width="31.453125" customWidth="1"/>
    <col min="5123" max="5123" width="0" hidden="1" customWidth="1"/>
    <col min="5124" max="5131" width="13.54296875" customWidth="1"/>
    <col min="5132" max="5132" width="10.81640625" bestFit="1" customWidth="1"/>
    <col min="5133" max="5133" width="12.1796875" customWidth="1"/>
    <col min="5377" max="5377" width="3.54296875" customWidth="1"/>
    <col min="5378" max="5378" width="31.453125" customWidth="1"/>
    <col min="5379" max="5379" width="0" hidden="1" customWidth="1"/>
    <col min="5380" max="5387" width="13.54296875" customWidth="1"/>
    <col min="5388" max="5388" width="10.81640625" bestFit="1" customWidth="1"/>
    <col min="5389" max="5389" width="12.1796875" customWidth="1"/>
    <col min="5633" max="5633" width="3.54296875" customWidth="1"/>
    <col min="5634" max="5634" width="31.453125" customWidth="1"/>
    <col min="5635" max="5635" width="0" hidden="1" customWidth="1"/>
    <col min="5636" max="5643" width="13.54296875" customWidth="1"/>
    <col min="5644" max="5644" width="10.81640625" bestFit="1" customWidth="1"/>
    <col min="5645" max="5645" width="12.1796875" customWidth="1"/>
    <col min="5889" max="5889" width="3.54296875" customWidth="1"/>
    <col min="5890" max="5890" width="31.453125" customWidth="1"/>
    <col min="5891" max="5891" width="0" hidden="1" customWidth="1"/>
    <col min="5892" max="5899" width="13.54296875" customWidth="1"/>
    <col min="5900" max="5900" width="10.81640625" bestFit="1" customWidth="1"/>
    <col min="5901" max="5901" width="12.1796875" customWidth="1"/>
    <col min="6145" max="6145" width="3.54296875" customWidth="1"/>
    <col min="6146" max="6146" width="31.453125" customWidth="1"/>
    <col min="6147" max="6147" width="0" hidden="1" customWidth="1"/>
    <col min="6148" max="6155" width="13.54296875" customWidth="1"/>
    <col min="6156" max="6156" width="10.81640625" bestFit="1" customWidth="1"/>
    <col min="6157" max="6157" width="12.1796875" customWidth="1"/>
    <col min="6401" max="6401" width="3.54296875" customWidth="1"/>
    <col min="6402" max="6402" width="31.453125" customWidth="1"/>
    <col min="6403" max="6403" width="0" hidden="1" customWidth="1"/>
    <col min="6404" max="6411" width="13.54296875" customWidth="1"/>
    <col min="6412" max="6412" width="10.81640625" bestFit="1" customWidth="1"/>
    <col min="6413" max="6413" width="12.1796875" customWidth="1"/>
    <col min="6657" max="6657" width="3.54296875" customWidth="1"/>
    <col min="6658" max="6658" width="31.453125" customWidth="1"/>
    <col min="6659" max="6659" width="0" hidden="1" customWidth="1"/>
    <col min="6660" max="6667" width="13.54296875" customWidth="1"/>
    <col min="6668" max="6668" width="10.81640625" bestFit="1" customWidth="1"/>
    <col min="6669" max="6669" width="12.1796875" customWidth="1"/>
    <col min="6913" max="6913" width="3.54296875" customWidth="1"/>
    <col min="6914" max="6914" width="31.453125" customWidth="1"/>
    <col min="6915" max="6915" width="0" hidden="1" customWidth="1"/>
    <col min="6916" max="6923" width="13.54296875" customWidth="1"/>
    <col min="6924" max="6924" width="10.81640625" bestFit="1" customWidth="1"/>
    <col min="6925" max="6925" width="12.1796875" customWidth="1"/>
    <col min="7169" max="7169" width="3.54296875" customWidth="1"/>
    <col min="7170" max="7170" width="31.453125" customWidth="1"/>
    <col min="7171" max="7171" width="0" hidden="1" customWidth="1"/>
    <col min="7172" max="7179" width="13.54296875" customWidth="1"/>
    <col min="7180" max="7180" width="10.81640625" bestFit="1" customWidth="1"/>
    <col min="7181" max="7181" width="12.1796875" customWidth="1"/>
    <col min="7425" max="7425" width="3.54296875" customWidth="1"/>
    <col min="7426" max="7426" width="31.453125" customWidth="1"/>
    <col min="7427" max="7427" width="0" hidden="1" customWidth="1"/>
    <col min="7428" max="7435" width="13.54296875" customWidth="1"/>
    <col min="7436" max="7436" width="10.81640625" bestFit="1" customWidth="1"/>
    <col min="7437" max="7437" width="12.1796875" customWidth="1"/>
    <col min="7681" max="7681" width="3.54296875" customWidth="1"/>
    <col min="7682" max="7682" width="31.453125" customWidth="1"/>
    <col min="7683" max="7683" width="0" hidden="1" customWidth="1"/>
    <col min="7684" max="7691" width="13.54296875" customWidth="1"/>
    <col min="7692" max="7692" width="10.81640625" bestFit="1" customWidth="1"/>
    <col min="7693" max="7693" width="12.1796875" customWidth="1"/>
    <col min="7937" max="7937" width="3.54296875" customWidth="1"/>
    <col min="7938" max="7938" width="31.453125" customWidth="1"/>
    <col min="7939" max="7939" width="0" hidden="1" customWidth="1"/>
    <col min="7940" max="7947" width="13.54296875" customWidth="1"/>
    <col min="7948" max="7948" width="10.81640625" bestFit="1" customWidth="1"/>
    <col min="7949" max="7949" width="12.1796875" customWidth="1"/>
    <col min="8193" max="8193" width="3.54296875" customWidth="1"/>
    <col min="8194" max="8194" width="31.453125" customWidth="1"/>
    <col min="8195" max="8195" width="0" hidden="1" customWidth="1"/>
    <col min="8196" max="8203" width="13.54296875" customWidth="1"/>
    <col min="8204" max="8204" width="10.81640625" bestFit="1" customWidth="1"/>
    <col min="8205" max="8205" width="12.1796875" customWidth="1"/>
    <col min="8449" max="8449" width="3.54296875" customWidth="1"/>
    <col min="8450" max="8450" width="31.453125" customWidth="1"/>
    <col min="8451" max="8451" width="0" hidden="1" customWidth="1"/>
    <col min="8452" max="8459" width="13.54296875" customWidth="1"/>
    <col min="8460" max="8460" width="10.81640625" bestFit="1" customWidth="1"/>
    <col min="8461" max="8461" width="12.1796875" customWidth="1"/>
    <col min="8705" max="8705" width="3.54296875" customWidth="1"/>
    <col min="8706" max="8706" width="31.453125" customWidth="1"/>
    <col min="8707" max="8707" width="0" hidden="1" customWidth="1"/>
    <col min="8708" max="8715" width="13.54296875" customWidth="1"/>
    <col min="8716" max="8716" width="10.81640625" bestFit="1" customWidth="1"/>
    <col min="8717" max="8717" width="12.1796875" customWidth="1"/>
    <col min="8961" max="8961" width="3.54296875" customWidth="1"/>
    <col min="8962" max="8962" width="31.453125" customWidth="1"/>
    <col min="8963" max="8963" width="0" hidden="1" customWidth="1"/>
    <col min="8964" max="8971" width="13.54296875" customWidth="1"/>
    <col min="8972" max="8972" width="10.81640625" bestFit="1" customWidth="1"/>
    <col min="8973" max="8973" width="12.1796875" customWidth="1"/>
    <col min="9217" max="9217" width="3.54296875" customWidth="1"/>
    <col min="9218" max="9218" width="31.453125" customWidth="1"/>
    <col min="9219" max="9219" width="0" hidden="1" customWidth="1"/>
    <col min="9220" max="9227" width="13.54296875" customWidth="1"/>
    <col min="9228" max="9228" width="10.81640625" bestFit="1" customWidth="1"/>
    <col min="9229" max="9229" width="12.1796875" customWidth="1"/>
    <col min="9473" max="9473" width="3.54296875" customWidth="1"/>
    <col min="9474" max="9474" width="31.453125" customWidth="1"/>
    <col min="9475" max="9475" width="0" hidden="1" customWidth="1"/>
    <col min="9476" max="9483" width="13.54296875" customWidth="1"/>
    <col min="9484" max="9484" width="10.81640625" bestFit="1" customWidth="1"/>
    <col min="9485" max="9485" width="12.1796875" customWidth="1"/>
    <col min="9729" max="9729" width="3.54296875" customWidth="1"/>
    <col min="9730" max="9730" width="31.453125" customWidth="1"/>
    <col min="9731" max="9731" width="0" hidden="1" customWidth="1"/>
    <col min="9732" max="9739" width="13.54296875" customWidth="1"/>
    <col min="9740" max="9740" width="10.81640625" bestFit="1" customWidth="1"/>
    <col min="9741" max="9741" width="12.1796875" customWidth="1"/>
    <col min="9985" max="9985" width="3.54296875" customWidth="1"/>
    <col min="9986" max="9986" width="31.453125" customWidth="1"/>
    <col min="9987" max="9987" width="0" hidden="1" customWidth="1"/>
    <col min="9988" max="9995" width="13.54296875" customWidth="1"/>
    <col min="9996" max="9996" width="10.81640625" bestFit="1" customWidth="1"/>
    <col min="9997" max="9997" width="12.1796875" customWidth="1"/>
    <col min="10241" max="10241" width="3.54296875" customWidth="1"/>
    <col min="10242" max="10242" width="31.453125" customWidth="1"/>
    <col min="10243" max="10243" width="0" hidden="1" customWidth="1"/>
    <col min="10244" max="10251" width="13.54296875" customWidth="1"/>
    <col min="10252" max="10252" width="10.81640625" bestFit="1" customWidth="1"/>
    <col min="10253" max="10253" width="12.1796875" customWidth="1"/>
    <col min="10497" max="10497" width="3.54296875" customWidth="1"/>
    <col min="10498" max="10498" width="31.453125" customWidth="1"/>
    <col min="10499" max="10499" width="0" hidden="1" customWidth="1"/>
    <col min="10500" max="10507" width="13.54296875" customWidth="1"/>
    <col min="10508" max="10508" width="10.81640625" bestFit="1" customWidth="1"/>
    <col min="10509" max="10509" width="12.1796875" customWidth="1"/>
    <col min="10753" max="10753" width="3.54296875" customWidth="1"/>
    <col min="10754" max="10754" width="31.453125" customWidth="1"/>
    <col min="10755" max="10755" width="0" hidden="1" customWidth="1"/>
    <col min="10756" max="10763" width="13.54296875" customWidth="1"/>
    <col min="10764" max="10764" width="10.81640625" bestFit="1" customWidth="1"/>
    <col min="10765" max="10765" width="12.1796875" customWidth="1"/>
    <col min="11009" max="11009" width="3.54296875" customWidth="1"/>
    <col min="11010" max="11010" width="31.453125" customWidth="1"/>
    <col min="11011" max="11011" width="0" hidden="1" customWidth="1"/>
    <col min="11012" max="11019" width="13.54296875" customWidth="1"/>
    <col min="11020" max="11020" width="10.81640625" bestFit="1" customWidth="1"/>
    <col min="11021" max="11021" width="12.1796875" customWidth="1"/>
    <col min="11265" max="11265" width="3.54296875" customWidth="1"/>
    <col min="11266" max="11266" width="31.453125" customWidth="1"/>
    <col min="11267" max="11267" width="0" hidden="1" customWidth="1"/>
    <col min="11268" max="11275" width="13.54296875" customWidth="1"/>
    <col min="11276" max="11276" width="10.81640625" bestFit="1" customWidth="1"/>
    <col min="11277" max="11277" width="12.1796875" customWidth="1"/>
    <col min="11521" max="11521" width="3.54296875" customWidth="1"/>
    <col min="11522" max="11522" width="31.453125" customWidth="1"/>
    <col min="11523" max="11523" width="0" hidden="1" customWidth="1"/>
    <col min="11524" max="11531" width="13.54296875" customWidth="1"/>
    <col min="11532" max="11532" width="10.81640625" bestFit="1" customWidth="1"/>
    <col min="11533" max="11533" width="12.1796875" customWidth="1"/>
    <col min="11777" max="11777" width="3.54296875" customWidth="1"/>
    <col min="11778" max="11778" width="31.453125" customWidth="1"/>
    <col min="11779" max="11779" width="0" hidden="1" customWidth="1"/>
    <col min="11780" max="11787" width="13.54296875" customWidth="1"/>
    <col min="11788" max="11788" width="10.81640625" bestFit="1" customWidth="1"/>
    <col min="11789" max="11789" width="12.1796875" customWidth="1"/>
    <col min="12033" max="12033" width="3.54296875" customWidth="1"/>
    <col min="12034" max="12034" width="31.453125" customWidth="1"/>
    <col min="12035" max="12035" width="0" hidden="1" customWidth="1"/>
    <col min="12036" max="12043" width="13.54296875" customWidth="1"/>
    <col min="12044" max="12044" width="10.81640625" bestFit="1" customWidth="1"/>
    <col min="12045" max="12045" width="12.1796875" customWidth="1"/>
    <col min="12289" max="12289" width="3.54296875" customWidth="1"/>
    <col min="12290" max="12290" width="31.453125" customWidth="1"/>
    <col min="12291" max="12291" width="0" hidden="1" customWidth="1"/>
    <col min="12292" max="12299" width="13.54296875" customWidth="1"/>
    <col min="12300" max="12300" width="10.81640625" bestFit="1" customWidth="1"/>
    <col min="12301" max="12301" width="12.1796875" customWidth="1"/>
    <col min="12545" max="12545" width="3.54296875" customWidth="1"/>
    <col min="12546" max="12546" width="31.453125" customWidth="1"/>
    <col min="12547" max="12547" width="0" hidden="1" customWidth="1"/>
    <col min="12548" max="12555" width="13.54296875" customWidth="1"/>
    <col min="12556" max="12556" width="10.81640625" bestFit="1" customWidth="1"/>
    <col min="12557" max="12557" width="12.1796875" customWidth="1"/>
    <col min="12801" max="12801" width="3.54296875" customWidth="1"/>
    <col min="12802" max="12802" width="31.453125" customWidth="1"/>
    <col min="12803" max="12803" width="0" hidden="1" customWidth="1"/>
    <col min="12804" max="12811" width="13.54296875" customWidth="1"/>
    <col min="12812" max="12812" width="10.81640625" bestFit="1" customWidth="1"/>
    <col min="12813" max="12813" width="12.1796875" customWidth="1"/>
    <col min="13057" max="13057" width="3.54296875" customWidth="1"/>
    <col min="13058" max="13058" width="31.453125" customWidth="1"/>
    <col min="13059" max="13059" width="0" hidden="1" customWidth="1"/>
    <col min="13060" max="13067" width="13.54296875" customWidth="1"/>
    <col min="13068" max="13068" width="10.81640625" bestFit="1" customWidth="1"/>
    <col min="13069" max="13069" width="12.1796875" customWidth="1"/>
    <col min="13313" max="13313" width="3.54296875" customWidth="1"/>
    <col min="13314" max="13314" width="31.453125" customWidth="1"/>
    <col min="13315" max="13315" width="0" hidden="1" customWidth="1"/>
    <col min="13316" max="13323" width="13.54296875" customWidth="1"/>
    <col min="13324" max="13324" width="10.81640625" bestFit="1" customWidth="1"/>
    <col min="13325" max="13325" width="12.1796875" customWidth="1"/>
    <col min="13569" max="13569" width="3.54296875" customWidth="1"/>
    <col min="13570" max="13570" width="31.453125" customWidth="1"/>
    <col min="13571" max="13571" width="0" hidden="1" customWidth="1"/>
    <col min="13572" max="13579" width="13.54296875" customWidth="1"/>
    <col min="13580" max="13580" width="10.81640625" bestFit="1" customWidth="1"/>
    <col min="13581" max="13581" width="12.1796875" customWidth="1"/>
    <col min="13825" max="13825" width="3.54296875" customWidth="1"/>
    <col min="13826" max="13826" width="31.453125" customWidth="1"/>
    <col min="13827" max="13827" width="0" hidden="1" customWidth="1"/>
    <col min="13828" max="13835" width="13.54296875" customWidth="1"/>
    <col min="13836" max="13836" width="10.81640625" bestFit="1" customWidth="1"/>
    <col min="13837" max="13837" width="12.1796875" customWidth="1"/>
    <col min="14081" max="14081" width="3.54296875" customWidth="1"/>
    <col min="14082" max="14082" width="31.453125" customWidth="1"/>
    <col min="14083" max="14083" width="0" hidden="1" customWidth="1"/>
    <col min="14084" max="14091" width="13.54296875" customWidth="1"/>
    <col min="14092" max="14092" width="10.81640625" bestFit="1" customWidth="1"/>
    <col min="14093" max="14093" width="12.1796875" customWidth="1"/>
    <col min="14337" max="14337" width="3.54296875" customWidth="1"/>
    <col min="14338" max="14338" width="31.453125" customWidth="1"/>
    <col min="14339" max="14339" width="0" hidden="1" customWidth="1"/>
    <col min="14340" max="14347" width="13.54296875" customWidth="1"/>
    <col min="14348" max="14348" width="10.81640625" bestFit="1" customWidth="1"/>
    <col min="14349" max="14349" width="12.1796875" customWidth="1"/>
    <col min="14593" max="14593" width="3.54296875" customWidth="1"/>
    <col min="14594" max="14594" width="31.453125" customWidth="1"/>
    <col min="14595" max="14595" width="0" hidden="1" customWidth="1"/>
    <col min="14596" max="14603" width="13.54296875" customWidth="1"/>
    <col min="14604" max="14604" width="10.81640625" bestFit="1" customWidth="1"/>
    <col min="14605" max="14605" width="12.1796875" customWidth="1"/>
    <col min="14849" max="14849" width="3.54296875" customWidth="1"/>
    <col min="14850" max="14850" width="31.453125" customWidth="1"/>
    <col min="14851" max="14851" width="0" hidden="1" customWidth="1"/>
    <col min="14852" max="14859" width="13.54296875" customWidth="1"/>
    <col min="14860" max="14860" width="10.81640625" bestFit="1" customWidth="1"/>
    <col min="14861" max="14861" width="12.1796875" customWidth="1"/>
    <col min="15105" max="15105" width="3.54296875" customWidth="1"/>
    <col min="15106" max="15106" width="31.453125" customWidth="1"/>
    <col min="15107" max="15107" width="0" hidden="1" customWidth="1"/>
    <col min="15108" max="15115" width="13.54296875" customWidth="1"/>
    <col min="15116" max="15116" width="10.81640625" bestFit="1" customWidth="1"/>
    <col min="15117" max="15117" width="12.1796875" customWidth="1"/>
    <col min="15361" max="15361" width="3.54296875" customWidth="1"/>
    <col min="15362" max="15362" width="31.453125" customWidth="1"/>
    <col min="15363" max="15363" width="0" hidden="1" customWidth="1"/>
    <col min="15364" max="15371" width="13.54296875" customWidth="1"/>
    <col min="15372" max="15372" width="10.81640625" bestFit="1" customWidth="1"/>
    <col min="15373" max="15373" width="12.1796875" customWidth="1"/>
    <col min="15617" max="15617" width="3.54296875" customWidth="1"/>
    <col min="15618" max="15618" width="31.453125" customWidth="1"/>
    <col min="15619" max="15619" width="0" hidden="1" customWidth="1"/>
    <col min="15620" max="15627" width="13.54296875" customWidth="1"/>
    <col min="15628" max="15628" width="10.81640625" bestFit="1" customWidth="1"/>
    <col min="15629" max="15629" width="12.1796875" customWidth="1"/>
    <col min="15873" max="15873" width="3.54296875" customWidth="1"/>
    <col min="15874" max="15874" width="31.453125" customWidth="1"/>
    <col min="15875" max="15875" width="0" hidden="1" customWidth="1"/>
    <col min="15876" max="15883" width="13.54296875" customWidth="1"/>
    <col min="15884" max="15884" width="10.81640625" bestFit="1" customWidth="1"/>
    <col min="15885" max="15885" width="12.1796875" customWidth="1"/>
    <col min="16129" max="16129" width="3.54296875" customWidth="1"/>
    <col min="16130" max="16130" width="31.453125" customWidth="1"/>
    <col min="16131" max="16131" width="0" hidden="1" customWidth="1"/>
    <col min="16132" max="16139" width="13.54296875" customWidth="1"/>
    <col min="16140" max="16140" width="10.81640625" bestFit="1" customWidth="1"/>
    <col min="16141" max="16141" width="12.1796875" customWidth="1"/>
  </cols>
  <sheetData>
    <row r="1" spans="1:17" ht="15.5" x14ac:dyDescent="0.35">
      <c r="A1" s="1048" t="s">
        <v>889</v>
      </c>
      <c r="B1" s="1049"/>
      <c r="C1" s="1049"/>
      <c r="D1" s="1049"/>
      <c r="E1" s="1049"/>
      <c r="F1" s="1049"/>
      <c r="G1" s="1049"/>
      <c r="H1" s="1049"/>
      <c r="I1" s="1049"/>
      <c r="J1" s="1049"/>
      <c r="K1" s="1049"/>
      <c r="L1" s="1049"/>
      <c r="M1" s="1049"/>
    </row>
    <row r="2" spans="1:17" ht="15.5" x14ac:dyDescent="0.35">
      <c r="A2" s="1048" t="s">
        <v>890</v>
      </c>
      <c r="B2" s="1049"/>
      <c r="C2" s="1049"/>
      <c r="D2" s="1049"/>
      <c r="E2" s="1049"/>
      <c r="F2" s="1049"/>
      <c r="G2" s="1049"/>
      <c r="H2" s="1049"/>
      <c r="I2" s="1049"/>
      <c r="J2" s="1049"/>
      <c r="K2" s="1049"/>
      <c r="L2" s="1049"/>
      <c r="M2" s="1049"/>
    </row>
    <row r="3" spans="1:17" ht="15.5" x14ac:dyDescent="0.35">
      <c r="A3" s="696"/>
      <c r="B3" s="697"/>
      <c r="C3" s="697"/>
      <c r="D3" s="697"/>
      <c r="E3" s="697"/>
      <c r="F3" s="697"/>
      <c r="G3" s="697"/>
      <c r="H3" s="697"/>
      <c r="I3" s="697"/>
      <c r="J3" s="697"/>
      <c r="K3" s="697"/>
    </row>
    <row r="4" spans="1:17" ht="15.5" x14ac:dyDescent="0.35">
      <c r="A4" s="1046" t="s">
        <v>1062</v>
      </c>
      <c r="B4" s="1047"/>
      <c r="C4" s="1047"/>
      <c r="D4" s="1047"/>
      <c r="E4" s="1047"/>
      <c r="F4" s="1047"/>
      <c r="G4" s="1047"/>
      <c r="H4" s="1047"/>
      <c r="I4" s="1047"/>
      <c r="J4" s="1047"/>
      <c r="K4" s="1047"/>
    </row>
    <row r="5" spans="1:17" ht="15.5" x14ac:dyDescent="0.35">
      <c r="A5" s="526"/>
      <c r="B5" s="526"/>
      <c r="C5" s="526"/>
      <c r="D5" s="526"/>
      <c r="E5" s="526"/>
      <c r="F5" s="526"/>
      <c r="G5" s="526"/>
      <c r="H5" s="526"/>
      <c r="I5" s="526"/>
      <c r="J5" s="526"/>
      <c r="L5" s="526"/>
      <c r="M5" s="526" t="s">
        <v>1063</v>
      </c>
    </row>
    <row r="6" spans="1:17" x14ac:dyDescent="0.35">
      <c r="A6" s="485"/>
      <c r="B6" s="527" t="s">
        <v>976</v>
      </c>
      <c r="C6" s="608"/>
      <c r="D6" s="608" t="str">
        <f>[2]DSCR!C7</f>
        <v>2025-26</v>
      </c>
      <c r="E6" s="608" t="str">
        <f>[2]DSCR!D7</f>
        <v>2026-27</v>
      </c>
      <c r="F6" s="608" t="str">
        <f>[2]DSCR!E7</f>
        <v>2027-28</v>
      </c>
      <c r="G6" s="608" t="str">
        <f>[2]DSCR!F7</f>
        <v>2028-29</v>
      </c>
      <c r="H6" s="608" t="str">
        <f>[2]DSCR!G7</f>
        <v>2029-30</v>
      </c>
      <c r="I6" s="608" t="str">
        <f>[2]DSCR!H7</f>
        <v>2030-31</v>
      </c>
      <c r="J6" s="608" t="str">
        <f>[2]DSCR!I7</f>
        <v>2031-32</v>
      </c>
      <c r="K6" s="608" t="str">
        <f>[2]DSCR!J7</f>
        <v>2032-33</v>
      </c>
      <c r="L6" s="608" t="str">
        <f>[2]DSCR!K7</f>
        <v>2033-34</v>
      </c>
      <c r="M6" s="608" t="str">
        <f>[2]DSCR!L7</f>
        <v>2034-35</v>
      </c>
    </row>
    <row r="7" spans="1:17" x14ac:dyDescent="0.35">
      <c r="A7" s="485"/>
      <c r="B7" s="527"/>
      <c r="C7" s="608"/>
      <c r="D7" s="608" t="s">
        <v>894</v>
      </c>
      <c r="E7" s="608" t="s">
        <v>894</v>
      </c>
      <c r="F7" s="608" t="s">
        <v>894</v>
      </c>
      <c r="G7" s="608" t="s">
        <v>894</v>
      </c>
      <c r="H7" s="608" t="s">
        <v>894</v>
      </c>
      <c r="I7" s="608" t="s">
        <v>894</v>
      </c>
      <c r="J7" s="608" t="s">
        <v>894</v>
      </c>
      <c r="K7" s="608" t="s">
        <v>894</v>
      </c>
      <c r="L7" s="608" t="s">
        <v>894</v>
      </c>
      <c r="M7" s="608" t="s">
        <v>894</v>
      </c>
    </row>
    <row r="8" spans="1:17" x14ac:dyDescent="0.35">
      <c r="A8" s="487" t="s">
        <v>72</v>
      </c>
      <c r="B8" s="488" t="s">
        <v>988</v>
      </c>
      <c r="C8" s="500"/>
      <c r="D8" s="500"/>
      <c r="E8" s="500"/>
      <c r="F8" s="500"/>
      <c r="G8" s="500"/>
      <c r="H8" s="500"/>
      <c r="I8" s="500"/>
      <c r="J8" s="500"/>
      <c r="K8" s="500"/>
      <c r="L8" s="500"/>
      <c r="M8" s="500"/>
      <c r="N8" s="664"/>
      <c r="O8" s="664"/>
      <c r="P8" s="664"/>
      <c r="Q8" s="664"/>
    </row>
    <row r="9" spans="1:17" x14ac:dyDescent="0.35">
      <c r="A9" s="489"/>
      <c r="B9" s="490" t="s">
        <v>1064</v>
      </c>
      <c r="D9" s="490">
        <f>-'[2]Project Cost '!C39/100+'[2]Project Cost '!D26/100</f>
        <v>-292.5</v>
      </c>
      <c r="E9" s="490">
        <v>0</v>
      </c>
      <c r="F9" s="490">
        <v>0</v>
      </c>
      <c r="G9" s="490">
        <v>0</v>
      </c>
      <c r="H9" s="490">
        <v>0</v>
      </c>
      <c r="I9" s="490">
        <v>0</v>
      </c>
      <c r="J9" s="490">
        <v>0</v>
      </c>
      <c r="K9" s="490">
        <v>0</v>
      </c>
      <c r="L9" s="490">
        <v>0</v>
      </c>
      <c r="M9" s="490">
        <v>0</v>
      </c>
      <c r="N9" s="664"/>
      <c r="O9" s="664"/>
      <c r="P9" s="664"/>
      <c r="Q9" s="664"/>
    </row>
    <row r="10" spans="1:17" x14ac:dyDescent="0.35">
      <c r="A10" s="487" t="s">
        <v>73</v>
      </c>
      <c r="B10" s="488" t="s">
        <v>979</v>
      </c>
      <c r="C10" s="490"/>
      <c r="D10" s="490"/>
      <c r="E10" s="490"/>
      <c r="F10" s="490"/>
      <c r="G10" s="490"/>
      <c r="H10" s="490"/>
      <c r="I10" s="491"/>
      <c r="J10" s="491"/>
      <c r="K10" s="491"/>
      <c r="L10" s="491"/>
      <c r="M10" s="491"/>
      <c r="N10" s="664"/>
      <c r="O10" s="664"/>
      <c r="P10" s="664"/>
      <c r="Q10" s="664"/>
    </row>
    <row r="11" spans="1:17" x14ac:dyDescent="0.35">
      <c r="A11" s="489"/>
      <c r="B11" s="490" t="s">
        <v>1065</v>
      </c>
      <c r="C11" s="490"/>
      <c r="D11" s="490">
        <f>+[2]Profitability!B31</f>
        <v>0</v>
      </c>
      <c r="E11" s="490">
        <f>+[2]Profitability!C31</f>
        <v>0</v>
      </c>
      <c r="F11" s="490">
        <f>+[2]Profitability!D31</f>
        <v>33.275596291061802</v>
      </c>
      <c r="G11" s="490">
        <f>+[2]Profitability!E31</f>
        <v>58.220942103032193</v>
      </c>
      <c r="H11" s="490">
        <f>+[2]Profitability!F31</f>
        <v>79.345348473756701</v>
      </c>
      <c r="I11" s="490">
        <f>+[2]Profitability!G31</f>
        <v>87.847087514777954</v>
      </c>
      <c r="J11" s="490">
        <f>+[2]Profitability!H31</f>
        <v>97.396607157850127</v>
      </c>
      <c r="K11" s="490">
        <f>+[2]Profitability!I31</f>
        <v>107.88072367307606</v>
      </c>
      <c r="L11" s="490">
        <f>+[2]Profitability!J31</f>
        <v>118.97668105406319</v>
      </c>
      <c r="M11" s="490">
        <f>+[2]Profitability!K31</f>
        <v>131.03032403409972</v>
      </c>
      <c r="N11" s="664"/>
      <c r="O11" s="664"/>
      <c r="P11" s="664"/>
      <c r="Q11" s="664"/>
    </row>
    <row r="12" spans="1:17" x14ac:dyDescent="0.35">
      <c r="A12" s="489"/>
      <c r="B12" s="490" t="s">
        <v>1066</v>
      </c>
      <c r="C12" s="490"/>
      <c r="D12" s="490">
        <f>[2]Profitability!C22+[2]Profitability!B22</f>
        <v>0</v>
      </c>
      <c r="E12" s="490">
        <f>[2]Profitability!D22+[2]Profitability!C22</f>
        <v>14.374999999999998</v>
      </c>
      <c r="F12" s="490">
        <f>[2]Profitability!E22+[2]Profitability!D22</f>
        <v>32.43</v>
      </c>
      <c r="G12" s="490">
        <f>[2]Profitability!F22+[2]Profitability!E22</f>
        <v>34.384999999999998</v>
      </c>
      <c r="H12" s="490">
        <f>[2]Profitability!G22+[2]Profitability!F22</f>
        <v>30.647499999999997</v>
      </c>
      <c r="I12" s="490">
        <f>[2]Profitability!H22+[2]Profitability!G22</f>
        <v>26.162500000000001</v>
      </c>
      <c r="J12" s="490">
        <f>[2]Profitability!I22+[2]Profitability!H22</f>
        <v>20.93</v>
      </c>
      <c r="K12" s="490">
        <f>[2]Profitability!J22+[2]Profitability!I22</f>
        <v>15.237500000000001</v>
      </c>
      <c r="L12" s="490">
        <f>[2]Profitability!K22+[2]Profitability!J22</f>
        <v>9.0849999999999991</v>
      </c>
      <c r="M12" s="490">
        <f>[2]Profitability!L22+[2]Profitability!K22</f>
        <v>3.1624999999999996</v>
      </c>
      <c r="N12" s="664"/>
      <c r="O12" s="664"/>
      <c r="P12" s="664"/>
      <c r="Q12" s="664"/>
    </row>
    <row r="13" spans="1:17" x14ac:dyDescent="0.35">
      <c r="A13" s="489"/>
      <c r="B13" s="490" t="s">
        <v>1067</v>
      </c>
      <c r="C13" s="490"/>
      <c r="D13" s="490"/>
      <c r="E13" s="490"/>
      <c r="F13" s="490"/>
      <c r="G13" s="490"/>
      <c r="H13" s="490"/>
      <c r="I13" s="490"/>
      <c r="J13" s="490"/>
      <c r="K13" s="490"/>
      <c r="L13" s="490"/>
      <c r="M13" s="490">
        <f>-D9*0.2</f>
        <v>58.5</v>
      </c>
      <c r="N13" s="664"/>
      <c r="O13" s="664"/>
      <c r="P13" s="664"/>
      <c r="Q13" s="664"/>
    </row>
    <row r="14" spans="1:17" x14ac:dyDescent="0.35">
      <c r="A14" s="487" t="s">
        <v>74</v>
      </c>
      <c r="B14" s="488" t="s">
        <v>1068</v>
      </c>
      <c r="C14" s="490"/>
      <c r="D14" s="490">
        <f t="shared" ref="D14:L14" si="0">SUM(D9:D13)</f>
        <v>-292.5</v>
      </c>
      <c r="E14" s="490">
        <f t="shared" si="0"/>
        <v>14.374999999999998</v>
      </c>
      <c r="F14" s="490">
        <f t="shared" si="0"/>
        <v>65.705596291061795</v>
      </c>
      <c r="G14" s="490">
        <f t="shared" si="0"/>
        <v>92.605942103032191</v>
      </c>
      <c r="H14" s="490">
        <f t="shared" si="0"/>
        <v>109.99284847375669</v>
      </c>
      <c r="I14" s="490">
        <f t="shared" si="0"/>
        <v>114.00958751477796</v>
      </c>
      <c r="J14" s="490">
        <f t="shared" si="0"/>
        <v>118.32660715785013</v>
      </c>
      <c r="K14" s="490">
        <f t="shared" si="0"/>
        <v>123.11822367307606</v>
      </c>
      <c r="L14" s="490">
        <f t="shared" si="0"/>
        <v>128.0616810540632</v>
      </c>
      <c r="M14" s="490">
        <f>SUM(M9:M13)</f>
        <v>192.69282403409971</v>
      </c>
      <c r="N14" s="664"/>
      <c r="O14" s="664"/>
      <c r="P14" s="664"/>
      <c r="Q14" s="664"/>
    </row>
    <row r="15" spans="1:17" x14ac:dyDescent="0.35">
      <c r="A15" s="487" t="s">
        <v>81</v>
      </c>
      <c r="B15" s="490" t="s">
        <v>255</v>
      </c>
      <c r="C15" s="528"/>
      <c r="D15" s="528">
        <f>IRR(D14:L14)</f>
        <v>0.2189211865120464</v>
      </c>
      <c r="E15" s="521"/>
      <c r="F15" s="521"/>
      <c r="G15" s="521"/>
      <c r="H15" s="521"/>
      <c r="I15" s="521"/>
      <c r="J15" s="521"/>
      <c r="K15" s="521"/>
      <c r="L15" s="521"/>
      <c r="M15" s="521"/>
      <c r="N15" s="664"/>
      <c r="O15" s="664"/>
      <c r="P15" s="664"/>
      <c r="Q15" s="664"/>
    </row>
    <row r="16" spans="1:17" x14ac:dyDescent="0.35">
      <c r="A16" s="489"/>
      <c r="B16" s="490"/>
      <c r="C16" s="528"/>
      <c r="D16" s="529"/>
      <c r="E16" s="529"/>
      <c r="F16" s="529"/>
      <c r="G16" s="529"/>
      <c r="H16" s="529"/>
      <c r="I16" s="529"/>
      <c r="J16" s="529"/>
      <c r="K16" s="529"/>
      <c r="L16" s="529"/>
      <c r="M16" s="529"/>
      <c r="N16" s="664"/>
      <c r="O16" s="664"/>
      <c r="P16" s="664"/>
      <c r="Q16" s="664"/>
    </row>
    <row r="17" spans="1:17" ht="13" hidden="1" customHeight="1" x14ac:dyDescent="0.35">
      <c r="A17" s="492"/>
      <c r="B17" s="468" t="s">
        <v>1069</v>
      </c>
      <c r="C17" s="530">
        <v>0.115</v>
      </c>
      <c r="D17" s="506"/>
      <c r="E17" s="506"/>
      <c r="F17" s="506"/>
      <c r="G17" s="506"/>
      <c r="H17" s="506"/>
      <c r="I17" s="506"/>
      <c r="J17" s="506"/>
      <c r="K17" s="506"/>
      <c r="L17" s="664"/>
      <c r="M17" s="664"/>
      <c r="N17" s="664"/>
      <c r="O17" s="664"/>
      <c r="P17" s="664"/>
      <c r="Q17" s="664"/>
    </row>
    <row r="18" spans="1:17" ht="12.5" hidden="1" customHeight="1" x14ac:dyDescent="0.35">
      <c r="A18" s="492"/>
      <c r="B18" s="468" t="s">
        <v>1070</v>
      </c>
      <c r="C18" s="531">
        <v>1</v>
      </c>
      <c r="D18" s="531">
        <f t="shared" ref="D18:K18" si="1">+C18*(1-$C$17)</f>
        <v>0.88500000000000001</v>
      </c>
      <c r="E18" s="531">
        <f t="shared" si="1"/>
        <v>0.78322500000000006</v>
      </c>
      <c r="F18" s="531">
        <f t="shared" si="1"/>
        <v>0.69315412500000007</v>
      </c>
      <c r="G18" s="531">
        <f t="shared" si="1"/>
        <v>0.61344140062500008</v>
      </c>
      <c r="H18" s="531">
        <f t="shared" si="1"/>
        <v>0.54289563955312503</v>
      </c>
      <c r="I18" s="531">
        <f t="shared" si="1"/>
        <v>0.48046264100451563</v>
      </c>
      <c r="J18" s="531">
        <f t="shared" si="1"/>
        <v>0.42520943728899635</v>
      </c>
      <c r="K18" s="531">
        <f t="shared" si="1"/>
        <v>0.37631035200076179</v>
      </c>
      <c r="L18" s="664"/>
      <c r="M18" s="664"/>
      <c r="N18" s="664"/>
      <c r="O18" s="664"/>
      <c r="P18" s="664"/>
      <c r="Q18" s="664"/>
    </row>
    <row r="19" spans="1:17" ht="12.5" hidden="1" customHeight="1" x14ac:dyDescent="0.35">
      <c r="A19" s="492"/>
      <c r="B19" s="468"/>
      <c r="C19" s="531"/>
      <c r="D19" s="531"/>
      <c r="E19" s="531"/>
      <c r="F19" s="531"/>
      <c r="G19" s="531"/>
      <c r="H19" s="531"/>
      <c r="I19" s="531"/>
      <c r="J19" s="531"/>
      <c r="K19" s="531"/>
      <c r="L19" s="664"/>
      <c r="M19" s="664"/>
      <c r="N19" s="664"/>
      <c r="O19" s="664"/>
      <c r="P19" s="664"/>
      <c r="Q19" s="664"/>
    </row>
    <row r="20" spans="1:17" ht="13" hidden="1" customHeight="1" x14ac:dyDescent="0.35">
      <c r="A20" s="492"/>
      <c r="B20" s="442" t="s">
        <v>1071</v>
      </c>
      <c r="C20" s="506">
        <f t="shared" ref="C20:K20" si="2">+C14*C18</f>
        <v>0</v>
      </c>
      <c r="D20" s="506">
        <f t="shared" si="2"/>
        <v>-258.86250000000001</v>
      </c>
      <c r="E20" s="506">
        <f t="shared" si="2"/>
        <v>11.258859375</v>
      </c>
      <c r="F20" s="506">
        <f t="shared" si="2"/>
        <v>45.544105104734186</v>
      </c>
      <c r="G20" s="506">
        <f t="shared" si="2"/>
        <v>56.808318829881735</v>
      </c>
      <c r="H20" s="506">
        <f t="shared" si="2"/>
        <v>59.714637818430113</v>
      </c>
      <c r="I20" s="506">
        <f t="shared" si="2"/>
        <v>54.777347517185675</v>
      </c>
      <c r="J20" s="506">
        <f t="shared" si="2"/>
        <v>50.313590045905585</v>
      </c>
      <c r="K20" s="506">
        <f t="shared" si="2"/>
        <v>46.330662088123773</v>
      </c>
      <c r="L20" s="664"/>
      <c r="M20" s="664"/>
      <c r="N20" s="664"/>
      <c r="O20" s="664"/>
      <c r="P20" s="664"/>
      <c r="Q20" s="664"/>
    </row>
    <row r="21" spans="1:17" ht="13" hidden="1" customHeight="1" x14ac:dyDescent="0.35">
      <c r="A21" s="492"/>
      <c r="B21" s="442" t="s">
        <v>1072</v>
      </c>
      <c r="C21" s="532"/>
      <c r="D21" s="532"/>
      <c r="E21" s="532"/>
      <c r="F21" s="532"/>
      <c r="G21" s="532"/>
      <c r="H21" s="532">
        <f>SUM($C20:H20)</f>
        <v>-85.536578871954021</v>
      </c>
      <c r="I21" s="532">
        <f>SUM($C20:I20)</f>
        <v>-30.759231354768346</v>
      </c>
      <c r="J21" s="532">
        <f>SUM($C20:J20)</f>
        <v>19.554358691137239</v>
      </c>
      <c r="K21" s="532">
        <f>SUM($C20:K20)</f>
        <v>65.885020779261012</v>
      </c>
      <c r="L21" s="664"/>
      <c r="M21" s="664"/>
      <c r="N21" s="664"/>
      <c r="O21" s="664"/>
      <c r="P21" s="664"/>
      <c r="Q21" s="664"/>
    </row>
    <row r="22" spans="1:17" ht="12.5" hidden="1" customHeight="1" x14ac:dyDescent="0.35">
      <c r="A22" s="492"/>
      <c r="B22" s="468"/>
      <c r="C22" s="533"/>
      <c r="D22" s="506"/>
      <c r="E22" s="506"/>
      <c r="F22" s="506"/>
      <c r="G22" s="506"/>
      <c r="H22" s="506"/>
      <c r="I22" s="506"/>
      <c r="J22" s="506"/>
      <c r="K22" s="506"/>
      <c r="L22" s="664"/>
      <c r="M22" s="664"/>
      <c r="N22" s="664"/>
      <c r="O22" s="664"/>
      <c r="P22" s="664"/>
      <c r="Q22" s="664"/>
    </row>
    <row r="24" spans="1:17" x14ac:dyDescent="0.35">
      <c r="C24" s="698"/>
    </row>
  </sheetData>
  <mergeCells count="3">
    <mergeCell ref="A4:K4"/>
    <mergeCell ref="A1:M1"/>
    <mergeCell ref="A2:M2"/>
  </mergeCells>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1FF1C-B103-4B98-ADF2-39D118E930FA}">
  <sheetPr>
    <tabColor rgb="FFFF0000"/>
    <pageSetUpPr fitToPage="1"/>
  </sheetPr>
  <dimension ref="A2:H23"/>
  <sheetViews>
    <sheetView workbookViewId="0">
      <selection activeCell="F15" sqref="A1:XFD1048576"/>
    </sheetView>
  </sheetViews>
  <sheetFormatPr defaultRowHeight="14.5" x14ac:dyDescent="0.35"/>
  <cols>
    <col min="2" max="2" width="28.26953125" bestFit="1" customWidth="1"/>
    <col min="3" max="3" width="20.453125" bestFit="1" customWidth="1"/>
    <col min="258" max="258" width="28.26953125" bestFit="1" customWidth="1"/>
    <col min="259" max="259" width="20.453125" bestFit="1" customWidth="1"/>
    <col min="514" max="514" width="28.26953125" bestFit="1" customWidth="1"/>
    <col min="515" max="515" width="20.453125" bestFit="1" customWidth="1"/>
    <col min="770" max="770" width="28.26953125" bestFit="1" customWidth="1"/>
    <col min="771" max="771" width="20.453125" bestFit="1" customWidth="1"/>
    <col min="1026" max="1026" width="28.26953125" bestFit="1" customWidth="1"/>
    <col min="1027" max="1027" width="20.453125" bestFit="1" customWidth="1"/>
    <col min="1282" max="1282" width="28.26953125" bestFit="1" customWidth="1"/>
    <col min="1283" max="1283" width="20.453125" bestFit="1" customWidth="1"/>
    <col min="1538" max="1538" width="28.26953125" bestFit="1" customWidth="1"/>
    <col min="1539" max="1539" width="20.453125" bestFit="1" customWidth="1"/>
    <col min="1794" max="1794" width="28.26953125" bestFit="1" customWidth="1"/>
    <col min="1795" max="1795" width="20.453125" bestFit="1" customWidth="1"/>
    <col min="2050" max="2050" width="28.26953125" bestFit="1" customWidth="1"/>
    <col min="2051" max="2051" width="20.453125" bestFit="1" customWidth="1"/>
    <col min="2306" max="2306" width="28.26953125" bestFit="1" customWidth="1"/>
    <col min="2307" max="2307" width="20.453125" bestFit="1" customWidth="1"/>
    <col min="2562" max="2562" width="28.26953125" bestFit="1" customWidth="1"/>
    <col min="2563" max="2563" width="20.453125" bestFit="1" customWidth="1"/>
    <col min="2818" max="2818" width="28.26953125" bestFit="1" customWidth="1"/>
    <col min="2819" max="2819" width="20.453125" bestFit="1" customWidth="1"/>
    <col min="3074" max="3074" width="28.26953125" bestFit="1" customWidth="1"/>
    <col min="3075" max="3075" width="20.453125" bestFit="1" customWidth="1"/>
    <col min="3330" max="3330" width="28.26953125" bestFit="1" customWidth="1"/>
    <col min="3331" max="3331" width="20.453125" bestFit="1" customWidth="1"/>
    <col min="3586" max="3586" width="28.26953125" bestFit="1" customWidth="1"/>
    <col min="3587" max="3587" width="20.453125" bestFit="1" customWidth="1"/>
    <col min="3842" max="3842" width="28.26953125" bestFit="1" customWidth="1"/>
    <col min="3843" max="3843" width="20.453125" bestFit="1" customWidth="1"/>
    <col min="4098" max="4098" width="28.26953125" bestFit="1" customWidth="1"/>
    <col min="4099" max="4099" width="20.453125" bestFit="1" customWidth="1"/>
    <col min="4354" max="4354" width="28.26953125" bestFit="1" customWidth="1"/>
    <col min="4355" max="4355" width="20.453125" bestFit="1" customWidth="1"/>
    <col min="4610" max="4610" width="28.26953125" bestFit="1" customWidth="1"/>
    <col min="4611" max="4611" width="20.453125" bestFit="1" customWidth="1"/>
    <col min="4866" max="4866" width="28.26953125" bestFit="1" customWidth="1"/>
    <col min="4867" max="4867" width="20.453125" bestFit="1" customWidth="1"/>
    <col min="5122" max="5122" width="28.26953125" bestFit="1" customWidth="1"/>
    <col min="5123" max="5123" width="20.453125" bestFit="1" customWidth="1"/>
    <col min="5378" max="5378" width="28.26953125" bestFit="1" customWidth="1"/>
    <col min="5379" max="5379" width="20.453125" bestFit="1" customWidth="1"/>
    <col min="5634" max="5634" width="28.26953125" bestFit="1" customWidth="1"/>
    <col min="5635" max="5635" width="20.453125" bestFit="1" customWidth="1"/>
    <col min="5890" max="5890" width="28.26953125" bestFit="1" customWidth="1"/>
    <col min="5891" max="5891" width="20.453125" bestFit="1" customWidth="1"/>
    <col min="6146" max="6146" width="28.26953125" bestFit="1" customWidth="1"/>
    <col min="6147" max="6147" width="20.453125" bestFit="1" customWidth="1"/>
    <col min="6402" max="6402" width="28.26953125" bestFit="1" customWidth="1"/>
    <col min="6403" max="6403" width="20.453125" bestFit="1" customWidth="1"/>
    <col min="6658" max="6658" width="28.26953125" bestFit="1" customWidth="1"/>
    <col min="6659" max="6659" width="20.453125" bestFit="1" customWidth="1"/>
    <col min="6914" max="6914" width="28.26953125" bestFit="1" customWidth="1"/>
    <col min="6915" max="6915" width="20.453125" bestFit="1" customWidth="1"/>
    <col min="7170" max="7170" width="28.26953125" bestFit="1" customWidth="1"/>
    <col min="7171" max="7171" width="20.453125" bestFit="1" customWidth="1"/>
    <col min="7426" max="7426" width="28.26953125" bestFit="1" customWidth="1"/>
    <col min="7427" max="7427" width="20.453125" bestFit="1" customWidth="1"/>
    <col min="7682" max="7682" width="28.26953125" bestFit="1" customWidth="1"/>
    <col min="7683" max="7683" width="20.453125" bestFit="1" customWidth="1"/>
    <col min="7938" max="7938" width="28.26953125" bestFit="1" customWidth="1"/>
    <col min="7939" max="7939" width="20.453125" bestFit="1" customWidth="1"/>
    <col min="8194" max="8194" width="28.26953125" bestFit="1" customWidth="1"/>
    <col min="8195" max="8195" width="20.453125" bestFit="1" customWidth="1"/>
    <col min="8450" max="8450" width="28.26953125" bestFit="1" customWidth="1"/>
    <col min="8451" max="8451" width="20.453125" bestFit="1" customWidth="1"/>
    <col min="8706" max="8706" width="28.26953125" bestFit="1" customWidth="1"/>
    <col min="8707" max="8707" width="20.453125" bestFit="1" customWidth="1"/>
    <col min="8962" max="8962" width="28.26953125" bestFit="1" customWidth="1"/>
    <col min="8963" max="8963" width="20.453125" bestFit="1" customWidth="1"/>
    <col min="9218" max="9218" width="28.26953125" bestFit="1" customWidth="1"/>
    <col min="9219" max="9219" width="20.453125" bestFit="1" customWidth="1"/>
    <col min="9474" max="9474" width="28.26953125" bestFit="1" customWidth="1"/>
    <col min="9475" max="9475" width="20.453125" bestFit="1" customWidth="1"/>
    <col min="9730" max="9730" width="28.26953125" bestFit="1" customWidth="1"/>
    <col min="9731" max="9731" width="20.453125" bestFit="1" customWidth="1"/>
    <col min="9986" max="9986" width="28.26953125" bestFit="1" customWidth="1"/>
    <col min="9987" max="9987" width="20.453125" bestFit="1" customWidth="1"/>
    <col min="10242" max="10242" width="28.26953125" bestFit="1" customWidth="1"/>
    <col min="10243" max="10243" width="20.453125" bestFit="1" customWidth="1"/>
    <col min="10498" max="10498" width="28.26953125" bestFit="1" customWidth="1"/>
    <col min="10499" max="10499" width="20.453125" bestFit="1" customWidth="1"/>
    <col min="10754" max="10754" width="28.26953125" bestFit="1" customWidth="1"/>
    <col min="10755" max="10755" width="20.453125" bestFit="1" customWidth="1"/>
    <col min="11010" max="11010" width="28.26953125" bestFit="1" customWidth="1"/>
    <col min="11011" max="11011" width="20.453125" bestFit="1" customWidth="1"/>
    <col min="11266" max="11266" width="28.26953125" bestFit="1" customWidth="1"/>
    <col min="11267" max="11267" width="20.453125" bestFit="1" customWidth="1"/>
    <col min="11522" max="11522" width="28.26953125" bestFit="1" customWidth="1"/>
    <col min="11523" max="11523" width="20.453125" bestFit="1" customWidth="1"/>
    <col min="11778" max="11778" width="28.26953125" bestFit="1" customWidth="1"/>
    <col min="11779" max="11779" width="20.453125" bestFit="1" customWidth="1"/>
    <col min="12034" max="12034" width="28.26953125" bestFit="1" customWidth="1"/>
    <col min="12035" max="12035" width="20.453125" bestFit="1" customWidth="1"/>
    <col min="12290" max="12290" width="28.26953125" bestFit="1" customWidth="1"/>
    <col min="12291" max="12291" width="20.453125" bestFit="1" customWidth="1"/>
    <col min="12546" max="12546" width="28.26953125" bestFit="1" customWidth="1"/>
    <col min="12547" max="12547" width="20.453125" bestFit="1" customWidth="1"/>
    <col min="12802" max="12802" width="28.26953125" bestFit="1" customWidth="1"/>
    <col min="12803" max="12803" width="20.453125" bestFit="1" customWidth="1"/>
    <col min="13058" max="13058" width="28.26953125" bestFit="1" customWidth="1"/>
    <col min="13059" max="13059" width="20.453125" bestFit="1" customWidth="1"/>
    <col min="13314" max="13314" width="28.26953125" bestFit="1" customWidth="1"/>
    <col min="13315" max="13315" width="20.453125" bestFit="1" customWidth="1"/>
    <col min="13570" max="13570" width="28.26953125" bestFit="1" customWidth="1"/>
    <col min="13571" max="13571" width="20.453125" bestFit="1" customWidth="1"/>
    <col min="13826" max="13826" width="28.26953125" bestFit="1" customWidth="1"/>
    <col min="13827" max="13827" width="20.453125" bestFit="1" customWidth="1"/>
    <col min="14082" max="14082" width="28.26953125" bestFit="1" customWidth="1"/>
    <col min="14083" max="14083" width="20.453125" bestFit="1" customWidth="1"/>
    <col min="14338" max="14338" width="28.26953125" bestFit="1" customWidth="1"/>
    <col min="14339" max="14339" width="20.453125" bestFit="1" customWidth="1"/>
    <col min="14594" max="14594" width="28.26953125" bestFit="1" customWidth="1"/>
    <col min="14595" max="14595" width="20.453125" bestFit="1" customWidth="1"/>
    <col min="14850" max="14850" width="28.26953125" bestFit="1" customWidth="1"/>
    <col min="14851" max="14851" width="20.453125" bestFit="1" customWidth="1"/>
    <col min="15106" max="15106" width="28.26953125" bestFit="1" customWidth="1"/>
    <col min="15107" max="15107" width="20.453125" bestFit="1" customWidth="1"/>
    <col min="15362" max="15362" width="28.26953125" bestFit="1" customWidth="1"/>
    <col min="15363" max="15363" width="20.453125" bestFit="1" customWidth="1"/>
    <col min="15618" max="15618" width="28.26953125" bestFit="1" customWidth="1"/>
    <col min="15619" max="15619" width="20.453125" bestFit="1" customWidth="1"/>
    <col min="15874" max="15874" width="28.26953125" bestFit="1" customWidth="1"/>
    <col min="15875" max="15875" width="20.453125" bestFit="1" customWidth="1"/>
    <col min="16130" max="16130" width="28.26953125" bestFit="1" customWidth="1"/>
    <col min="16131" max="16131" width="20.453125" bestFit="1" customWidth="1"/>
  </cols>
  <sheetData>
    <row r="2" spans="1:8" x14ac:dyDescent="0.35">
      <c r="A2" s="607" t="s">
        <v>1073</v>
      </c>
      <c r="B2" s="24"/>
      <c r="C2" s="24"/>
      <c r="D2" s="24"/>
      <c r="E2" s="24"/>
      <c r="F2" s="24"/>
    </row>
    <row r="3" spans="1:8" x14ac:dyDescent="0.35">
      <c r="A3" s="372"/>
      <c r="B3" s="607" t="s">
        <v>1074</v>
      </c>
      <c r="C3" s="372" t="s">
        <v>1075</v>
      </c>
      <c r="D3" s="372" t="s">
        <v>780</v>
      </c>
      <c r="E3" s="372" t="s">
        <v>1076</v>
      </c>
      <c r="F3" s="372" t="s">
        <v>1077</v>
      </c>
    </row>
    <row r="4" spans="1:8" x14ac:dyDescent="0.35">
      <c r="A4" s="24">
        <v>1</v>
      </c>
      <c r="B4" s="372" t="s">
        <v>1078</v>
      </c>
      <c r="C4" s="372" t="s">
        <v>1079</v>
      </c>
      <c r="D4" s="490">
        <f>(+[2]Profitability!$D$13+[2]Profitability!$D$14)*H4%</f>
        <v>34.520064445125008</v>
      </c>
      <c r="E4" s="529">
        <v>45</v>
      </c>
      <c r="F4" s="490">
        <f>+D4*E4/'[2]Cost &amp; Sales assumptions'!$D$27*1.18</f>
        <v>6.7889460075412513</v>
      </c>
      <c r="H4">
        <v>45</v>
      </c>
    </row>
    <row r="5" spans="1:8" x14ac:dyDescent="0.35">
      <c r="A5" s="24">
        <v>2</v>
      </c>
      <c r="B5" s="372" t="s">
        <v>1080</v>
      </c>
      <c r="C5" s="372" t="s">
        <v>1081</v>
      </c>
      <c r="D5" s="490">
        <f>(+[2]Profitability!$D$13+[2]Profitability!$D$14)*H5%</f>
        <v>3.8355627161250005</v>
      </c>
      <c r="E5" s="529">
        <v>15</v>
      </c>
      <c r="F5" s="490">
        <f>+D5*E5/'[2]Cost &amp; Sales assumptions'!$D$27*1.18</f>
        <v>0.25144244472375005</v>
      </c>
      <c r="H5">
        <v>5</v>
      </c>
    </row>
    <row r="6" spans="1:8" x14ac:dyDescent="0.35">
      <c r="A6" s="24">
        <v>3</v>
      </c>
      <c r="B6" s="372" t="s">
        <v>1082</v>
      </c>
      <c r="C6" s="372" t="s">
        <v>1083</v>
      </c>
      <c r="D6" s="490">
        <f>(+[2]Profitability!$D$13+[2]Profitability!$D$14)*H6%</f>
        <v>23.013376296750003</v>
      </c>
      <c r="E6" s="529">
        <v>30</v>
      </c>
      <c r="F6" s="490">
        <f>+D6*E6/'[2]Cost &amp; Sales assumptions'!$D$27*1.18</f>
        <v>3.0173093366850003</v>
      </c>
      <c r="H6">
        <v>30</v>
      </c>
    </row>
    <row r="7" spans="1:8" x14ac:dyDescent="0.35">
      <c r="A7" s="24">
        <v>4</v>
      </c>
      <c r="B7" s="372" t="s">
        <v>1084</v>
      </c>
      <c r="C7" s="372" t="s">
        <v>567</v>
      </c>
      <c r="D7" s="490">
        <f>([2]Profitability!D7)*H7%</f>
        <v>35.12565</v>
      </c>
      <c r="E7" s="529">
        <v>30</v>
      </c>
      <c r="F7" s="490">
        <f>+D7*E7/'[2]Cost &amp; Sales assumptions'!$D$27*1.18</f>
        <v>4.6053630000000005</v>
      </c>
      <c r="H7">
        <v>20</v>
      </c>
    </row>
    <row r="8" spans="1:8" x14ac:dyDescent="0.35">
      <c r="A8" s="24">
        <v>5</v>
      </c>
      <c r="B8" s="372" t="s">
        <v>1085</v>
      </c>
      <c r="C8" s="372" t="s">
        <v>1086</v>
      </c>
      <c r="D8" s="490">
        <f>([2]Profitability!$D$14)</f>
        <v>24.51084229125</v>
      </c>
      <c r="E8" s="529">
        <v>180</v>
      </c>
      <c r="F8" s="490">
        <f>+D8*E8/'[2]Cost &amp; Sales assumptions'!$D$27*1.18</f>
        <v>19.281862602449998</v>
      </c>
      <c r="G8" s="591"/>
    </row>
    <row r="9" spans="1:8" x14ac:dyDescent="0.35">
      <c r="A9" s="24">
        <v>5</v>
      </c>
      <c r="B9" s="372" t="s">
        <v>1087</v>
      </c>
      <c r="C9" s="372" t="s">
        <v>1086</v>
      </c>
      <c r="D9" s="490"/>
      <c r="E9" s="529"/>
      <c r="F9" s="490">
        <f>+C21</f>
        <v>2</v>
      </c>
      <c r="H9">
        <f>SUM(H4:H8)</f>
        <v>100</v>
      </c>
    </row>
    <row r="10" spans="1:8" x14ac:dyDescent="0.35">
      <c r="A10" s="24"/>
      <c r="B10" s="372" t="s">
        <v>449</v>
      </c>
      <c r="C10" s="24"/>
      <c r="D10" s="490"/>
      <c r="E10" s="490"/>
      <c r="F10" s="488">
        <f>SUM(F4:F9)</f>
        <v>35.944923391399996</v>
      </c>
      <c r="G10" s="428">
        <v>40</v>
      </c>
    </row>
    <row r="11" spans="1:8" x14ac:dyDescent="0.35">
      <c r="A11" s="372" t="s">
        <v>1088</v>
      </c>
      <c r="B11" s="24"/>
      <c r="C11" s="24"/>
      <c r="D11" s="490"/>
      <c r="E11" s="490"/>
      <c r="F11" s="490"/>
      <c r="G11" s="428"/>
    </row>
    <row r="12" spans="1:8" x14ac:dyDescent="0.35">
      <c r="A12" s="372">
        <v>1</v>
      </c>
      <c r="B12" s="372" t="s">
        <v>1089</v>
      </c>
      <c r="C12" s="372" t="s">
        <v>1090</v>
      </c>
      <c r="D12" s="490"/>
      <c r="E12" s="490"/>
      <c r="F12" s="490">
        <f>+C22</f>
        <v>3</v>
      </c>
      <c r="G12" s="428"/>
    </row>
    <row r="13" spans="1:8" x14ac:dyDescent="0.35">
      <c r="A13" s="372"/>
      <c r="B13" s="372"/>
      <c r="C13" s="372"/>
      <c r="D13" s="490"/>
      <c r="E13" s="490"/>
      <c r="F13" s="490"/>
      <c r="G13" s="428"/>
    </row>
    <row r="14" spans="1:8" x14ac:dyDescent="0.35">
      <c r="A14" s="24"/>
      <c r="B14" s="24"/>
      <c r="C14" s="24"/>
      <c r="D14" s="490"/>
      <c r="E14" s="490"/>
      <c r="F14" s="488">
        <f>SUM(F12:F13)</f>
        <v>3</v>
      </c>
      <c r="G14" s="428">
        <v>10</v>
      </c>
    </row>
    <row r="15" spans="1:8" x14ac:dyDescent="0.35">
      <c r="A15" s="24"/>
      <c r="B15" s="372" t="s">
        <v>1091</v>
      </c>
      <c r="C15" s="24"/>
      <c r="D15" s="490"/>
      <c r="E15" s="490"/>
      <c r="F15" s="490">
        <f>+F10-F14</f>
        <v>32.944923391399996</v>
      </c>
      <c r="G15" s="428">
        <f>+G10-G14</f>
        <v>30</v>
      </c>
    </row>
    <row r="16" spans="1:8" x14ac:dyDescent="0.35">
      <c r="A16" s="24"/>
      <c r="B16" s="372" t="s">
        <v>1092</v>
      </c>
      <c r="C16" s="24"/>
      <c r="D16" s="490"/>
      <c r="E16" s="490"/>
      <c r="F16" s="490">
        <f>+F15*0.25</f>
        <v>8.236230847849999</v>
      </c>
      <c r="G16" s="428">
        <f>+G15*0.25</f>
        <v>7.5</v>
      </c>
    </row>
    <row r="17" spans="2:7" x14ac:dyDescent="0.35">
      <c r="G17" s="428"/>
    </row>
    <row r="20" spans="2:7" x14ac:dyDescent="0.35">
      <c r="B20" s="617" t="s">
        <v>1093</v>
      </c>
      <c r="C20" s="428">
        <f>+'[2]Balance Sheet'!D22</f>
        <v>30</v>
      </c>
      <c r="D20" s="428"/>
      <c r="E20" s="428"/>
    </row>
    <row r="21" spans="2:7" x14ac:dyDescent="0.35">
      <c r="B21" s="617" t="s">
        <v>1087</v>
      </c>
      <c r="C21" s="428">
        <f>+'[2]Balance Sheet'!D24</f>
        <v>2</v>
      </c>
      <c r="D21" s="428"/>
      <c r="E21" s="428"/>
    </row>
    <row r="22" spans="2:7" x14ac:dyDescent="0.35">
      <c r="B22" s="617" t="s">
        <v>1094</v>
      </c>
      <c r="C22" s="428">
        <f>+'[2]Balance Sheet'!D14</f>
        <v>3</v>
      </c>
      <c r="D22" s="428"/>
      <c r="E22" s="428"/>
    </row>
    <row r="23" spans="2:7" x14ac:dyDescent="0.35">
      <c r="B23" s="617"/>
      <c r="C23" s="447"/>
      <c r="D23" s="428"/>
      <c r="E23" s="428"/>
    </row>
  </sheetData>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8F46-7B07-48A8-80D3-879FBBDA2B60}">
  <sheetPr>
    <tabColor rgb="FFFF0000"/>
    <pageSetUpPr fitToPage="1"/>
  </sheetPr>
  <dimension ref="A4:L38"/>
  <sheetViews>
    <sheetView workbookViewId="0">
      <selection sqref="A1:XFD1048576"/>
    </sheetView>
  </sheetViews>
  <sheetFormatPr defaultRowHeight="14.5" x14ac:dyDescent="0.35"/>
  <cols>
    <col min="1" max="1" width="5.54296875" customWidth="1"/>
    <col min="2" max="2" width="28.7265625" customWidth="1"/>
    <col min="3" max="13" width="13.81640625" customWidth="1"/>
    <col min="257" max="257" width="5.54296875" customWidth="1"/>
    <col min="258" max="258" width="28.7265625" customWidth="1"/>
    <col min="259" max="269" width="13.81640625" customWidth="1"/>
    <col min="513" max="513" width="5.54296875" customWidth="1"/>
    <col min="514" max="514" width="28.7265625" customWidth="1"/>
    <col min="515" max="525" width="13.81640625" customWidth="1"/>
    <col min="769" max="769" width="5.54296875" customWidth="1"/>
    <col min="770" max="770" width="28.7265625" customWidth="1"/>
    <col min="771" max="781" width="13.81640625" customWidth="1"/>
    <col min="1025" max="1025" width="5.54296875" customWidth="1"/>
    <col min="1026" max="1026" width="28.7265625" customWidth="1"/>
    <col min="1027" max="1037" width="13.81640625" customWidth="1"/>
    <col min="1281" max="1281" width="5.54296875" customWidth="1"/>
    <col min="1282" max="1282" width="28.7265625" customWidth="1"/>
    <col min="1283" max="1293" width="13.81640625" customWidth="1"/>
    <col min="1537" max="1537" width="5.54296875" customWidth="1"/>
    <col min="1538" max="1538" width="28.7265625" customWidth="1"/>
    <col min="1539" max="1549" width="13.81640625" customWidth="1"/>
    <col min="1793" max="1793" width="5.54296875" customWidth="1"/>
    <col min="1794" max="1794" width="28.7265625" customWidth="1"/>
    <col min="1795" max="1805" width="13.81640625" customWidth="1"/>
    <col min="2049" max="2049" width="5.54296875" customWidth="1"/>
    <col min="2050" max="2050" width="28.7265625" customWidth="1"/>
    <col min="2051" max="2061" width="13.81640625" customWidth="1"/>
    <col min="2305" max="2305" width="5.54296875" customWidth="1"/>
    <col min="2306" max="2306" width="28.7265625" customWidth="1"/>
    <col min="2307" max="2317" width="13.81640625" customWidth="1"/>
    <col min="2561" max="2561" width="5.54296875" customWidth="1"/>
    <col min="2562" max="2562" width="28.7265625" customWidth="1"/>
    <col min="2563" max="2573" width="13.81640625" customWidth="1"/>
    <col min="2817" max="2817" width="5.54296875" customWidth="1"/>
    <col min="2818" max="2818" width="28.7265625" customWidth="1"/>
    <col min="2819" max="2829" width="13.81640625" customWidth="1"/>
    <col min="3073" max="3073" width="5.54296875" customWidth="1"/>
    <col min="3074" max="3074" width="28.7265625" customWidth="1"/>
    <col min="3075" max="3085" width="13.81640625" customWidth="1"/>
    <col min="3329" max="3329" width="5.54296875" customWidth="1"/>
    <col min="3330" max="3330" width="28.7265625" customWidth="1"/>
    <col min="3331" max="3341" width="13.81640625" customWidth="1"/>
    <col min="3585" max="3585" width="5.54296875" customWidth="1"/>
    <col min="3586" max="3586" width="28.7265625" customWidth="1"/>
    <col min="3587" max="3597" width="13.81640625" customWidth="1"/>
    <col min="3841" max="3841" width="5.54296875" customWidth="1"/>
    <col min="3842" max="3842" width="28.7265625" customWidth="1"/>
    <col min="3843" max="3853" width="13.81640625" customWidth="1"/>
    <col min="4097" max="4097" width="5.54296875" customWidth="1"/>
    <col min="4098" max="4098" width="28.7265625" customWidth="1"/>
    <col min="4099" max="4109" width="13.81640625" customWidth="1"/>
    <col min="4353" max="4353" width="5.54296875" customWidth="1"/>
    <col min="4354" max="4354" width="28.7265625" customWidth="1"/>
    <col min="4355" max="4365" width="13.81640625" customWidth="1"/>
    <col min="4609" max="4609" width="5.54296875" customWidth="1"/>
    <col min="4610" max="4610" width="28.7265625" customWidth="1"/>
    <col min="4611" max="4621" width="13.81640625" customWidth="1"/>
    <col min="4865" max="4865" width="5.54296875" customWidth="1"/>
    <col min="4866" max="4866" width="28.7265625" customWidth="1"/>
    <col min="4867" max="4877" width="13.81640625" customWidth="1"/>
    <col min="5121" max="5121" width="5.54296875" customWidth="1"/>
    <col min="5122" max="5122" width="28.7265625" customWidth="1"/>
    <col min="5123" max="5133" width="13.81640625" customWidth="1"/>
    <col min="5377" max="5377" width="5.54296875" customWidth="1"/>
    <col min="5378" max="5378" width="28.7265625" customWidth="1"/>
    <col min="5379" max="5389" width="13.81640625" customWidth="1"/>
    <col min="5633" max="5633" width="5.54296875" customWidth="1"/>
    <col min="5634" max="5634" width="28.7265625" customWidth="1"/>
    <col min="5635" max="5645" width="13.81640625" customWidth="1"/>
    <col min="5889" max="5889" width="5.54296875" customWidth="1"/>
    <col min="5890" max="5890" width="28.7265625" customWidth="1"/>
    <col min="5891" max="5901" width="13.81640625" customWidth="1"/>
    <col min="6145" max="6145" width="5.54296875" customWidth="1"/>
    <col min="6146" max="6146" width="28.7265625" customWidth="1"/>
    <col min="6147" max="6157" width="13.81640625" customWidth="1"/>
    <col min="6401" max="6401" width="5.54296875" customWidth="1"/>
    <col min="6402" max="6402" width="28.7265625" customWidth="1"/>
    <col min="6403" max="6413" width="13.81640625" customWidth="1"/>
    <col min="6657" max="6657" width="5.54296875" customWidth="1"/>
    <col min="6658" max="6658" width="28.7265625" customWidth="1"/>
    <col min="6659" max="6669" width="13.81640625" customWidth="1"/>
    <col min="6913" max="6913" width="5.54296875" customWidth="1"/>
    <col min="6914" max="6914" width="28.7265625" customWidth="1"/>
    <col min="6915" max="6925" width="13.81640625" customWidth="1"/>
    <col min="7169" max="7169" width="5.54296875" customWidth="1"/>
    <col min="7170" max="7170" width="28.7265625" customWidth="1"/>
    <col min="7171" max="7181" width="13.81640625" customWidth="1"/>
    <col min="7425" max="7425" width="5.54296875" customWidth="1"/>
    <col min="7426" max="7426" width="28.7265625" customWidth="1"/>
    <col min="7427" max="7437" width="13.81640625" customWidth="1"/>
    <col min="7681" max="7681" width="5.54296875" customWidth="1"/>
    <col min="7682" max="7682" width="28.7265625" customWidth="1"/>
    <col min="7683" max="7693" width="13.81640625" customWidth="1"/>
    <col min="7937" max="7937" width="5.54296875" customWidth="1"/>
    <col min="7938" max="7938" width="28.7265625" customWidth="1"/>
    <col min="7939" max="7949" width="13.81640625" customWidth="1"/>
    <col min="8193" max="8193" width="5.54296875" customWidth="1"/>
    <col min="8194" max="8194" width="28.7265625" customWidth="1"/>
    <col min="8195" max="8205" width="13.81640625" customWidth="1"/>
    <col min="8449" max="8449" width="5.54296875" customWidth="1"/>
    <col min="8450" max="8450" width="28.7265625" customWidth="1"/>
    <col min="8451" max="8461" width="13.81640625" customWidth="1"/>
    <col min="8705" max="8705" width="5.54296875" customWidth="1"/>
    <col min="8706" max="8706" width="28.7265625" customWidth="1"/>
    <col min="8707" max="8717" width="13.81640625" customWidth="1"/>
    <col min="8961" max="8961" width="5.54296875" customWidth="1"/>
    <col min="8962" max="8962" width="28.7265625" customWidth="1"/>
    <col min="8963" max="8973" width="13.81640625" customWidth="1"/>
    <col min="9217" max="9217" width="5.54296875" customWidth="1"/>
    <col min="9218" max="9218" width="28.7265625" customWidth="1"/>
    <col min="9219" max="9229" width="13.81640625" customWidth="1"/>
    <col min="9473" max="9473" width="5.54296875" customWidth="1"/>
    <col min="9474" max="9474" width="28.7265625" customWidth="1"/>
    <col min="9475" max="9485" width="13.81640625" customWidth="1"/>
    <col min="9729" max="9729" width="5.54296875" customWidth="1"/>
    <col min="9730" max="9730" width="28.7265625" customWidth="1"/>
    <col min="9731" max="9741" width="13.81640625" customWidth="1"/>
    <col min="9985" max="9985" width="5.54296875" customWidth="1"/>
    <col min="9986" max="9986" width="28.7265625" customWidth="1"/>
    <col min="9987" max="9997" width="13.81640625" customWidth="1"/>
    <col min="10241" max="10241" width="5.54296875" customWidth="1"/>
    <col min="10242" max="10242" width="28.7265625" customWidth="1"/>
    <col min="10243" max="10253" width="13.81640625" customWidth="1"/>
    <col min="10497" max="10497" width="5.54296875" customWidth="1"/>
    <col min="10498" max="10498" width="28.7265625" customWidth="1"/>
    <col min="10499" max="10509" width="13.81640625" customWidth="1"/>
    <col min="10753" max="10753" width="5.54296875" customWidth="1"/>
    <col min="10754" max="10754" width="28.7265625" customWidth="1"/>
    <col min="10755" max="10765" width="13.81640625" customWidth="1"/>
    <col min="11009" max="11009" width="5.54296875" customWidth="1"/>
    <col min="11010" max="11010" width="28.7265625" customWidth="1"/>
    <col min="11011" max="11021" width="13.81640625" customWidth="1"/>
    <col min="11265" max="11265" width="5.54296875" customWidth="1"/>
    <col min="11266" max="11266" width="28.7265625" customWidth="1"/>
    <col min="11267" max="11277" width="13.81640625" customWidth="1"/>
    <col min="11521" max="11521" width="5.54296875" customWidth="1"/>
    <col min="11522" max="11522" width="28.7265625" customWidth="1"/>
    <col min="11523" max="11533" width="13.81640625" customWidth="1"/>
    <col min="11777" max="11777" width="5.54296875" customWidth="1"/>
    <col min="11778" max="11778" width="28.7265625" customWidth="1"/>
    <col min="11779" max="11789" width="13.81640625" customWidth="1"/>
    <col min="12033" max="12033" width="5.54296875" customWidth="1"/>
    <col min="12034" max="12034" width="28.7265625" customWidth="1"/>
    <col min="12035" max="12045" width="13.81640625" customWidth="1"/>
    <col min="12289" max="12289" width="5.54296875" customWidth="1"/>
    <col min="12290" max="12290" width="28.7265625" customWidth="1"/>
    <col min="12291" max="12301" width="13.81640625" customWidth="1"/>
    <col min="12545" max="12545" width="5.54296875" customWidth="1"/>
    <col min="12546" max="12546" width="28.7265625" customWidth="1"/>
    <col min="12547" max="12557" width="13.81640625" customWidth="1"/>
    <col min="12801" max="12801" width="5.54296875" customWidth="1"/>
    <col min="12802" max="12802" width="28.7265625" customWidth="1"/>
    <col min="12803" max="12813" width="13.81640625" customWidth="1"/>
    <col min="13057" max="13057" width="5.54296875" customWidth="1"/>
    <col min="13058" max="13058" width="28.7265625" customWidth="1"/>
    <col min="13059" max="13069" width="13.81640625" customWidth="1"/>
    <col min="13313" max="13313" width="5.54296875" customWidth="1"/>
    <col min="13314" max="13314" width="28.7265625" customWidth="1"/>
    <col min="13315" max="13325" width="13.81640625" customWidth="1"/>
    <col min="13569" max="13569" width="5.54296875" customWidth="1"/>
    <col min="13570" max="13570" width="28.7265625" customWidth="1"/>
    <col min="13571" max="13581" width="13.81640625" customWidth="1"/>
    <col min="13825" max="13825" width="5.54296875" customWidth="1"/>
    <col min="13826" max="13826" width="28.7265625" customWidth="1"/>
    <col min="13827" max="13837" width="13.81640625" customWidth="1"/>
    <col min="14081" max="14081" width="5.54296875" customWidth="1"/>
    <col min="14082" max="14082" width="28.7265625" customWidth="1"/>
    <col min="14083" max="14093" width="13.81640625" customWidth="1"/>
    <col min="14337" max="14337" width="5.54296875" customWidth="1"/>
    <col min="14338" max="14338" width="28.7265625" customWidth="1"/>
    <col min="14339" max="14349" width="13.81640625" customWidth="1"/>
    <col min="14593" max="14593" width="5.54296875" customWidth="1"/>
    <col min="14594" max="14594" width="28.7265625" customWidth="1"/>
    <col min="14595" max="14605" width="13.81640625" customWidth="1"/>
    <col min="14849" max="14849" width="5.54296875" customWidth="1"/>
    <col min="14850" max="14850" width="28.7265625" customWidth="1"/>
    <col min="14851" max="14861" width="13.81640625" customWidth="1"/>
    <col min="15105" max="15105" width="5.54296875" customWidth="1"/>
    <col min="15106" max="15106" width="28.7265625" customWidth="1"/>
    <col min="15107" max="15117" width="13.81640625" customWidth="1"/>
    <col min="15361" max="15361" width="5.54296875" customWidth="1"/>
    <col min="15362" max="15362" width="28.7265625" customWidth="1"/>
    <col min="15363" max="15373" width="13.81640625" customWidth="1"/>
    <col min="15617" max="15617" width="5.54296875" customWidth="1"/>
    <col min="15618" max="15618" width="28.7265625" customWidth="1"/>
    <col min="15619" max="15629" width="13.81640625" customWidth="1"/>
    <col min="15873" max="15873" width="5.54296875" customWidth="1"/>
    <col min="15874" max="15874" width="28.7265625" customWidth="1"/>
    <col min="15875" max="15885" width="13.81640625" customWidth="1"/>
    <col min="16129" max="16129" width="5.54296875" customWidth="1"/>
    <col min="16130" max="16130" width="28.7265625" customWidth="1"/>
    <col min="16131" max="16141" width="13.81640625" customWidth="1"/>
  </cols>
  <sheetData>
    <row r="4" spans="1:12" x14ac:dyDescent="0.35">
      <c r="A4" s="1050" t="s">
        <v>1095</v>
      </c>
      <c r="B4" s="1051"/>
      <c r="C4" s="1051"/>
      <c r="D4" s="1051"/>
      <c r="E4" s="1051"/>
      <c r="F4" s="1051"/>
      <c r="G4" s="1051"/>
      <c r="H4" s="1051"/>
      <c r="I4" s="1051"/>
      <c r="J4" s="1051"/>
      <c r="K4" s="1051"/>
      <c r="L4" s="1051"/>
    </row>
    <row r="5" spans="1:12" x14ac:dyDescent="0.35">
      <c r="A5" s="607"/>
      <c r="B5" s="24"/>
      <c r="C5" s="24"/>
      <c r="D5" s="24"/>
      <c r="E5" s="24"/>
      <c r="F5" s="24"/>
      <c r="G5" s="24"/>
      <c r="H5" s="24"/>
      <c r="I5" s="24"/>
      <c r="J5" s="24"/>
      <c r="K5" s="24"/>
      <c r="L5" s="24"/>
    </row>
    <row r="6" spans="1:12" x14ac:dyDescent="0.35">
      <c r="A6" s="607"/>
      <c r="B6" s="24"/>
      <c r="C6" s="24"/>
      <c r="D6" s="24"/>
      <c r="E6" s="699"/>
      <c r="F6" s="24"/>
      <c r="G6" s="24"/>
      <c r="H6" s="24"/>
      <c r="I6" s="24"/>
      <c r="J6" s="24"/>
      <c r="K6" s="699"/>
      <c r="L6" s="699" t="s">
        <v>1096</v>
      </c>
    </row>
    <row r="7" spans="1:12" x14ac:dyDescent="0.35">
      <c r="A7" s="24"/>
      <c r="B7" s="24"/>
      <c r="C7" s="373" t="s">
        <v>769</v>
      </c>
      <c r="D7" s="373" t="s">
        <v>770</v>
      </c>
      <c r="E7" s="373" t="s">
        <v>771</v>
      </c>
      <c r="F7" s="471" t="s">
        <v>772</v>
      </c>
      <c r="G7" s="471" t="s">
        <v>773</v>
      </c>
      <c r="H7" s="471" t="s">
        <v>774</v>
      </c>
      <c r="I7" s="471" t="s">
        <v>775</v>
      </c>
      <c r="J7" s="471" t="s">
        <v>803</v>
      </c>
      <c r="K7" s="471" t="s">
        <v>804</v>
      </c>
      <c r="L7" s="471" t="s">
        <v>805</v>
      </c>
    </row>
    <row r="8" spans="1:12" x14ac:dyDescent="0.35">
      <c r="A8" s="376"/>
      <c r="B8" s="607" t="s">
        <v>1097</v>
      </c>
      <c r="C8" s="376"/>
      <c r="D8" s="376"/>
      <c r="E8" s="700"/>
      <c r="F8" s="700"/>
      <c r="G8" s="700"/>
      <c r="H8" s="700"/>
      <c r="I8" s="700"/>
      <c r="J8" s="700"/>
      <c r="K8" s="700"/>
      <c r="L8" s="700"/>
    </row>
    <row r="9" spans="1:12" x14ac:dyDescent="0.35">
      <c r="A9" s="372">
        <v>1</v>
      </c>
      <c r="B9" s="372" t="s">
        <v>1078</v>
      </c>
      <c r="C9" s="534">
        <f>+[2]Costing!G22</f>
        <v>35.072083333333339</v>
      </c>
      <c r="D9" s="535">
        <f t="shared" ref="D9:L11" si="0">+C9*1.05</f>
        <v>36.825687500000008</v>
      </c>
      <c r="E9" s="535">
        <f t="shared" si="0"/>
        <v>38.666971875000009</v>
      </c>
      <c r="F9" s="535">
        <f t="shared" si="0"/>
        <v>40.600320468750013</v>
      </c>
      <c r="G9" s="535">
        <f t="shared" si="0"/>
        <v>42.630336492187517</v>
      </c>
      <c r="H9" s="535">
        <f t="shared" si="0"/>
        <v>44.761853316796895</v>
      </c>
      <c r="I9" s="535">
        <f t="shared" si="0"/>
        <v>46.999945982636739</v>
      </c>
      <c r="J9" s="535">
        <f t="shared" si="0"/>
        <v>49.349943281768574</v>
      </c>
      <c r="K9" s="535">
        <f t="shared" si="0"/>
        <v>51.817440445857002</v>
      </c>
      <c r="L9" s="535">
        <f t="shared" si="0"/>
        <v>54.408312468149852</v>
      </c>
    </row>
    <row r="10" spans="1:12" x14ac:dyDescent="0.35">
      <c r="A10" s="24"/>
      <c r="B10" s="372" t="s">
        <v>1098</v>
      </c>
      <c r="C10" s="490">
        <f>+[2]Costing!G58-[2]Costing!G56</f>
        <v>13.46819</v>
      </c>
      <c r="D10" s="535">
        <f t="shared" si="0"/>
        <v>14.1415995</v>
      </c>
      <c r="E10" s="535">
        <f t="shared" si="0"/>
        <v>14.848679475000001</v>
      </c>
      <c r="F10" s="535">
        <f t="shared" si="0"/>
        <v>15.591113448750001</v>
      </c>
      <c r="G10" s="535">
        <f t="shared" si="0"/>
        <v>16.3706691211875</v>
      </c>
      <c r="H10" s="535">
        <f t="shared" si="0"/>
        <v>17.189202577246878</v>
      </c>
      <c r="I10" s="535">
        <f t="shared" si="0"/>
        <v>18.048662706109223</v>
      </c>
      <c r="J10" s="535">
        <f t="shared" si="0"/>
        <v>18.951095841414684</v>
      </c>
      <c r="K10" s="535">
        <f t="shared" si="0"/>
        <v>19.898650633485421</v>
      </c>
      <c r="L10" s="535">
        <f t="shared" si="0"/>
        <v>20.893583165159693</v>
      </c>
    </row>
    <row r="11" spans="1:12" x14ac:dyDescent="0.35">
      <c r="A11" s="24"/>
      <c r="B11" s="372" t="s">
        <v>934</v>
      </c>
      <c r="C11" s="468">
        <f>+[2]Costing!G56</f>
        <v>5.5</v>
      </c>
      <c r="D11" s="535">
        <f t="shared" si="0"/>
        <v>5.7750000000000004</v>
      </c>
      <c r="E11" s="535">
        <f t="shared" si="0"/>
        <v>6.0637500000000006</v>
      </c>
      <c r="F11" s="535">
        <f t="shared" si="0"/>
        <v>6.3669375000000006</v>
      </c>
      <c r="G11" s="535">
        <f t="shared" si="0"/>
        <v>6.6852843750000011</v>
      </c>
      <c r="H11" s="535">
        <f t="shared" si="0"/>
        <v>7.0195485937500015</v>
      </c>
      <c r="I11" s="535">
        <f t="shared" si="0"/>
        <v>7.3705260234375016</v>
      </c>
      <c r="J11" s="535">
        <f t="shared" si="0"/>
        <v>7.7390523246093768</v>
      </c>
      <c r="K11" s="535">
        <f t="shared" si="0"/>
        <v>8.1260049408398451</v>
      </c>
      <c r="L11" s="535">
        <f t="shared" si="0"/>
        <v>8.5323051878818372</v>
      </c>
    </row>
    <row r="12" spans="1:12" x14ac:dyDescent="0.35">
      <c r="A12" s="24"/>
      <c r="B12" s="372"/>
      <c r="C12" s="442">
        <f>SUM(C9:C11)</f>
        <v>54.040273333333339</v>
      </c>
      <c r="D12" s="442">
        <f>SUM(D9:D11)</f>
        <v>56.742287000000005</v>
      </c>
      <c r="E12" s="442">
        <f>SUM(E9:E11)</f>
        <v>59.579401350000012</v>
      </c>
      <c r="F12" s="442">
        <f t="shared" ref="F12:K12" si="1">SUM(F9:F11)</f>
        <v>62.558371417500013</v>
      </c>
      <c r="G12" s="442">
        <f t="shared" si="1"/>
        <v>65.686289988375009</v>
      </c>
      <c r="H12" s="442">
        <f t="shared" si="1"/>
        <v>68.970604487793779</v>
      </c>
      <c r="I12" s="442">
        <f t="shared" si="1"/>
        <v>72.419134712183464</v>
      </c>
      <c r="J12" s="442">
        <f t="shared" si="1"/>
        <v>76.040091447792634</v>
      </c>
      <c r="K12" s="442">
        <f t="shared" si="1"/>
        <v>79.842096020182268</v>
      </c>
      <c r="L12" s="442">
        <f>SUM(L9:L11)</f>
        <v>83.834200821191374</v>
      </c>
    </row>
    <row r="13" spans="1:12" x14ac:dyDescent="0.35">
      <c r="A13" s="24"/>
      <c r="B13" s="607" t="s">
        <v>1099</v>
      </c>
      <c r="C13" s="468"/>
      <c r="D13" s="372"/>
      <c r="E13" s="372"/>
      <c r="F13" s="372"/>
      <c r="G13" s="372"/>
      <c r="H13" s="372"/>
      <c r="I13" s="372"/>
      <c r="J13" s="372"/>
      <c r="K13" s="372"/>
      <c r="L13" s="372"/>
    </row>
    <row r="14" spans="1:12" x14ac:dyDescent="0.35">
      <c r="A14" s="24"/>
      <c r="B14" s="372" t="s">
        <v>1078</v>
      </c>
      <c r="C14" s="468">
        <v>0</v>
      </c>
      <c r="D14" s="372"/>
      <c r="E14" s="372"/>
      <c r="F14" s="372"/>
      <c r="G14" s="372"/>
      <c r="H14" s="372"/>
      <c r="I14" s="372"/>
      <c r="J14" s="372"/>
      <c r="K14" s="372"/>
      <c r="L14" s="372"/>
    </row>
    <row r="15" spans="1:12" x14ac:dyDescent="0.35">
      <c r="A15" s="24"/>
      <c r="B15" s="372" t="s">
        <v>1098</v>
      </c>
      <c r="C15" s="468">
        <f>+[2]Costing!G77-[2]Costing!G76-[2]Costing!G74</f>
        <v>3.0000000000000004</v>
      </c>
      <c r="D15" s="535">
        <f t="shared" ref="D15:L18" si="2">+C15*1.05</f>
        <v>3.1500000000000008</v>
      </c>
      <c r="E15" s="535">
        <f t="shared" si="2"/>
        <v>3.307500000000001</v>
      </c>
      <c r="F15" s="535">
        <f t="shared" si="2"/>
        <v>3.472875000000001</v>
      </c>
      <c r="G15" s="535">
        <f t="shared" si="2"/>
        <v>3.6465187500000011</v>
      </c>
      <c r="H15" s="535">
        <f t="shared" si="2"/>
        <v>3.8288446875000015</v>
      </c>
      <c r="I15" s="535">
        <f t="shared" si="2"/>
        <v>4.0202869218750017</v>
      </c>
      <c r="J15" s="535">
        <f t="shared" si="2"/>
        <v>4.2213012679687516</v>
      </c>
      <c r="K15" s="535">
        <f t="shared" si="2"/>
        <v>4.4323663313671897</v>
      </c>
      <c r="L15" s="535">
        <f t="shared" si="2"/>
        <v>4.6539846479355491</v>
      </c>
    </row>
    <row r="16" spans="1:12" x14ac:dyDescent="0.35">
      <c r="A16" s="24"/>
      <c r="B16" s="372" t="s">
        <v>934</v>
      </c>
      <c r="C16" s="468">
        <f>+[2]Costing!G76</f>
        <v>0.5</v>
      </c>
      <c r="D16" s="535">
        <f t="shared" si="2"/>
        <v>0.52500000000000002</v>
      </c>
      <c r="E16" s="535">
        <f t="shared" si="2"/>
        <v>0.55125000000000002</v>
      </c>
      <c r="F16" s="535">
        <f t="shared" si="2"/>
        <v>0.57881250000000006</v>
      </c>
      <c r="G16" s="535">
        <f t="shared" si="2"/>
        <v>0.60775312500000012</v>
      </c>
      <c r="H16" s="535">
        <f t="shared" si="2"/>
        <v>0.63814078125000018</v>
      </c>
      <c r="I16" s="535">
        <f t="shared" si="2"/>
        <v>0.67004782031250021</v>
      </c>
      <c r="J16" s="535">
        <f t="shared" si="2"/>
        <v>0.70355021132812523</v>
      </c>
      <c r="K16" s="535">
        <f t="shared" si="2"/>
        <v>0.73872772189453151</v>
      </c>
      <c r="L16" s="535">
        <f t="shared" si="2"/>
        <v>0.77566410798925811</v>
      </c>
    </row>
    <row r="17" spans="1:12" x14ac:dyDescent="0.35">
      <c r="A17" s="24"/>
      <c r="B17" s="372" t="s">
        <v>1100</v>
      </c>
      <c r="C17" s="468">
        <f>+[2]Costing!G74</f>
        <v>0.4</v>
      </c>
      <c r="D17" s="535">
        <f t="shared" si="2"/>
        <v>0.42000000000000004</v>
      </c>
      <c r="E17" s="535">
        <f t="shared" si="2"/>
        <v>0.44100000000000006</v>
      </c>
      <c r="F17" s="535">
        <f t="shared" si="2"/>
        <v>0.46305000000000007</v>
      </c>
      <c r="G17" s="535">
        <f t="shared" si="2"/>
        <v>0.48620250000000009</v>
      </c>
      <c r="H17" s="535">
        <f t="shared" si="2"/>
        <v>0.51051262500000016</v>
      </c>
      <c r="I17" s="535">
        <f t="shared" si="2"/>
        <v>0.53603825625000023</v>
      </c>
      <c r="J17" s="535">
        <f t="shared" si="2"/>
        <v>0.56284016906250023</v>
      </c>
      <c r="K17" s="535">
        <f t="shared" si="2"/>
        <v>0.59098217751562532</v>
      </c>
      <c r="L17" s="535">
        <f t="shared" si="2"/>
        <v>0.62053128639140664</v>
      </c>
    </row>
    <row r="18" spans="1:12" x14ac:dyDescent="0.35">
      <c r="A18" s="24"/>
      <c r="B18" s="372" t="s">
        <v>1101</v>
      </c>
      <c r="C18" s="468">
        <v>0.4</v>
      </c>
      <c r="D18" s="535">
        <f t="shared" si="2"/>
        <v>0.42000000000000004</v>
      </c>
      <c r="E18" s="535">
        <f t="shared" si="2"/>
        <v>0.44100000000000006</v>
      </c>
      <c r="F18" s="535">
        <f t="shared" si="2"/>
        <v>0.46305000000000007</v>
      </c>
      <c r="G18" s="535">
        <f t="shared" si="2"/>
        <v>0.48620250000000009</v>
      </c>
      <c r="H18" s="535">
        <f t="shared" si="2"/>
        <v>0.51051262500000016</v>
      </c>
      <c r="I18" s="535">
        <f t="shared" si="2"/>
        <v>0.53603825625000023</v>
      </c>
      <c r="J18" s="535">
        <f t="shared" si="2"/>
        <v>0.56284016906250023</v>
      </c>
      <c r="K18" s="535">
        <f t="shared" si="2"/>
        <v>0.59098217751562532</v>
      </c>
      <c r="L18" s="535">
        <f t="shared" si="2"/>
        <v>0.62053128639140664</v>
      </c>
    </row>
    <row r="19" spans="1:12" x14ac:dyDescent="0.35">
      <c r="A19" s="24"/>
      <c r="B19" s="372" t="s">
        <v>1102</v>
      </c>
      <c r="C19" s="468">
        <f>+C30*0.02</f>
        <v>2</v>
      </c>
      <c r="D19" s="468">
        <f>+D30*0.02</f>
        <v>2.1</v>
      </c>
      <c r="E19" s="468">
        <f>+E30*0.02</f>
        <v>2.2050000000000001</v>
      </c>
      <c r="F19" s="468">
        <f t="shared" ref="F19:K19" si="3">+F30*0.02</f>
        <v>2.3152500000000003</v>
      </c>
      <c r="G19" s="468">
        <f t="shared" si="3"/>
        <v>2.4310125000000005</v>
      </c>
      <c r="H19" s="468">
        <f t="shared" si="3"/>
        <v>2.5525631250000003</v>
      </c>
      <c r="I19" s="468">
        <f t="shared" si="3"/>
        <v>2.6801912812500008</v>
      </c>
      <c r="J19" s="468">
        <f t="shared" si="3"/>
        <v>2.8142008453125009</v>
      </c>
      <c r="K19" s="468">
        <f t="shared" si="3"/>
        <v>2.9549108875781265</v>
      </c>
      <c r="L19" s="468">
        <f>+L30*0.02</f>
        <v>3.1026564319570329</v>
      </c>
    </row>
    <row r="20" spans="1:12" x14ac:dyDescent="0.35">
      <c r="A20" s="24"/>
      <c r="B20" s="372"/>
      <c r="C20" s="442">
        <f>SUM(C14:C19)</f>
        <v>6.3000000000000007</v>
      </c>
      <c r="D20" s="442">
        <f>SUM(D14:D19)</f>
        <v>6.6150000000000002</v>
      </c>
      <c r="E20" s="442">
        <f>SUM(E14:E19)</f>
        <v>6.9457500000000012</v>
      </c>
      <c r="F20" s="442">
        <f t="shared" ref="F20:K20" si="4">SUM(F14:F19)</f>
        <v>7.2930375000000005</v>
      </c>
      <c r="G20" s="442">
        <f t="shared" si="4"/>
        <v>7.6576893750000021</v>
      </c>
      <c r="H20" s="442">
        <f t="shared" si="4"/>
        <v>8.0405738437500034</v>
      </c>
      <c r="I20" s="442">
        <f t="shared" si="4"/>
        <v>8.4426025359375032</v>
      </c>
      <c r="J20" s="442">
        <f t="shared" si="4"/>
        <v>8.8647326627343794</v>
      </c>
      <c r="K20" s="442">
        <f t="shared" si="4"/>
        <v>9.3079692958711</v>
      </c>
      <c r="L20" s="442">
        <f>SUM(L14:L19)</f>
        <v>9.7733677606646534</v>
      </c>
    </row>
    <row r="21" spans="1:12" x14ac:dyDescent="0.35">
      <c r="A21" s="668"/>
      <c r="B21" s="372"/>
      <c r="C21" s="442">
        <f>+C20+C12</f>
        <v>60.340273333333343</v>
      </c>
      <c r="D21" s="442">
        <f>+D20+D12</f>
        <v>63.357287000000007</v>
      </c>
      <c r="E21" s="442">
        <f>+E20+E12</f>
        <v>66.525151350000016</v>
      </c>
      <c r="F21" s="442">
        <f t="shared" ref="F21:K21" si="5">+F20+F12</f>
        <v>69.851408917500009</v>
      </c>
      <c r="G21" s="442">
        <f t="shared" si="5"/>
        <v>73.343979363375013</v>
      </c>
      <c r="H21" s="442">
        <f t="shared" si="5"/>
        <v>77.011178331543789</v>
      </c>
      <c r="I21" s="442">
        <f t="shared" si="5"/>
        <v>80.86173724812096</v>
      </c>
      <c r="J21" s="442">
        <f t="shared" si="5"/>
        <v>84.904824110527017</v>
      </c>
      <c r="K21" s="442">
        <f t="shared" si="5"/>
        <v>89.150065316053372</v>
      </c>
      <c r="L21" s="442">
        <f>+L20+L12</f>
        <v>93.607568581856029</v>
      </c>
    </row>
    <row r="22" spans="1:12" x14ac:dyDescent="0.35">
      <c r="A22" s="24"/>
      <c r="B22" s="372"/>
      <c r="C22" s="468"/>
      <c r="D22" s="372"/>
      <c r="E22" s="372"/>
      <c r="F22" s="372"/>
      <c r="G22" s="372"/>
      <c r="H22" s="372"/>
      <c r="I22" s="372"/>
      <c r="J22" s="372"/>
      <c r="K22" s="372"/>
      <c r="L22" s="372"/>
    </row>
    <row r="23" spans="1:12" x14ac:dyDescent="0.35">
      <c r="A23" s="24"/>
      <c r="B23" s="372"/>
      <c r="C23" s="468"/>
      <c r="D23" s="372"/>
      <c r="E23" s="372"/>
      <c r="F23" s="372"/>
      <c r="G23" s="372"/>
      <c r="H23" s="372"/>
      <c r="I23" s="372"/>
      <c r="J23" s="372"/>
      <c r="K23" s="372"/>
      <c r="L23" s="372"/>
    </row>
    <row r="24" spans="1:12" x14ac:dyDescent="0.35">
      <c r="A24" s="24"/>
      <c r="B24" s="372"/>
      <c r="C24" s="468"/>
      <c r="D24" s="372"/>
      <c r="E24" s="372"/>
      <c r="F24" s="372"/>
      <c r="G24" s="372"/>
      <c r="H24" s="372"/>
      <c r="I24" s="372"/>
      <c r="J24" s="372"/>
      <c r="K24" s="372"/>
      <c r="L24" s="372"/>
    </row>
    <row r="25" spans="1:12" x14ac:dyDescent="0.35">
      <c r="A25" s="24"/>
      <c r="B25" s="372" t="s">
        <v>1103</v>
      </c>
      <c r="C25" s="468">
        <v>75</v>
      </c>
      <c r="D25" s="468">
        <v>75</v>
      </c>
      <c r="E25" s="468">
        <v>75</v>
      </c>
      <c r="F25" s="468">
        <v>75</v>
      </c>
      <c r="G25" s="468">
        <v>75</v>
      </c>
      <c r="H25" s="468">
        <v>75</v>
      </c>
      <c r="I25" s="468">
        <v>75</v>
      </c>
      <c r="J25" s="468">
        <v>75</v>
      </c>
      <c r="K25" s="468">
        <v>75</v>
      </c>
      <c r="L25" s="468">
        <v>75</v>
      </c>
    </row>
    <row r="26" spans="1:12" x14ac:dyDescent="0.35">
      <c r="A26" s="24"/>
      <c r="B26" s="372" t="s">
        <v>1104</v>
      </c>
      <c r="C26" s="536">
        <v>0.5</v>
      </c>
      <c r="D26" s="537">
        <v>0.7</v>
      </c>
      <c r="E26" s="537">
        <v>0.8</v>
      </c>
      <c r="F26" s="537">
        <v>0.9</v>
      </c>
      <c r="G26" s="536">
        <v>0.9</v>
      </c>
      <c r="H26" s="536">
        <v>0.9</v>
      </c>
      <c r="I26" s="536">
        <v>0.9</v>
      </c>
      <c r="J26" s="536">
        <v>0.9</v>
      </c>
      <c r="K26" s="536">
        <v>0.9</v>
      </c>
      <c r="L26" s="536">
        <v>0.9</v>
      </c>
    </row>
    <row r="27" spans="1:12" x14ac:dyDescent="0.35">
      <c r="A27" s="24"/>
      <c r="B27" s="372" t="s">
        <v>1105</v>
      </c>
      <c r="C27" s="506">
        <v>0</v>
      </c>
      <c r="D27" s="372">
        <v>270</v>
      </c>
      <c r="E27" s="372">
        <v>360</v>
      </c>
      <c r="F27" s="372">
        <v>360</v>
      </c>
      <c r="G27" s="372">
        <v>360</v>
      </c>
      <c r="H27" s="372">
        <v>360</v>
      </c>
      <c r="I27" s="372">
        <v>360</v>
      </c>
      <c r="J27" s="372">
        <v>360</v>
      </c>
      <c r="K27" s="372">
        <v>360</v>
      </c>
      <c r="L27" s="372">
        <v>360</v>
      </c>
    </row>
    <row r="28" spans="1:12" x14ac:dyDescent="0.35">
      <c r="A28" s="24"/>
      <c r="B28" s="701" t="s">
        <v>1843</v>
      </c>
      <c r="C28" s="468"/>
      <c r="D28" s="372"/>
      <c r="E28" s="372"/>
      <c r="F28" s="372"/>
      <c r="G28" s="372"/>
      <c r="H28" s="372"/>
      <c r="I28" s="372"/>
      <c r="J28" s="372"/>
      <c r="K28" s="372"/>
      <c r="L28" s="372"/>
    </row>
    <row r="29" spans="1:12" x14ac:dyDescent="0.35">
      <c r="A29" s="24"/>
      <c r="B29" s="372"/>
      <c r="C29" s="468"/>
      <c r="D29" s="372"/>
      <c r="E29" s="372"/>
      <c r="F29" s="372"/>
      <c r="G29" s="372"/>
      <c r="H29" s="372"/>
      <c r="I29" s="372"/>
      <c r="J29" s="372"/>
      <c r="K29" s="372"/>
      <c r="L29" s="372"/>
    </row>
    <row r="30" spans="1:12" x14ac:dyDescent="0.35">
      <c r="A30" s="24"/>
      <c r="B30" s="372" t="s">
        <v>1106</v>
      </c>
      <c r="C30" s="468">
        <v>100</v>
      </c>
      <c r="D30" s="535">
        <f>+C30*1.05</f>
        <v>105</v>
      </c>
      <c r="E30" s="535">
        <f>+D30*1.05</f>
        <v>110.25</v>
      </c>
      <c r="F30" s="535">
        <f t="shared" ref="F30:L30" si="6">+E30*1.05</f>
        <v>115.7625</v>
      </c>
      <c r="G30" s="535">
        <f t="shared" si="6"/>
        <v>121.55062500000001</v>
      </c>
      <c r="H30" s="535">
        <f t="shared" si="6"/>
        <v>127.62815625000002</v>
      </c>
      <c r="I30" s="535">
        <f t="shared" si="6"/>
        <v>134.00956406250003</v>
      </c>
      <c r="J30" s="535">
        <f t="shared" si="6"/>
        <v>140.71004226562505</v>
      </c>
      <c r="K30" s="535">
        <f t="shared" si="6"/>
        <v>147.74554437890632</v>
      </c>
      <c r="L30" s="535">
        <f t="shared" si="6"/>
        <v>155.13282159785163</v>
      </c>
    </row>
    <row r="31" spans="1:12" x14ac:dyDescent="0.35">
      <c r="A31" s="24"/>
      <c r="B31" s="372"/>
      <c r="C31" s="468"/>
      <c r="D31" s="372"/>
      <c r="E31" s="372"/>
      <c r="F31" s="372"/>
      <c r="G31" s="372"/>
      <c r="H31" s="372"/>
      <c r="I31" s="372"/>
      <c r="J31" s="372"/>
      <c r="K31" s="372"/>
      <c r="L31" s="372"/>
    </row>
    <row r="32" spans="1:12" x14ac:dyDescent="0.35">
      <c r="A32" s="24"/>
      <c r="B32" s="372" t="s">
        <v>1107</v>
      </c>
      <c r="C32" s="702">
        <f>+C25*C26*C27</f>
        <v>0</v>
      </c>
      <c r="D32" s="702">
        <f>+D25*D26*D27</f>
        <v>14175</v>
      </c>
      <c r="E32" s="702">
        <f>+E25*E26*E27</f>
        <v>21600</v>
      </c>
      <c r="F32" s="702">
        <f t="shared" ref="F32:K32" si="7">+F25*F26*F27</f>
        <v>24300</v>
      </c>
      <c r="G32" s="702">
        <f t="shared" si="7"/>
        <v>24300</v>
      </c>
      <c r="H32" s="702">
        <f t="shared" si="7"/>
        <v>24300</v>
      </c>
      <c r="I32" s="702">
        <f t="shared" si="7"/>
        <v>24300</v>
      </c>
      <c r="J32" s="702">
        <f t="shared" si="7"/>
        <v>24300</v>
      </c>
      <c r="K32" s="702">
        <f t="shared" si="7"/>
        <v>24300</v>
      </c>
      <c r="L32" s="702">
        <f>+L25*L26*L27</f>
        <v>24300</v>
      </c>
    </row>
    <row r="33" spans="1:12" x14ac:dyDescent="0.35">
      <c r="A33" s="24"/>
      <c r="B33" s="372" t="s">
        <v>1108</v>
      </c>
      <c r="C33" s="702">
        <f>+C32</f>
        <v>0</v>
      </c>
      <c r="D33" s="702">
        <f>+D32</f>
        <v>14175</v>
      </c>
      <c r="E33" s="702">
        <f>+E32</f>
        <v>21600</v>
      </c>
      <c r="F33" s="702">
        <f t="shared" ref="F33:K33" si="8">+F32</f>
        <v>24300</v>
      </c>
      <c r="G33" s="702">
        <f t="shared" si="8"/>
        <v>24300</v>
      </c>
      <c r="H33" s="702">
        <f t="shared" si="8"/>
        <v>24300</v>
      </c>
      <c r="I33" s="702">
        <f t="shared" si="8"/>
        <v>24300</v>
      </c>
      <c r="J33" s="702">
        <f t="shared" si="8"/>
        <v>24300</v>
      </c>
      <c r="K33" s="702">
        <f t="shared" si="8"/>
        <v>24300</v>
      </c>
      <c r="L33" s="702">
        <f>+L32</f>
        <v>24300</v>
      </c>
    </row>
    <row r="34" spans="1:12" x14ac:dyDescent="0.35">
      <c r="A34" s="24"/>
      <c r="B34" s="372"/>
      <c r="C34" s="372"/>
      <c r="D34" s="372"/>
      <c r="E34" s="372"/>
      <c r="F34" s="372"/>
      <c r="G34" s="372"/>
      <c r="H34" s="372"/>
      <c r="I34" s="372"/>
      <c r="J34" s="372"/>
      <c r="K34" s="372"/>
      <c r="L34" s="372"/>
    </row>
    <row r="38" spans="1:12" x14ac:dyDescent="0.35">
      <c r="B38" s="617" t="s">
        <v>1109</v>
      </c>
    </row>
  </sheetData>
  <mergeCells count="1">
    <mergeCell ref="A4:L4"/>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865D3-9A97-4ECA-901F-13E5A72286B1}">
  <sheetPr>
    <tabColor rgb="FFFF0000"/>
  </sheetPr>
  <dimension ref="B1:P85"/>
  <sheetViews>
    <sheetView topLeftCell="B9" workbookViewId="0">
      <selection activeCell="F12" sqref="F12"/>
    </sheetView>
  </sheetViews>
  <sheetFormatPr defaultRowHeight="14.5" x14ac:dyDescent="0.35"/>
  <cols>
    <col min="3" max="3" width="53.7265625" bestFit="1" customWidth="1"/>
    <col min="7" max="7" width="14.453125" bestFit="1" customWidth="1"/>
    <col min="259" max="259" width="53.7265625" bestFit="1" customWidth="1"/>
    <col min="263" max="263" width="14.453125" bestFit="1" customWidth="1"/>
    <col min="515" max="515" width="53.7265625" bestFit="1" customWidth="1"/>
    <col min="519" max="519" width="14.453125" bestFit="1" customWidth="1"/>
    <col min="771" max="771" width="53.7265625" bestFit="1" customWidth="1"/>
    <col min="775" max="775" width="14.453125" bestFit="1" customWidth="1"/>
    <col min="1027" max="1027" width="53.7265625" bestFit="1" customWidth="1"/>
    <col min="1031" max="1031" width="14.453125" bestFit="1" customWidth="1"/>
    <col min="1283" max="1283" width="53.7265625" bestFit="1" customWidth="1"/>
    <col min="1287" max="1287" width="14.453125" bestFit="1" customWidth="1"/>
    <col min="1539" max="1539" width="53.7265625" bestFit="1" customWidth="1"/>
    <col min="1543" max="1543" width="14.453125" bestFit="1" customWidth="1"/>
    <col min="1795" max="1795" width="53.7265625" bestFit="1" customWidth="1"/>
    <col min="1799" max="1799" width="14.453125" bestFit="1" customWidth="1"/>
    <col min="2051" max="2051" width="53.7265625" bestFit="1" customWidth="1"/>
    <col min="2055" max="2055" width="14.453125" bestFit="1" customWidth="1"/>
    <col min="2307" max="2307" width="53.7265625" bestFit="1" customWidth="1"/>
    <col min="2311" max="2311" width="14.453125" bestFit="1" customWidth="1"/>
    <col min="2563" max="2563" width="53.7265625" bestFit="1" customWidth="1"/>
    <col min="2567" max="2567" width="14.453125" bestFit="1" customWidth="1"/>
    <col min="2819" max="2819" width="53.7265625" bestFit="1" customWidth="1"/>
    <col min="2823" max="2823" width="14.453125" bestFit="1" customWidth="1"/>
    <col min="3075" max="3075" width="53.7265625" bestFit="1" customWidth="1"/>
    <col min="3079" max="3079" width="14.453125" bestFit="1" customWidth="1"/>
    <col min="3331" max="3331" width="53.7265625" bestFit="1" customWidth="1"/>
    <col min="3335" max="3335" width="14.453125" bestFit="1" customWidth="1"/>
    <col min="3587" max="3587" width="53.7265625" bestFit="1" customWidth="1"/>
    <col min="3591" max="3591" width="14.453125" bestFit="1" customWidth="1"/>
    <col min="3843" max="3843" width="53.7265625" bestFit="1" customWidth="1"/>
    <col min="3847" max="3847" width="14.453125" bestFit="1" customWidth="1"/>
    <col min="4099" max="4099" width="53.7265625" bestFit="1" customWidth="1"/>
    <col min="4103" max="4103" width="14.453125" bestFit="1" customWidth="1"/>
    <col min="4355" max="4355" width="53.7265625" bestFit="1" customWidth="1"/>
    <col min="4359" max="4359" width="14.453125" bestFit="1" customWidth="1"/>
    <col min="4611" max="4611" width="53.7265625" bestFit="1" customWidth="1"/>
    <col min="4615" max="4615" width="14.453125" bestFit="1" customWidth="1"/>
    <col min="4867" max="4867" width="53.7265625" bestFit="1" customWidth="1"/>
    <col min="4871" max="4871" width="14.453125" bestFit="1" customWidth="1"/>
    <col min="5123" max="5123" width="53.7265625" bestFit="1" customWidth="1"/>
    <col min="5127" max="5127" width="14.453125" bestFit="1" customWidth="1"/>
    <col min="5379" max="5379" width="53.7265625" bestFit="1" customWidth="1"/>
    <col min="5383" max="5383" width="14.453125" bestFit="1" customWidth="1"/>
    <col min="5635" max="5635" width="53.7265625" bestFit="1" customWidth="1"/>
    <col min="5639" max="5639" width="14.453125" bestFit="1" customWidth="1"/>
    <col min="5891" max="5891" width="53.7265625" bestFit="1" customWidth="1"/>
    <col min="5895" max="5895" width="14.453125" bestFit="1" customWidth="1"/>
    <col min="6147" max="6147" width="53.7265625" bestFit="1" customWidth="1"/>
    <col min="6151" max="6151" width="14.453125" bestFit="1" customWidth="1"/>
    <col min="6403" max="6403" width="53.7265625" bestFit="1" customWidth="1"/>
    <col min="6407" max="6407" width="14.453125" bestFit="1" customWidth="1"/>
    <col min="6659" max="6659" width="53.7265625" bestFit="1" customWidth="1"/>
    <col min="6663" max="6663" width="14.453125" bestFit="1" customWidth="1"/>
    <col min="6915" max="6915" width="53.7265625" bestFit="1" customWidth="1"/>
    <col min="6919" max="6919" width="14.453125" bestFit="1" customWidth="1"/>
    <col min="7171" max="7171" width="53.7265625" bestFit="1" customWidth="1"/>
    <col min="7175" max="7175" width="14.453125" bestFit="1" customWidth="1"/>
    <col min="7427" max="7427" width="53.7265625" bestFit="1" customWidth="1"/>
    <col min="7431" max="7431" width="14.453125" bestFit="1" customWidth="1"/>
    <col min="7683" max="7683" width="53.7265625" bestFit="1" customWidth="1"/>
    <col min="7687" max="7687" width="14.453125" bestFit="1" customWidth="1"/>
    <col min="7939" max="7939" width="53.7265625" bestFit="1" customWidth="1"/>
    <col min="7943" max="7943" width="14.453125" bestFit="1" customWidth="1"/>
    <col min="8195" max="8195" width="53.7265625" bestFit="1" customWidth="1"/>
    <col min="8199" max="8199" width="14.453125" bestFit="1" customWidth="1"/>
    <col min="8451" max="8451" width="53.7265625" bestFit="1" customWidth="1"/>
    <col min="8455" max="8455" width="14.453125" bestFit="1" customWidth="1"/>
    <col min="8707" max="8707" width="53.7265625" bestFit="1" customWidth="1"/>
    <col min="8711" max="8711" width="14.453125" bestFit="1" customWidth="1"/>
    <col min="8963" max="8963" width="53.7265625" bestFit="1" customWidth="1"/>
    <col min="8967" max="8967" width="14.453125" bestFit="1" customWidth="1"/>
    <col min="9219" max="9219" width="53.7265625" bestFit="1" customWidth="1"/>
    <col min="9223" max="9223" width="14.453125" bestFit="1" customWidth="1"/>
    <col min="9475" max="9475" width="53.7265625" bestFit="1" customWidth="1"/>
    <col min="9479" max="9479" width="14.453125" bestFit="1" customWidth="1"/>
    <col min="9731" max="9731" width="53.7265625" bestFit="1" customWidth="1"/>
    <col min="9735" max="9735" width="14.453125" bestFit="1" customWidth="1"/>
    <col min="9987" max="9987" width="53.7265625" bestFit="1" customWidth="1"/>
    <col min="9991" max="9991" width="14.453125" bestFit="1" customWidth="1"/>
    <col min="10243" max="10243" width="53.7265625" bestFit="1" customWidth="1"/>
    <col min="10247" max="10247" width="14.453125" bestFit="1" customWidth="1"/>
    <col min="10499" max="10499" width="53.7265625" bestFit="1" customWidth="1"/>
    <col min="10503" max="10503" width="14.453125" bestFit="1" customWidth="1"/>
    <col min="10755" max="10755" width="53.7265625" bestFit="1" customWidth="1"/>
    <col min="10759" max="10759" width="14.453125" bestFit="1" customWidth="1"/>
    <col min="11011" max="11011" width="53.7265625" bestFit="1" customWidth="1"/>
    <col min="11015" max="11015" width="14.453125" bestFit="1" customWidth="1"/>
    <col min="11267" max="11267" width="53.7265625" bestFit="1" customWidth="1"/>
    <col min="11271" max="11271" width="14.453125" bestFit="1" customWidth="1"/>
    <col min="11523" max="11523" width="53.7265625" bestFit="1" customWidth="1"/>
    <col min="11527" max="11527" width="14.453125" bestFit="1" customWidth="1"/>
    <col min="11779" max="11779" width="53.7265625" bestFit="1" customWidth="1"/>
    <col min="11783" max="11783" width="14.453125" bestFit="1" customWidth="1"/>
    <col min="12035" max="12035" width="53.7265625" bestFit="1" customWidth="1"/>
    <col min="12039" max="12039" width="14.453125" bestFit="1" customWidth="1"/>
    <col min="12291" max="12291" width="53.7265625" bestFit="1" customWidth="1"/>
    <col min="12295" max="12295" width="14.453125" bestFit="1" customWidth="1"/>
    <col min="12547" max="12547" width="53.7265625" bestFit="1" customWidth="1"/>
    <col min="12551" max="12551" width="14.453125" bestFit="1" customWidth="1"/>
    <col min="12803" max="12803" width="53.7265625" bestFit="1" customWidth="1"/>
    <col min="12807" max="12807" width="14.453125" bestFit="1" customWidth="1"/>
    <col min="13059" max="13059" width="53.7265625" bestFit="1" customWidth="1"/>
    <col min="13063" max="13063" width="14.453125" bestFit="1" customWidth="1"/>
    <col min="13315" max="13315" width="53.7265625" bestFit="1" customWidth="1"/>
    <col min="13319" max="13319" width="14.453125" bestFit="1" customWidth="1"/>
    <col min="13571" max="13571" width="53.7265625" bestFit="1" customWidth="1"/>
    <col min="13575" max="13575" width="14.453125" bestFit="1" customWidth="1"/>
    <col min="13827" max="13827" width="53.7265625" bestFit="1" customWidth="1"/>
    <col min="13831" max="13831" width="14.453125" bestFit="1" customWidth="1"/>
    <col min="14083" max="14083" width="53.7265625" bestFit="1" customWidth="1"/>
    <col min="14087" max="14087" width="14.453125" bestFit="1" customWidth="1"/>
    <col min="14339" max="14339" width="53.7265625" bestFit="1" customWidth="1"/>
    <col min="14343" max="14343" width="14.453125" bestFit="1" customWidth="1"/>
    <col min="14595" max="14595" width="53.7265625" bestFit="1" customWidth="1"/>
    <col min="14599" max="14599" width="14.453125" bestFit="1" customWidth="1"/>
    <col min="14851" max="14851" width="53.7265625" bestFit="1" customWidth="1"/>
    <col min="14855" max="14855" width="14.453125" bestFit="1" customWidth="1"/>
    <col min="15107" max="15107" width="53.7265625" bestFit="1" customWidth="1"/>
    <col min="15111" max="15111" width="14.453125" bestFit="1" customWidth="1"/>
    <col min="15363" max="15363" width="53.7265625" bestFit="1" customWidth="1"/>
    <col min="15367" max="15367" width="14.453125" bestFit="1" customWidth="1"/>
    <col min="15619" max="15619" width="53.7265625" bestFit="1" customWidth="1"/>
    <col min="15623" max="15623" width="14.453125" bestFit="1" customWidth="1"/>
    <col min="15875" max="15875" width="53.7265625" bestFit="1" customWidth="1"/>
    <col min="15879" max="15879" width="14.453125" bestFit="1" customWidth="1"/>
    <col min="16131" max="16131" width="53.7265625" bestFit="1" customWidth="1"/>
    <col min="16135" max="16135" width="14.453125" bestFit="1" customWidth="1"/>
  </cols>
  <sheetData>
    <row r="1" spans="2:16" ht="15" thickBot="1" x14ac:dyDescent="0.4"/>
    <row r="2" spans="2:16" ht="20" x14ac:dyDescent="0.4">
      <c r="B2" s="1056" t="s">
        <v>1110</v>
      </c>
      <c r="C2" s="1057"/>
      <c r="D2" s="1057"/>
      <c r="E2" s="1057"/>
      <c r="F2" s="1057"/>
      <c r="G2" s="1058"/>
    </row>
    <row r="3" spans="2:16" ht="16" thickBot="1" x14ac:dyDescent="0.4">
      <c r="B3" s="1059" t="s">
        <v>1111</v>
      </c>
      <c r="C3" s="1060"/>
      <c r="D3" s="1060"/>
      <c r="E3" s="1060"/>
      <c r="F3" s="1060"/>
      <c r="G3" s="1060"/>
    </row>
    <row r="4" spans="2:16" ht="15" thickBot="1" x14ac:dyDescent="0.4">
      <c r="B4" s="703"/>
      <c r="C4" s="704"/>
      <c r="D4" s="704"/>
      <c r="E4" s="705"/>
      <c r="F4" s="705"/>
      <c r="G4" s="705"/>
    </row>
    <row r="5" spans="2:16" x14ac:dyDescent="0.35">
      <c r="B5" s="1061" t="s">
        <v>1112</v>
      </c>
      <c r="C5" s="1062"/>
      <c r="D5" s="1063" t="s">
        <v>1113</v>
      </c>
      <c r="E5" s="1064"/>
      <c r="F5" s="706" t="s">
        <v>1114</v>
      </c>
      <c r="G5" s="707" t="s">
        <v>1035</v>
      </c>
    </row>
    <row r="6" spans="2:16" ht="15" thickBot="1" x14ac:dyDescent="0.4">
      <c r="B6" s="708"/>
      <c r="C6" s="709"/>
      <c r="D6" s="1065"/>
      <c r="E6" s="1066"/>
      <c r="F6" s="710" t="s">
        <v>1115</v>
      </c>
      <c r="G6" s="711" t="s">
        <v>1116</v>
      </c>
      <c r="J6" s="617"/>
    </row>
    <row r="7" spans="2:16" x14ac:dyDescent="0.35">
      <c r="B7" s="712"/>
      <c r="C7" s="713"/>
      <c r="D7" s="713"/>
      <c r="E7" s="714"/>
      <c r="F7" s="714"/>
      <c r="G7" s="714"/>
    </row>
    <row r="8" spans="2:16" x14ac:dyDescent="0.35">
      <c r="B8" s="715">
        <v>1</v>
      </c>
      <c r="C8" s="716" t="s">
        <v>1117</v>
      </c>
      <c r="D8" s="717" t="s">
        <v>138</v>
      </c>
      <c r="E8" s="717">
        <v>1</v>
      </c>
      <c r="F8" s="717">
        <v>15</v>
      </c>
      <c r="G8" s="717">
        <f>E8*F8</f>
        <v>15</v>
      </c>
      <c r="H8" s="406"/>
      <c r="I8" s="406">
        <f>E8</f>
        <v>1</v>
      </c>
      <c r="J8" s="923">
        <f>I8/$I$22</f>
        <v>0.69870216073643199</v>
      </c>
      <c r="K8" s="406"/>
      <c r="M8">
        <v>1.18</v>
      </c>
      <c r="N8" s="960" t="e">
        <f>M8/$M$22</f>
        <v>#DIV/0!</v>
      </c>
      <c r="O8">
        <v>10</v>
      </c>
      <c r="P8">
        <f>M8*O8</f>
        <v>11.799999999999999</v>
      </c>
    </row>
    <row r="9" spans="2:16" x14ac:dyDescent="0.35">
      <c r="B9" s="715"/>
      <c r="C9" s="716"/>
      <c r="D9" s="717"/>
      <c r="E9" s="714"/>
      <c r="F9" s="714"/>
      <c r="G9" s="714"/>
      <c r="H9" s="406"/>
      <c r="I9" s="406"/>
      <c r="J9" s="923"/>
      <c r="K9" s="406"/>
      <c r="N9" s="960"/>
    </row>
    <row r="10" spans="2:16" x14ac:dyDescent="0.35">
      <c r="B10" s="715">
        <v>2</v>
      </c>
      <c r="C10" s="716" t="s">
        <v>1118</v>
      </c>
      <c r="D10" s="717" t="s">
        <v>138</v>
      </c>
      <c r="E10" s="1113">
        <f>+E8*0.18</f>
        <v>0.18</v>
      </c>
      <c r="F10" s="717">
        <v>15</v>
      </c>
      <c r="G10" s="714">
        <f>+G8*0.18</f>
        <v>2.6999999999999997</v>
      </c>
      <c r="H10" s="406"/>
      <c r="I10" s="406">
        <f>E10</f>
        <v>0.18</v>
      </c>
      <c r="J10" s="923">
        <f>I10/$I$22</f>
        <v>0.12576638893255776</v>
      </c>
      <c r="K10" s="924">
        <f>J8+J10</f>
        <v>0.82446854966898975</v>
      </c>
      <c r="N10" s="960"/>
    </row>
    <row r="11" spans="2:16" x14ac:dyDescent="0.35">
      <c r="B11" s="715"/>
      <c r="C11" s="716"/>
      <c r="D11" s="717"/>
      <c r="E11" s="714"/>
      <c r="F11" s="714"/>
      <c r="G11" s="714"/>
      <c r="H11" s="406"/>
      <c r="I11" s="406"/>
      <c r="J11" s="923"/>
      <c r="K11" s="406"/>
      <c r="N11" s="960"/>
    </row>
    <row r="12" spans="2:16" x14ac:dyDescent="0.35">
      <c r="B12" s="715">
        <v>3</v>
      </c>
      <c r="C12" s="716" t="s">
        <v>1119</v>
      </c>
      <c r="D12" s="717" t="s">
        <v>138</v>
      </c>
      <c r="E12" s="714">
        <v>0.1</v>
      </c>
      <c r="F12" s="714">
        <v>48</v>
      </c>
      <c r="G12" s="714">
        <f>+F12*E12</f>
        <v>4.8000000000000007</v>
      </c>
      <c r="H12" s="406"/>
      <c r="I12" s="406">
        <f>E12</f>
        <v>0.1</v>
      </c>
      <c r="J12" s="923">
        <f>I12/$I$22</f>
        <v>6.9870216073643202E-2</v>
      </c>
      <c r="K12" s="406"/>
      <c r="N12" s="960"/>
    </row>
    <row r="13" spans="2:16" x14ac:dyDescent="0.35">
      <c r="B13" s="715"/>
      <c r="C13" s="713"/>
      <c r="D13" s="717"/>
      <c r="E13" s="714"/>
      <c r="F13" s="714"/>
      <c r="G13" s="714"/>
      <c r="H13" s="406"/>
      <c r="I13" s="406"/>
      <c r="J13" s="923"/>
      <c r="K13" s="406"/>
      <c r="N13" s="960"/>
    </row>
    <row r="14" spans="2:16" x14ac:dyDescent="0.35">
      <c r="B14" s="718">
        <v>3</v>
      </c>
      <c r="C14" s="376" t="s">
        <v>1120</v>
      </c>
      <c r="D14" s="717" t="s">
        <v>138</v>
      </c>
      <c r="E14" s="1114">
        <v>3.5000000000000001E-3</v>
      </c>
      <c r="F14" s="373">
        <v>185</v>
      </c>
      <c r="G14" s="373">
        <f>(E14*F14)</f>
        <v>0.64749999999999996</v>
      </c>
      <c r="H14" s="406"/>
      <c r="I14" s="406">
        <f>E14</f>
        <v>3.5000000000000001E-3</v>
      </c>
      <c r="J14" s="923">
        <f>I14/$I$22</f>
        <v>2.4454575625775122E-3</v>
      </c>
      <c r="K14" s="406"/>
      <c r="N14" s="960"/>
    </row>
    <row r="15" spans="2:16" x14ac:dyDescent="0.35">
      <c r="B15" s="718"/>
      <c r="C15" s="376"/>
      <c r="D15" s="371"/>
      <c r="E15" s="373"/>
      <c r="F15" s="373"/>
      <c r="G15" s="373"/>
      <c r="H15" s="406"/>
      <c r="I15" s="406"/>
      <c r="J15" s="923"/>
      <c r="K15" s="406"/>
      <c r="N15" s="960"/>
    </row>
    <row r="16" spans="2:16" x14ac:dyDescent="0.35">
      <c r="B16" s="718">
        <v>4</v>
      </c>
      <c r="C16" s="376" t="s">
        <v>1121</v>
      </c>
      <c r="D16" s="717" t="s">
        <v>701</v>
      </c>
      <c r="E16" s="719">
        <f>(E8*254.54)/192</f>
        <v>1.3257291666666666</v>
      </c>
      <c r="F16" s="373">
        <v>0</v>
      </c>
      <c r="G16" s="373">
        <v>0</v>
      </c>
      <c r="H16" s="406"/>
      <c r="I16" s="406">
        <f>E16*0</f>
        <v>0</v>
      </c>
      <c r="J16" s="923">
        <f>I16/$I$22</f>
        <v>0</v>
      </c>
      <c r="K16" s="406"/>
      <c r="N16" s="960"/>
    </row>
    <row r="17" spans="2:16" x14ac:dyDescent="0.35">
      <c r="B17" s="718"/>
      <c r="C17" s="376"/>
      <c r="D17" s="717"/>
      <c r="E17" s="373"/>
      <c r="F17" s="373"/>
      <c r="G17" s="373"/>
      <c r="H17" s="406"/>
      <c r="I17" s="406"/>
      <c r="J17" s="923"/>
      <c r="K17" s="406"/>
      <c r="N17" s="960"/>
    </row>
    <row r="18" spans="2:16" x14ac:dyDescent="0.35">
      <c r="B18" s="718">
        <v>4</v>
      </c>
      <c r="C18" s="376" t="s">
        <v>1122</v>
      </c>
      <c r="D18" s="717" t="s">
        <v>138</v>
      </c>
      <c r="E18" s="719">
        <f>25/600</f>
        <v>4.1666666666666664E-2</v>
      </c>
      <c r="F18" s="373">
        <v>31.65</v>
      </c>
      <c r="G18" s="720">
        <f>(E18*F18)</f>
        <v>1.3187499999999999</v>
      </c>
      <c r="H18">
        <v>1.32</v>
      </c>
      <c r="I18" s="406">
        <f>E18</f>
        <v>4.1666666666666664E-2</v>
      </c>
      <c r="J18" s="923">
        <f>I18/$I$22</f>
        <v>2.9112590030684664E-2</v>
      </c>
      <c r="K18" s="406"/>
      <c r="N18" s="960"/>
    </row>
    <row r="19" spans="2:16" x14ac:dyDescent="0.35">
      <c r="B19" s="718"/>
      <c r="C19" s="376"/>
      <c r="D19" s="371"/>
      <c r="E19" s="373"/>
      <c r="F19" s="373"/>
      <c r="G19" s="373"/>
      <c r="H19" s="925">
        <f>E18*F18</f>
        <v>1.3187499999999999</v>
      </c>
      <c r="I19" s="406"/>
      <c r="J19" s="923"/>
      <c r="K19" s="406"/>
      <c r="N19" s="960"/>
    </row>
    <row r="20" spans="2:16" x14ac:dyDescent="0.35">
      <c r="B20" s="718">
        <v>5</v>
      </c>
      <c r="C20" s="376" t="s">
        <v>1123</v>
      </c>
      <c r="D20" s="717" t="s">
        <v>138</v>
      </c>
      <c r="E20" s="373">
        <f>(8*E16)/100</f>
        <v>0.10605833333333332</v>
      </c>
      <c r="F20" s="1114">
        <v>100</v>
      </c>
      <c r="G20" s="720">
        <f>E20*F20</f>
        <v>10.605833333333333</v>
      </c>
      <c r="H20" s="406"/>
      <c r="I20" s="406">
        <f>E20</f>
        <v>0.10605833333333332</v>
      </c>
      <c r="J20" s="923">
        <f>I20/$I$22</f>
        <v>7.4103186664104745E-2</v>
      </c>
      <c r="K20" s="406"/>
      <c r="N20" s="960"/>
    </row>
    <row r="21" spans="2:16" ht="15" thickBot="1" x14ac:dyDescent="0.4">
      <c r="B21" s="721"/>
      <c r="C21" s="672"/>
      <c r="D21" s="672"/>
      <c r="E21" s="722"/>
      <c r="F21" s="722"/>
      <c r="G21" s="722"/>
      <c r="H21" s="406"/>
      <c r="I21" s="406"/>
      <c r="J21" s="924"/>
      <c r="K21" s="406"/>
      <c r="N21" s="960"/>
    </row>
    <row r="22" spans="2:16" ht="15" thickBot="1" x14ac:dyDescent="0.4">
      <c r="B22" s="1052" t="s">
        <v>1124</v>
      </c>
      <c r="C22" s="1053"/>
      <c r="D22" s="723"/>
      <c r="E22" s="723"/>
      <c r="F22" s="723"/>
      <c r="G22" s="724">
        <f>G8+G10+G14+G18+G20+G12</f>
        <v>35.072083333333339</v>
      </c>
      <c r="H22" s="406"/>
      <c r="I22" s="926">
        <f>SUM(I8:I20)</f>
        <v>1.4312250000000002</v>
      </c>
      <c r="J22" s="927">
        <f>SUM(J8:J20)</f>
        <v>0.99999999999999989</v>
      </c>
      <c r="K22" s="406"/>
      <c r="M22" s="958"/>
      <c r="N22" s="960"/>
      <c r="P22" s="959"/>
    </row>
    <row r="23" spans="2:16" x14ac:dyDescent="0.35">
      <c r="B23" s="725"/>
      <c r="C23" s="713"/>
      <c r="D23" s="713"/>
      <c r="E23" s="713"/>
      <c r="F23" s="713"/>
      <c r="G23" s="713"/>
    </row>
    <row r="24" spans="2:16" x14ac:dyDescent="0.35">
      <c r="B24" s="1067" t="s">
        <v>1125</v>
      </c>
      <c r="C24" s="1068"/>
      <c r="D24" s="713"/>
      <c r="E24" s="714"/>
      <c r="F24" s="714"/>
      <c r="G24" s="714"/>
    </row>
    <row r="25" spans="2:16" x14ac:dyDescent="0.35">
      <c r="B25" s="725"/>
      <c r="C25" s="713"/>
      <c r="D25" s="713"/>
      <c r="E25" s="714"/>
      <c r="F25" s="714"/>
      <c r="G25" s="714"/>
    </row>
    <row r="26" spans="2:16" x14ac:dyDescent="0.35">
      <c r="B26" s="718">
        <v>1</v>
      </c>
      <c r="C26" s="376" t="s">
        <v>1126</v>
      </c>
      <c r="D26" s="717" t="s">
        <v>1127</v>
      </c>
      <c r="E26" s="373"/>
      <c r="F26" s="373"/>
      <c r="G26" s="373">
        <v>2</v>
      </c>
    </row>
    <row r="27" spans="2:16" x14ac:dyDescent="0.35">
      <c r="B27" s="718"/>
      <c r="C27" s="376"/>
      <c r="D27" s="717"/>
      <c r="E27" s="373"/>
      <c r="F27" s="373"/>
      <c r="G27" s="373"/>
    </row>
    <row r="28" spans="2:16" x14ac:dyDescent="0.35">
      <c r="B28" s="718"/>
      <c r="C28" s="376"/>
      <c r="D28" s="376"/>
      <c r="E28" s="376"/>
      <c r="F28" s="373"/>
      <c r="G28" s="373"/>
    </row>
    <row r="29" spans="2:16" x14ac:dyDescent="0.35">
      <c r="B29" s="718"/>
      <c r="C29" s="376"/>
      <c r="D29" s="717"/>
      <c r="E29" s="373"/>
      <c r="F29" s="373"/>
      <c r="G29" s="373"/>
    </row>
    <row r="30" spans="2:16" x14ac:dyDescent="0.35">
      <c r="B30" s="718">
        <v>3</v>
      </c>
      <c r="C30" s="376" t="s">
        <v>1128</v>
      </c>
      <c r="D30" s="717" t="s">
        <v>1127</v>
      </c>
      <c r="E30" s="373"/>
      <c r="F30" s="373"/>
      <c r="G30" s="373">
        <v>0.41</v>
      </c>
    </row>
    <row r="31" spans="2:16" x14ac:dyDescent="0.35">
      <c r="B31" s="718"/>
      <c r="C31" s="376"/>
      <c r="D31" s="717"/>
      <c r="E31" s="373"/>
      <c r="F31" s="373"/>
      <c r="G31" s="373"/>
    </row>
    <row r="32" spans="2:16" x14ac:dyDescent="0.35">
      <c r="B32" s="718">
        <v>4</v>
      </c>
      <c r="C32" s="376" t="s">
        <v>1129</v>
      </c>
      <c r="D32" s="717" t="s">
        <v>1127</v>
      </c>
      <c r="E32" s="373"/>
      <c r="F32" s="373"/>
      <c r="G32" s="373">
        <v>5</v>
      </c>
    </row>
    <row r="33" spans="2:10" x14ac:dyDescent="0.35">
      <c r="B33" s="718"/>
      <c r="C33" s="376"/>
      <c r="D33" s="717"/>
      <c r="E33" s="373"/>
      <c r="F33" s="373"/>
      <c r="G33" s="373"/>
    </row>
    <row r="34" spans="2:10" x14ac:dyDescent="0.35">
      <c r="B34" s="718">
        <v>5</v>
      </c>
      <c r="C34" s="376" t="s">
        <v>1130</v>
      </c>
      <c r="D34" s="717" t="s">
        <v>1127</v>
      </c>
      <c r="E34" s="373"/>
      <c r="F34" s="373"/>
      <c r="G34" s="373">
        <v>3</v>
      </c>
    </row>
    <row r="35" spans="2:10" x14ac:dyDescent="0.35">
      <c r="B35" s="718"/>
      <c r="C35" s="376"/>
      <c r="D35" s="717"/>
      <c r="E35" s="373"/>
      <c r="F35" s="373"/>
      <c r="G35" s="373"/>
    </row>
    <row r="36" spans="2:10" x14ac:dyDescent="0.35">
      <c r="B36" s="718"/>
      <c r="C36" s="376"/>
      <c r="D36" s="717"/>
      <c r="E36" s="373"/>
      <c r="F36" s="373"/>
      <c r="G36" s="373"/>
    </row>
    <row r="37" spans="2:10" x14ac:dyDescent="0.35">
      <c r="B37" s="718"/>
      <c r="C37" s="376"/>
      <c r="D37" s="717"/>
      <c r="E37" s="373"/>
      <c r="F37" s="373"/>
      <c r="G37" s="373"/>
    </row>
    <row r="38" spans="2:10" x14ac:dyDescent="0.35">
      <c r="B38" s="718">
        <v>3</v>
      </c>
      <c r="C38" s="376" t="s">
        <v>1131</v>
      </c>
      <c r="D38" s="717" t="s">
        <v>1132</v>
      </c>
      <c r="E38" s="726">
        <f>(1600*0.7*24)/75000</f>
        <v>0.3584</v>
      </c>
      <c r="F38" s="373">
        <v>7</v>
      </c>
      <c r="G38" s="720">
        <f>E38*F38</f>
        <v>2.5087999999999999</v>
      </c>
      <c r="H38">
        <f>E38*27000*1000</f>
        <v>9676800</v>
      </c>
      <c r="I38" s="617" t="s">
        <v>1133</v>
      </c>
      <c r="J38" s="617">
        <v>3186</v>
      </c>
    </row>
    <row r="39" spans="2:10" x14ac:dyDescent="0.35">
      <c r="B39" s="718"/>
      <c r="C39" s="376"/>
      <c r="D39" s="717"/>
      <c r="E39" s="373"/>
      <c r="F39" s="373"/>
      <c r="G39" s="373"/>
      <c r="I39" s="617" t="s">
        <v>1134</v>
      </c>
      <c r="J39">
        <f>J38/2</f>
        <v>1593</v>
      </c>
    </row>
    <row r="40" spans="2:10" x14ac:dyDescent="0.35">
      <c r="B40" s="718">
        <v>3</v>
      </c>
      <c r="C40" s="376" t="s">
        <v>1135</v>
      </c>
      <c r="D40" s="717" t="s">
        <v>1136</v>
      </c>
      <c r="E40" s="373">
        <v>2.5600000000000001E-2</v>
      </c>
      <c r="F40" s="373">
        <v>0.68</v>
      </c>
      <c r="G40" s="727">
        <f>E40*F40</f>
        <v>1.7408000000000003E-2</v>
      </c>
      <c r="I40" s="617" t="s">
        <v>1137</v>
      </c>
      <c r="J40">
        <f>J39*0.7</f>
        <v>1115.0999999999999</v>
      </c>
    </row>
    <row r="41" spans="2:10" x14ac:dyDescent="0.35">
      <c r="B41" s="718"/>
      <c r="C41" s="376"/>
      <c r="D41" s="717"/>
      <c r="E41" s="373"/>
      <c r="F41" s="373"/>
      <c r="G41" s="373"/>
      <c r="I41" s="617" t="s">
        <v>1138</v>
      </c>
      <c r="J41">
        <f>J40*24</f>
        <v>26762.399999999998</v>
      </c>
    </row>
    <row r="42" spans="2:10" x14ac:dyDescent="0.35">
      <c r="B42" s="718">
        <v>4</v>
      </c>
      <c r="C42" s="376" t="s">
        <v>1139</v>
      </c>
      <c r="D42" s="717" t="s">
        <v>1136</v>
      </c>
      <c r="E42" s="373">
        <v>2.5600000000000001E-2</v>
      </c>
      <c r="F42" s="373">
        <v>0.82</v>
      </c>
      <c r="G42" s="720">
        <f>E42*F42</f>
        <v>2.0992E-2</v>
      </c>
      <c r="J42">
        <v>7.5</v>
      </c>
    </row>
    <row r="43" spans="2:10" x14ac:dyDescent="0.35">
      <c r="B43" s="718"/>
      <c r="C43" s="376"/>
      <c r="D43" s="717"/>
      <c r="E43" s="373"/>
      <c r="F43" s="373"/>
      <c r="G43" s="373"/>
      <c r="J43">
        <f>+J42*J41/70000</f>
        <v>2.8673999999999995</v>
      </c>
    </row>
    <row r="44" spans="2:10" x14ac:dyDescent="0.35">
      <c r="B44" s="718">
        <v>5</v>
      </c>
      <c r="C44" s="376" t="s">
        <v>1140</v>
      </c>
      <c r="D44" s="717" t="s">
        <v>1136</v>
      </c>
      <c r="E44" s="373">
        <f>(25*24)/75000</f>
        <v>8.0000000000000002E-3</v>
      </c>
      <c r="F44" s="373">
        <v>2.83</v>
      </c>
      <c r="G44" s="727">
        <f>E44*F44</f>
        <v>2.264E-2</v>
      </c>
    </row>
    <row r="45" spans="2:10" x14ac:dyDescent="0.35">
      <c r="B45" s="718"/>
      <c r="C45" s="376"/>
      <c r="D45" s="717"/>
      <c r="E45" s="373"/>
      <c r="F45" s="373"/>
      <c r="G45" s="373"/>
    </row>
    <row r="46" spans="2:10" x14ac:dyDescent="0.35">
      <c r="B46" s="718">
        <v>6</v>
      </c>
      <c r="C46" s="376" t="s">
        <v>1141</v>
      </c>
      <c r="D46" s="717" t="s">
        <v>1136</v>
      </c>
      <c r="E46" s="727">
        <f>300/75000</f>
        <v>4.0000000000000001E-3</v>
      </c>
      <c r="F46" s="373">
        <v>65.48</v>
      </c>
      <c r="G46" s="720">
        <f>E46*F46</f>
        <v>0.26192000000000004</v>
      </c>
    </row>
    <row r="47" spans="2:10" x14ac:dyDescent="0.35">
      <c r="B47" s="718"/>
      <c r="C47" s="376"/>
      <c r="D47" s="717"/>
      <c r="E47" s="373"/>
      <c r="F47" s="373"/>
      <c r="G47" s="373"/>
    </row>
    <row r="48" spans="2:10" x14ac:dyDescent="0.35">
      <c r="B48" s="718">
        <v>7</v>
      </c>
      <c r="C48" s="376" t="s">
        <v>1142</v>
      </c>
      <c r="D48" s="717" t="s">
        <v>1136</v>
      </c>
      <c r="E48" s="719">
        <f>1100/75000</f>
        <v>1.4666666666666666E-2</v>
      </c>
      <c r="F48" s="373">
        <v>1.84</v>
      </c>
      <c r="G48" s="727">
        <f>E48*F48</f>
        <v>2.6986666666666666E-2</v>
      </c>
    </row>
    <row r="49" spans="2:7" x14ac:dyDescent="0.35">
      <c r="B49" s="718"/>
      <c r="C49" s="376"/>
      <c r="D49" s="717"/>
      <c r="E49" s="373"/>
      <c r="F49" s="373"/>
      <c r="G49" s="373"/>
    </row>
    <row r="50" spans="2:7" x14ac:dyDescent="0.35">
      <c r="B50" s="718">
        <v>8</v>
      </c>
      <c r="C50" s="376" t="s">
        <v>1143</v>
      </c>
      <c r="D50" s="717" t="s">
        <v>1136</v>
      </c>
      <c r="E50" s="373">
        <v>6.0000000000000001E-3</v>
      </c>
      <c r="F50" s="373">
        <v>5.82</v>
      </c>
      <c r="G50" s="727">
        <f>E50*F50</f>
        <v>3.492E-2</v>
      </c>
    </row>
    <row r="51" spans="2:7" x14ac:dyDescent="0.35">
      <c r="B51" s="718"/>
      <c r="C51" s="376"/>
      <c r="D51" s="717"/>
      <c r="E51" s="373"/>
      <c r="F51" s="373"/>
      <c r="G51" s="373"/>
    </row>
    <row r="52" spans="2:7" x14ac:dyDescent="0.35">
      <c r="B52" s="718">
        <v>9</v>
      </c>
      <c r="C52" s="376" t="s">
        <v>1144</v>
      </c>
      <c r="D52" s="717" t="s">
        <v>1136</v>
      </c>
      <c r="E52" s="719">
        <f>15/75000</f>
        <v>2.0000000000000001E-4</v>
      </c>
      <c r="F52" s="373">
        <v>99.15</v>
      </c>
      <c r="G52" s="720">
        <f>E52*F52</f>
        <v>1.983E-2</v>
      </c>
    </row>
    <row r="53" spans="2:7" x14ac:dyDescent="0.35">
      <c r="B53" s="718"/>
      <c r="C53" s="376"/>
      <c r="D53" s="371"/>
      <c r="E53" s="719"/>
      <c r="F53" s="373"/>
      <c r="G53" s="373"/>
    </row>
    <row r="54" spans="2:7" x14ac:dyDescent="0.35">
      <c r="B54" s="718">
        <v>10</v>
      </c>
      <c r="C54" s="376" t="s">
        <v>1145</v>
      </c>
      <c r="D54" s="717" t="s">
        <v>1136</v>
      </c>
      <c r="E54" s="719">
        <f>100/75000</f>
        <v>1.3333333333333333E-3</v>
      </c>
      <c r="F54" s="373">
        <v>108.52</v>
      </c>
      <c r="G54" s="720">
        <f>E54*F54</f>
        <v>0.14469333333333331</v>
      </c>
    </row>
    <row r="55" spans="2:7" x14ac:dyDescent="0.35">
      <c r="B55" s="718"/>
      <c r="C55" s="376"/>
      <c r="D55" s="371"/>
      <c r="E55" s="373"/>
      <c r="F55" s="373"/>
      <c r="G55" s="373"/>
    </row>
    <row r="56" spans="2:7" x14ac:dyDescent="0.35">
      <c r="B56" s="718">
        <v>11</v>
      </c>
      <c r="C56" s="376" t="s">
        <v>934</v>
      </c>
      <c r="D56" s="717"/>
      <c r="E56" s="373"/>
      <c r="F56" s="373"/>
      <c r="G56" s="373">
        <v>5.5</v>
      </c>
    </row>
    <row r="57" spans="2:7" ht="15" thickBot="1" x14ac:dyDescent="0.4">
      <c r="B57" s="728"/>
      <c r="C57" s="729"/>
      <c r="D57" s="643"/>
      <c r="E57" s="638"/>
      <c r="F57" s="638"/>
      <c r="G57" s="638"/>
    </row>
    <row r="58" spans="2:7" ht="15" thickBot="1" x14ac:dyDescent="0.4">
      <c r="B58" s="1052" t="s">
        <v>1044</v>
      </c>
      <c r="C58" s="1053"/>
      <c r="D58" s="730"/>
      <c r="E58" s="730"/>
      <c r="F58" s="731"/>
      <c r="G58" s="724">
        <f>SUM(G26:G56)</f>
        <v>18.96819</v>
      </c>
    </row>
    <row r="59" spans="2:7" ht="15" thickBot="1" x14ac:dyDescent="0.4">
      <c r="B59" s="732"/>
      <c r="C59" s="733"/>
      <c r="D59" s="733"/>
      <c r="E59" s="733"/>
      <c r="F59" s="733"/>
      <c r="G59" s="733"/>
    </row>
    <row r="60" spans="2:7" ht="15" thickBot="1" x14ac:dyDescent="0.4">
      <c r="B60" s="1052" t="s">
        <v>1146</v>
      </c>
      <c r="C60" s="1053"/>
      <c r="D60" s="730"/>
      <c r="E60" s="730"/>
      <c r="F60" s="730"/>
      <c r="G60" s="730"/>
    </row>
    <row r="61" spans="2:7" ht="15" thickBot="1" x14ac:dyDescent="0.4">
      <c r="B61" s="734"/>
      <c r="C61" s="672"/>
      <c r="D61" s="672"/>
      <c r="E61" s="672"/>
      <c r="F61" s="672"/>
      <c r="G61" s="672"/>
    </row>
    <row r="62" spans="2:7" ht="16" thickBot="1" x14ac:dyDescent="0.4">
      <c r="B62" s="1054" t="s">
        <v>1147</v>
      </c>
      <c r="C62" s="1055"/>
      <c r="D62" s="1055"/>
      <c r="E62" s="1055"/>
      <c r="F62" s="1055"/>
      <c r="G62" s="1055"/>
    </row>
    <row r="63" spans="2:7" x14ac:dyDescent="0.35">
      <c r="B63" s="735"/>
      <c r="C63" s="736"/>
      <c r="D63" s="736"/>
      <c r="E63" s="736"/>
      <c r="F63" s="736"/>
      <c r="G63" s="736"/>
    </row>
    <row r="64" spans="2:7" x14ac:dyDescent="0.35">
      <c r="B64" s="718">
        <v>1</v>
      </c>
      <c r="C64" s="376" t="s">
        <v>1148</v>
      </c>
      <c r="D64" s="376"/>
      <c r="E64" s="376"/>
      <c r="F64" s="376"/>
      <c r="G64" s="376">
        <v>1.3</v>
      </c>
    </row>
    <row r="65" spans="2:7" x14ac:dyDescent="0.35">
      <c r="B65" s="718"/>
      <c r="C65" s="376"/>
      <c r="D65" s="376"/>
      <c r="E65" s="376"/>
      <c r="F65" s="376"/>
      <c r="G65" s="376"/>
    </row>
    <row r="66" spans="2:7" x14ac:dyDescent="0.35">
      <c r="B66" s="718">
        <v>2</v>
      </c>
      <c r="C66" s="376" t="s">
        <v>1131</v>
      </c>
      <c r="D66" s="376"/>
      <c r="E66" s="376"/>
      <c r="F66" s="376"/>
      <c r="G66" s="376">
        <v>0.8</v>
      </c>
    </row>
    <row r="67" spans="2:7" x14ac:dyDescent="0.35">
      <c r="B67" s="718"/>
      <c r="C67" s="376"/>
      <c r="D67" s="376"/>
      <c r="E67" s="376"/>
      <c r="F67" s="376"/>
      <c r="G67" s="376"/>
    </row>
    <row r="68" spans="2:7" x14ac:dyDescent="0.35">
      <c r="B68" s="718">
        <v>3</v>
      </c>
      <c r="C68" s="376" t="s">
        <v>1149</v>
      </c>
      <c r="D68" s="376"/>
      <c r="E68" s="376"/>
      <c r="F68" s="376"/>
      <c r="G68" s="376">
        <v>0.2</v>
      </c>
    </row>
    <row r="69" spans="2:7" x14ac:dyDescent="0.35">
      <c r="B69" s="718"/>
      <c r="C69" s="376"/>
      <c r="D69" s="376"/>
      <c r="E69" s="376"/>
      <c r="F69" s="376"/>
      <c r="G69" s="376"/>
    </row>
    <row r="70" spans="2:7" x14ac:dyDescent="0.35">
      <c r="B70" s="718">
        <v>4</v>
      </c>
      <c r="C70" s="376" t="s">
        <v>1150</v>
      </c>
      <c r="D70" s="376"/>
      <c r="E70" s="376"/>
      <c r="F70" s="376"/>
      <c r="G70" s="376">
        <v>0.2</v>
      </c>
    </row>
    <row r="71" spans="2:7" x14ac:dyDescent="0.35">
      <c r="B71" s="718"/>
      <c r="C71" s="376"/>
      <c r="D71" s="376"/>
      <c r="E71" s="376"/>
      <c r="F71" s="376"/>
      <c r="G71" s="376"/>
    </row>
    <row r="72" spans="2:7" x14ac:dyDescent="0.35">
      <c r="B72" s="718">
        <v>5</v>
      </c>
      <c r="C72" s="376" t="s">
        <v>1151</v>
      </c>
      <c r="D72" s="376"/>
      <c r="E72" s="376"/>
      <c r="F72" s="376"/>
      <c r="G72" s="376">
        <v>0.5</v>
      </c>
    </row>
    <row r="73" spans="2:7" x14ac:dyDescent="0.35">
      <c r="B73" s="718"/>
      <c r="C73" s="376"/>
      <c r="D73" s="376"/>
      <c r="E73" s="376"/>
      <c r="F73" s="376"/>
      <c r="G73" s="376"/>
    </row>
    <row r="74" spans="2:7" x14ac:dyDescent="0.35">
      <c r="B74" s="728">
        <v>6</v>
      </c>
      <c r="C74" s="729" t="s">
        <v>1100</v>
      </c>
      <c r="D74" s="729"/>
      <c r="E74" s="729"/>
      <c r="F74" s="729"/>
      <c r="G74" s="729">
        <v>0.4</v>
      </c>
    </row>
    <row r="75" spans="2:7" x14ac:dyDescent="0.35">
      <c r="B75" s="721"/>
      <c r="C75" s="737"/>
      <c r="D75" s="737"/>
      <c r="E75" s="737"/>
      <c r="F75" s="737"/>
      <c r="G75" s="737"/>
    </row>
    <row r="76" spans="2:7" ht="15" thickBot="1" x14ac:dyDescent="0.4">
      <c r="B76" s="721">
        <v>7</v>
      </c>
      <c r="C76" s="737" t="s">
        <v>934</v>
      </c>
      <c r="D76" s="737"/>
      <c r="E76" s="737"/>
      <c r="F76" s="737"/>
      <c r="G76" s="737">
        <v>0.5</v>
      </c>
    </row>
    <row r="77" spans="2:7" ht="15" thickBot="1" x14ac:dyDescent="0.4">
      <c r="B77" s="738"/>
      <c r="C77" s="730" t="s">
        <v>41</v>
      </c>
      <c r="D77" s="730"/>
      <c r="E77" s="730"/>
      <c r="F77" s="730"/>
      <c r="G77" s="730">
        <f>SUM(G64:G76)</f>
        <v>3.9000000000000004</v>
      </c>
    </row>
    <row r="78" spans="2:7" ht="15" thickBot="1" x14ac:dyDescent="0.4">
      <c r="B78" s="739"/>
      <c r="C78" s="740"/>
      <c r="D78" s="740"/>
      <c r="E78" s="740"/>
      <c r="F78" s="740"/>
      <c r="G78" s="740"/>
    </row>
    <row r="79" spans="2:7" ht="15" thickBot="1" x14ac:dyDescent="0.4">
      <c r="B79" s="741"/>
      <c r="C79" s="737"/>
      <c r="D79" s="737"/>
      <c r="E79" s="737"/>
      <c r="F79" s="737"/>
      <c r="G79" s="737"/>
    </row>
    <row r="80" spans="2:7" ht="18.5" thickBot="1" x14ac:dyDescent="0.45">
      <c r="B80" s="742"/>
      <c r="C80" s="743" t="s">
        <v>1152</v>
      </c>
      <c r="D80" s="743"/>
      <c r="E80" s="743"/>
      <c r="F80" s="743"/>
      <c r="G80" s="744">
        <f>+G77+G58+G22</f>
        <v>57.940273333333337</v>
      </c>
    </row>
    <row r="81" spans="2:7" ht="15" thickBot="1" x14ac:dyDescent="0.4">
      <c r="B81" s="739"/>
      <c r="C81" s="745"/>
      <c r="D81" s="745"/>
      <c r="E81" s="745"/>
      <c r="F81" s="745" t="s">
        <v>1153</v>
      </c>
      <c r="G81" s="746">
        <v>60</v>
      </c>
    </row>
    <row r="82" spans="2:7" x14ac:dyDescent="0.35">
      <c r="G82" s="23"/>
    </row>
    <row r="83" spans="2:7" x14ac:dyDescent="0.35">
      <c r="C83" t="s">
        <v>1154</v>
      </c>
      <c r="F83" s="747" t="s">
        <v>1155</v>
      </c>
      <c r="G83" s="23">
        <v>100</v>
      </c>
    </row>
    <row r="84" spans="2:7" x14ac:dyDescent="0.35">
      <c r="C84" t="s">
        <v>608</v>
      </c>
      <c r="D84" s="617" t="s">
        <v>1156</v>
      </c>
      <c r="F84" s="747" t="s">
        <v>1155</v>
      </c>
      <c r="G84" s="23">
        <f>+G83-G81</f>
        <v>40</v>
      </c>
    </row>
    <row r="85" spans="2:7" x14ac:dyDescent="0.35">
      <c r="C85" t="s">
        <v>608</v>
      </c>
      <c r="D85" s="617" t="s">
        <v>1157</v>
      </c>
      <c r="F85" s="747" t="s">
        <v>1155</v>
      </c>
      <c r="G85" s="748">
        <f>+G84*350*60000</f>
        <v>840000000</v>
      </c>
    </row>
  </sheetData>
  <mergeCells count="9">
    <mergeCell ref="B58:C58"/>
    <mergeCell ref="B60:C60"/>
    <mergeCell ref="B62:G62"/>
    <mergeCell ref="B2:G2"/>
    <mergeCell ref="B3:G3"/>
    <mergeCell ref="B5:C5"/>
    <mergeCell ref="D5:E6"/>
    <mergeCell ref="B22:C22"/>
    <mergeCell ref="B24:C2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3F1E-F9AF-4561-AD72-3DA6878E905E}">
  <dimension ref="C2:J155"/>
  <sheetViews>
    <sheetView topLeftCell="A140" workbookViewId="0">
      <selection activeCell="D152" sqref="D152"/>
    </sheetView>
  </sheetViews>
  <sheetFormatPr defaultRowHeight="14.5" x14ac:dyDescent="0.35"/>
  <cols>
    <col min="4" max="4" width="70.453125" bestFit="1" customWidth="1"/>
    <col min="5" max="5" width="9" bestFit="1" customWidth="1"/>
    <col min="7" max="7" width="12.54296875" customWidth="1"/>
    <col min="260" max="260" width="70.453125" bestFit="1" customWidth="1"/>
    <col min="261" max="261" width="9" bestFit="1" customWidth="1"/>
    <col min="263" max="263" width="12.54296875" customWidth="1"/>
    <col min="516" max="516" width="70.453125" bestFit="1" customWidth="1"/>
    <col min="517" max="517" width="9" bestFit="1" customWidth="1"/>
    <col min="519" max="519" width="12.54296875" customWidth="1"/>
    <col min="772" max="772" width="70.453125" bestFit="1" customWidth="1"/>
    <col min="773" max="773" width="9" bestFit="1" customWidth="1"/>
    <col min="775" max="775" width="12.54296875" customWidth="1"/>
    <col min="1028" max="1028" width="70.453125" bestFit="1" customWidth="1"/>
    <col min="1029" max="1029" width="9" bestFit="1" customWidth="1"/>
    <col min="1031" max="1031" width="12.54296875" customWidth="1"/>
    <col min="1284" max="1284" width="70.453125" bestFit="1" customWidth="1"/>
    <col min="1285" max="1285" width="9" bestFit="1" customWidth="1"/>
    <col min="1287" max="1287" width="12.54296875" customWidth="1"/>
    <col min="1540" max="1540" width="70.453125" bestFit="1" customWidth="1"/>
    <col min="1541" max="1541" width="9" bestFit="1" customWidth="1"/>
    <col min="1543" max="1543" width="12.54296875" customWidth="1"/>
    <col min="1796" max="1796" width="70.453125" bestFit="1" customWidth="1"/>
    <col min="1797" max="1797" width="9" bestFit="1" customWidth="1"/>
    <col min="1799" max="1799" width="12.54296875" customWidth="1"/>
    <col min="2052" max="2052" width="70.453125" bestFit="1" customWidth="1"/>
    <col min="2053" max="2053" width="9" bestFit="1" customWidth="1"/>
    <col min="2055" max="2055" width="12.54296875" customWidth="1"/>
    <col min="2308" max="2308" width="70.453125" bestFit="1" customWidth="1"/>
    <col min="2309" max="2309" width="9" bestFit="1" customWidth="1"/>
    <col min="2311" max="2311" width="12.54296875" customWidth="1"/>
    <col min="2564" max="2564" width="70.453125" bestFit="1" customWidth="1"/>
    <col min="2565" max="2565" width="9" bestFit="1" customWidth="1"/>
    <col min="2567" max="2567" width="12.54296875" customWidth="1"/>
    <col min="2820" max="2820" width="70.453125" bestFit="1" customWidth="1"/>
    <col min="2821" max="2821" width="9" bestFit="1" customWidth="1"/>
    <col min="2823" max="2823" width="12.54296875" customWidth="1"/>
    <col min="3076" max="3076" width="70.453125" bestFit="1" customWidth="1"/>
    <col min="3077" max="3077" width="9" bestFit="1" customWidth="1"/>
    <col min="3079" max="3079" width="12.54296875" customWidth="1"/>
    <col min="3332" max="3332" width="70.453125" bestFit="1" customWidth="1"/>
    <col min="3333" max="3333" width="9" bestFit="1" customWidth="1"/>
    <col min="3335" max="3335" width="12.54296875" customWidth="1"/>
    <col min="3588" max="3588" width="70.453125" bestFit="1" customWidth="1"/>
    <col min="3589" max="3589" width="9" bestFit="1" customWidth="1"/>
    <col min="3591" max="3591" width="12.54296875" customWidth="1"/>
    <col min="3844" max="3844" width="70.453125" bestFit="1" customWidth="1"/>
    <col min="3845" max="3845" width="9" bestFit="1" customWidth="1"/>
    <col min="3847" max="3847" width="12.54296875" customWidth="1"/>
    <col min="4100" max="4100" width="70.453125" bestFit="1" customWidth="1"/>
    <col min="4101" max="4101" width="9" bestFit="1" customWidth="1"/>
    <col min="4103" max="4103" width="12.54296875" customWidth="1"/>
    <col min="4356" max="4356" width="70.453125" bestFit="1" customWidth="1"/>
    <col min="4357" max="4357" width="9" bestFit="1" customWidth="1"/>
    <col min="4359" max="4359" width="12.54296875" customWidth="1"/>
    <col min="4612" max="4612" width="70.453125" bestFit="1" customWidth="1"/>
    <col min="4613" max="4613" width="9" bestFit="1" customWidth="1"/>
    <col min="4615" max="4615" width="12.54296875" customWidth="1"/>
    <col min="4868" max="4868" width="70.453125" bestFit="1" customWidth="1"/>
    <col min="4869" max="4869" width="9" bestFit="1" customWidth="1"/>
    <col min="4871" max="4871" width="12.54296875" customWidth="1"/>
    <col min="5124" max="5124" width="70.453125" bestFit="1" customWidth="1"/>
    <col min="5125" max="5125" width="9" bestFit="1" customWidth="1"/>
    <col min="5127" max="5127" width="12.54296875" customWidth="1"/>
    <col min="5380" max="5380" width="70.453125" bestFit="1" customWidth="1"/>
    <col min="5381" max="5381" width="9" bestFit="1" customWidth="1"/>
    <col min="5383" max="5383" width="12.54296875" customWidth="1"/>
    <col min="5636" max="5636" width="70.453125" bestFit="1" customWidth="1"/>
    <col min="5637" max="5637" width="9" bestFit="1" customWidth="1"/>
    <col min="5639" max="5639" width="12.54296875" customWidth="1"/>
    <col min="5892" max="5892" width="70.453125" bestFit="1" customWidth="1"/>
    <col min="5893" max="5893" width="9" bestFit="1" customWidth="1"/>
    <col min="5895" max="5895" width="12.54296875" customWidth="1"/>
    <col min="6148" max="6148" width="70.453125" bestFit="1" customWidth="1"/>
    <col min="6149" max="6149" width="9" bestFit="1" customWidth="1"/>
    <col min="6151" max="6151" width="12.54296875" customWidth="1"/>
    <col min="6404" max="6404" width="70.453125" bestFit="1" customWidth="1"/>
    <col min="6405" max="6405" width="9" bestFit="1" customWidth="1"/>
    <col min="6407" max="6407" width="12.54296875" customWidth="1"/>
    <col min="6660" max="6660" width="70.453125" bestFit="1" customWidth="1"/>
    <col min="6661" max="6661" width="9" bestFit="1" customWidth="1"/>
    <col min="6663" max="6663" width="12.54296875" customWidth="1"/>
    <col min="6916" max="6916" width="70.453125" bestFit="1" customWidth="1"/>
    <col min="6917" max="6917" width="9" bestFit="1" customWidth="1"/>
    <col min="6919" max="6919" width="12.54296875" customWidth="1"/>
    <col min="7172" max="7172" width="70.453125" bestFit="1" customWidth="1"/>
    <col min="7173" max="7173" width="9" bestFit="1" customWidth="1"/>
    <col min="7175" max="7175" width="12.54296875" customWidth="1"/>
    <col min="7428" max="7428" width="70.453125" bestFit="1" customWidth="1"/>
    <col min="7429" max="7429" width="9" bestFit="1" customWidth="1"/>
    <col min="7431" max="7431" width="12.54296875" customWidth="1"/>
    <col min="7684" max="7684" width="70.453125" bestFit="1" customWidth="1"/>
    <col min="7685" max="7685" width="9" bestFit="1" customWidth="1"/>
    <col min="7687" max="7687" width="12.54296875" customWidth="1"/>
    <col min="7940" max="7940" width="70.453125" bestFit="1" customWidth="1"/>
    <col min="7941" max="7941" width="9" bestFit="1" customWidth="1"/>
    <col min="7943" max="7943" width="12.54296875" customWidth="1"/>
    <col min="8196" max="8196" width="70.453125" bestFit="1" customWidth="1"/>
    <col min="8197" max="8197" width="9" bestFit="1" customWidth="1"/>
    <col min="8199" max="8199" width="12.54296875" customWidth="1"/>
    <col min="8452" max="8452" width="70.453125" bestFit="1" customWidth="1"/>
    <col min="8453" max="8453" width="9" bestFit="1" customWidth="1"/>
    <col min="8455" max="8455" width="12.54296875" customWidth="1"/>
    <col min="8708" max="8708" width="70.453125" bestFit="1" customWidth="1"/>
    <col min="8709" max="8709" width="9" bestFit="1" customWidth="1"/>
    <col min="8711" max="8711" width="12.54296875" customWidth="1"/>
    <col min="8964" max="8964" width="70.453125" bestFit="1" customWidth="1"/>
    <col min="8965" max="8965" width="9" bestFit="1" customWidth="1"/>
    <col min="8967" max="8967" width="12.54296875" customWidth="1"/>
    <col min="9220" max="9220" width="70.453125" bestFit="1" customWidth="1"/>
    <col min="9221" max="9221" width="9" bestFit="1" customWidth="1"/>
    <col min="9223" max="9223" width="12.54296875" customWidth="1"/>
    <col min="9476" max="9476" width="70.453125" bestFit="1" customWidth="1"/>
    <col min="9477" max="9477" width="9" bestFit="1" customWidth="1"/>
    <col min="9479" max="9479" width="12.54296875" customWidth="1"/>
    <col min="9732" max="9732" width="70.453125" bestFit="1" customWidth="1"/>
    <col min="9733" max="9733" width="9" bestFit="1" customWidth="1"/>
    <col min="9735" max="9735" width="12.54296875" customWidth="1"/>
    <col min="9988" max="9988" width="70.453125" bestFit="1" customWidth="1"/>
    <col min="9989" max="9989" width="9" bestFit="1" customWidth="1"/>
    <col min="9991" max="9991" width="12.54296875" customWidth="1"/>
    <col min="10244" max="10244" width="70.453125" bestFit="1" customWidth="1"/>
    <col min="10245" max="10245" width="9" bestFit="1" customWidth="1"/>
    <col min="10247" max="10247" width="12.54296875" customWidth="1"/>
    <col min="10500" max="10500" width="70.453125" bestFit="1" customWidth="1"/>
    <col min="10501" max="10501" width="9" bestFit="1" customWidth="1"/>
    <col min="10503" max="10503" width="12.54296875" customWidth="1"/>
    <col min="10756" max="10756" width="70.453125" bestFit="1" customWidth="1"/>
    <col min="10757" max="10757" width="9" bestFit="1" customWidth="1"/>
    <col min="10759" max="10759" width="12.54296875" customWidth="1"/>
    <col min="11012" max="11012" width="70.453125" bestFit="1" customWidth="1"/>
    <col min="11013" max="11013" width="9" bestFit="1" customWidth="1"/>
    <col min="11015" max="11015" width="12.54296875" customWidth="1"/>
    <col min="11268" max="11268" width="70.453125" bestFit="1" customWidth="1"/>
    <col min="11269" max="11269" width="9" bestFit="1" customWidth="1"/>
    <col min="11271" max="11271" width="12.54296875" customWidth="1"/>
    <col min="11524" max="11524" width="70.453125" bestFit="1" customWidth="1"/>
    <col min="11525" max="11525" width="9" bestFit="1" customWidth="1"/>
    <col min="11527" max="11527" width="12.54296875" customWidth="1"/>
    <col min="11780" max="11780" width="70.453125" bestFit="1" customWidth="1"/>
    <col min="11781" max="11781" width="9" bestFit="1" customWidth="1"/>
    <col min="11783" max="11783" width="12.54296875" customWidth="1"/>
    <col min="12036" max="12036" width="70.453125" bestFit="1" customWidth="1"/>
    <col min="12037" max="12037" width="9" bestFit="1" customWidth="1"/>
    <col min="12039" max="12039" width="12.54296875" customWidth="1"/>
    <col min="12292" max="12292" width="70.453125" bestFit="1" customWidth="1"/>
    <col min="12293" max="12293" width="9" bestFit="1" customWidth="1"/>
    <col min="12295" max="12295" width="12.54296875" customWidth="1"/>
    <col min="12548" max="12548" width="70.453125" bestFit="1" customWidth="1"/>
    <col min="12549" max="12549" width="9" bestFit="1" customWidth="1"/>
    <col min="12551" max="12551" width="12.54296875" customWidth="1"/>
    <col min="12804" max="12804" width="70.453125" bestFit="1" customWidth="1"/>
    <col min="12805" max="12805" width="9" bestFit="1" customWidth="1"/>
    <col min="12807" max="12807" width="12.54296875" customWidth="1"/>
    <col min="13060" max="13060" width="70.453125" bestFit="1" customWidth="1"/>
    <col min="13061" max="13061" width="9" bestFit="1" customWidth="1"/>
    <col min="13063" max="13063" width="12.54296875" customWidth="1"/>
    <col min="13316" max="13316" width="70.453125" bestFit="1" customWidth="1"/>
    <col min="13317" max="13317" width="9" bestFit="1" customWidth="1"/>
    <col min="13319" max="13319" width="12.54296875" customWidth="1"/>
    <col min="13572" max="13572" width="70.453125" bestFit="1" customWidth="1"/>
    <col min="13573" max="13573" width="9" bestFit="1" customWidth="1"/>
    <col min="13575" max="13575" width="12.54296875" customWidth="1"/>
    <col min="13828" max="13828" width="70.453125" bestFit="1" customWidth="1"/>
    <col min="13829" max="13829" width="9" bestFit="1" customWidth="1"/>
    <col min="13831" max="13831" width="12.54296875" customWidth="1"/>
    <col min="14084" max="14084" width="70.453125" bestFit="1" customWidth="1"/>
    <col min="14085" max="14085" width="9" bestFit="1" customWidth="1"/>
    <col min="14087" max="14087" width="12.54296875" customWidth="1"/>
    <col min="14340" max="14340" width="70.453125" bestFit="1" customWidth="1"/>
    <col min="14341" max="14341" width="9" bestFit="1" customWidth="1"/>
    <col min="14343" max="14343" width="12.54296875" customWidth="1"/>
    <col min="14596" max="14596" width="70.453125" bestFit="1" customWidth="1"/>
    <col min="14597" max="14597" width="9" bestFit="1" customWidth="1"/>
    <col min="14599" max="14599" width="12.54296875" customWidth="1"/>
    <col min="14852" max="14852" width="70.453125" bestFit="1" customWidth="1"/>
    <col min="14853" max="14853" width="9" bestFit="1" customWidth="1"/>
    <col min="14855" max="14855" width="12.54296875" customWidth="1"/>
    <col min="15108" max="15108" width="70.453125" bestFit="1" customWidth="1"/>
    <col min="15109" max="15109" width="9" bestFit="1" customWidth="1"/>
    <col min="15111" max="15111" width="12.54296875" customWidth="1"/>
    <col min="15364" max="15364" width="70.453125" bestFit="1" customWidth="1"/>
    <col min="15365" max="15365" width="9" bestFit="1" customWidth="1"/>
    <col min="15367" max="15367" width="12.54296875" customWidth="1"/>
    <col min="15620" max="15620" width="70.453125" bestFit="1" customWidth="1"/>
    <col min="15621" max="15621" width="9" bestFit="1" customWidth="1"/>
    <col min="15623" max="15623" width="12.54296875" customWidth="1"/>
    <col min="15876" max="15876" width="70.453125" bestFit="1" customWidth="1"/>
    <col min="15877" max="15877" width="9" bestFit="1" customWidth="1"/>
    <col min="15879" max="15879" width="12.54296875" customWidth="1"/>
    <col min="16132" max="16132" width="70.453125" bestFit="1" customWidth="1"/>
    <col min="16133" max="16133" width="9" bestFit="1" customWidth="1"/>
    <col min="16135" max="16135" width="12.54296875" customWidth="1"/>
  </cols>
  <sheetData>
    <row r="2" spans="3:7" ht="15" thickBot="1" x14ac:dyDescent="0.4"/>
    <row r="3" spans="3:7" x14ac:dyDescent="0.35">
      <c r="C3" s="749"/>
      <c r="D3" s="736"/>
      <c r="E3" s="750"/>
      <c r="F3" s="750"/>
      <c r="G3" s="538"/>
    </row>
    <row r="4" spans="3:7" x14ac:dyDescent="0.35">
      <c r="C4" s="751" t="s">
        <v>1158</v>
      </c>
      <c r="D4" s="593"/>
      <c r="E4" s="752"/>
      <c r="F4" s="593"/>
      <c r="G4" s="539"/>
    </row>
    <row r="5" spans="3:7" ht="43.5" x14ac:dyDescent="0.35">
      <c r="C5" s="753" t="s">
        <v>1159</v>
      </c>
      <c r="D5" s="754" t="s">
        <v>1160</v>
      </c>
      <c r="E5" s="755" t="s">
        <v>1161</v>
      </c>
      <c r="F5" s="755"/>
      <c r="G5" s="540" t="s">
        <v>1162</v>
      </c>
    </row>
    <row r="6" spans="3:7" x14ac:dyDescent="0.35">
      <c r="C6" s="756">
        <v>2</v>
      </c>
      <c r="D6" s="24" t="s">
        <v>1163</v>
      </c>
      <c r="E6" s="541" t="s">
        <v>1164</v>
      </c>
      <c r="F6" s="592" t="s">
        <v>146</v>
      </c>
      <c r="G6" s="542">
        <v>156940</v>
      </c>
    </row>
    <row r="7" spans="3:7" x14ac:dyDescent="0.35">
      <c r="C7" s="756">
        <v>3</v>
      </c>
      <c r="D7" s="24" t="s">
        <v>1165</v>
      </c>
      <c r="E7" s="541" t="s">
        <v>1164</v>
      </c>
      <c r="F7" s="592" t="s">
        <v>146</v>
      </c>
      <c r="G7" s="542">
        <v>1416000</v>
      </c>
    </row>
    <row r="8" spans="3:7" x14ac:dyDescent="0.35">
      <c r="C8" s="756">
        <v>5</v>
      </c>
      <c r="D8" s="24" t="s">
        <v>1166</v>
      </c>
      <c r="E8" s="757" t="s">
        <v>1164</v>
      </c>
      <c r="F8" s="592" t="s">
        <v>146</v>
      </c>
      <c r="G8" s="542">
        <v>1345200</v>
      </c>
    </row>
    <row r="9" spans="3:7" x14ac:dyDescent="0.35">
      <c r="C9" s="756">
        <v>6</v>
      </c>
      <c r="D9" s="24" t="s">
        <v>1167</v>
      </c>
      <c r="E9" s="757" t="s">
        <v>1164</v>
      </c>
      <c r="F9" s="592" t="s">
        <v>146</v>
      </c>
      <c r="G9" s="542">
        <v>804760</v>
      </c>
    </row>
    <row r="10" spans="3:7" x14ac:dyDescent="0.35">
      <c r="C10" s="756">
        <v>7</v>
      </c>
      <c r="D10" s="24" t="s">
        <v>1168</v>
      </c>
      <c r="E10" s="757" t="s">
        <v>1164</v>
      </c>
      <c r="F10" s="592" t="s">
        <v>146</v>
      </c>
      <c r="G10" s="542">
        <v>6279000</v>
      </c>
    </row>
    <row r="11" spans="3:7" x14ac:dyDescent="0.35">
      <c r="C11" s="756">
        <v>9</v>
      </c>
      <c r="D11" s="24" t="s">
        <v>1169</v>
      </c>
      <c r="E11" s="757" t="s">
        <v>1164</v>
      </c>
      <c r="F11" s="592" t="s">
        <v>146</v>
      </c>
      <c r="G11" s="542">
        <v>2153500</v>
      </c>
    </row>
    <row r="12" spans="3:7" x14ac:dyDescent="0.35">
      <c r="C12" s="756">
        <v>14</v>
      </c>
      <c r="D12" s="24" t="s">
        <v>1170</v>
      </c>
      <c r="E12" s="757" t="s">
        <v>1164</v>
      </c>
      <c r="F12" s="592" t="s">
        <v>146</v>
      </c>
      <c r="G12" s="542">
        <v>3805000</v>
      </c>
    </row>
    <row r="13" spans="3:7" x14ac:dyDescent="0.35">
      <c r="C13" s="756">
        <v>15</v>
      </c>
      <c r="D13" s="24" t="s">
        <v>1171</v>
      </c>
      <c r="E13" s="757" t="s">
        <v>1164</v>
      </c>
      <c r="F13" s="592" t="s">
        <v>146</v>
      </c>
      <c r="G13" s="542">
        <v>6491000</v>
      </c>
    </row>
    <row r="14" spans="3:7" x14ac:dyDescent="0.35">
      <c r="C14" s="756">
        <v>16</v>
      </c>
      <c r="D14" s="24" t="s">
        <v>1172</v>
      </c>
      <c r="E14" s="757" t="s">
        <v>1164</v>
      </c>
      <c r="F14" s="592" t="s">
        <v>146</v>
      </c>
      <c r="G14" s="542">
        <v>6520000</v>
      </c>
    </row>
    <row r="15" spans="3:7" x14ac:dyDescent="0.35">
      <c r="C15" s="756">
        <v>18</v>
      </c>
      <c r="D15" s="24" t="s">
        <v>1173</v>
      </c>
      <c r="E15" s="757" t="s">
        <v>1164</v>
      </c>
      <c r="F15" s="592" t="s">
        <v>146</v>
      </c>
      <c r="G15" s="542">
        <v>1711000</v>
      </c>
    </row>
    <row r="16" spans="3:7" x14ac:dyDescent="0.35">
      <c r="C16" s="756">
        <v>22</v>
      </c>
      <c r="D16" s="573" t="s">
        <v>1174</v>
      </c>
      <c r="E16" s="757" t="s">
        <v>1164</v>
      </c>
      <c r="F16" s="592" t="s">
        <v>146</v>
      </c>
      <c r="G16" s="542">
        <v>10134000</v>
      </c>
    </row>
    <row r="17" spans="3:7" x14ac:dyDescent="0.35">
      <c r="C17" s="756">
        <v>40</v>
      </c>
      <c r="D17" s="24" t="s">
        <v>1175</v>
      </c>
      <c r="E17" s="757" t="s">
        <v>1164</v>
      </c>
      <c r="F17" s="592" t="s">
        <v>146</v>
      </c>
      <c r="G17" s="542">
        <v>2242000</v>
      </c>
    </row>
    <row r="18" spans="3:7" x14ac:dyDescent="0.35">
      <c r="C18" s="756">
        <v>89</v>
      </c>
      <c r="D18" s="24" t="s">
        <v>1176</v>
      </c>
      <c r="E18" s="757" t="s">
        <v>1164</v>
      </c>
      <c r="F18" s="592" t="s">
        <v>146</v>
      </c>
      <c r="G18" s="542">
        <v>235000</v>
      </c>
    </row>
    <row r="19" spans="3:7" x14ac:dyDescent="0.35">
      <c r="C19" s="756">
        <v>87</v>
      </c>
      <c r="D19" s="24" t="s">
        <v>1177</v>
      </c>
      <c r="E19" s="758" t="s">
        <v>1164</v>
      </c>
      <c r="F19" s="592" t="s">
        <v>146</v>
      </c>
      <c r="G19" s="542">
        <v>1106000</v>
      </c>
    </row>
    <row r="20" spans="3:7" x14ac:dyDescent="0.35">
      <c r="C20" s="756">
        <v>26</v>
      </c>
      <c r="D20" s="24" t="s">
        <v>1178</v>
      </c>
      <c r="E20" s="757" t="s">
        <v>1164</v>
      </c>
      <c r="F20" s="592" t="s">
        <v>146</v>
      </c>
      <c r="G20" s="542">
        <v>389000</v>
      </c>
    </row>
    <row r="21" spans="3:7" x14ac:dyDescent="0.35">
      <c r="C21" s="756">
        <v>27</v>
      </c>
      <c r="D21" s="24" t="s">
        <v>1179</v>
      </c>
      <c r="E21" s="757" t="s">
        <v>1164</v>
      </c>
      <c r="F21" s="592" t="s">
        <v>146</v>
      </c>
      <c r="G21" s="542">
        <v>3658000</v>
      </c>
    </row>
    <row r="22" spans="3:7" x14ac:dyDescent="0.35">
      <c r="C22" s="756">
        <v>29</v>
      </c>
      <c r="D22" s="24" t="s">
        <v>1180</v>
      </c>
      <c r="E22" s="757" t="s">
        <v>1164</v>
      </c>
      <c r="F22" s="592" t="s">
        <v>146</v>
      </c>
      <c r="G22" s="542">
        <v>391000</v>
      </c>
    </row>
    <row r="23" spans="3:7" x14ac:dyDescent="0.35">
      <c r="C23" s="756">
        <v>32</v>
      </c>
      <c r="D23" s="24" t="s">
        <v>1181</v>
      </c>
      <c r="E23" s="757" t="s">
        <v>1164</v>
      </c>
      <c r="F23" s="592" t="s">
        <v>146</v>
      </c>
      <c r="G23" s="542">
        <v>838000</v>
      </c>
    </row>
    <row r="24" spans="3:7" x14ac:dyDescent="0.35">
      <c r="C24" s="756">
        <v>33</v>
      </c>
      <c r="D24" s="24" t="s">
        <v>1182</v>
      </c>
      <c r="E24" s="758" t="s">
        <v>1164</v>
      </c>
      <c r="F24" s="592" t="s">
        <v>146</v>
      </c>
      <c r="G24" s="542">
        <v>3108000</v>
      </c>
    </row>
    <row r="25" spans="3:7" x14ac:dyDescent="0.35">
      <c r="C25" s="756">
        <v>63</v>
      </c>
      <c r="D25" s="24" t="s">
        <v>1183</v>
      </c>
      <c r="E25" s="757" t="s">
        <v>1164</v>
      </c>
      <c r="F25" s="592" t="s">
        <v>146</v>
      </c>
      <c r="G25" s="542">
        <v>8302000</v>
      </c>
    </row>
    <row r="26" spans="3:7" x14ac:dyDescent="0.35">
      <c r="C26" s="756">
        <v>59</v>
      </c>
      <c r="D26" s="24" t="s">
        <v>1184</v>
      </c>
      <c r="E26" s="757" t="s">
        <v>1164</v>
      </c>
      <c r="F26" s="592" t="s">
        <v>146</v>
      </c>
      <c r="G26" s="542">
        <v>660000</v>
      </c>
    </row>
    <row r="27" spans="3:7" x14ac:dyDescent="0.35">
      <c r="C27" s="756">
        <v>6</v>
      </c>
      <c r="D27" s="24" t="s">
        <v>1163</v>
      </c>
      <c r="E27" s="543" t="s">
        <v>1164</v>
      </c>
      <c r="F27" s="592" t="s">
        <v>146</v>
      </c>
      <c r="G27" s="542">
        <v>156940</v>
      </c>
    </row>
    <row r="28" spans="3:7" x14ac:dyDescent="0.35">
      <c r="C28" s="756">
        <v>8</v>
      </c>
      <c r="D28" s="24" t="s">
        <v>1166</v>
      </c>
      <c r="E28" s="758" t="s">
        <v>1164</v>
      </c>
      <c r="F28" s="592" t="s">
        <v>146</v>
      </c>
      <c r="G28" s="542">
        <v>1345200</v>
      </c>
    </row>
    <row r="29" spans="3:7" x14ac:dyDescent="0.35">
      <c r="C29" s="756">
        <v>9</v>
      </c>
      <c r="D29" s="24" t="s">
        <v>1185</v>
      </c>
      <c r="E29" s="758" t="s">
        <v>1164</v>
      </c>
      <c r="F29" s="592" t="s">
        <v>146</v>
      </c>
      <c r="G29" s="542">
        <v>804760</v>
      </c>
    </row>
    <row r="30" spans="3:7" x14ac:dyDescent="0.35">
      <c r="C30" s="756">
        <v>12</v>
      </c>
      <c r="D30" s="24" t="s">
        <v>1186</v>
      </c>
      <c r="E30" s="758" t="s">
        <v>1164</v>
      </c>
      <c r="F30" s="592" t="s">
        <v>146</v>
      </c>
      <c r="G30" s="542">
        <v>3846800</v>
      </c>
    </row>
    <row r="31" spans="3:7" x14ac:dyDescent="0.35">
      <c r="C31" s="756">
        <v>13</v>
      </c>
      <c r="D31" s="573" t="s">
        <v>1187</v>
      </c>
      <c r="E31" s="758" t="s">
        <v>1164</v>
      </c>
      <c r="F31" s="592" t="s">
        <v>146</v>
      </c>
      <c r="G31" s="542">
        <v>21417000</v>
      </c>
    </row>
    <row r="32" spans="3:7" x14ac:dyDescent="0.35">
      <c r="C32" s="756">
        <v>14</v>
      </c>
      <c r="D32" s="24" t="s">
        <v>1188</v>
      </c>
      <c r="E32" s="758" t="s">
        <v>1164</v>
      </c>
      <c r="F32" s="592" t="s">
        <v>146</v>
      </c>
      <c r="G32" s="542">
        <v>6970000</v>
      </c>
    </row>
    <row r="33" spans="3:7" x14ac:dyDescent="0.35">
      <c r="C33" s="756">
        <v>15</v>
      </c>
      <c r="D33" s="24" t="s">
        <v>1189</v>
      </c>
      <c r="E33" s="758" t="s">
        <v>1164</v>
      </c>
      <c r="F33" s="592" t="s">
        <v>146</v>
      </c>
      <c r="G33" s="542">
        <v>3805000</v>
      </c>
    </row>
    <row r="34" spans="3:7" x14ac:dyDescent="0.35">
      <c r="C34" s="756">
        <v>21</v>
      </c>
      <c r="D34" s="24" t="s">
        <v>1190</v>
      </c>
      <c r="E34" s="758" t="s">
        <v>1164</v>
      </c>
      <c r="F34" s="592" t="s">
        <v>146</v>
      </c>
      <c r="G34" s="542">
        <v>2065000</v>
      </c>
    </row>
    <row r="35" spans="3:7" x14ac:dyDescent="0.35">
      <c r="C35" s="756">
        <v>24</v>
      </c>
      <c r="D35" s="24" t="s">
        <v>1191</v>
      </c>
      <c r="E35" s="758" t="s">
        <v>1164</v>
      </c>
      <c r="F35" s="592" t="s">
        <v>146</v>
      </c>
      <c r="G35" s="542">
        <v>295000</v>
      </c>
    </row>
    <row r="36" spans="3:7" x14ac:dyDescent="0.35">
      <c r="C36" s="756">
        <v>26</v>
      </c>
      <c r="D36" s="24" t="s">
        <v>1178</v>
      </c>
      <c r="E36" s="758" t="s">
        <v>1164</v>
      </c>
      <c r="F36" s="592" t="s">
        <v>146</v>
      </c>
      <c r="G36" s="542">
        <v>389000</v>
      </c>
    </row>
    <row r="37" spans="3:7" x14ac:dyDescent="0.35">
      <c r="C37" s="756">
        <v>28</v>
      </c>
      <c r="D37" s="24" t="s">
        <v>1192</v>
      </c>
      <c r="E37" s="758" t="s">
        <v>1164</v>
      </c>
      <c r="F37" s="592" t="s">
        <v>146</v>
      </c>
      <c r="G37" s="542">
        <v>72000</v>
      </c>
    </row>
    <row r="38" spans="3:7" x14ac:dyDescent="0.35">
      <c r="C38" s="756">
        <v>30</v>
      </c>
      <c r="D38" s="24" t="s">
        <v>1193</v>
      </c>
      <c r="E38" s="758" t="s">
        <v>1164</v>
      </c>
      <c r="F38" s="592" t="s">
        <v>146</v>
      </c>
      <c r="G38" s="542">
        <v>5480000</v>
      </c>
    </row>
    <row r="39" spans="3:7" x14ac:dyDescent="0.35">
      <c r="C39" s="756">
        <v>32</v>
      </c>
      <c r="D39" s="24" t="s">
        <v>1181</v>
      </c>
      <c r="E39" s="758" t="s">
        <v>1164</v>
      </c>
      <c r="F39" s="592" t="s">
        <v>146</v>
      </c>
      <c r="G39" s="542">
        <v>838000</v>
      </c>
    </row>
    <row r="40" spans="3:7" x14ac:dyDescent="0.35">
      <c r="C40" s="756">
        <v>34</v>
      </c>
      <c r="D40" s="24" t="s">
        <v>1194</v>
      </c>
      <c r="E40" s="758" t="s">
        <v>1164</v>
      </c>
      <c r="F40" s="592" t="s">
        <v>146</v>
      </c>
      <c r="G40" s="542">
        <v>2288000</v>
      </c>
    </row>
    <row r="41" spans="3:7" x14ac:dyDescent="0.35">
      <c r="C41" s="756">
        <v>35</v>
      </c>
      <c r="D41" s="24" t="s">
        <v>1195</v>
      </c>
      <c r="E41" s="758" t="s">
        <v>1164</v>
      </c>
      <c r="F41" s="592" t="s">
        <v>146</v>
      </c>
      <c r="G41" s="542">
        <v>472000</v>
      </c>
    </row>
    <row r="42" spans="3:7" x14ac:dyDescent="0.35">
      <c r="C42" s="1130">
        <v>36</v>
      </c>
      <c r="D42" s="1121" t="s">
        <v>1196</v>
      </c>
      <c r="E42" s="1119" t="s">
        <v>1164</v>
      </c>
      <c r="F42" s="1117" t="s">
        <v>146</v>
      </c>
      <c r="G42" s="1115">
        <v>7000000</v>
      </c>
    </row>
    <row r="43" spans="3:7" ht="12" customHeight="1" x14ac:dyDescent="0.35">
      <c r="C43" s="1132"/>
      <c r="D43" s="1128"/>
      <c r="E43" s="1127"/>
      <c r="F43" s="1126"/>
      <c r="G43" s="1125"/>
    </row>
    <row r="44" spans="3:7" hidden="1" x14ac:dyDescent="0.35">
      <c r="C44" s="1131"/>
      <c r="D44" s="1122"/>
      <c r="E44" s="1120"/>
      <c r="F44" s="1118"/>
      <c r="G44" s="1116"/>
    </row>
    <row r="45" spans="3:7" x14ac:dyDescent="0.35">
      <c r="C45" s="756">
        <v>38</v>
      </c>
      <c r="D45" s="24" t="s">
        <v>1197</v>
      </c>
      <c r="E45" s="758" t="s">
        <v>1164</v>
      </c>
      <c r="F45" s="592" t="s">
        <v>146</v>
      </c>
      <c r="G45" s="542">
        <v>1414000</v>
      </c>
    </row>
    <row r="46" spans="3:7" x14ac:dyDescent="0.35">
      <c r="C46" s="756">
        <v>40</v>
      </c>
      <c r="D46" s="24" t="s">
        <v>1198</v>
      </c>
      <c r="E46" s="758" t="s">
        <v>1164</v>
      </c>
      <c r="F46" s="592" t="s">
        <v>146</v>
      </c>
      <c r="G46" s="542">
        <v>2958000</v>
      </c>
    </row>
    <row r="47" spans="3:7" x14ac:dyDescent="0.35">
      <c r="C47" s="756">
        <v>41</v>
      </c>
      <c r="D47" s="24" t="s">
        <v>1199</v>
      </c>
      <c r="E47" s="758" t="s">
        <v>1164</v>
      </c>
      <c r="F47" s="592" t="s">
        <v>146</v>
      </c>
      <c r="G47" s="542">
        <v>213000</v>
      </c>
    </row>
    <row r="48" spans="3:7" x14ac:dyDescent="0.35">
      <c r="C48" s="756">
        <v>42</v>
      </c>
      <c r="D48" s="24" t="s">
        <v>1200</v>
      </c>
      <c r="E48" s="758" t="s">
        <v>1164</v>
      </c>
      <c r="F48" s="592" t="s">
        <v>146</v>
      </c>
      <c r="G48" s="542">
        <v>133000</v>
      </c>
    </row>
    <row r="49" spans="3:7" x14ac:dyDescent="0.35">
      <c r="C49" s="756">
        <v>43</v>
      </c>
      <c r="D49" s="24" t="s">
        <v>1201</v>
      </c>
      <c r="E49" s="758" t="s">
        <v>1164</v>
      </c>
      <c r="F49" s="592" t="s">
        <v>146</v>
      </c>
      <c r="G49" s="542">
        <v>118000</v>
      </c>
    </row>
    <row r="50" spans="3:7" x14ac:dyDescent="0.35">
      <c r="C50" s="756">
        <v>44</v>
      </c>
      <c r="D50" s="24" t="s">
        <v>1202</v>
      </c>
      <c r="E50" s="758" t="s">
        <v>1164</v>
      </c>
      <c r="F50" s="592" t="s">
        <v>146</v>
      </c>
      <c r="G50" s="542">
        <v>531000</v>
      </c>
    </row>
    <row r="51" spans="3:7" x14ac:dyDescent="0.35">
      <c r="C51" s="756">
        <v>45</v>
      </c>
      <c r="D51" s="24" t="s">
        <v>1184</v>
      </c>
      <c r="E51" s="758" t="s">
        <v>1164</v>
      </c>
      <c r="F51" s="592" t="s">
        <v>146</v>
      </c>
      <c r="G51" s="542">
        <v>660000</v>
      </c>
    </row>
    <row r="52" spans="3:7" x14ac:dyDescent="0.35">
      <c r="C52" s="1130">
        <v>46</v>
      </c>
      <c r="D52" s="1121" t="s">
        <v>1183</v>
      </c>
      <c r="E52" s="1119" t="s">
        <v>1164</v>
      </c>
      <c r="F52" s="1117" t="s">
        <v>146</v>
      </c>
      <c r="G52" s="1115">
        <v>8302000</v>
      </c>
    </row>
    <row r="53" spans="3:7" x14ac:dyDescent="0.35">
      <c r="C53" s="1131"/>
      <c r="D53" s="1122"/>
      <c r="E53" s="1120"/>
      <c r="F53" s="1118"/>
      <c r="G53" s="1116"/>
    </row>
    <row r="54" spans="3:7" x14ac:dyDescent="0.35">
      <c r="C54" s="756">
        <v>48</v>
      </c>
      <c r="D54" s="24" t="s">
        <v>1203</v>
      </c>
      <c r="E54" s="758" t="s">
        <v>1164</v>
      </c>
      <c r="F54" s="592" t="s">
        <v>146</v>
      </c>
      <c r="G54" s="542">
        <v>2046000</v>
      </c>
    </row>
    <row r="55" spans="3:7" hidden="1" x14ac:dyDescent="0.35">
      <c r="C55" s="1123"/>
      <c r="D55" s="1121"/>
      <c r="E55" s="1119"/>
      <c r="F55" s="1117"/>
      <c r="G55" s="1115"/>
    </row>
    <row r="56" spans="3:7" hidden="1" x14ac:dyDescent="0.35">
      <c r="C56" s="1129"/>
      <c r="D56" s="1128"/>
      <c r="E56" s="1127"/>
      <c r="F56" s="1126"/>
      <c r="G56" s="1125"/>
    </row>
    <row r="57" spans="3:7" hidden="1" x14ac:dyDescent="0.35">
      <c r="C57" s="1129"/>
      <c r="D57" s="1128"/>
      <c r="E57" s="1127"/>
      <c r="F57" s="1126"/>
      <c r="G57" s="1125"/>
    </row>
    <row r="58" spans="3:7" ht="0.75" customHeight="1" x14ac:dyDescent="0.35">
      <c r="C58" s="1124"/>
      <c r="D58" s="1122"/>
      <c r="E58" s="1120"/>
      <c r="F58" s="1118"/>
      <c r="G58" s="1116"/>
    </row>
    <row r="59" spans="3:7" x14ac:dyDescent="0.35">
      <c r="C59" s="1130">
        <v>51</v>
      </c>
      <c r="D59" s="1121" t="s">
        <v>1204</v>
      </c>
      <c r="E59" s="1119" t="s">
        <v>1164</v>
      </c>
      <c r="F59" s="1117" t="s">
        <v>146</v>
      </c>
      <c r="G59" s="1115">
        <v>1500000</v>
      </c>
    </row>
    <row r="60" spans="3:7" ht="3.75" customHeight="1" x14ac:dyDescent="0.35">
      <c r="C60" s="1132"/>
      <c r="D60" s="1128"/>
      <c r="E60" s="1127"/>
      <c r="F60" s="1126"/>
      <c r="G60" s="1125"/>
    </row>
    <row r="61" spans="3:7" hidden="1" x14ac:dyDescent="0.35">
      <c r="C61" s="1131"/>
      <c r="D61" s="1122"/>
      <c r="E61" s="1120"/>
      <c r="F61" s="1118"/>
      <c r="G61" s="1116"/>
    </row>
    <row r="62" spans="3:7" x14ac:dyDescent="0.35">
      <c r="C62" s="1130">
        <v>52</v>
      </c>
      <c r="D62" s="1121" t="s">
        <v>1205</v>
      </c>
      <c r="E62" s="1119" t="s">
        <v>1164</v>
      </c>
      <c r="F62" s="1117" t="s">
        <v>146</v>
      </c>
      <c r="G62" s="1115">
        <v>1106000</v>
      </c>
    </row>
    <row r="63" spans="3:7" x14ac:dyDescent="0.35">
      <c r="C63" s="1131"/>
      <c r="D63" s="1122"/>
      <c r="E63" s="1120"/>
      <c r="F63" s="1118"/>
      <c r="G63" s="1116"/>
    </row>
    <row r="64" spans="3:7" x14ac:dyDescent="0.35">
      <c r="C64" s="756">
        <v>53</v>
      </c>
      <c r="D64" s="24" t="s">
        <v>1206</v>
      </c>
      <c r="E64" s="758" t="s">
        <v>1164</v>
      </c>
      <c r="F64" s="592" t="s">
        <v>146</v>
      </c>
      <c r="G64" s="542">
        <v>235000</v>
      </c>
    </row>
    <row r="65" spans="3:7" x14ac:dyDescent="0.35">
      <c r="C65" s="756">
        <v>54</v>
      </c>
      <c r="D65" s="24" t="s">
        <v>1207</v>
      </c>
      <c r="E65" s="758" t="s">
        <v>1164</v>
      </c>
      <c r="F65" s="592" t="s">
        <v>146</v>
      </c>
      <c r="G65" s="542">
        <v>187000</v>
      </c>
    </row>
    <row r="66" spans="3:7" x14ac:dyDescent="0.35">
      <c r="C66" s="756">
        <v>56</v>
      </c>
      <c r="D66" s="24" t="s">
        <v>1208</v>
      </c>
      <c r="E66" s="760" t="s">
        <v>1164</v>
      </c>
      <c r="F66" s="592" t="s">
        <v>146</v>
      </c>
      <c r="G66" s="542">
        <v>7962000</v>
      </c>
    </row>
    <row r="67" spans="3:7" x14ac:dyDescent="0.35">
      <c r="C67" s="756">
        <v>51</v>
      </c>
      <c r="D67" s="24" t="s">
        <v>1202</v>
      </c>
      <c r="E67" s="757" t="s">
        <v>1164</v>
      </c>
      <c r="F67" s="592" t="s">
        <v>146</v>
      </c>
      <c r="G67" s="542">
        <v>531000</v>
      </c>
    </row>
    <row r="68" spans="3:7" x14ac:dyDescent="0.35">
      <c r="C68" s="756">
        <v>64</v>
      </c>
      <c r="D68" s="24" t="s">
        <v>1209</v>
      </c>
      <c r="E68" s="763" t="s">
        <v>1164</v>
      </c>
      <c r="F68" s="592" t="s">
        <v>146</v>
      </c>
      <c r="G68" s="542">
        <v>126732</v>
      </c>
    </row>
    <row r="69" spans="3:7" x14ac:dyDescent="0.35">
      <c r="C69" s="756">
        <v>77</v>
      </c>
      <c r="D69" s="24" t="s">
        <v>1210</v>
      </c>
      <c r="E69" s="758" t="s">
        <v>1164</v>
      </c>
      <c r="F69" s="592" t="s">
        <v>146</v>
      </c>
      <c r="G69" s="545">
        <v>4000000</v>
      </c>
    </row>
    <row r="70" spans="3:7" x14ac:dyDescent="0.35">
      <c r="C70" s="756">
        <v>78</v>
      </c>
      <c r="D70" s="24" t="s">
        <v>1211</v>
      </c>
      <c r="E70" s="758" t="s">
        <v>1164</v>
      </c>
      <c r="F70" s="592" t="s">
        <v>146</v>
      </c>
      <c r="G70" s="542">
        <v>2000000</v>
      </c>
    </row>
    <row r="71" spans="3:7" x14ac:dyDescent="0.35">
      <c r="C71" s="756">
        <v>79</v>
      </c>
      <c r="D71" s="24" t="s">
        <v>1204</v>
      </c>
      <c r="E71" s="758" t="s">
        <v>1164</v>
      </c>
      <c r="F71" s="592" t="s">
        <v>146</v>
      </c>
      <c r="G71" s="542">
        <v>946000</v>
      </c>
    </row>
    <row r="72" spans="3:7" x14ac:dyDescent="0.35">
      <c r="C72" s="756">
        <v>94</v>
      </c>
      <c r="D72" s="24" t="s">
        <v>1212</v>
      </c>
      <c r="E72" s="757" t="s">
        <v>1164</v>
      </c>
      <c r="F72" s="592" t="s">
        <v>146</v>
      </c>
      <c r="G72" s="542">
        <v>187000</v>
      </c>
    </row>
    <row r="73" spans="3:7" x14ac:dyDescent="0.35">
      <c r="C73" s="756">
        <v>34</v>
      </c>
      <c r="D73" s="24" t="s">
        <v>1213</v>
      </c>
      <c r="E73" s="757" t="s">
        <v>1164</v>
      </c>
      <c r="F73" s="592" t="s">
        <v>146</v>
      </c>
      <c r="G73" s="542">
        <v>2288000</v>
      </c>
    </row>
    <row r="74" spans="3:7" x14ac:dyDescent="0.35">
      <c r="C74" s="756">
        <v>35</v>
      </c>
      <c r="D74" s="24" t="s">
        <v>1195</v>
      </c>
      <c r="E74" s="757" t="s">
        <v>1164</v>
      </c>
      <c r="F74" s="592" t="s">
        <v>146</v>
      </c>
      <c r="G74" s="542">
        <v>472000</v>
      </c>
    </row>
    <row r="75" spans="3:7" x14ac:dyDescent="0.35">
      <c r="C75" s="756">
        <v>43</v>
      </c>
      <c r="D75" s="24" t="s">
        <v>1197</v>
      </c>
      <c r="E75" s="757" t="s">
        <v>1164</v>
      </c>
      <c r="F75" s="592" t="s">
        <v>146</v>
      </c>
      <c r="G75" s="542">
        <v>1414000</v>
      </c>
    </row>
    <row r="76" spans="3:7" x14ac:dyDescent="0.35">
      <c r="C76" s="756">
        <v>46</v>
      </c>
      <c r="D76" s="24" t="s">
        <v>1214</v>
      </c>
      <c r="E76" s="757" t="s">
        <v>1164</v>
      </c>
      <c r="F76" s="592" t="s">
        <v>146</v>
      </c>
      <c r="G76" s="542">
        <v>213000</v>
      </c>
    </row>
    <row r="77" spans="3:7" x14ac:dyDescent="0.35">
      <c r="C77" s="756">
        <v>47</v>
      </c>
      <c r="D77" s="24" t="s">
        <v>1200</v>
      </c>
      <c r="E77" s="757" t="s">
        <v>1164</v>
      </c>
      <c r="F77" s="592" t="s">
        <v>146</v>
      </c>
      <c r="G77" s="542">
        <v>133000</v>
      </c>
    </row>
    <row r="78" spans="3:7" x14ac:dyDescent="0.35">
      <c r="C78" s="756">
        <v>48</v>
      </c>
      <c r="D78" s="24" t="s">
        <v>1215</v>
      </c>
      <c r="E78" s="757" t="s">
        <v>1164</v>
      </c>
      <c r="F78" s="592" t="s">
        <v>146</v>
      </c>
      <c r="G78" s="542">
        <v>118000</v>
      </c>
    </row>
    <row r="79" spans="3:7" x14ac:dyDescent="0.35">
      <c r="C79" s="756"/>
      <c r="D79" s="593" t="s">
        <v>1216</v>
      </c>
      <c r="E79" s="760"/>
      <c r="F79" s="592"/>
      <c r="G79" s="539">
        <f>SUM(G6:G78)</f>
        <v>158783832</v>
      </c>
    </row>
    <row r="80" spans="3:7" x14ac:dyDescent="0.35">
      <c r="C80" s="756">
        <v>84</v>
      </c>
      <c r="D80" s="24" t="s">
        <v>1217</v>
      </c>
      <c r="E80" s="758" t="s">
        <v>1218</v>
      </c>
      <c r="F80" s="592" t="s">
        <v>146</v>
      </c>
      <c r="G80" s="542">
        <v>1961973</v>
      </c>
    </row>
    <row r="81" spans="3:7" x14ac:dyDescent="0.35">
      <c r="C81" s="756">
        <v>80</v>
      </c>
      <c r="D81" s="24" t="s">
        <v>1219</v>
      </c>
      <c r="E81" s="758" t="s">
        <v>1218</v>
      </c>
      <c r="F81" s="592" t="s">
        <v>146</v>
      </c>
      <c r="G81" s="542">
        <v>691654</v>
      </c>
    </row>
    <row r="82" spans="3:7" x14ac:dyDescent="0.35">
      <c r="C82" s="756">
        <v>81</v>
      </c>
      <c r="D82" s="24" t="s">
        <v>1220</v>
      </c>
      <c r="E82" s="758" t="s">
        <v>1218</v>
      </c>
      <c r="F82" s="592" t="s">
        <v>146</v>
      </c>
      <c r="G82" s="542">
        <v>1317622</v>
      </c>
    </row>
    <row r="83" spans="3:7" x14ac:dyDescent="0.35">
      <c r="C83" s="756">
        <v>70</v>
      </c>
      <c r="D83" s="24" t="s">
        <v>1221</v>
      </c>
      <c r="E83" s="757" t="s">
        <v>1218</v>
      </c>
      <c r="F83" s="592" t="s">
        <v>146</v>
      </c>
      <c r="G83" s="542">
        <v>5000000</v>
      </c>
    </row>
    <row r="84" spans="3:7" x14ac:dyDescent="0.35">
      <c r="C84" s="764">
        <v>73</v>
      </c>
      <c r="D84" s="765" t="s">
        <v>1222</v>
      </c>
      <c r="E84" s="766" t="s">
        <v>1218</v>
      </c>
      <c r="F84" s="767" t="s">
        <v>146</v>
      </c>
      <c r="G84" s="546">
        <v>1627810</v>
      </c>
    </row>
    <row r="85" spans="3:7" x14ac:dyDescent="0.35">
      <c r="C85" s="756">
        <v>74</v>
      </c>
      <c r="D85" s="24" t="s">
        <v>1223</v>
      </c>
      <c r="E85" s="758" t="s">
        <v>1218</v>
      </c>
      <c r="F85" s="592" t="s">
        <v>146</v>
      </c>
      <c r="G85" s="542">
        <v>2781764</v>
      </c>
    </row>
    <row r="86" spans="3:7" x14ac:dyDescent="0.35">
      <c r="C86" s="756">
        <v>36</v>
      </c>
      <c r="D86" s="24" t="s">
        <v>1224</v>
      </c>
      <c r="E86" s="757" t="s">
        <v>1218</v>
      </c>
      <c r="F86" s="592" t="s">
        <v>146</v>
      </c>
      <c r="G86" s="542">
        <v>4865000</v>
      </c>
    </row>
    <row r="87" spans="3:7" x14ac:dyDescent="0.35">
      <c r="C87" s="756">
        <v>37</v>
      </c>
      <c r="D87" s="24" t="s">
        <v>1225</v>
      </c>
      <c r="E87" s="757" t="s">
        <v>1218</v>
      </c>
      <c r="F87" s="592" t="s">
        <v>146</v>
      </c>
      <c r="G87" s="542">
        <v>2997200</v>
      </c>
    </row>
    <row r="88" spans="3:7" x14ac:dyDescent="0.35">
      <c r="C88" s="756">
        <v>38</v>
      </c>
      <c r="D88" s="24" t="s">
        <v>1226</v>
      </c>
      <c r="E88" s="757" t="s">
        <v>1218</v>
      </c>
      <c r="F88" s="592" t="s">
        <v>146</v>
      </c>
      <c r="G88" s="542">
        <v>1107090</v>
      </c>
    </row>
    <row r="89" spans="3:7" x14ac:dyDescent="0.35">
      <c r="C89" s="756">
        <v>21</v>
      </c>
      <c r="D89" s="24" t="s">
        <v>1227</v>
      </c>
      <c r="E89" s="757" t="s">
        <v>1218</v>
      </c>
      <c r="F89" s="592" t="s">
        <v>146</v>
      </c>
      <c r="G89" s="542">
        <v>12662580</v>
      </c>
    </row>
    <row r="90" spans="3:7" x14ac:dyDescent="0.35">
      <c r="C90" s="756">
        <v>8</v>
      </c>
      <c r="D90" s="24" t="s">
        <v>1228</v>
      </c>
      <c r="E90" s="757" t="s">
        <v>1218</v>
      </c>
      <c r="F90" s="592" t="s">
        <v>146</v>
      </c>
      <c r="G90" s="542">
        <v>5485900</v>
      </c>
    </row>
    <row r="91" spans="3:7" x14ac:dyDescent="0.35">
      <c r="C91" s="756">
        <v>41</v>
      </c>
      <c r="D91" s="24" t="s">
        <v>1229</v>
      </c>
      <c r="E91" s="757" t="s">
        <v>1218</v>
      </c>
      <c r="F91" s="592" t="s">
        <v>146</v>
      </c>
      <c r="G91" s="542">
        <v>177000</v>
      </c>
    </row>
    <row r="92" spans="3:7" x14ac:dyDescent="0.35">
      <c r="C92" s="756">
        <v>42</v>
      </c>
      <c r="D92" s="24" t="s">
        <v>1230</v>
      </c>
      <c r="E92" s="757" t="s">
        <v>1218</v>
      </c>
      <c r="F92" s="592" t="s">
        <v>146</v>
      </c>
      <c r="G92" s="542">
        <v>3333500</v>
      </c>
    </row>
    <row r="93" spans="3:7" x14ac:dyDescent="0.35">
      <c r="C93" s="756">
        <v>49</v>
      </c>
      <c r="D93" s="24" t="s">
        <v>1231</v>
      </c>
      <c r="E93" s="757" t="s">
        <v>1218</v>
      </c>
      <c r="F93" s="592" t="s">
        <v>146</v>
      </c>
      <c r="G93" s="542">
        <v>653490</v>
      </c>
    </row>
    <row r="94" spans="3:7" x14ac:dyDescent="0.35">
      <c r="C94" s="756">
        <v>50</v>
      </c>
      <c r="D94" s="24" t="s">
        <v>1232</v>
      </c>
      <c r="E94" s="757" t="s">
        <v>1218</v>
      </c>
      <c r="F94" s="592" t="s">
        <v>146</v>
      </c>
      <c r="G94" s="542">
        <v>5369000</v>
      </c>
    </row>
    <row r="95" spans="3:7" x14ac:dyDescent="0.35">
      <c r="C95" s="756">
        <v>62</v>
      </c>
      <c r="D95" s="24" t="s">
        <v>1233</v>
      </c>
      <c r="E95" s="757" t="s">
        <v>1218</v>
      </c>
      <c r="F95" s="592" t="s">
        <v>146</v>
      </c>
      <c r="G95" s="542">
        <v>2751600</v>
      </c>
    </row>
    <row r="96" spans="3:7" x14ac:dyDescent="0.35">
      <c r="C96" s="756">
        <v>57</v>
      </c>
      <c r="D96" s="24" t="s">
        <v>1234</v>
      </c>
      <c r="E96" s="757" t="s">
        <v>1218</v>
      </c>
      <c r="F96" s="592" t="s">
        <v>146</v>
      </c>
      <c r="G96" s="542">
        <v>1186230</v>
      </c>
    </row>
    <row r="97" spans="3:7" x14ac:dyDescent="0.35">
      <c r="C97" s="756">
        <v>58</v>
      </c>
      <c r="D97" s="24" t="s">
        <v>1235</v>
      </c>
      <c r="E97" s="757" t="s">
        <v>1218</v>
      </c>
      <c r="F97" s="592" t="s">
        <v>146</v>
      </c>
      <c r="G97" s="542">
        <v>800000</v>
      </c>
    </row>
    <row r="98" spans="3:7" x14ac:dyDescent="0.35">
      <c r="C98" s="762">
        <v>58</v>
      </c>
      <c r="D98" s="759" t="s">
        <v>1236</v>
      </c>
      <c r="E98" s="760" t="s">
        <v>1218</v>
      </c>
      <c r="F98" s="761" t="s">
        <v>146</v>
      </c>
      <c r="G98" s="542">
        <v>8260000</v>
      </c>
    </row>
    <row r="99" spans="3:7" x14ac:dyDescent="0.35">
      <c r="C99" s="756">
        <v>62</v>
      </c>
      <c r="D99" s="24" t="s">
        <v>1226</v>
      </c>
      <c r="E99" s="758" t="s">
        <v>1218</v>
      </c>
      <c r="F99" s="592" t="s">
        <v>146</v>
      </c>
      <c r="G99" s="542">
        <v>1107090</v>
      </c>
    </row>
    <row r="100" spans="3:7" x14ac:dyDescent="0.35">
      <c r="C100" s="756">
        <v>65</v>
      </c>
      <c r="D100" s="24" t="s">
        <v>1237</v>
      </c>
      <c r="E100" s="758" t="s">
        <v>1218</v>
      </c>
      <c r="F100" s="592" t="s">
        <v>146</v>
      </c>
      <c r="G100" s="542">
        <v>653490</v>
      </c>
    </row>
    <row r="101" spans="3:7" x14ac:dyDescent="0.35">
      <c r="C101" s="756">
        <v>67</v>
      </c>
      <c r="D101" s="24" t="s">
        <v>1238</v>
      </c>
      <c r="E101" s="758" t="s">
        <v>1218</v>
      </c>
      <c r="F101" s="592" t="s">
        <v>146</v>
      </c>
      <c r="G101" s="542">
        <v>1186230</v>
      </c>
    </row>
    <row r="102" spans="3:7" x14ac:dyDescent="0.35">
      <c r="C102" s="756">
        <v>70</v>
      </c>
      <c r="D102" s="24" t="s">
        <v>1239</v>
      </c>
      <c r="E102" s="758" t="s">
        <v>1218</v>
      </c>
      <c r="F102" s="592" t="s">
        <v>146</v>
      </c>
      <c r="G102" s="542">
        <v>126732</v>
      </c>
    </row>
    <row r="103" spans="3:7" ht="17.25" customHeight="1" x14ac:dyDescent="0.35">
      <c r="C103" s="756">
        <v>75</v>
      </c>
      <c r="D103" s="24" t="s">
        <v>1219</v>
      </c>
      <c r="E103" s="758" t="s">
        <v>1218</v>
      </c>
      <c r="F103" s="592" t="s">
        <v>146</v>
      </c>
      <c r="G103" s="542">
        <v>691654</v>
      </c>
    </row>
    <row r="104" spans="3:7" x14ac:dyDescent="0.35">
      <c r="C104" s="756"/>
      <c r="D104" s="24" t="s">
        <v>1240</v>
      </c>
      <c r="E104" s="758" t="s">
        <v>1218</v>
      </c>
      <c r="F104" s="592" t="s">
        <v>146</v>
      </c>
      <c r="G104" s="542">
        <v>1142000</v>
      </c>
    </row>
    <row r="105" spans="3:7" x14ac:dyDescent="0.35">
      <c r="C105" s="762"/>
      <c r="D105" s="768" t="s">
        <v>1241</v>
      </c>
      <c r="E105" s="760" t="s">
        <v>1218</v>
      </c>
      <c r="F105" s="761" t="s">
        <v>146</v>
      </c>
      <c r="G105" s="544">
        <v>289758</v>
      </c>
    </row>
    <row r="106" spans="3:7" x14ac:dyDescent="0.35">
      <c r="C106" s="756"/>
      <c r="D106" s="593" t="s">
        <v>1242</v>
      </c>
      <c r="E106" s="758"/>
      <c r="F106" s="592"/>
      <c r="G106" s="539">
        <f>SUM(G80:G105)</f>
        <v>68226367</v>
      </c>
    </row>
    <row r="107" spans="3:7" x14ac:dyDescent="0.35">
      <c r="C107" s="756">
        <v>98</v>
      </c>
      <c r="D107" s="24" t="s">
        <v>1243</v>
      </c>
      <c r="E107" s="757" t="s">
        <v>1149</v>
      </c>
      <c r="F107" s="592" t="s">
        <v>146</v>
      </c>
      <c r="G107" s="542">
        <v>2000000</v>
      </c>
    </row>
    <row r="108" spans="3:7" x14ac:dyDescent="0.35">
      <c r="C108" s="756">
        <v>91</v>
      </c>
      <c r="D108" s="24" t="s">
        <v>1244</v>
      </c>
      <c r="E108" s="757" t="s">
        <v>1149</v>
      </c>
      <c r="F108" s="592" t="s">
        <v>146</v>
      </c>
      <c r="G108" s="542">
        <v>3697000</v>
      </c>
    </row>
    <row r="109" spans="3:7" x14ac:dyDescent="0.35">
      <c r="C109" s="756"/>
      <c r="D109" s="24" t="s">
        <v>1245</v>
      </c>
      <c r="E109" s="757" t="s">
        <v>1149</v>
      </c>
      <c r="F109" s="592" t="s">
        <v>146</v>
      </c>
      <c r="G109" s="542">
        <v>537000</v>
      </c>
    </row>
    <row r="110" spans="3:7" x14ac:dyDescent="0.35">
      <c r="C110" s="756">
        <v>99</v>
      </c>
      <c r="D110" s="24" t="s">
        <v>1246</v>
      </c>
      <c r="E110" s="757" t="s">
        <v>1149</v>
      </c>
      <c r="F110" s="592" t="s">
        <v>146</v>
      </c>
      <c r="G110" s="542">
        <v>318000</v>
      </c>
    </row>
    <row r="111" spans="3:7" x14ac:dyDescent="0.35">
      <c r="C111" s="756">
        <v>100</v>
      </c>
      <c r="D111" s="24" t="s">
        <v>1247</v>
      </c>
      <c r="E111" s="757" t="s">
        <v>1149</v>
      </c>
      <c r="F111" s="592" t="s">
        <v>146</v>
      </c>
      <c r="G111" s="542">
        <v>1310000</v>
      </c>
    </row>
    <row r="112" spans="3:7" x14ac:dyDescent="0.35">
      <c r="C112" s="756"/>
      <c r="D112" s="24"/>
      <c r="E112" s="757" t="s">
        <v>1149</v>
      </c>
      <c r="F112" s="592"/>
      <c r="G112" s="542"/>
    </row>
    <row r="113" spans="3:7" x14ac:dyDescent="0.35">
      <c r="C113" s="756">
        <v>61</v>
      </c>
      <c r="D113" s="24" t="s">
        <v>1248</v>
      </c>
      <c r="E113" s="757" t="s">
        <v>1149</v>
      </c>
      <c r="F113" s="592" t="s">
        <v>146</v>
      </c>
      <c r="G113" s="542">
        <v>608000</v>
      </c>
    </row>
    <row r="114" spans="3:7" x14ac:dyDescent="0.35">
      <c r="C114" s="756">
        <v>82</v>
      </c>
      <c r="D114" s="24" t="s">
        <v>1248</v>
      </c>
      <c r="E114" s="758" t="s">
        <v>1149</v>
      </c>
      <c r="F114" s="592" t="s">
        <v>146</v>
      </c>
      <c r="G114" s="542">
        <v>608000</v>
      </c>
    </row>
    <row r="115" spans="3:7" x14ac:dyDescent="0.35">
      <c r="C115" s="1130">
        <v>83</v>
      </c>
      <c r="D115" s="1121" t="s">
        <v>1249</v>
      </c>
      <c r="E115" s="1119" t="s">
        <v>1149</v>
      </c>
      <c r="F115" s="1117" t="s">
        <v>146</v>
      </c>
      <c r="G115" s="1115">
        <v>537000</v>
      </c>
    </row>
    <row r="116" spans="3:7" x14ac:dyDescent="0.35">
      <c r="C116" s="1131"/>
      <c r="D116" s="1122"/>
      <c r="E116" s="1120"/>
      <c r="F116" s="1118"/>
      <c r="G116" s="1116"/>
    </row>
    <row r="117" spans="3:7" x14ac:dyDescent="0.35">
      <c r="C117" s="1123">
        <v>84</v>
      </c>
      <c r="D117" s="1121" t="s">
        <v>1244</v>
      </c>
      <c r="E117" s="1119" t="s">
        <v>1149</v>
      </c>
      <c r="F117" s="1117" t="s">
        <v>146</v>
      </c>
      <c r="G117" s="1115">
        <v>3697000</v>
      </c>
    </row>
    <row r="118" spans="3:7" x14ac:dyDescent="0.35">
      <c r="C118" s="1129"/>
      <c r="D118" s="1128"/>
      <c r="E118" s="1127"/>
      <c r="F118" s="1126"/>
      <c r="G118" s="1125"/>
    </row>
    <row r="119" spans="3:7" x14ac:dyDescent="0.35">
      <c r="C119" s="1124"/>
      <c r="D119" s="1122"/>
      <c r="E119" s="1120"/>
      <c r="F119" s="1118"/>
      <c r="G119" s="1116"/>
    </row>
    <row r="120" spans="3:7" x14ac:dyDescent="0.35">
      <c r="C120" s="1123">
        <v>87</v>
      </c>
      <c r="D120" s="1121" t="s">
        <v>1243</v>
      </c>
      <c r="E120" s="1119" t="s">
        <v>1149</v>
      </c>
      <c r="F120" s="1117" t="s">
        <v>146</v>
      </c>
      <c r="G120" s="1115">
        <v>1126000</v>
      </c>
    </row>
    <row r="121" spans="3:7" x14ac:dyDescent="0.35">
      <c r="C121" s="1129"/>
      <c r="D121" s="1128"/>
      <c r="E121" s="1127"/>
      <c r="F121" s="1126"/>
      <c r="G121" s="1125"/>
    </row>
    <row r="122" spans="3:7" x14ac:dyDescent="0.35">
      <c r="C122" s="1124"/>
      <c r="D122" s="1122"/>
      <c r="E122" s="1120"/>
      <c r="F122" s="1118"/>
      <c r="G122" s="1116"/>
    </row>
    <row r="123" spans="3:7" x14ac:dyDescent="0.35">
      <c r="C123" s="756">
        <v>88</v>
      </c>
      <c r="D123" s="24" t="s">
        <v>1250</v>
      </c>
      <c r="E123" s="758" t="s">
        <v>1149</v>
      </c>
      <c r="F123" s="592" t="s">
        <v>146</v>
      </c>
      <c r="G123" s="542">
        <v>318000</v>
      </c>
    </row>
    <row r="124" spans="3:7" x14ac:dyDescent="0.35">
      <c r="C124" s="762"/>
      <c r="D124" s="769" t="s">
        <v>1251</v>
      </c>
      <c r="E124" s="760"/>
      <c r="F124" s="761"/>
      <c r="G124" s="547">
        <f>SUM(G107:G123)</f>
        <v>14756000</v>
      </c>
    </row>
    <row r="125" spans="3:7" x14ac:dyDescent="0.35">
      <c r="C125" s="756">
        <v>88</v>
      </c>
      <c r="D125" s="24" t="s">
        <v>1252</v>
      </c>
      <c r="E125" s="757" t="s">
        <v>1253</v>
      </c>
      <c r="F125" s="592" t="s">
        <v>146</v>
      </c>
      <c r="G125" s="542">
        <v>149901</v>
      </c>
    </row>
    <row r="126" spans="3:7" x14ac:dyDescent="0.35">
      <c r="C126" s="756">
        <v>90</v>
      </c>
      <c r="D126" s="24" t="s">
        <v>1254</v>
      </c>
      <c r="E126" s="757" t="s">
        <v>1253</v>
      </c>
      <c r="F126" s="592" t="s">
        <v>146</v>
      </c>
      <c r="G126" s="542">
        <v>919068</v>
      </c>
    </row>
    <row r="127" spans="3:7" x14ac:dyDescent="0.35">
      <c r="C127" s="756">
        <v>85</v>
      </c>
      <c r="D127" s="24" t="s">
        <v>1255</v>
      </c>
      <c r="E127" s="757" t="s">
        <v>1253</v>
      </c>
      <c r="F127" s="592" t="s">
        <v>146</v>
      </c>
      <c r="G127" s="542">
        <v>1240180</v>
      </c>
    </row>
    <row r="128" spans="3:7" x14ac:dyDescent="0.35">
      <c r="C128" s="756">
        <v>86</v>
      </c>
      <c r="D128" s="24" t="s">
        <v>1256</v>
      </c>
      <c r="E128" s="757" t="s">
        <v>1253</v>
      </c>
      <c r="F128" s="592" t="s">
        <v>146</v>
      </c>
      <c r="G128" s="542">
        <v>330400</v>
      </c>
    </row>
    <row r="129" spans="3:7" x14ac:dyDescent="0.35">
      <c r="C129" s="756">
        <v>82</v>
      </c>
      <c r="D129" s="24" t="s">
        <v>1257</v>
      </c>
      <c r="E129" s="757" t="s">
        <v>1253</v>
      </c>
      <c r="F129" s="592" t="s">
        <v>146</v>
      </c>
      <c r="G129" s="542">
        <v>801024</v>
      </c>
    </row>
    <row r="130" spans="3:7" x14ac:dyDescent="0.35">
      <c r="C130" s="756">
        <v>83</v>
      </c>
      <c r="D130" s="24" t="s">
        <v>1258</v>
      </c>
      <c r="E130" s="757" t="s">
        <v>1253</v>
      </c>
      <c r="F130" s="592" t="s">
        <v>146</v>
      </c>
      <c r="G130" s="542">
        <v>1783500</v>
      </c>
    </row>
    <row r="131" spans="3:7" x14ac:dyDescent="0.35">
      <c r="C131" s="756">
        <v>67</v>
      </c>
      <c r="D131" s="24" t="s">
        <v>1259</v>
      </c>
      <c r="E131" s="757" t="s">
        <v>1253</v>
      </c>
      <c r="F131" s="592" t="s">
        <v>146</v>
      </c>
      <c r="G131" s="542">
        <v>3705200</v>
      </c>
    </row>
    <row r="132" spans="3:7" x14ac:dyDescent="0.35">
      <c r="C132" s="756">
        <v>68</v>
      </c>
      <c r="D132" s="24" t="s">
        <v>1260</v>
      </c>
      <c r="E132" s="757" t="s">
        <v>1253</v>
      </c>
      <c r="F132" s="592" t="s">
        <v>146</v>
      </c>
      <c r="G132" s="542">
        <v>2950000</v>
      </c>
    </row>
    <row r="133" spans="3:7" x14ac:dyDescent="0.35">
      <c r="C133" s="756">
        <v>55</v>
      </c>
      <c r="D133" s="24" t="s">
        <v>1261</v>
      </c>
      <c r="E133" s="757" t="s">
        <v>1253</v>
      </c>
      <c r="F133" s="592" t="s">
        <v>146</v>
      </c>
      <c r="G133" s="542">
        <v>4307000</v>
      </c>
    </row>
    <row r="134" spans="3:7" x14ac:dyDescent="0.35">
      <c r="C134" s="756">
        <v>71</v>
      </c>
      <c r="D134" s="24" t="s">
        <v>1262</v>
      </c>
      <c r="E134" s="758" t="s">
        <v>1253</v>
      </c>
      <c r="F134" s="592" t="s">
        <v>146</v>
      </c>
      <c r="G134" s="542">
        <v>438777</v>
      </c>
    </row>
    <row r="135" spans="3:7" x14ac:dyDescent="0.35">
      <c r="C135" s="756">
        <v>91</v>
      </c>
      <c r="D135" s="24" t="s">
        <v>1263</v>
      </c>
      <c r="E135" s="758" t="s">
        <v>1253</v>
      </c>
      <c r="F135" s="592" t="s">
        <v>146</v>
      </c>
      <c r="G135" s="542">
        <v>2035500</v>
      </c>
    </row>
    <row r="136" spans="3:7" x14ac:dyDescent="0.35">
      <c r="C136" s="756">
        <v>94</v>
      </c>
      <c r="D136" s="24" t="s">
        <v>1264</v>
      </c>
      <c r="E136" s="758" t="s">
        <v>1253</v>
      </c>
      <c r="F136" s="592" t="s">
        <v>146</v>
      </c>
      <c r="G136" s="542">
        <v>438777</v>
      </c>
    </row>
    <row r="137" spans="3:7" x14ac:dyDescent="0.35">
      <c r="C137" s="756">
        <v>95</v>
      </c>
      <c r="D137" s="24" t="s">
        <v>1265</v>
      </c>
      <c r="E137" s="758" t="s">
        <v>1253</v>
      </c>
      <c r="F137" s="592" t="s">
        <v>146</v>
      </c>
      <c r="G137" s="542">
        <v>4130000</v>
      </c>
    </row>
    <row r="138" spans="3:7" x14ac:dyDescent="0.35">
      <c r="C138" s="1123">
        <v>97</v>
      </c>
      <c r="D138" s="1121" t="s">
        <v>1258</v>
      </c>
      <c r="E138" s="1119" t="s">
        <v>1253</v>
      </c>
      <c r="F138" s="1117" t="s">
        <v>146</v>
      </c>
      <c r="G138" s="1115">
        <v>3000000</v>
      </c>
    </row>
    <row r="139" spans="3:7" x14ac:dyDescent="0.35">
      <c r="C139" s="1124"/>
      <c r="D139" s="1122"/>
      <c r="E139" s="1120"/>
      <c r="F139" s="1118"/>
      <c r="G139" s="1116"/>
    </row>
    <row r="140" spans="3:7" x14ac:dyDescent="0.35">
      <c r="C140" s="756">
        <v>98</v>
      </c>
      <c r="D140" s="24" t="s">
        <v>1255</v>
      </c>
      <c r="E140" s="758" t="s">
        <v>1253</v>
      </c>
      <c r="F140" s="592" t="s">
        <v>146</v>
      </c>
      <c r="G140" s="542">
        <v>2000000</v>
      </c>
    </row>
    <row r="141" spans="3:7" x14ac:dyDescent="0.35">
      <c r="C141" s="756"/>
      <c r="D141" s="593" t="s">
        <v>1266</v>
      </c>
      <c r="E141" s="758"/>
      <c r="F141" s="592"/>
      <c r="G141" s="539">
        <f>SUM(G125:G140)</f>
        <v>28229327</v>
      </c>
    </row>
    <row r="142" spans="3:7" x14ac:dyDescent="0.35">
      <c r="C142" s="756">
        <v>97</v>
      </c>
      <c r="D142" s="24" t="s">
        <v>1267</v>
      </c>
      <c r="E142" s="770" t="s">
        <v>1268</v>
      </c>
      <c r="F142" s="592" t="s">
        <v>146</v>
      </c>
      <c r="G142" s="542">
        <v>1520000</v>
      </c>
    </row>
    <row r="143" spans="3:7" x14ac:dyDescent="0.35">
      <c r="C143" s="756">
        <v>52</v>
      </c>
      <c r="D143" s="24" t="s">
        <v>1269</v>
      </c>
      <c r="E143" s="757" t="s">
        <v>1268</v>
      </c>
      <c r="F143" s="592" t="s">
        <v>146</v>
      </c>
      <c r="G143" s="542">
        <v>32724468</v>
      </c>
    </row>
    <row r="144" spans="3:7" x14ac:dyDescent="0.35">
      <c r="C144" s="756">
        <v>104</v>
      </c>
      <c r="D144" s="24" t="s">
        <v>1270</v>
      </c>
      <c r="E144" s="760" t="s">
        <v>1268</v>
      </c>
      <c r="F144" s="592" t="s">
        <v>146</v>
      </c>
      <c r="G144" s="542">
        <v>3422000</v>
      </c>
    </row>
    <row r="145" spans="3:10" x14ac:dyDescent="0.35">
      <c r="C145" s="756"/>
      <c r="D145" s="593" t="s">
        <v>1271</v>
      </c>
      <c r="E145" s="760"/>
      <c r="F145" s="592"/>
      <c r="G145" s="539">
        <f>SUM(G142:G144)</f>
        <v>37666468</v>
      </c>
    </row>
    <row r="146" spans="3:10" x14ac:dyDescent="0.35">
      <c r="C146" s="771"/>
      <c r="D146" s="772" t="s">
        <v>1272</v>
      </c>
      <c r="E146" s="773"/>
      <c r="F146" s="774"/>
      <c r="G146" s="775">
        <f>G145+G141+G124+G106+G79</f>
        <v>307661994</v>
      </c>
    </row>
    <row r="147" spans="3:10" x14ac:dyDescent="0.35">
      <c r="C147" s="756"/>
      <c r="D147" s="593"/>
      <c r="E147" s="752"/>
      <c r="F147" s="752" t="s">
        <v>1273</v>
      </c>
      <c r="G147" s="776">
        <f>G146/100000</f>
        <v>3076.61994</v>
      </c>
      <c r="H147" s="617" t="s">
        <v>1274</v>
      </c>
      <c r="I147" s="617" t="s">
        <v>1275</v>
      </c>
      <c r="J147" s="617" t="s">
        <v>146</v>
      </c>
    </row>
    <row r="148" spans="3:10" x14ac:dyDescent="0.35">
      <c r="C148" s="756"/>
      <c r="D148" s="24" t="s">
        <v>1276</v>
      </c>
      <c r="E148" s="548"/>
      <c r="F148" s="752" t="s">
        <v>1273</v>
      </c>
      <c r="G148" s="549">
        <f>J148</f>
        <v>1585.3</v>
      </c>
      <c r="H148">
        <v>1910000</v>
      </c>
      <c r="I148">
        <v>83</v>
      </c>
      <c r="J148">
        <f>(H148*I148)/100000</f>
        <v>1585.3</v>
      </c>
    </row>
    <row r="149" spans="3:10" x14ac:dyDescent="0.35">
      <c r="C149" s="756"/>
      <c r="D149" s="24"/>
      <c r="E149" s="548"/>
      <c r="F149" s="548"/>
      <c r="G149" s="549"/>
    </row>
    <row r="150" spans="3:10" x14ac:dyDescent="0.35">
      <c r="C150" s="756"/>
      <c r="D150" s="24" t="s">
        <v>1277</v>
      </c>
      <c r="E150" s="548"/>
      <c r="F150" s="752" t="s">
        <v>1273</v>
      </c>
      <c r="G150" s="549">
        <v>300</v>
      </c>
    </row>
    <row r="151" spans="3:10" x14ac:dyDescent="0.35">
      <c r="C151" s="777"/>
      <c r="D151" s="593" t="s">
        <v>1278</v>
      </c>
      <c r="E151" s="752"/>
      <c r="F151" s="752" t="s">
        <v>1273</v>
      </c>
      <c r="G151" s="550">
        <f>G147+G148+G150</f>
        <v>4961.9199399999998</v>
      </c>
    </row>
    <row r="152" spans="3:10" x14ac:dyDescent="0.35">
      <c r="C152" s="778"/>
      <c r="E152" s="11"/>
      <c r="F152" s="11"/>
      <c r="G152" s="551"/>
    </row>
    <row r="153" spans="3:10" ht="15.5" x14ac:dyDescent="0.35">
      <c r="C153" s="778"/>
      <c r="E153" s="779"/>
      <c r="F153" s="779"/>
      <c r="G153" s="779"/>
    </row>
    <row r="154" spans="3:10" x14ac:dyDescent="0.35">
      <c r="C154" s="778"/>
      <c r="E154" s="11"/>
      <c r="F154" s="11"/>
      <c r="G154" s="551"/>
    </row>
    <row r="155" spans="3:10" ht="15" thickBot="1" x14ac:dyDescent="0.4">
      <c r="C155" s="780"/>
      <c r="D155" s="781"/>
      <c r="E155" s="782"/>
      <c r="F155" s="782"/>
      <c r="G155" s="552"/>
    </row>
  </sheetData>
  <mergeCells count="45">
    <mergeCell ref="C52:C53"/>
    <mergeCell ref="D52:D53"/>
    <mergeCell ref="E52:E53"/>
    <mergeCell ref="F52:F53"/>
    <mergeCell ref="G52:G53"/>
    <mergeCell ref="C42:C44"/>
    <mergeCell ref="D42:D44"/>
    <mergeCell ref="E42:E44"/>
    <mergeCell ref="F42:F44"/>
    <mergeCell ref="G42:G44"/>
    <mergeCell ref="C59:C61"/>
    <mergeCell ref="D59:D61"/>
    <mergeCell ref="E59:E61"/>
    <mergeCell ref="F59:F61"/>
    <mergeCell ref="G59:G61"/>
    <mergeCell ref="C55:C58"/>
    <mergeCell ref="D55:D58"/>
    <mergeCell ref="E55:E58"/>
    <mergeCell ref="F55:F58"/>
    <mergeCell ref="G55:G58"/>
    <mergeCell ref="C115:C116"/>
    <mergeCell ref="D115:D116"/>
    <mergeCell ref="E115:E116"/>
    <mergeCell ref="F115:F116"/>
    <mergeCell ref="G115:G116"/>
    <mergeCell ref="C62:C63"/>
    <mergeCell ref="D62:D63"/>
    <mergeCell ref="E62:E63"/>
    <mergeCell ref="F62:F63"/>
    <mergeCell ref="G62:G63"/>
    <mergeCell ref="C120:C122"/>
    <mergeCell ref="D120:D122"/>
    <mergeCell ref="E120:E122"/>
    <mergeCell ref="F120:F122"/>
    <mergeCell ref="G120:G122"/>
    <mergeCell ref="C117:C119"/>
    <mergeCell ref="D117:D119"/>
    <mergeCell ref="E117:E119"/>
    <mergeCell ref="F117:F119"/>
    <mergeCell ref="G117:G119"/>
    <mergeCell ref="C138:C139"/>
    <mergeCell ref="D138:D139"/>
    <mergeCell ref="E138:E139"/>
    <mergeCell ref="F138:F139"/>
    <mergeCell ref="G138:G139"/>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161C-D878-4049-A0C6-A7B1FB85D0CB}">
  <dimension ref="B1:L286"/>
  <sheetViews>
    <sheetView topLeftCell="G245" workbookViewId="0">
      <selection activeCell="M253" sqref="M253"/>
    </sheetView>
  </sheetViews>
  <sheetFormatPr defaultRowHeight="14.5" x14ac:dyDescent="0.35"/>
  <cols>
    <col min="2" max="2" width="10" bestFit="1" customWidth="1"/>
    <col min="3" max="3" width="13.81640625" bestFit="1" customWidth="1"/>
    <col min="4" max="4" width="72.7265625" bestFit="1" customWidth="1"/>
    <col min="5" max="5" width="13.1796875" style="11" bestFit="1" customWidth="1"/>
    <col min="6" max="6" width="14.453125" style="11" bestFit="1" customWidth="1"/>
    <col min="7" max="8" width="20.81640625" bestFit="1" customWidth="1"/>
    <col min="9" max="10" width="19.453125" bestFit="1" customWidth="1"/>
    <col min="11" max="11" width="15.7265625" bestFit="1" customWidth="1"/>
    <col min="12" max="12" width="61.26953125" bestFit="1" customWidth="1"/>
    <col min="258" max="258" width="10" bestFit="1" customWidth="1"/>
    <col min="259" max="259" width="13.81640625" bestFit="1" customWidth="1"/>
    <col min="260" max="260" width="72.7265625" bestFit="1" customWidth="1"/>
    <col min="261" max="261" width="13.1796875" bestFit="1" customWidth="1"/>
    <col min="262" max="262" width="14.453125" bestFit="1" customWidth="1"/>
    <col min="263" max="264" width="20.81640625" bestFit="1" customWidth="1"/>
    <col min="265" max="266" width="19.453125" bestFit="1" customWidth="1"/>
    <col min="267" max="267" width="15.7265625" bestFit="1" customWidth="1"/>
    <col min="268" max="268" width="61.26953125" bestFit="1" customWidth="1"/>
    <col min="514" max="514" width="10" bestFit="1" customWidth="1"/>
    <col min="515" max="515" width="13.81640625" bestFit="1" customWidth="1"/>
    <col min="516" max="516" width="72.7265625" bestFit="1" customWidth="1"/>
    <col min="517" max="517" width="13.1796875" bestFit="1" customWidth="1"/>
    <col min="518" max="518" width="14.453125" bestFit="1" customWidth="1"/>
    <col min="519" max="520" width="20.81640625" bestFit="1" customWidth="1"/>
    <col min="521" max="522" width="19.453125" bestFit="1" customWidth="1"/>
    <col min="523" max="523" width="15.7265625" bestFit="1" customWidth="1"/>
    <col min="524" max="524" width="61.26953125" bestFit="1" customWidth="1"/>
    <col min="770" max="770" width="10" bestFit="1" customWidth="1"/>
    <col min="771" max="771" width="13.81640625" bestFit="1" customWidth="1"/>
    <col min="772" max="772" width="72.7265625" bestFit="1" customWidth="1"/>
    <col min="773" max="773" width="13.1796875" bestFit="1" customWidth="1"/>
    <col min="774" max="774" width="14.453125" bestFit="1" customWidth="1"/>
    <col min="775" max="776" width="20.81640625" bestFit="1" customWidth="1"/>
    <col min="777" max="778" width="19.453125" bestFit="1" customWidth="1"/>
    <col min="779" max="779" width="15.7265625" bestFit="1" customWidth="1"/>
    <col min="780" max="780" width="61.26953125" bestFit="1" customWidth="1"/>
    <col min="1026" max="1026" width="10" bestFit="1" customWidth="1"/>
    <col min="1027" max="1027" width="13.81640625" bestFit="1" customWidth="1"/>
    <col min="1028" max="1028" width="72.7265625" bestFit="1" customWidth="1"/>
    <col min="1029" max="1029" width="13.1796875" bestFit="1" customWidth="1"/>
    <col min="1030" max="1030" width="14.453125" bestFit="1" customWidth="1"/>
    <col min="1031" max="1032" width="20.81640625" bestFit="1" customWidth="1"/>
    <col min="1033" max="1034" width="19.453125" bestFit="1" customWidth="1"/>
    <col min="1035" max="1035" width="15.7265625" bestFit="1" customWidth="1"/>
    <col min="1036" max="1036" width="61.26953125" bestFit="1" customWidth="1"/>
    <col min="1282" max="1282" width="10" bestFit="1" customWidth="1"/>
    <col min="1283" max="1283" width="13.81640625" bestFit="1" customWidth="1"/>
    <col min="1284" max="1284" width="72.7265625" bestFit="1" customWidth="1"/>
    <col min="1285" max="1285" width="13.1796875" bestFit="1" customWidth="1"/>
    <col min="1286" max="1286" width="14.453125" bestFit="1" customWidth="1"/>
    <col min="1287" max="1288" width="20.81640625" bestFit="1" customWidth="1"/>
    <col min="1289" max="1290" width="19.453125" bestFit="1" customWidth="1"/>
    <col min="1291" max="1291" width="15.7265625" bestFit="1" customWidth="1"/>
    <col min="1292" max="1292" width="61.26953125" bestFit="1" customWidth="1"/>
    <col min="1538" max="1538" width="10" bestFit="1" customWidth="1"/>
    <col min="1539" max="1539" width="13.81640625" bestFit="1" customWidth="1"/>
    <col min="1540" max="1540" width="72.7265625" bestFit="1" customWidth="1"/>
    <col min="1541" max="1541" width="13.1796875" bestFit="1" customWidth="1"/>
    <col min="1542" max="1542" width="14.453125" bestFit="1" customWidth="1"/>
    <col min="1543" max="1544" width="20.81640625" bestFit="1" customWidth="1"/>
    <col min="1545" max="1546" width="19.453125" bestFit="1" customWidth="1"/>
    <col min="1547" max="1547" width="15.7265625" bestFit="1" customWidth="1"/>
    <col min="1548" max="1548" width="61.26953125" bestFit="1" customWidth="1"/>
    <col min="1794" max="1794" width="10" bestFit="1" customWidth="1"/>
    <col min="1795" max="1795" width="13.81640625" bestFit="1" customWidth="1"/>
    <col min="1796" max="1796" width="72.7265625" bestFit="1" customWidth="1"/>
    <col min="1797" max="1797" width="13.1796875" bestFit="1" customWidth="1"/>
    <col min="1798" max="1798" width="14.453125" bestFit="1" customWidth="1"/>
    <col min="1799" max="1800" width="20.81640625" bestFit="1" customWidth="1"/>
    <col min="1801" max="1802" width="19.453125" bestFit="1" customWidth="1"/>
    <col min="1803" max="1803" width="15.7265625" bestFit="1" customWidth="1"/>
    <col min="1804" max="1804" width="61.26953125" bestFit="1" customWidth="1"/>
    <col min="2050" max="2050" width="10" bestFit="1" customWidth="1"/>
    <col min="2051" max="2051" width="13.81640625" bestFit="1" customWidth="1"/>
    <col min="2052" max="2052" width="72.7265625" bestFit="1" customWidth="1"/>
    <col min="2053" max="2053" width="13.1796875" bestFit="1" customWidth="1"/>
    <col min="2054" max="2054" width="14.453125" bestFit="1" customWidth="1"/>
    <col min="2055" max="2056" width="20.81640625" bestFit="1" customWidth="1"/>
    <col min="2057" max="2058" width="19.453125" bestFit="1" customWidth="1"/>
    <col min="2059" max="2059" width="15.7265625" bestFit="1" customWidth="1"/>
    <col min="2060" max="2060" width="61.26953125" bestFit="1" customWidth="1"/>
    <col min="2306" max="2306" width="10" bestFit="1" customWidth="1"/>
    <col min="2307" max="2307" width="13.81640625" bestFit="1" customWidth="1"/>
    <col min="2308" max="2308" width="72.7265625" bestFit="1" customWidth="1"/>
    <col min="2309" max="2309" width="13.1796875" bestFit="1" customWidth="1"/>
    <col min="2310" max="2310" width="14.453125" bestFit="1" customWidth="1"/>
    <col min="2311" max="2312" width="20.81640625" bestFit="1" customWidth="1"/>
    <col min="2313" max="2314" width="19.453125" bestFit="1" customWidth="1"/>
    <col min="2315" max="2315" width="15.7265625" bestFit="1" customWidth="1"/>
    <col min="2316" max="2316" width="61.26953125" bestFit="1" customWidth="1"/>
    <col min="2562" max="2562" width="10" bestFit="1" customWidth="1"/>
    <col min="2563" max="2563" width="13.81640625" bestFit="1" customWidth="1"/>
    <col min="2564" max="2564" width="72.7265625" bestFit="1" customWidth="1"/>
    <col min="2565" max="2565" width="13.1796875" bestFit="1" customWidth="1"/>
    <col min="2566" max="2566" width="14.453125" bestFit="1" customWidth="1"/>
    <col min="2567" max="2568" width="20.81640625" bestFit="1" customWidth="1"/>
    <col min="2569" max="2570" width="19.453125" bestFit="1" customWidth="1"/>
    <col min="2571" max="2571" width="15.7265625" bestFit="1" customWidth="1"/>
    <col min="2572" max="2572" width="61.26953125" bestFit="1" customWidth="1"/>
    <col min="2818" max="2818" width="10" bestFit="1" customWidth="1"/>
    <col min="2819" max="2819" width="13.81640625" bestFit="1" customWidth="1"/>
    <col min="2820" max="2820" width="72.7265625" bestFit="1" customWidth="1"/>
    <col min="2821" max="2821" width="13.1796875" bestFit="1" customWidth="1"/>
    <col min="2822" max="2822" width="14.453125" bestFit="1" customWidth="1"/>
    <col min="2823" max="2824" width="20.81640625" bestFit="1" customWidth="1"/>
    <col min="2825" max="2826" width="19.453125" bestFit="1" customWidth="1"/>
    <col min="2827" max="2827" width="15.7265625" bestFit="1" customWidth="1"/>
    <col min="2828" max="2828" width="61.26953125" bestFit="1" customWidth="1"/>
    <col min="3074" max="3074" width="10" bestFit="1" customWidth="1"/>
    <col min="3075" max="3075" width="13.81640625" bestFit="1" customWidth="1"/>
    <col min="3076" max="3076" width="72.7265625" bestFit="1" customWidth="1"/>
    <col min="3077" max="3077" width="13.1796875" bestFit="1" customWidth="1"/>
    <col min="3078" max="3078" width="14.453125" bestFit="1" customWidth="1"/>
    <col min="3079" max="3080" width="20.81640625" bestFit="1" customWidth="1"/>
    <col min="3081" max="3082" width="19.453125" bestFit="1" customWidth="1"/>
    <col min="3083" max="3083" width="15.7265625" bestFit="1" customWidth="1"/>
    <col min="3084" max="3084" width="61.26953125" bestFit="1" customWidth="1"/>
    <col min="3330" max="3330" width="10" bestFit="1" customWidth="1"/>
    <col min="3331" max="3331" width="13.81640625" bestFit="1" customWidth="1"/>
    <col min="3332" max="3332" width="72.7265625" bestFit="1" customWidth="1"/>
    <col min="3333" max="3333" width="13.1796875" bestFit="1" customWidth="1"/>
    <col min="3334" max="3334" width="14.453125" bestFit="1" customWidth="1"/>
    <col min="3335" max="3336" width="20.81640625" bestFit="1" customWidth="1"/>
    <col min="3337" max="3338" width="19.453125" bestFit="1" customWidth="1"/>
    <col min="3339" max="3339" width="15.7265625" bestFit="1" customWidth="1"/>
    <col min="3340" max="3340" width="61.26953125" bestFit="1" customWidth="1"/>
    <col min="3586" max="3586" width="10" bestFit="1" customWidth="1"/>
    <col min="3587" max="3587" width="13.81640625" bestFit="1" customWidth="1"/>
    <col min="3588" max="3588" width="72.7265625" bestFit="1" customWidth="1"/>
    <col min="3589" max="3589" width="13.1796875" bestFit="1" customWidth="1"/>
    <col min="3590" max="3590" width="14.453125" bestFit="1" customWidth="1"/>
    <col min="3591" max="3592" width="20.81640625" bestFit="1" customWidth="1"/>
    <col min="3593" max="3594" width="19.453125" bestFit="1" customWidth="1"/>
    <col min="3595" max="3595" width="15.7265625" bestFit="1" customWidth="1"/>
    <col min="3596" max="3596" width="61.26953125" bestFit="1" customWidth="1"/>
    <col min="3842" max="3842" width="10" bestFit="1" customWidth="1"/>
    <col min="3843" max="3843" width="13.81640625" bestFit="1" customWidth="1"/>
    <col min="3844" max="3844" width="72.7265625" bestFit="1" customWidth="1"/>
    <col min="3845" max="3845" width="13.1796875" bestFit="1" customWidth="1"/>
    <col min="3846" max="3846" width="14.453125" bestFit="1" customWidth="1"/>
    <col min="3847" max="3848" width="20.81640625" bestFit="1" customWidth="1"/>
    <col min="3849" max="3850" width="19.453125" bestFit="1" customWidth="1"/>
    <col min="3851" max="3851" width="15.7265625" bestFit="1" customWidth="1"/>
    <col min="3852" max="3852" width="61.26953125" bestFit="1" customWidth="1"/>
    <col min="4098" max="4098" width="10" bestFit="1" customWidth="1"/>
    <col min="4099" max="4099" width="13.81640625" bestFit="1" customWidth="1"/>
    <col min="4100" max="4100" width="72.7265625" bestFit="1" customWidth="1"/>
    <col min="4101" max="4101" width="13.1796875" bestFit="1" customWidth="1"/>
    <col min="4102" max="4102" width="14.453125" bestFit="1" customWidth="1"/>
    <col min="4103" max="4104" width="20.81640625" bestFit="1" customWidth="1"/>
    <col min="4105" max="4106" width="19.453125" bestFit="1" customWidth="1"/>
    <col min="4107" max="4107" width="15.7265625" bestFit="1" customWidth="1"/>
    <col min="4108" max="4108" width="61.26953125" bestFit="1" customWidth="1"/>
    <col min="4354" max="4354" width="10" bestFit="1" customWidth="1"/>
    <col min="4355" max="4355" width="13.81640625" bestFit="1" customWidth="1"/>
    <col min="4356" max="4356" width="72.7265625" bestFit="1" customWidth="1"/>
    <col min="4357" max="4357" width="13.1796875" bestFit="1" customWidth="1"/>
    <col min="4358" max="4358" width="14.453125" bestFit="1" customWidth="1"/>
    <col min="4359" max="4360" width="20.81640625" bestFit="1" customWidth="1"/>
    <col min="4361" max="4362" width="19.453125" bestFit="1" customWidth="1"/>
    <col min="4363" max="4363" width="15.7265625" bestFit="1" customWidth="1"/>
    <col min="4364" max="4364" width="61.26953125" bestFit="1" customWidth="1"/>
    <col min="4610" max="4610" width="10" bestFit="1" customWidth="1"/>
    <col min="4611" max="4611" width="13.81640625" bestFit="1" customWidth="1"/>
    <col min="4612" max="4612" width="72.7265625" bestFit="1" customWidth="1"/>
    <col min="4613" max="4613" width="13.1796875" bestFit="1" customWidth="1"/>
    <col min="4614" max="4614" width="14.453125" bestFit="1" customWidth="1"/>
    <col min="4615" max="4616" width="20.81640625" bestFit="1" customWidth="1"/>
    <col min="4617" max="4618" width="19.453125" bestFit="1" customWidth="1"/>
    <col min="4619" max="4619" width="15.7265625" bestFit="1" customWidth="1"/>
    <col min="4620" max="4620" width="61.26953125" bestFit="1" customWidth="1"/>
    <col min="4866" max="4866" width="10" bestFit="1" customWidth="1"/>
    <col min="4867" max="4867" width="13.81640625" bestFit="1" customWidth="1"/>
    <col min="4868" max="4868" width="72.7265625" bestFit="1" customWidth="1"/>
    <col min="4869" max="4869" width="13.1796875" bestFit="1" customWidth="1"/>
    <col min="4870" max="4870" width="14.453125" bestFit="1" customWidth="1"/>
    <col min="4871" max="4872" width="20.81640625" bestFit="1" customWidth="1"/>
    <col min="4873" max="4874" width="19.453125" bestFit="1" customWidth="1"/>
    <col min="4875" max="4875" width="15.7265625" bestFit="1" customWidth="1"/>
    <col min="4876" max="4876" width="61.26953125" bestFit="1" customWidth="1"/>
    <col min="5122" max="5122" width="10" bestFit="1" customWidth="1"/>
    <col min="5123" max="5123" width="13.81640625" bestFit="1" customWidth="1"/>
    <col min="5124" max="5124" width="72.7265625" bestFit="1" customWidth="1"/>
    <col min="5125" max="5125" width="13.1796875" bestFit="1" customWidth="1"/>
    <col min="5126" max="5126" width="14.453125" bestFit="1" customWidth="1"/>
    <col min="5127" max="5128" width="20.81640625" bestFit="1" customWidth="1"/>
    <col min="5129" max="5130" width="19.453125" bestFit="1" customWidth="1"/>
    <col min="5131" max="5131" width="15.7265625" bestFit="1" customWidth="1"/>
    <col min="5132" max="5132" width="61.26953125" bestFit="1" customWidth="1"/>
    <col min="5378" max="5378" width="10" bestFit="1" customWidth="1"/>
    <col min="5379" max="5379" width="13.81640625" bestFit="1" customWidth="1"/>
    <col min="5380" max="5380" width="72.7265625" bestFit="1" customWidth="1"/>
    <col min="5381" max="5381" width="13.1796875" bestFit="1" customWidth="1"/>
    <col min="5382" max="5382" width="14.453125" bestFit="1" customWidth="1"/>
    <col min="5383" max="5384" width="20.81640625" bestFit="1" customWidth="1"/>
    <col min="5385" max="5386" width="19.453125" bestFit="1" customWidth="1"/>
    <col min="5387" max="5387" width="15.7265625" bestFit="1" customWidth="1"/>
    <col min="5388" max="5388" width="61.26953125" bestFit="1" customWidth="1"/>
    <col min="5634" max="5634" width="10" bestFit="1" customWidth="1"/>
    <col min="5635" max="5635" width="13.81640625" bestFit="1" customWidth="1"/>
    <col min="5636" max="5636" width="72.7265625" bestFit="1" customWidth="1"/>
    <col min="5637" max="5637" width="13.1796875" bestFit="1" customWidth="1"/>
    <col min="5638" max="5638" width="14.453125" bestFit="1" customWidth="1"/>
    <col min="5639" max="5640" width="20.81640625" bestFit="1" customWidth="1"/>
    <col min="5641" max="5642" width="19.453125" bestFit="1" customWidth="1"/>
    <col min="5643" max="5643" width="15.7265625" bestFit="1" customWidth="1"/>
    <col min="5644" max="5644" width="61.26953125" bestFit="1" customWidth="1"/>
    <col min="5890" max="5890" width="10" bestFit="1" customWidth="1"/>
    <col min="5891" max="5891" width="13.81640625" bestFit="1" customWidth="1"/>
    <col min="5892" max="5892" width="72.7265625" bestFit="1" customWidth="1"/>
    <col min="5893" max="5893" width="13.1796875" bestFit="1" customWidth="1"/>
    <col min="5894" max="5894" width="14.453125" bestFit="1" customWidth="1"/>
    <col min="5895" max="5896" width="20.81640625" bestFit="1" customWidth="1"/>
    <col min="5897" max="5898" width="19.453125" bestFit="1" customWidth="1"/>
    <col min="5899" max="5899" width="15.7265625" bestFit="1" customWidth="1"/>
    <col min="5900" max="5900" width="61.26953125" bestFit="1" customWidth="1"/>
    <col min="6146" max="6146" width="10" bestFit="1" customWidth="1"/>
    <col min="6147" max="6147" width="13.81640625" bestFit="1" customWidth="1"/>
    <col min="6148" max="6148" width="72.7265625" bestFit="1" customWidth="1"/>
    <col min="6149" max="6149" width="13.1796875" bestFit="1" customWidth="1"/>
    <col min="6150" max="6150" width="14.453125" bestFit="1" customWidth="1"/>
    <col min="6151" max="6152" width="20.81640625" bestFit="1" customWidth="1"/>
    <col min="6153" max="6154" width="19.453125" bestFit="1" customWidth="1"/>
    <col min="6155" max="6155" width="15.7265625" bestFit="1" customWidth="1"/>
    <col min="6156" max="6156" width="61.26953125" bestFit="1" customWidth="1"/>
    <col min="6402" max="6402" width="10" bestFit="1" customWidth="1"/>
    <col min="6403" max="6403" width="13.81640625" bestFit="1" customWidth="1"/>
    <col min="6404" max="6404" width="72.7265625" bestFit="1" customWidth="1"/>
    <col min="6405" max="6405" width="13.1796875" bestFit="1" customWidth="1"/>
    <col min="6406" max="6406" width="14.453125" bestFit="1" customWidth="1"/>
    <col min="6407" max="6408" width="20.81640625" bestFit="1" customWidth="1"/>
    <col min="6409" max="6410" width="19.453125" bestFit="1" customWidth="1"/>
    <col min="6411" max="6411" width="15.7265625" bestFit="1" customWidth="1"/>
    <col min="6412" max="6412" width="61.26953125" bestFit="1" customWidth="1"/>
    <col min="6658" max="6658" width="10" bestFit="1" customWidth="1"/>
    <col min="6659" max="6659" width="13.81640625" bestFit="1" customWidth="1"/>
    <col min="6660" max="6660" width="72.7265625" bestFit="1" customWidth="1"/>
    <col min="6661" max="6661" width="13.1796875" bestFit="1" customWidth="1"/>
    <col min="6662" max="6662" width="14.453125" bestFit="1" customWidth="1"/>
    <col min="6663" max="6664" width="20.81640625" bestFit="1" customWidth="1"/>
    <col min="6665" max="6666" width="19.453125" bestFit="1" customWidth="1"/>
    <col min="6667" max="6667" width="15.7265625" bestFit="1" customWidth="1"/>
    <col min="6668" max="6668" width="61.26953125" bestFit="1" customWidth="1"/>
    <col min="6914" max="6914" width="10" bestFit="1" customWidth="1"/>
    <col min="6915" max="6915" width="13.81640625" bestFit="1" customWidth="1"/>
    <col min="6916" max="6916" width="72.7265625" bestFit="1" customWidth="1"/>
    <col min="6917" max="6917" width="13.1796875" bestFit="1" customWidth="1"/>
    <col min="6918" max="6918" width="14.453125" bestFit="1" customWidth="1"/>
    <col min="6919" max="6920" width="20.81640625" bestFit="1" customWidth="1"/>
    <col min="6921" max="6922" width="19.453125" bestFit="1" customWidth="1"/>
    <col min="6923" max="6923" width="15.7265625" bestFit="1" customWidth="1"/>
    <col min="6924" max="6924" width="61.26953125" bestFit="1" customWidth="1"/>
    <col min="7170" max="7170" width="10" bestFit="1" customWidth="1"/>
    <col min="7171" max="7171" width="13.81640625" bestFit="1" customWidth="1"/>
    <col min="7172" max="7172" width="72.7265625" bestFit="1" customWidth="1"/>
    <col min="7173" max="7173" width="13.1796875" bestFit="1" customWidth="1"/>
    <col min="7174" max="7174" width="14.453125" bestFit="1" customWidth="1"/>
    <col min="7175" max="7176" width="20.81640625" bestFit="1" customWidth="1"/>
    <col min="7177" max="7178" width="19.453125" bestFit="1" customWidth="1"/>
    <col min="7179" max="7179" width="15.7265625" bestFit="1" customWidth="1"/>
    <col min="7180" max="7180" width="61.26953125" bestFit="1" customWidth="1"/>
    <col min="7426" max="7426" width="10" bestFit="1" customWidth="1"/>
    <col min="7427" max="7427" width="13.81640625" bestFit="1" customWidth="1"/>
    <col min="7428" max="7428" width="72.7265625" bestFit="1" customWidth="1"/>
    <col min="7429" max="7429" width="13.1796875" bestFit="1" customWidth="1"/>
    <col min="7430" max="7430" width="14.453125" bestFit="1" customWidth="1"/>
    <col min="7431" max="7432" width="20.81640625" bestFit="1" customWidth="1"/>
    <col min="7433" max="7434" width="19.453125" bestFit="1" customWidth="1"/>
    <col min="7435" max="7435" width="15.7265625" bestFit="1" customWidth="1"/>
    <col min="7436" max="7436" width="61.26953125" bestFit="1" customWidth="1"/>
    <col min="7682" max="7682" width="10" bestFit="1" customWidth="1"/>
    <col min="7683" max="7683" width="13.81640625" bestFit="1" customWidth="1"/>
    <col min="7684" max="7684" width="72.7265625" bestFit="1" customWidth="1"/>
    <col min="7685" max="7685" width="13.1796875" bestFit="1" customWidth="1"/>
    <col min="7686" max="7686" width="14.453125" bestFit="1" customWidth="1"/>
    <col min="7687" max="7688" width="20.81640625" bestFit="1" customWidth="1"/>
    <col min="7689" max="7690" width="19.453125" bestFit="1" customWidth="1"/>
    <col min="7691" max="7691" width="15.7265625" bestFit="1" customWidth="1"/>
    <col min="7692" max="7692" width="61.26953125" bestFit="1" customWidth="1"/>
    <col min="7938" max="7938" width="10" bestFit="1" customWidth="1"/>
    <col min="7939" max="7939" width="13.81640625" bestFit="1" customWidth="1"/>
    <col min="7940" max="7940" width="72.7265625" bestFit="1" customWidth="1"/>
    <col min="7941" max="7941" width="13.1796875" bestFit="1" customWidth="1"/>
    <col min="7942" max="7942" width="14.453125" bestFit="1" customWidth="1"/>
    <col min="7943" max="7944" width="20.81640625" bestFit="1" customWidth="1"/>
    <col min="7945" max="7946" width="19.453125" bestFit="1" customWidth="1"/>
    <col min="7947" max="7947" width="15.7265625" bestFit="1" customWidth="1"/>
    <col min="7948" max="7948" width="61.26953125" bestFit="1" customWidth="1"/>
    <col min="8194" max="8194" width="10" bestFit="1" customWidth="1"/>
    <col min="8195" max="8195" width="13.81640625" bestFit="1" customWidth="1"/>
    <col min="8196" max="8196" width="72.7265625" bestFit="1" customWidth="1"/>
    <col min="8197" max="8197" width="13.1796875" bestFit="1" customWidth="1"/>
    <col min="8198" max="8198" width="14.453125" bestFit="1" customWidth="1"/>
    <col min="8199" max="8200" width="20.81640625" bestFit="1" customWidth="1"/>
    <col min="8201" max="8202" width="19.453125" bestFit="1" customWidth="1"/>
    <col min="8203" max="8203" width="15.7265625" bestFit="1" customWidth="1"/>
    <col min="8204" max="8204" width="61.26953125" bestFit="1" customWidth="1"/>
    <col min="8450" max="8450" width="10" bestFit="1" customWidth="1"/>
    <col min="8451" max="8451" width="13.81640625" bestFit="1" customWidth="1"/>
    <col min="8452" max="8452" width="72.7265625" bestFit="1" customWidth="1"/>
    <col min="8453" max="8453" width="13.1796875" bestFit="1" customWidth="1"/>
    <col min="8454" max="8454" width="14.453125" bestFit="1" customWidth="1"/>
    <col min="8455" max="8456" width="20.81640625" bestFit="1" customWidth="1"/>
    <col min="8457" max="8458" width="19.453125" bestFit="1" customWidth="1"/>
    <col min="8459" max="8459" width="15.7265625" bestFit="1" customWidth="1"/>
    <col min="8460" max="8460" width="61.26953125" bestFit="1" customWidth="1"/>
    <col min="8706" max="8706" width="10" bestFit="1" customWidth="1"/>
    <col min="8707" max="8707" width="13.81640625" bestFit="1" customWidth="1"/>
    <col min="8708" max="8708" width="72.7265625" bestFit="1" customWidth="1"/>
    <col min="8709" max="8709" width="13.1796875" bestFit="1" customWidth="1"/>
    <col min="8710" max="8710" width="14.453125" bestFit="1" customWidth="1"/>
    <col min="8711" max="8712" width="20.81640625" bestFit="1" customWidth="1"/>
    <col min="8713" max="8714" width="19.453125" bestFit="1" customWidth="1"/>
    <col min="8715" max="8715" width="15.7265625" bestFit="1" customWidth="1"/>
    <col min="8716" max="8716" width="61.26953125" bestFit="1" customWidth="1"/>
    <col min="8962" max="8962" width="10" bestFit="1" customWidth="1"/>
    <col min="8963" max="8963" width="13.81640625" bestFit="1" customWidth="1"/>
    <col min="8964" max="8964" width="72.7265625" bestFit="1" customWidth="1"/>
    <col min="8965" max="8965" width="13.1796875" bestFit="1" customWidth="1"/>
    <col min="8966" max="8966" width="14.453125" bestFit="1" customWidth="1"/>
    <col min="8967" max="8968" width="20.81640625" bestFit="1" customWidth="1"/>
    <col min="8969" max="8970" width="19.453125" bestFit="1" customWidth="1"/>
    <col min="8971" max="8971" width="15.7265625" bestFit="1" customWidth="1"/>
    <col min="8972" max="8972" width="61.26953125" bestFit="1" customWidth="1"/>
    <col min="9218" max="9218" width="10" bestFit="1" customWidth="1"/>
    <col min="9219" max="9219" width="13.81640625" bestFit="1" customWidth="1"/>
    <col min="9220" max="9220" width="72.7265625" bestFit="1" customWidth="1"/>
    <col min="9221" max="9221" width="13.1796875" bestFit="1" customWidth="1"/>
    <col min="9222" max="9222" width="14.453125" bestFit="1" customWidth="1"/>
    <col min="9223" max="9224" width="20.81640625" bestFit="1" customWidth="1"/>
    <col min="9225" max="9226" width="19.453125" bestFit="1" customWidth="1"/>
    <col min="9227" max="9227" width="15.7265625" bestFit="1" customWidth="1"/>
    <col min="9228" max="9228" width="61.26953125" bestFit="1" customWidth="1"/>
    <col min="9474" max="9474" width="10" bestFit="1" customWidth="1"/>
    <col min="9475" max="9475" width="13.81640625" bestFit="1" customWidth="1"/>
    <col min="9476" max="9476" width="72.7265625" bestFit="1" customWidth="1"/>
    <col min="9477" max="9477" width="13.1796875" bestFit="1" customWidth="1"/>
    <col min="9478" max="9478" width="14.453125" bestFit="1" customWidth="1"/>
    <col min="9479" max="9480" width="20.81640625" bestFit="1" customWidth="1"/>
    <col min="9481" max="9482" width="19.453125" bestFit="1" customWidth="1"/>
    <col min="9483" max="9483" width="15.7265625" bestFit="1" customWidth="1"/>
    <col min="9484" max="9484" width="61.26953125" bestFit="1" customWidth="1"/>
    <col min="9730" max="9730" width="10" bestFit="1" customWidth="1"/>
    <col min="9731" max="9731" width="13.81640625" bestFit="1" customWidth="1"/>
    <col min="9732" max="9732" width="72.7265625" bestFit="1" customWidth="1"/>
    <col min="9733" max="9733" width="13.1796875" bestFit="1" customWidth="1"/>
    <col min="9734" max="9734" width="14.453125" bestFit="1" customWidth="1"/>
    <col min="9735" max="9736" width="20.81640625" bestFit="1" customWidth="1"/>
    <col min="9737" max="9738" width="19.453125" bestFit="1" customWidth="1"/>
    <col min="9739" max="9739" width="15.7265625" bestFit="1" customWidth="1"/>
    <col min="9740" max="9740" width="61.26953125" bestFit="1" customWidth="1"/>
    <col min="9986" max="9986" width="10" bestFit="1" customWidth="1"/>
    <col min="9987" max="9987" width="13.81640625" bestFit="1" customWidth="1"/>
    <col min="9988" max="9988" width="72.7265625" bestFit="1" customWidth="1"/>
    <col min="9989" max="9989" width="13.1796875" bestFit="1" customWidth="1"/>
    <col min="9990" max="9990" width="14.453125" bestFit="1" customWidth="1"/>
    <col min="9991" max="9992" width="20.81640625" bestFit="1" customWidth="1"/>
    <col min="9993" max="9994" width="19.453125" bestFit="1" customWidth="1"/>
    <col min="9995" max="9995" width="15.7265625" bestFit="1" customWidth="1"/>
    <col min="9996" max="9996" width="61.26953125" bestFit="1" customWidth="1"/>
    <col min="10242" max="10242" width="10" bestFit="1" customWidth="1"/>
    <col min="10243" max="10243" width="13.81640625" bestFit="1" customWidth="1"/>
    <col min="10244" max="10244" width="72.7265625" bestFit="1" customWidth="1"/>
    <col min="10245" max="10245" width="13.1796875" bestFit="1" customWidth="1"/>
    <col min="10246" max="10246" width="14.453125" bestFit="1" customWidth="1"/>
    <col min="10247" max="10248" width="20.81640625" bestFit="1" customWidth="1"/>
    <col min="10249" max="10250" width="19.453125" bestFit="1" customWidth="1"/>
    <col min="10251" max="10251" width="15.7265625" bestFit="1" customWidth="1"/>
    <col min="10252" max="10252" width="61.26953125" bestFit="1" customWidth="1"/>
    <col min="10498" max="10498" width="10" bestFit="1" customWidth="1"/>
    <col min="10499" max="10499" width="13.81640625" bestFit="1" customWidth="1"/>
    <col min="10500" max="10500" width="72.7265625" bestFit="1" customWidth="1"/>
    <col min="10501" max="10501" width="13.1796875" bestFit="1" customWidth="1"/>
    <col min="10502" max="10502" width="14.453125" bestFit="1" customWidth="1"/>
    <col min="10503" max="10504" width="20.81640625" bestFit="1" customWidth="1"/>
    <col min="10505" max="10506" width="19.453125" bestFit="1" customWidth="1"/>
    <col min="10507" max="10507" width="15.7265625" bestFit="1" customWidth="1"/>
    <col min="10508" max="10508" width="61.26953125" bestFit="1" customWidth="1"/>
    <col min="10754" max="10754" width="10" bestFit="1" customWidth="1"/>
    <col min="10755" max="10755" width="13.81640625" bestFit="1" customWidth="1"/>
    <col min="10756" max="10756" width="72.7265625" bestFit="1" customWidth="1"/>
    <col min="10757" max="10757" width="13.1796875" bestFit="1" customWidth="1"/>
    <col min="10758" max="10758" width="14.453125" bestFit="1" customWidth="1"/>
    <col min="10759" max="10760" width="20.81640625" bestFit="1" customWidth="1"/>
    <col min="10761" max="10762" width="19.453125" bestFit="1" customWidth="1"/>
    <col min="10763" max="10763" width="15.7265625" bestFit="1" customWidth="1"/>
    <col min="10764" max="10764" width="61.26953125" bestFit="1" customWidth="1"/>
    <col min="11010" max="11010" width="10" bestFit="1" customWidth="1"/>
    <col min="11011" max="11011" width="13.81640625" bestFit="1" customWidth="1"/>
    <col min="11012" max="11012" width="72.7265625" bestFit="1" customWidth="1"/>
    <col min="11013" max="11013" width="13.1796875" bestFit="1" customWidth="1"/>
    <col min="11014" max="11014" width="14.453125" bestFit="1" customWidth="1"/>
    <col min="11015" max="11016" width="20.81640625" bestFit="1" customWidth="1"/>
    <col min="11017" max="11018" width="19.453125" bestFit="1" customWidth="1"/>
    <col min="11019" max="11019" width="15.7265625" bestFit="1" customWidth="1"/>
    <col min="11020" max="11020" width="61.26953125" bestFit="1" customWidth="1"/>
    <col min="11266" max="11266" width="10" bestFit="1" customWidth="1"/>
    <col min="11267" max="11267" width="13.81640625" bestFit="1" customWidth="1"/>
    <col min="11268" max="11268" width="72.7265625" bestFit="1" customWidth="1"/>
    <col min="11269" max="11269" width="13.1796875" bestFit="1" customWidth="1"/>
    <col min="11270" max="11270" width="14.453125" bestFit="1" customWidth="1"/>
    <col min="11271" max="11272" width="20.81640625" bestFit="1" customWidth="1"/>
    <col min="11273" max="11274" width="19.453125" bestFit="1" customWidth="1"/>
    <col min="11275" max="11275" width="15.7265625" bestFit="1" customWidth="1"/>
    <col min="11276" max="11276" width="61.26953125" bestFit="1" customWidth="1"/>
    <col min="11522" max="11522" width="10" bestFit="1" customWidth="1"/>
    <col min="11523" max="11523" width="13.81640625" bestFit="1" customWidth="1"/>
    <col min="11524" max="11524" width="72.7265625" bestFit="1" customWidth="1"/>
    <col min="11525" max="11525" width="13.1796875" bestFit="1" customWidth="1"/>
    <col min="11526" max="11526" width="14.453125" bestFit="1" customWidth="1"/>
    <col min="11527" max="11528" width="20.81640625" bestFit="1" customWidth="1"/>
    <col min="11529" max="11530" width="19.453125" bestFit="1" customWidth="1"/>
    <col min="11531" max="11531" width="15.7265625" bestFit="1" customWidth="1"/>
    <col min="11532" max="11532" width="61.26953125" bestFit="1" customWidth="1"/>
    <col min="11778" max="11778" width="10" bestFit="1" customWidth="1"/>
    <col min="11779" max="11779" width="13.81640625" bestFit="1" customWidth="1"/>
    <col min="11780" max="11780" width="72.7265625" bestFit="1" customWidth="1"/>
    <col min="11781" max="11781" width="13.1796875" bestFit="1" customWidth="1"/>
    <col min="11782" max="11782" width="14.453125" bestFit="1" customWidth="1"/>
    <col min="11783" max="11784" width="20.81640625" bestFit="1" customWidth="1"/>
    <col min="11785" max="11786" width="19.453125" bestFit="1" customWidth="1"/>
    <col min="11787" max="11787" width="15.7265625" bestFit="1" customWidth="1"/>
    <col min="11788" max="11788" width="61.26953125" bestFit="1" customWidth="1"/>
    <col min="12034" max="12034" width="10" bestFit="1" customWidth="1"/>
    <col min="12035" max="12035" width="13.81640625" bestFit="1" customWidth="1"/>
    <col min="12036" max="12036" width="72.7265625" bestFit="1" customWidth="1"/>
    <col min="12037" max="12037" width="13.1796875" bestFit="1" customWidth="1"/>
    <col min="12038" max="12038" width="14.453125" bestFit="1" customWidth="1"/>
    <col min="12039" max="12040" width="20.81640625" bestFit="1" customWidth="1"/>
    <col min="12041" max="12042" width="19.453125" bestFit="1" customWidth="1"/>
    <col min="12043" max="12043" width="15.7265625" bestFit="1" customWidth="1"/>
    <col min="12044" max="12044" width="61.26953125" bestFit="1" customWidth="1"/>
    <col min="12290" max="12290" width="10" bestFit="1" customWidth="1"/>
    <col min="12291" max="12291" width="13.81640625" bestFit="1" customWidth="1"/>
    <col min="12292" max="12292" width="72.7265625" bestFit="1" customWidth="1"/>
    <col min="12293" max="12293" width="13.1796875" bestFit="1" customWidth="1"/>
    <col min="12294" max="12294" width="14.453125" bestFit="1" customWidth="1"/>
    <col min="12295" max="12296" width="20.81640625" bestFit="1" customWidth="1"/>
    <col min="12297" max="12298" width="19.453125" bestFit="1" customWidth="1"/>
    <col min="12299" max="12299" width="15.7265625" bestFit="1" customWidth="1"/>
    <col min="12300" max="12300" width="61.26953125" bestFit="1" customWidth="1"/>
    <col min="12546" max="12546" width="10" bestFit="1" customWidth="1"/>
    <col min="12547" max="12547" width="13.81640625" bestFit="1" customWidth="1"/>
    <col min="12548" max="12548" width="72.7265625" bestFit="1" customWidth="1"/>
    <col min="12549" max="12549" width="13.1796875" bestFit="1" customWidth="1"/>
    <col min="12550" max="12550" width="14.453125" bestFit="1" customWidth="1"/>
    <col min="12551" max="12552" width="20.81640625" bestFit="1" customWidth="1"/>
    <col min="12553" max="12554" width="19.453125" bestFit="1" customWidth="1"/>
    <col min="12555" max="12555" width="15.7265625" bestFit="1" customWidth="1"/>
    <col min="12556" max="12556" width="61.26953125" bestFit="1" customWidth="1"/>
    <col min="12802" max="12802" width="10" bestFit="1" customWidth="1"/>
    <col min="12803" max="12803" width="13.81640625" bestFit="1" customWidth="1"/>
    <col min="12804" max="12804" width="72.7265625" bestFit="1" customWidth="1"/>
    <col min="12805" max="12805" width="13.1796875" bestFit="1" customWidth="1"/>
    <col min="12806" max="12806" width="14.453125" bestFit="1" customWidth="1"/>
    <col min="12807" max="12808" width="20.81640625" bestFit="1" customWidth="1"/>
    <col min="12809" max="12810" width="19.453125" bestFit="1" customWidth="1"/>
    <col min="12811" max="12811" width="15.7265625" bestFit="1" customWidth="1"/>
    <col min="12812" max="12812" width="61.26953125" bestFit="1" customWidth="1"/>
    <col min="13058" max="13058" width="10" bestFit="1" customWidth="1"/>
    <col min="13059" max="13059" width="13.81640625" bestFit="1" customWidth="1"/>
    <col min="13060" max="13060" width="72.7265625" bestFit="1" customWidth="1"/>
    <col min="13061" max="13061" width="13.1796875" bestFit="1" customWidth="1"/>
    <col min="13062" max="13062" width="14.453125" bestFit="1" customWidth="1"/>
    <col min="13063" max="13064" width="20.81640625" bestFit="1" customWidth="1"/>
    <col min="13065" max="13066" width="19.453125" bestFit="1" customWidth="1"/>
    <col min="13067" max="13067" width="15.7265625" bestFit="1" customWidth="1"/>
    <col min="13068" max="13068" width="61.26953125" bestFit="1" customWidth="1"/>
    <col min="13314" max="13314" width="10" bestFit="1" customWidth="1"/>
    <col min="13315" max="13315" width="13.81640625" bestFit="1" customWidth="1"/>
    <col min="13316" max="13316" width="72.7265625" bestFit="1" customWidth="1"/>
    <col min="13317" max="13317" width="13.1796875" bestFit="1" customWidth="1"/>
    <col min="13318" max="13318" width="14.453125" bestFit="1" customWidth="1"/>
    <col min="13319" max="13320" width="20.81640625" bestFit="1" customWidth="1"/>
    <col min="13321" max="13322" width="19.453125" bestFit="1" customWidth="1"/>
    <col min="13323" max="13323" width="15.7265625" bestFit="1" customWidth="1"/>
    <col min="13324" max="13324" width="61.26953125" bestFit="1" customWidth="1"/>
    <col min="13570" max="13570" width="10" bestFit="1" customWidth="1"/>
    <col min="13571" max="13571" width="13.81640625" bestFit="1" customWidth="1"/>
    <col min="13572" max="13572" width="72.7265625" bestFit="1" customWidth="1"/>
    <col min="13573" max="13573" width="13.1796875" bestFit="1" customWidth="1"/>
    <col min="13574" max="13574" width="14.453125" bestFit="1" customWidth="1"/>
    <col min="13575" max="13576" width="20.81640625" bestFit="1" customWidth="1"/>
    <col min="13577" max="13578" width="19.453125" bestFit="1" customWidth="1"/>
    <col min="13579" max="13579" width="15.7265625" bestFit="1" customWidth="1"/>
    <col min="13580" max="13580" width="61.26953125" bestFit="1" customWidth="1"/>
    <col min="13826" max="13826" width="10" bestFit="1" customWidth="1"/>
    <col min="13827" max="13827" width="13.81640625" bestFit="1" customWidth="1"/>
    <col min="13828" max="13828" width="72.7265625" bestFit="1" customWidth="1"/>
    <col min="13829" max="13829" width="13.1796875" bestFit="1" customWidth="1"/>
    <col min="13830" max="13830" width="14.453125" bestFit="1" customWidth="1"/>
    <col min="13831" max="13832" width="20.81640625" bestFit="1" customWidth="1"/>
    <col min="13833" max="13834" width="19.453125" bestFit="1" customWidth="1"/>
    <col min="13835" max="13835" width="15.7265625" bestFit="1" customWidth="1"/>
    <col min="13836" max="13836" width="61.26953125" bestFit="1" customWidth="1"/>
    <col min="14082" max="14082" width="10" bestFit="1" customWidth="1"/>
    <col min="14083" max="14083" width="13.81640625" bestFit="1" customWidth="1"/>
    <col min="14084" max="14084" width="72.7265625" bestFit="1" customWidth="1"/>
    <col min="14085" max="14085" width="13.1796875" bestFit="1" customWidth="1"/>
    <col min="14086" max="14086" width="14.453125" bestFit="1" customWidth="1"/>
    <col min="14087" max="14088" width="20.81640625" bestFit="1" customWidth="1"/>
    <col min="14089" max="14090" width="19.453125" bestFit="1" customWidth="1"/>
    <col min="14091" max="14091" width="15.7265625" bestFit="1" customWidth="1"/>
    <col min="14092" max="14092" width="61.26953125" bestFit="1" customWidth="1"/>
    <col min="14338" max="14338" width="10" bestFit="1" customWidth="1"/>
    <col min="14339" max="14339" width="13.81640625" bestFit="1" customWidth="1"/>
    <col min="14340" max="14340" width="72.7265625" bestFit="1" customWidth="1"/>
    <col min="14341" max="14341" width="13.1796875" bestFit="1" customWidth="1"/>
    <col min="14342" max="14342" width="14.453125" bestFit="1" customWidth="1"/>
    <col min="14343" max="14344" width="20.81640625" bestFit="1" customWidth="1"/>
    <col min="14345" max="14346" width="19.453125" bestFit="1" customWidth="1"/>
    <col min="14347" max="14347" width="15.7265625" bestFit="1" customWidth="1"/>
    <col min="14348" max="14348" width="61.26953125" bestFit="1" customWidth="1"/>
    <col min="14594" max="14594" width="10" bestFit="1" customWidth="1"/>
    <col min="14595" max="14595" width="13.81640625" bestFit="1" customWidth="1"/>
    <col min="14596" max="14596" width="72.7265625" bestFit="1" customWidth="1"/>
    <col min="14597" max="14597" width="13.1796875" bestFit="1" customWidth="1"/>
    <col min="14598" max="14598" width="14.453125" bestFit="1" customWidth="1"/>
    <col min="14599" max="14600" width="20.81640625" bestFit="1" customWidth="1"/>
    <col min="14601" max="14602" width="19.453125" bestFit="1" customWidth="1"/>
    <col min="14603" max="14603" width="15.7265625" bestFit="1" customWidth="1"/>
    <col min="14604" max="14604" width="61.26953125" bestFit="1" customWidth="1"/>
    <col min="14850" max="14850" width="10" bestFit="1" customWidth="1"/>
    <col min="14851" max="14851" width="13.81640625" bestFit="1" customWidth="1"/>
    <col min="14852" max="14852" width="72.7265625" bestFit="1" customWidth="1"/>
    <col min="14853" max="14853" width="13.1796875" bestFit="1" customWidth="1"/>
    <col min="14854" max="14854" width="14.453125" bestFit="1" customWidth="1"/>
    <col min="14855" max="14856" width="20.81640625" bestFit="1" customWidth="1"/>
    <col min="14857" max="14858" width="19.453125" bestFit="1" customWidth="1"/>
    <col min="14859" max="14859" width="15.7265625" bestFit="1" customWidth="1"/>
    <col min="14860" max="14860" width="61.26953125" bestFit="1" customWidth="1"/>
    <col min="15106" max="15106" width="10" bestFit="1" customWidth="1"/>
    <col min="15107" max="15107" width="13.81640625" bestFit="1" customWidth="1"/>
    <col min="15108" max="15108" width="72.7265625" bestFit="1" customWidth="1"/>
    <col min="15109" max="15109" width="13.1796875" bestFit="1" customWidth="1"/>
    <col min="15110" max="15110" width="14.453125" bestFit="1" customWidth="1"/>
    <col min="15111" max="15112" width="20.81640625" bestFit="1" customWidth="1"/>
    <col min="15113" max="15114" width="19.453125" bestFit="1" customWidth="1"/>
    <col min="15115" max="15115" width="15.7265625" bestFit="1" customWidth="1"/>
    <col min="15116" max="15116" width="61.26953125" bestFit="1" customWidth="1"/>
    <col min="15362" max="15362" width="10" bestFit="1" customWidth="1"/>
    <col min="15363" max="15363" width="13.81640625" bestFit="1" customWidth="1"/>
    <col min="15364" max="15364" width="72.7265625" bestFit="1" customWidth="1"/>
    <col min="15365" max="15365" width="13.1796875" bestFit="1" customWidth="1"/>
    <col min="15366" max="15366" width="14.453125" bestFit="1" customWidth="1"/>
    <col min="15367" max="15368" width="20.81640625" bestFit="1" customWidth="1"/>
    <col min="15369" max="15370" width="19.453125" bestFit="1" customWidth="1"/>
    <col min="15371" max="15371" width="15.7265625" bestFit="1" customWidth="1"/>
    <col min="15372" max="15372" width="61.26953125" bestFit="1" customWidth="1"/>
    <col min="15618" max="15618" width="10" bestFit="1" customWidth="1"/>
    <col min="15619" max="15619" width="13.81640625" bestFit="1" customWidth="1"/>
    <col min="15620" max="15620" width="72.7265625" bestFit="1" customWidth="1"/>
    <col min="15621" max="15621" width="13.1796875" bestFit="1" customWidth="1"/>
    <col min="15622" max="15622" width="14.453125" bestFit="1" customWidth="1"/>
    <col min="15623" max="15624" width="20.81640625" bestFit="1" customWidth="1"/>
    <col min="15625" max="15626" width="19.453125" bestFit="1" customWidth="1"/>
    <col min="15627" max="15627" width="15.7265625" bestFit="1" customWidth="1"/>
    <col min="15628" max="15628" width="61.26953125" bestFit="1" customWidth="1"/>
    <col min="15874" max="15874" width="10" bestFit="1" customWidth="1"/>
    <col min="15875" max="15875" width="13.81640625" bestFit="1" customWidth="1"/>
    <col min="15876" max="15876" width="72.7265625" bestFit="1" customWidth="1"/>
    <col min="15877" max="15877" width="13.1796875" bestFit="1" customWidth="1"/>
    <col min="15878" max="15878" width="14.453125" bestFit="1" customWidth="1"/>
    <col min="15879" max="15880" width="20.81640625" bestFit="1" customWidth="1"/>
    <col min="15881" max="15882" width="19.453125" bestFit="1" customWidth="1"/>
    <col min="15883" max="15883" width="15.7265625" bestFit="1" customWidth="1"/>
    <col min="15884" max="15884" width="61.26953125" bestFit="1" customWidth="1"/>
    <col min="16130" max="16130" width="10" bestFit="1" customWidth="1"/>
    <col min="16131" max="16131" width="13.81640625" bestFit="1" customWidth="1"/>
    <col min="16132" max="16132" width="72.7265625" bestFit="1" customWidth="1"/>
    <col min="16133" max="16133" width="13.1796875" bestFit="1" customWidth="1"/>
    <col min="16134" max="16134" width="14.453125" bestFit="1" customWidth="1"/>
    <col min="16135" max="16136" width="20.81640625" bestFit="1" customWidth="1"/>
    <col min="16137" max="16138" width="19.453125" bestFit="1" customWidth="1"/>
    <col min="16139" max="16139" width="15.7265625" bestFit="1" customWidth="1"/>
    <col min="16140" max="16140" width="61.26953125" bestFit="1" customWidth="1"/>
  </cols>
  <sheetData>
    <row r="1" spans="2:12" ht="15" thickBot="1" x14ac:dyDescent="0.4"/>
    <row r="2" spans="2:12" ht="25" x14ac:dyDescent="0.5">
      <c r="B2" s="1072" t="s">
        <v>1279</v>
      </c>
      <c r="C2" s="1073"/>
      <c r="D2" s="1073"/>
      <c r="E2" s="1073"/>
      <c r="F2" s="1073"/>
      <c r="G2" s="1073"/>
      <c r="H2" s="1073"/>
      <c r="I2" s="1073"/>
      <c r="J2" s="1073"/>
      <c r="K2" s="1073"/>
      <c r="L2" s="1074"/>
    </row>
    <row r="3" spans="2:12" ht="20.5" thickBot="1" x14ac:dyDescent="0.45">
      <c r="B3" s="783"/>
      <c r="C3" s="784"/>
      <c r="D3" s="784"/>
      <c r="E3" s="784"/>
      <c r="F3" s="784"/>
      <c r="G3" s="784"/>
      <c r="H3" s="784"/>
      <c r="I3" s="784"/>
      <c r="J3" s="784"/>
      <c r="K3" s="784"/>
      <c r="L3" s="785"/>
    </row>
    <row r="4" spans="2:12" ht="20.5" thickBot="1" x14ac:dyDescent="0.45">
      <c r="B4" s="1075" t="s">
        <v>1280</v>
      </c>
      <c r="C4" s="1076"/>
      <c r="D4" s="1076"/>
      <c r="E4" s="1076"/>
      <c r="F4" s="1076"/>
      <c r="G4" s="1076"/>
      <c r="H4" s="1076"/>
      <c r="I4" s="1076"/>
      <c r="J4" s="1076"/>
      <c r="K4" s="1076"/>
      <c r="L4" s="1077"/>
    </row>
    <row r="5" spans="2:12" ht="15" thickBot="1" x14ac:dyDescent="0.4">
      <c r="B5" s="786"/>
      <c r="C5" s="604"/>
      <c r="D5" s="604"/>
      <c r="E5" s="604"/>
      <c r="F5" s="604"/>
      <c r="G5" s="604"/>
      <c r="H5" s="604"/>
      <c r="I5" s="604"/>
      <c r="J5" s="604"/>
      <c r="K5" s="604"/>
      <c r="L5" s="787"/>
    </row>
    <row r="6" spans="2:12" ht="18.5" thickBot="1" x14ac:dyDescent="0.45">
      <c r="B6" s="1078" t="s">
        <v>1281</v>
      </c>
      <c r="C6" s="788" t="s">
        <v>1282</v>
      </c>
      <c r="D6" s="1080" t="s">
        <v>1283</v>
      </c>
      <c r="E6" s="1082" t="s">
        <v>1284</v>
      </c>
      <c r="F6" s="1083"/>
      <c r="G6" s="788" t="s">
        <v>1285</v>
      </c>
      <c r="H6" s="789" t="s">
        <v>632</v>
      </c>
      <c r="I6" s="790" t="s">
        <v>1113</v>
      </c>
      <c r="J6" s="790" t="s">
        <v>1286</v>
      </c>
      <c r="K6" s="790" t="s">
        <v>1287</v>
      </c>
      <c r="L6" s="791" t="s">
        <v>1288</v>
      </c>
    </row>
    <row r="7" spans="2:12" ht="18.5" thickBot="1" x14ac:dyDescent="0.45">
      <c r="B7" s="1079"/>
      <c r="C7" s="792" t="s">
        <v>136</v>
      </c>
      <c r="D7" s="1081"/>
      <c r="E7" s="793" t="s">
        <v>1289</v>
      </c>
      <c r="F7" s="793" t="s">
        <v>1290</v>
      </c>
      <c r="G7" s="792" t="s">
        <v>701</v>
      </c>
      <c r="H7" s="794" t="s">
        <v>1291</v>
      </c>
      <c r="I7" s="795" t="s">
        <v>1292</v>
      </c>
      <c r="J7" s="795" t="s">
        <v>1273</v>
      </c>
      <c r="K7" s="795" t="s">
        <v>1273</v>
      </c>
      <c r="L7" s="796"/>
    </row>
    <row r="8" spans="2:12" ht="15" thickBot="1" x14ac:dyDescent="0.4">
      <c r="B8" s="786"/>
      <c r="C8" s="604"/>
      <c r="D8" s="604"/>
      <c r="E8" s="604"/>
      <c r="F8" s="604"/>
      <c r="G8" s="604"/>
      <c r="H8" s="604"/>
      <c r="I8" s="604"/>
      <c r="J8" s="604"/>
      <c r="K8" s="604"/>
      <c r="L8" s="787"/>
    </row>
    <row r="9" spans="2:12" ht="16" thickBot="1" x14ac:dyDescent="0.4">
      <c r="B9" s="1084" t="s">
        <v>1293</v>
      </c>
      <c r="C9" s="1085"/>
      <c r="D9" s="1086"/>
      <c r="E9" s="1086"/>
      <c r="F9" s="1086"/>
      <c r="G9" s="1086"/>
      <c r="H9" s="1086"/>
      <c r="I9" s="1086"/>
      <c r="J9" s="1086"/>
      <c r="K9" s="1086"/>
      <c r="L9" s="1087"/>
    </row>
    <row r="10" spans="2:12" x14ac:dyDescent="0.35">
      <c r="B10" s="797"/>
      <c r="C10" s="798"/>
      <c r="D10" s="799"/>
      <c r="E10" s="798"/>
      <c r="F10" s="798"/>
      <c r="G10" s="798"/>
      <c r="H10" s="798"/>
      <c r="I10" s="798"/>
      <c r="J10" s="798"/>
      <c r="K10" s="798"/>
      <c r="L10" s="800"/>
    </row>
    <row r="11" spans="2:12" x14ac:dyDescent="0.35">
      <c r="B11" s="718" t="s">
        <v>1294</v>
      </c>
      <c r="C11" s="373"/>
      <c r="D11" s="372" t="s">
        <v>1295</v>
      </c>
      <c r="E11" s="371"/>
      <c r="F11" s="371"/>
      <c r="G11" s="371"/>
      <c r="H11" s="592"/>
      <c r="I11" s="592">
        <v>3</v>
      </c>
      <c r="J11" s="592">
        <v>15</v>
      </c>
      <c r="K11" s="592">
        <f>I11*J11</f>
        <v>45</v>
      </c>
      <c r="L11" s="801"/>
    </row>
    <row r="12" spans="2:12" x14ac:dyDescent="0.35">
      <c r="B12" s="718"/>
      <c r="C12" s="373"/>
      <c r="D12" s="24"/>
      <c r="E12" s="592"/>
      <c r="F12" s="592"/>
      <c r="G12" s="592"/>
      <c r="H12" s="592"/>
      <c r="I12" s="592"/>
      <c r="J12" s="592"/>
      <c r="K12" s="592"/>
      <c r="L12" s="801"/>
    </row>
    <row r="13" spans="2:12" x14ac:dyDescent="0.35">
      <c r="B13" s="718" t="s">
        <v>1296</v>
      </c>
      <c r="C13" s="373"/>
      <c r="D13" s="372" t="s">
        <v>1297</v>
      </c>
      <c r="E13" s="371"/>
      <c r="F13" s="371"/>
      <c r="G13" s="592"/>
      <c r="H13" s="371" t="s">
        <v>1298</v>
      </c>
      <c r="I13" s="592">
        <v>3</v>
      </c>
      <c r="J13" s="592">
        <v>20</v>
      </c>
      <c r="K13" s="592">
        <f>I13*J13</f>
        <v>60</v>
      </c>
      <c r="L13" s="801"/>
    </row>
    <row r="14" spans="2:12" x14ac:dyDescent="0.35">
      <c r="B14" s="718"/>
      <c r="C14" s="373"/>
      <c r="D14" s="24"/>
      <c r="E14" s="592"/>
      <c r="F14" s="592"/>
      <c r="G14" s="592"/>
      <c r="H14" s="592"/>
      <c r="I14" s="592"/>
      <c r="J14" s="592"/>
      <c r="K14" s="592"/>
      <c r="L14" s="801"/>
    </row>
    <row r="15" spans="2:12" x14ac:dyDescent="0.35">
      <c r="B15" s="718" t="s">
        <v>1299</v>
      </c>
      <c r="C15" s="373"/>
      <c r="D15" s="372" t="s">
        <v>1300</v>
      </c>
      <c r="E15" s="371"/>
      <c r="F15" s="371"/>
      <c r="G15" s="592"/>
      <c r="H15" s="592"/>
      <c r="I15" s="592">
        <v>3</v>
      </c>
      <c r="J15" s="592">
        <v>12</v>
      </c>
      <c r="K15" s="592">
        <f>I15*J15</f>
        <v>36</v>
      </c>
      <c r="L15" s="801"/>
    </row>
    <row r="16" spans="2:12" x14ac:dyDescent="0.35">
      <c r="B16" s="718"/>
      <c r="C16" s="373"/>
      <c r="D16" s="24"/>
      <c r="E16" s="592"/>
      <c r="F16" s="592"/>
      <c r="G16" s="592"/>
      <c r="H16" s="592"/>
      <c r="I16" s="592"/>
      <c r="J16" s="592"/>
      <c r="K16" s="592"/>
      <c r="L16" s="801"/>
    </row>
    <row r="17" spans="2:12" x14ac:dyDescent="0.35">
      <c r="B17" s="718" t="s">
        <v>1301</v>
      </c>
      <c r="C17" s="373"/>
      <c r="D17" s="372" t="s">
        <v>1302</v>
      </c>
      <c r="E17" s="371"/>
      <c r="F17" s="371"/>
      <c r="G17" s="592"/>
      <c r="H17" s="371" t="s">
        <v>1303</v>
      </c>
      <c r="I17" s="592">
        <v>3</v>
      </c>
      <c r="J17" s="592">
        <v>25</v>
      </c>
      <c r="K17" s="592">
        <f>I17*J17</f>
        <v>75</v>
      </c>
      <c r="L17" s="1088" t="s">
        <v>1304</v>
      </c>
    </row>
    <row r="18" spans="2:12" x14ac:dyDescent="0.35">
      <c r="B18" s="718"/>
      <c r="C18" s="373"/>
      <c r="D18" s="24"/>
      <c r="E18" s="592"/>
      <c r="F18" s="592"/>
      <c r="G18" s="592"/>
      <c r="H18" s="592"/>
      <c r="I18" s="592"/>
      <c r="J18" s="592"/>
      <c r="K18" s="592"/>
      <c r="L18" s="1089"/>
    </row>
    <row r="19" spans="2:12" x14ac:dyDescent="0.35">
      <c r="B19" s="718" t="s">
        <v>1305</v>
      </c>
      <c r="C19" s="373"/>
      <c r="D19" s="372" t="s">
        <v>1306</v>
      </c>
      <c r="E19" s="371"/>
      <c r="F19" s="371"/>
      <c r="G19" s="592"/>
      <c r="H19" s="371" t="s">
        <v>1307</v>
      </c>
      <c r="I19" s="592">
        <v>3</v>
      </c>
      <c r="J19" s="592">
        <v>25</v>
      </c>
      <c r="K19" s="592">
        <f>I19*J19</f>
        <v>75</v>
      </c>
      <c r="L19" s="1089"/>
    </row>
    <row r="20" spans="2:12" x14ac:dyDescent="0.35">
      <c r="B20" s="718"/>
      <c r="C20" s="373"/>
      <c r="D20" s="24"/>
      <c r="E20" s="592"/>
      <c r="F20" s="592"/>
      <c r="G20" s="592"/>
      <c r="H20" s="592"/>
      <c r="I20" s="592"/>
      <c r="J20" s="592"/>
      <c r="K20" s="592"/>
      <c r="L20" s="1089"/>
    </row>
    <row r="21" spans="2:12" x14ac:dyDescent="0.35">
      <c r="B21" s="718" t="s">
        <v>1308</v>
      </c>
      <c r="C21" s="373"/>
      <c r="D21" s="372" t="s">
        <v>1309</v>
      </c>
      <c r="E21" s="371"/>
      <c r="F21" s="371"/>
      <c r="G21" s="592"/>
      <c r="H21" s="371" t="s">
        <v>1310</v>
      </c>
      <c r="I21" s="592">
        <v>3</v>
      </c>
      <c r="J21" s="592">
        <v>30</v>
      </c>
      <c r="K21" s="592">
        <f>I21*J21</f>
        <v>90</v>
      </c>
      <c r="L21" s="1090"/>
    </row>
    <row r="22" spans="2:12" x14ac:dyDescent="0.35">
      <c r="B22" s="718"/>
      <c r="C22" s="373"/>
      <c r="D22" s="24"/>
      <c r="E22" s="592"/>
      <c r="F22" s="592"/>
      <c r="G22" s="592"/>
      <c r="H22" s="592"/>
      <c r="I22" s="592"/>
      <c r="J22" s="592"/>
      <c r="K22" s="592"/>
      <c r="L22" s="801"/>
    </row>
    <row r="23" spans="2:12" x14ac:dyDescent="0.35">
      <c r="B23" s="718" t="s">
        <v>1311</v>
      </c>
      <c r="C23" s="373"/>
      <c r="D23" s="372" t="s">
        <v>1312</v>
      </c>
      <c r="E23" s="371"/>
      <c r="F23" s="371"/>
      <c r="G23" s="371"/>
      <c r="H23" s="371" t="s">
        <v>1313</v>
      </c>
      <c r="I23" s="592">
        <v>1</v>
      </c>
      <c r="J23" s="802">
        <v>35</v>
      </c>
      <c r="K23" s="592">
        <f>I23*J23</f>
        <v>35</v>
      </c>
      <c r="L23" s="801"/>
    </row>
    <row r="24" spans="2:12" x14ac:dyDescent="0.35">
      <c r="B24" s="718"/>
      <c r="C24" s="373"/>
      <c r="D24" s="24"/>
      <c r="E24" s="592"/>
      <c r="F24" s="592"/>
      <c r="G24" s="592"/>
      <c r="H24" s="592"/>
      <c r="I24" s="592"/>
      <c r="J24" s="592"/>
      <c r="K24" s="592"/>
      <c r="L24" s="801"/>
    </row>
    <row r="25" spans="2:12" x14ac:dyDescent="0.35">
      <c r="B25" s="718" t="s">
        <v>1314</v>
      </c>
      <c r="C25" s="373"/>
      <c r="D25" s="372" t="s">
        <v>1315</v>
      </c>
      <c r="E25" s="371"/>
      <c r="F25" s="371"/>
      <c r="G25" s="371"/>
      <c r="H25" s="371" t="s">
        <v>1316</v>
      </c>
      <c r="I25" s="592">
        <v>1</v>
      </c>
      <c r="J25" s="592">
        <v>30</v>
      </c>
      <c r="K25" s="592">
        <f>I25*J25</f>
        <v>30</v>
      </c>
      <c r="L25" s="801"/>
    </row>
    <row r="26" spans="2:12" ht="15" thickBot="1" x14ac:dyDescent="0.4">
      <c r="B26" s="803"/>
      <c r="C26" s="804"/>
      <c r="D26" s="805"/>
      <c r="E26" s="806"/>
      <c r="F26" s="806"/>
      <c r="G26" s="806"/>
      <c r="H26" s="806"/>
      <c r="I26" s="807"/>
      <c r="J26" s="807"/>
      <c r="K26" s="807"/>
      <c r="L26" s="808"/>
    </row>
    <row r="27" spans="2:12" ht="15" thickBot="1" x14ac:dyDescent="0.4">
      <c r="B27" s="1091" t="s">
        <v>1317</v>
      </c>
      <c r="C27" s="1092"/>
      <c r="D27" s="1093"/>
      <c r="E27" s="809"/>
      <c r="F27" s="809"/>
      <c r="G27" s="809"/>
      <c r="H27" s="810"/>
      <c r="I27" s="810"/>
      <c r="J27" s="810"/>
      <c r="K27" s="811">
        <f>SUM(K11:K25)</f>
        <v>446</v>
      </c>
      <c r="L27" s="812"/>
    </row>
    <row r="28" spans="2:12" ht="15" thickBot="1" x14ac:dyDescent="0.4">
      <c r="B28" s="813"/>
      <c r="C28" s="711"/>
      <c r="D28" s="745"/>
      <c r="E28" s="814"/>
      <c r="F28" s="814"/>
      <c r="G28" s="814"/>
      <c r="H28" s="814"/>
      <c r="I28" s="814"/>
      <c r="J28" s="814"/>
      <c r="K28" s="814"/>
      <c r="L28" s="815"/>
    </row>
    <row r="29" spans="2:12" ht="15.5" x14ac:dyDescent="0.35">
      <c r="B29" s="1084" t="s">
        <v>1318</v>
      </c>
      <c r="C29" s="1085"/>
      <c r="D29" s="1086"/>
      <c r="E29" s="1086"/>
      <c r="F29" s="1086"/>
      <c r="G29" s="1086"/>
      <c r="H29" s="1086"/>
      <c r="I29" s="1086"/>
      <c r="J29" s="1086"/>
      <c r="K29" s="1086"/>
      <c r="L29" s="1087"/>
    </row>
    <row r="30" spans="2:12" x14ac:dyDescent="0.35">
      <c r="B30" s="718"/>
      <c r="C30" s="816"/>
      <c r="D30" s="24"/>
      <c r="E30" s="592"/>
      <c r="F30" s="592"/>
      <c r="G30" s="592"/>
      <c r="H30" s="592"/>
      <c r="I30" s="592"/>
      <c r="J30" s="592"/>
      <c r="K30" s="592"/>
      <c r="L30" s="801"/>
    </row>
    <row r="31" spans="2:12" x14ac:dyDescent="0.35">
      <c r="B31" s="718" t="s">
        <v>1319</v>
      </c>
      <c r="C31" s="816"/>
      <c r="D31" s="372" t="s">
        <v>1320</v>
      </c>
      <c r="E31" s="371"/>
      <c r="F31" s="371"/>
      <c r="G31" s="371"/>
      <c r="H31" s="371" t="s">
        <v>1321</v>
      </c>
      <c r="I31" s="592">
        <v>1</v>
      </c>
      <c r="J31" s="592">
        <v>40</v>
      </c>
      <c r="K31" s="592">
        <f>I31*J31</f>
        <v>40</v>
      </c>
      <c r="L31" s="817" t="s">
        <v>1322</v>
      </c>
    </row>
    <row r="32" spans="2:12" x14ac:dyDescent="0.35">
      <c r="B32" s="718"/>
      <c r="C32" s="816"/>
      <c r="D32" s="24"/>
      <c r="E32" s="592"/>
      <c r="F32" s="592"/>
      <c r="G32" s="592"/>
      <c r="H32" s="592"/>
      <c r="I32" s="592"/>
      <c r="J32" s="592"/>
      <c r="K32" s="592"/>
      <c r="L32" s="801"/>
    </row>
    <row r="33" spans="2:12" x14ac:dyDescent="0.35">
      <c r="B33" s="718" t="s">
        <v>1323</v>
      </c>
      <c r="C33" s="816" t="s">
        <v>1324</v>
      </c>
      <c r="D33" s="615" t="s">
        <v>1325</v>
      </c>
      <c r="E33" s="371"/>
      <c r="F33" s="371"/>
      <c r="G33" s="592">
        <v>3400</v>
      </c>
      <c r="H33" s="371" t="s">
        <v>1326</v>
      </c>
      <c r="I33" s="592">
        <v>6</v>
      </c>
      <c r="J33" s="592">
        <v>10</v>
      </c>
      <c r="K33" s="592">
        <f>I33*J33</f>
        <v>60</v>
      </c>
      <c r="L33" s="801"/>
    </row>
    <row r="34" spans="2:12" x14ac:dyDescent="0.35">
      <c r="B34" s="718"/>
      <c r="C34" s="816"/>
      <c r="D34" s="24"/>
      <c r="E34" s="592"/>
      <c r="F34" s="592"/>
      <c r="G34" s="592"/>
      <c r="H34" s="592"/>
      <c r="I34" s="592"/>
      <c r="J34" s="592"/>
      <c r="K34" s="592"/>
      <c r="L34" s="801"/>
    </row>
    <row r="35" spans="2:12" x14ac:dyDescent="0.35">
      <c r="B35" s="718" t="s">
        <v>1327</v>
      </c>
      <c r="C35" s="816" t="s">
        <v>1328</v>
      </c>
      <c r="D35" s="372" t="s">
        <v>1329</v>
      </c>
      <c r="E35" s="371">
        <v>22</v>
      </c>
      <c r="F35" s="371"/>
      <c r="G35" s="592"/>
      <c r="H35" s="371" t="s">
        <v>1326</v>
      </c>
      <c r="I35" s="592">
        <v>6</v>
      </c>
      <c r="J35" s="592">
        <v>75</v>
      </c>
      <c r="K35" s="592">
        <f>I35*J35</f>
        <v>450</v>
      </c>
      <c r="L35" s="801"/>
    </row>
    <row r="36" spans="2:12" x14ac:dyDescent="0.35">
      <c r="B36" s="718"/>
      <c r="C36" s="816"/>
      <c r="D36" s="24"/>
      <c r="E36" s="592"/>
      <c r="F36" s="592"/>
      <c r="G36" s="592"/>
      <c r="H36" s="592"/>
      <c r="I36" s="592"/>
      <c r="J36" s="592"/>
      <c r="K36" s="592"/>
      <c r="L36" s="801"/>
    </row>
    <row r="37" spans="2:12" x14ac:dyDescent="0.35">
      <c r="B37" s="718" t="s">
        <v>1330</v>
      </c>
      <c r="C37" s="816"/>
      <c r="D37" s="372" t="s">
        <v>1331</v>
      </c>
      <c r="E37" s="371"/>
      <c r="F37" s="371"/>
      <c r="G37" s="371" t="s">
        <v>1332</v>
      </c>
      <c r="H37" s="371" t="s">
        <v>1333</v>
      </c>
      <c r="I37" s="592">
        <v>6</v>
      </c>
      <c r="J37" s="592">
        <v>7</v>
      </c>
      <c r="K37" s="592">
        <f t="shared" ref="K37:K51" si="0">I37*J37</f>
        <v>42</v>
      </c>
      <c r="L37" s="817" t="s">
        <v>1334</v>
      </c>
    </row>
    <row r="38" spans="2:12" x14ac:dyDescent="0.35">
      <c r="B38" s="718"/>
      <c r="C38" s="816"/>
      <c r="D38" s="24"/>
      <c r="E38" s="592"/>
      <c r="F38" s="592"/>
      <c r="G38" s="592"/>
      <c r="H38" s="592"/>
      <c r="I38" s="592"/>
      <c r="J38" s="592"/>
      <c r="K38" s="592"/>
      <c r="L38" s="801"/>
    </row>
    <row r="39" spans="2:12" x14ac:dyDescent="0.35">
      <c r="B39" s="718" t="s">
        <v>1335</v>
      </c>
      <c r="C39" s="816"/>
      <c r="D39" s="372" t="s">
        <v>1336</v>
      </c>
      <c r="E39" s="371"/>
      <c r="F39" s="371"/>
      <c r="G39" s="371"/>
      <c r="H39" s="371" t="s">
        <v>1337</v>
      </c>
      <c r="I39" s="592">
        <v>12</v>
      </c>
      <c r="J39" s="592">
        <v>7</v>
      </c>
      <c r="K39" s="592">
        <f t="shared" si="0"/>
        <v>84</v>
      </c>
      <c r="L39" s="817" t="s">
        <v>1338</v>
      </c>
    </row>
    <row r="40" spans="2:12" x14ac:dyDescent="0.35">
      <c r="B40" s="718"/>
      <c r="C40" s="816"/>
      <c r="D40" s="24"/>
      <c r="E40" s="592"/>
      <c r="F40" s="592"/>
      <c r="G40" s="592"/>
      <c r="H40" s="592"/>
      <c r="I40" s="592"/>
      <c r="J40" s="592"/>
      <c r="K40" s="592"/>
      <c r="L40" s="801"/>
    </row>
    <row r="41" spans="2:12" x14ac:dyDescent="0.35">
      <c r="B41" s="718" t="s">
        <v>1339</v>
      </c>
      <c r="C41" s="818" t="s">
        <v>1340</v>
      </c>
      <c r="D41" s="372" t="s">
        <v>1341</v>
      </c>
      <c r="E41" s="371"/>
      <c r="F41" s="371"/>
      <c r="G41" s="371"/>
      <c r="H41" s="371" t="s">
        <v>1342</v>
      </c>
      <c r="I41" s="592">
        <v>12</v>
      </c>
      <c r="J41" s="592">
        <v>8</v>
      </c>
      <c r="K41" s="592">
        <f t="shared" si="0"/>
        <v>96</v>
      </c>
      <c r="L41" s="817" t="s">
        <v>1343</v>
      </c>
    </row>
    <row r="42" spans="2:12" x14ac:dyDescent="0.35">
      <c r="B42" s="718"/>
      <c r="C42" s="816"/>
      <c r="D42" s="24"/>
      <c r="E42" s="592"/>
      <c r="F42" s="592"/>
      <c r="G42" s="592"/>
      <c r="H42" s="371" t="s">
        <v>977</v>
      </c>
      <c r="I42" s="592"/>
      <c r="J42" s="592"/>
      <c r="K42" s="592"/>
      <c r="L42" s="801"/>
    </row>
    <row r="43" spans="2:12" x14ac:dyDescent="0.35">
      <c r="B43" s="718" t="s">
        <v>1344</v>
      </c>
      <c r="C43" s="816" t="s">
        <v>1345</v>
      </c>
      <c r="D43" s="372" t="s">
        <v>1346</v>
      </c>
      <c r="E43" s="371"/>
      <c r="F43" s="371"/>
      <c r="G43" s="371"/>
      <c r="H43" s="371" t="s">
        <v>1347</v>
      </c>
      <c r="I43" s="592">
        <v>6</v>
      </c>
      <c r="J43" s="592">
        <v>6</v>
      </c>
      <c r="K43" s="592">
        <f t="shared" si="0"/>
        <v>36</v>
      </c>
      <c r="L43" s="817" t="s">
        <v>1348</v>
      </c>
    </row>
    <row r="44" spans="2:12" x14ac:dyDescent="0.35">
      <c r="B44" s="718"/>
      <c r="C44" s="816"/>
      <c r="D44" s="24"/>
      <c r="E44" s="592"/>
      <c r="F44" s="592"/>
      <c r="G44" s="592"/>
      <c r="H44" s="592"/>
      <c r="I44" s="592"/>
      <c r="J44" s="592"/>
      <c r="K44" s="592"/>
      <c r="L44" s="801"/>
    </row>
    <row r="45" spans="2:12" x14ac:dyDescent="0.35">
      <c r="B45" s="718" t="s">
        <v>1349</v>
      </c>
      <c r="C45" s="816" t="s">
        <v>1350</v>
      </c>
      <c r="D45" s="372" t="s">
        <v>1351</v>
      </c>
      <c r="E45" s="371"/>
      <c r="F45" s="371"/>
      <c r="G45" s="371"/>
      <c r="H45" s="371" t="s">
        <v>1352</v>
      </c>
      <c r="I45" s="592">
        <v>3</v>
      </c>
      <c r="J45" s="592">
        <v>25</v>
      </c>
      <c r="K45" s="592">
        <f t="shared" si="0"/>
        <v>75</v>
      </c>
      <c r="L45" s="817" t="s">
        <v>1353</v>
      </c>
    </row>
    <row r="46" spans="2:12" x14ac:dyDescent="0.35">
      <c r="B46" s="718"/>
      <c r="C46" s="816"/>
      <c r="D46" s="24"/>
      <c r="E46" s="592"/>
      <c r="F46" s="592"/>
      <c r="G46" s="592"/>
      <c r="H46" s="592"/>
      <c r="I46" s="592"/>
      <c r="J46" s="592"/>
      <c r="K46" s="592"/>
      <c r="L46" s="801"/>
    </row>
    <row r="47" spans="2:12" x14ac:dyDescent="0.35">
      <c r="B47" s="718" t="s">
        <v>1354</v>
      </c>
      <c r="C47" s="816" t="s">
        <v>1355</v>
      </c>
      <c r="D47" s="372" t="s">
        <v>1356</v>
      </c>
      <c r="E47" s="592"/>
      <c r="F47" s="592"/>
      <c r="G47" s="592"/>
      <c r="H47" s="371" t="s">
        <v>1357</v>
      </c>
      <c r="I47" s="592">
        <v>3</v>
      </c>
      <c r="J47" s="592">
        <v>40</v>
      </c>
      <c r="K47" s="592">
        <f t="shared" si="0"/>
        <v>120</v>
      </c>
      <c r="L47" s="801"/>
    </row>
    <row r="48" spans="2:12" x14ac:dyDescent="0.35">
      <c r="B48" s="718"/>
      <c r="C48" s="816"/>
      <c r="D48" s="24"/>
      <c r="E48" s="592"/>
      <c r="F48" s="592"/>
      <c r="G48" s="592"/>
      <c r="H48" s="592"/>
      <c r="I48" s="592"/>
      <c r="J48" s="592"/>
      <c r="K48" s="592"/>
      <c r="L48" s="801"/>
    </row>
    <row r="49" spans="2:12" x14ac:dyDescent="0.35">
      <c r="B49" s="718" t="s">
        <v>1358</v>
      </c>
      <c r="C49" s="816" t="s">
        <v>1359</v>
      </c>
      <c r="D49" s="372" t="s">
        <v>1360</v>
      </c>
      <c r="E49" s="371"/>
      <c r="F49" s="371"/>
      <c r="G49" s="819"/>
      <c r="H49" s="371" t="s">
        <v>1361</v>
      </c>
      <c r="I49" s="592">
        <v>1</v>
      </c>
      <c r="J49" s="592">
        <v>8</v>
      </c>
      <c r="K49" s="592">
        <f t="shared" si="0"/>
        <v>8</v>
      </c>
      <c r="L49" s="801"/>
    </row>
    <row r="50" spans="2:12" x14ac:dyDescent="0.35">
      <c r="B50" s="728"/>
      <c r="C50" s="820"/>
      <c r="D50" s="624"/>
      <c r="E50" s="821"/>
      <c r="F50" s="821"/>
      <c r="G50" s="822"/>
      <c r="H50" s="821"/>
      <c r="I50" s="823"/>
      <c r="J50" s="823"/>
      <c r="K50" s="823"/>
      <c r="L50" s="824"/>
    </row>
    <row r="51" spans="2:12" x14ac:dyDescent="0.35">
      <c r="B51" s="728" t="s">
        <v>1362</v>
      </c>
      <c r="C51" s="820"/>
      <c r="D51" s="624" t="s">
        <v>1363</v>
      </c>
      <c r="E51" s="821"/>
      <c r="F51" s="821"/>
      <c r="G51" s="822"/>
      <c r="H51" s="371" t="s">
        <v>1364</v>
      </c>
      <c r="I51" s="823">
        <v>6</v>
      </c>
      <c r="J51" s="823">
        <v>3</v>
      </c>
      <c r="K51" s="592">
        <f t="shared" si="0"/>
        <v>18</v>
      </c>
      <c r="L51" s="824"/>
    </row>
    <row r="52" spans="2:12" ht="15" thickBot="1" x14ac:dyDescent="0.4">
      <c r="B52" s="728"/>
      <c r="C52" s="820"/>
      <c r="D52" s="624"/>
      <c r="E52" s="821"/>
      <c r="F52" s="821"/>
      <c r="G52" s="821"/>
      <c r="H52" s="821"/>
      <c r="I52" s="823"/>
      <c r="J52" s="823"/>
      <c r="K52" s="823"/>
      <c r="L52" s="824"/>
    </row>
    <row r="53" spans="2:12" ht="15" thickBot="1" x14ac:dyDescent="0.4">
      <c r="B53" s="1069" t="s">
        <v>1044</v>
      </c>
      <c r="C53" s="1070"/>
      <c r="D53" s="1071"/>
      <c r="E53" s="826"/>
      <c r="F53" s="826"/>
      <c r="G53" s="826"/>
      <c r="H53" s="827"/>
      <c r="I53" s="827"/>
      <c r="J53" s="828"/>
      <c r="K53" s="829">
        <f>SUM(K31:K49)</f>
        <v>1011</v>
      </c>
      <c r="L53" s="830"/>
    </row>
    <row r="54" spans="2:12" ht="15" thickBot="1" x14ac:dyDescent="0.4">
      <c r="B54" s="715"/>
      <c r="C54" s="831"/>
      <c r="D54" s="713"/>
      <c r="E54" s="714"/>
      <c r="F54" s="714"/>
      <c r="G54" s="714"/>
      <c r="H54" s="714"/>
      <c r="I54" s="714"/>
      <c r="J54" s="714"/>
      <c r="K54" s="714"/>
      <c r="L54" s="832"/>
    </row>
    <row r="55" spans="2:12" ht="16" thickBot="1" x14ac:dyDescent="0.4">
      <c r="B55" s="1084" t="s">
        <v>1365</v>
      </c>
      <c r="C55" s="1085"/>
      <c r="D55" s="1086"/>
      <c r="E55" s="1086"/>
      <c r="F55" s="1086"/>
      <c r="G55" s="1086"/>
      <c r="H55" s="1086"/>
      <c r="I55" s="1086"/>
      <c r="J55" s="1086"/>
      <c r="K55" s="1086"/>
      <c r="L55" s="1087"/>
    </row>
    <row r="56" spans="2:12" x14ac:dyDescent="0.35">
      <c r="B56" s="797"/>
      <c r="C56" s="707"/>
      <c r="D56" s="736"/>
      <c r="E56" s="750"/>
      <c r="F56" s="750"/>
      <c r="G56" s="750"/>
      <c r="H56" s="750"/>
      <c r="I56" s="750"/>
      <c r="J56" s="750"/>
      <c r="K56" s="750"/>
      <c r="L56" s="833"/>
    </row>
    <row r="57" spans="2:12" x14ac:dyDescent="0.35">
      <c r="B57" s="718" t="s">
        <v>1366</v>
      </c>
      <c r="C57" s="816" t="s">
        <v>1367</v>
      </c>
      <c r="D57" s="372" t="s">
        <v>1368</v>
      </c>
      <c r="E57" s="371">
        <v>15</v>
      </c>
      <c r="F57" s="371"/>
      <c r="G57" s="371"/>
      <c r="H57" s="371" t="s">
        <v>1369</v>
      </c>
      <c r="I57" s="592">
        <v>6</v>
      </c>
      <c r="J57" s="592">
        <v>40</v>
      </c>
      <c r="K57" s="592">
        <f>I57*J57</f>
        <v>240</v>
      </c>
      <c r="L57" s="801" t="s">
        <v>1370</v>
      </c>
    </row>
    <row r="58" spans="2:12" x14ac:dyDescent="0.35">
      <c r="B58" s="718"/>
      <c r="C58" s="816"/>
      <c r="D58" s="24"/>
      <c r="E58" s="592"/>
      <c r="F58" s="592"/>
      <c r="G58" s="592"/>
      <c r="H58" s="592"/>
      <c r="I58" s="592"/>
      <c r="J58" s="592"/>
      <c r="K58" s="592"/>
      <c r="L58" s="801"/>
    </row>
    <row r="59" spans="2:12" x14ac:dyDescent="0.35">
      <c r="B59" s="718" t="s">
        <v>1371</v>
      </c>
      <c r="C59" s="816" t="s">
        <v>1372</v>
      </c>
      <c r="D59" s="372" t="s">
        <v>1373</v>
      </c>
      <c r="E59" s="592"/>
      <c r="F59" s="592"/>
      <c r="G59" s="592"/>
      <c r="H59" s="371" t="s">
        <v>1374</v>
      </c>
      <c r="I59" s="592">
        <v>9</v>
      </c>
      <c r="J59" s="592">
        <v>66.599999999999994</v>
      </c>
      <c r="K59" s="592">
        <f>I59*J59</f>
        <v>599.4</v>
      </c>
      <c r="L59" s="801"/>
    </row>
    <row r="60" spans="2:12" x14ac:dyDescent="0.35">
      <c r="B60" s="718"/>
      <c r="C60" s="816"/>
      <c r="D60" s="24"/>
      <c r="E60" s="592"/>
      <c r="F60" s="592"/>
      <c r="G60" s="592"/>
      <c r="H60" s="592"/>
      <c r="I60" s="592"/>
      <c r="J60" s="592"/>
      <c r="K60" s="592"/>
      <c r="L60" s="801"/>
    </row>
    <row r="61" spans="2:12" x14ac:dyDescent="0.35">
      <c r="B61" s="718" t="s">
        <v>1375</v>
      </c>
      <c r="C61" s="816" t="s">
        <v>1376</v>
      </c>
      <c r="D61" s="372" t="s">
        <v>1377</v>
      </c>
      <c r="E61" s="592"/>
      <c r="F61" s="592"/>
      <c r="G61" s="592"/>
      <c r="H61" s="371" t="s">
        <v>1378</v>
      </c>
      <c r="I61" s="592">
        <v>6</v>
      </c>
      <c r="J61" s="592">
        <v>6</v>
      </c>
      <c r="K61" s="592">
        <f>I61*J61</f>
        <v>36</v>
      </c>
      <c r="L61" s="801"/>
    </row>
    <row r="62" spans="2:12" x14ac:dyDescent="0.35">
      <c r="B62" s="718"/>
      <c r="C62" s="816"/>
      <c r="D62" s="24"/>
      <c r="E62" s="592"/>
      <c r="F62" s="592"/>
      <c r="G62" s="592"/>
      <c r="H62" s="592"/>
      <c r="I62" s="592"/>
      <c r="J62" s="592"/>
      <c r="K62" s="592"/>
      <c r="L62" s="801"/>
    </row>
    <row r="63" spans="2:12" x14ac:dyDescent="0.35">
      <c r="B63" s="718" t="s">
        <v>1379</v>
      </c>
      <c r="C63" s="816" t="s">
        <v>1380</v>
      </c>
      <c r="D63" s="372" t="s">
        <v>1381</v>
      </c>
      <c r="E63" s="592"/>
      <c r="F63" s="592"/>
      <c r="G63" s="592"/>
      <c r="H63" s="371" t="s">
        <v>1369</v>
      </c>
      <c r="I63" s="592">
        <v>6</v>
      </c>
      <c r="J63" s="592">
        <v>40</v>
      </c>
      <c r="K63" s="592">
        <f>I63*J63</f>
        <v>240</v>
      </c>
      <c r="L63" s="801"/>
    </row>
    <row r="64" spans="2:12" x14ac:dyDescent="0.35">
      <c r="B64" s="718"/>
      <c r="C64" s="816"/>
      <c r="D64" s="372"/>
      <c r="E64" s="592"/>
      <c r="F64" s="592"/>
      <c r="G64" s="592"/>
      <c r="H64" s="592"/>
      <c r="I64" s="592"/>
      <c r="J64" s="592"/>
      <c r="K64" s="592"/>
      <c r="L64" s="801"/>
    </row>
    <row r="65" spans="2:12" x14ac:dyDescent="0.35">
      <c r="B65" s="718" t="s">
        <v>1382</v>
      </c>
      <c r="C65" s="816" t="s">
        <v>1383</v>
      </c>
      <c r="D65" s="372" t="s">
        <v>1377</v>
      </c>
      <c r="E65" s="371"/>
      <c r="F65" s="371"/>
      <c r="G65" s="371"/>
      <c r="H65" s="371" t="s">
        <v>1378</v>
      </c>
      <c r="I65" s="592">
        <v>6</v>
      </c>
      <c r="J65" s="592">
        <v>6</v>
      </c>
      <c r="K65" s="592">
        <f>I65*J65</f>
        <v>36</v>
      </c>
      <c r="L65" s="801"/>
    </row>
    <row r="66" spans="2:12" x14ac:dyDescent="0.35">
      <c r="B66" s="718"/>
      <c r="C66" s="816"/>
      <c r="D66" s="24"/>
      <c r="E66" s="592"/>
      <c r="F66" s="592"/>
      <c r="G66" s="592"/>
      <c r="H66" s="592"/>
      <c r="I66" s="592"/>
      <c r="J66" s="592"/>
      <c r="K66" s="592"/>
      <c r="L66" s="801"/>
    </row>
    <row r="67" spans="2:12" x14ac:dyDescent="0.35">
      <c r="B67" s="718" t="s">
        <v>1384</v>
      </c>
      <c r="C67" s="816" t="s">
        <v>1385</v>
      </c>
      <c r="D67" s="372" t="s">
        <v>1386</v>
      </c>
      <c r="E67" s="371"/>
      <c r="F67" s="371"/>
      <c r="G67" s="371"/>
      <c r="H67" s="371" t="s">
        <v>1387</v>
      </c>
      <c r="I67" s="592">
        <v>9</v>
      </c>
      <c r="J67" s="592">
        <v>49.5</v>
      </c>
      <c r="K67" s="592">
        <f>I67*J67</f>
        <v>445.5</v>
      </c>
      <c r="L67" s="801"/>
    </row>
    <row r="68" spans="2:12" x14ac:dyDescent="0.35">
      <c r="B68" s="718"/>
      <c r="C68" s="816"/>
      <c r="D68" s="24"/>
      <c r="E68" s="592"/>
      <c r="F68" s="592"/>
      <c r="G68" s="592"/>
      <c r="H68" s="592"/>
      <c r="I68" s="592"/>
      <c r="J68" s="592"/>
      <c r="K68" s="592"/>
      <c r="L68" s="801"/>
    </row>
    <row r="69" spans="2:12" x14ac:dyDescent="0.35">
      <c r="B69" s="718" t="s">
        <v>1388</v>
      </c>
      <c r="C69" s="816" t="s">
        <v>1389</v>
      </c>
      <c r="D69" s="372" t="s">
        <v>1390</v>
      </c>
      <c r="E69" s="592"/>
      <c r="F69" s="592"/>
      <c r="G69" s="592"/>
      <c r="H69" s="371" t="s">
        <v>1369</v>
      </c>
      <c r="I69" s="592">
        <v>6</v>
      </c>
      <c r="J69" s="592">
        <v>40</v>
      </c>
      <c r="K69" s="592">
        <f>I69*J69</f>
        <v>240</v>
      </c>
      <c r="L69" s="801"/>
    </row>
    <row r="70" spans="2:12" x14ac:dyDescent="0.35">
      <c r="B70" s="718"/>
      <c r="C70" s="816"/>
      <c r="D70" s="24"/>
      <c r="E70" s="592"/>
      <c r="F70" s="592"/>
      <c r="G70" s="592"/>
      <c r="H70" s="592"/>
      <c r="I70" s="592"/>
      <c r="J70" s="592"/>
      <c r="K70" s="592"/>
      <c r="L70" s="801"/>
    </row>
    <row r="71" spans="2:12" x14ac:dyDescent="0.35">
      <c r="B71" s="718" t="s">
        <v>1391</v>
      </c>
      <c r="C71" s="816" t="s">
        <v>1392</v>
      </c>
      <c r="D71" s="372" t="s">
        <v>1393</v>
      </c>
      <c r="E71" s="592"/>
      <c r="F71" s="592"/>
      <c r="G71" s="592"/>
      <c r="H71" s="371" t="s">
        <v>1394</v>
      </c>
      <c r="I71" s="592">
        <v>6</v>
      </c>
      <c r="J71" s="592">
        <v>4</v>
      </c>
      <c r="K71" s="592">
        <f>I71*J71</f>
        <v>24</v>
      </c>
      <c r="L71" s="817" t="s">
        <v>1395</v>
      </c>
    </row>
    <row r="72" spans="2:12" x14ac:dyDescent="0.35">
      <c r="B72" s="718"/>
      <c r="C72" s="816"/>
      <c r="D72" s="24"/>
      <c r="E72" s="592"/>
      <c r="F72" s="592"/>
      <c r="G72" s="592"/>
      <c r="H72" s="592"/>
      <c r="I72" s="592"/>
      <c r="J72" s="592"/>
      <c r="K72" s="592"/>
      <c r="L72" s="801"/>
    </row>
    <row r="73" spans="2:12" x14ac:dyDescent="0.35">
      <c r="B73" s="718" t="s">
        <v>1379</v>
      </c>
      <c r="C73" s="816" t="s">
        <v>1396</v>
      </c>
      <c r="D73" s="372" t="s">
        <v>1397</v>
      </c>
      <c r="E73" s="371"/>
      <c r="F73" s="371"/>
      <c r="G73" s="371"/>
      <c r="H73" s="371" t="s">
        <v>1398</v>
      </c>
      <c r="I73" s="592">
        <v>3</v>
      </c>
      <c r="J73" s="592">
        <v>13</v>
      </c>
      <c r="K73" s="592">
        <f>I73*J73</f>
        <v>39</v>
      </c>
      <c r="L73" s="801"/>
    </row>
    <row r="74" spans="2:12" x14ac:dyDescent="0.35">
      <c r="B74" s="718"/>
      <c r="C74" s="816"/>
      <c r="D74" s="24"/>
      <c r="E74" s="592"/>
      <c r="F74" s="592"/>
      <c r="G74" s="592"/>
      <c r="H74" s="592"/>
      <c r="I74" s="592"/>
      <c r="J74" s="592"/>
      <c r="K74" s="592"/>
      <c r="L74" s="801"/>
    </row>
    <row r="75" spans="2:12" x14ac:dyDescent="0.35">
      <c r="B75" s="718" t="s">
        <v>1382</v>
      </c>
      <c r="C75" s="816" t="s">
        <v>1399</v>
      </c>
      <c r="D75" s="372" t="s">
        <v>1400</v>
      </c>
      <c r="E75" s="371"/>
      <c r="F75" s="371"/>
      <c r="G75" s="371"/>
      <c r="H75" s="371" t="s">
        <v>1398</v>
      </c>
      <c r="I75" s="592">
        <v>3</v>
      </c>
      <c r="J75" s="592">
        <v>15</v>
      </c>
      <c r="K75" s="592">
        <f>I75*J75</f>
        <v>45</v>
      </c>
      <c r="L75" s="801"/>
    </row>
    <row r="76" spans="2:12" x14ac:dyDescent="0.35">
      <c r="B76" s="718"/>
      <c r="C76" s="816"/>
      <c r="D76" s="24"/>
      <c r="E76" s="592"/>
      <c r="F76" s="592"/>
      <c r="G76" s="592"/>
      <c r="H76" s="592"/>
      <c r="I76" s="592"/>
      <c r="J76" s="592"/>
      <c r="K76" s="592"/>
      <c r="L76" s="801"/>
    </row>
    <row r="77" spans="2:12" x14ac:dyDescent="0.35">
      <c r="B77" s="718" t="s">
        <v>1384</v>
      </c>
      <c r="C77" s="816" t="s">
        <v>1401</v>
      </c>
      <c r="D77" s="372" t="s">
        <v>1402</v>
      </c>
      <c r="E77" s="371"/>
      <c r="F77" s="371"/>
      <c r="G77" s="371"/>
      <c r="H77" s="371" t="s">
        <v>1403</v>
      </c>
      <c r="I77" s="592">
        <v>6</v>
      </c>
      <c r="J77" s="592">
        <v>3</v>
      </c>
      <c r="K77" s="592">
        <f>I77*J77</f>
        <v>18</v>
      </c>
      <c r="L77" s="801"/>
    </row>
    <row r="78" spans="2:12" x14ac:dyDescent="0.35">
      <c r="B78" s="718"/>
      <c r="C78" s="816"/>
      <c r="D78" s="372"/>
      <c r="E78" s="371"/>
      <c r="F78" s="371"/>
      <c r="G78" s="371"/>
      <c r="H78" s="371"/>
      <c r="I78" s="592"/>
      <c r="J78" s="592"/>
      <c r="K78" s="592"/>
      <c r="L78" s="801"/>
    </row>
    <row r="79" spans="2:12" x14ac:dyDescent="0.35">
      <c r="B79" s="718" t="s">
        <v>1388</v>
      </c>
      <c r="C79" s="816" t="s">
        <v>1332</v>
      </c>
      <c r="D79" s="372" t="s">
        <v>1404</v>
      </c>
      <c r="E79" s="371"/>
      <c r="F79" s="371"/>
      <c r="G79" s="371"/>
      <c r="H79" s="371"/>
      <c r="I79" s="592">
        <v>6</v>
      </c>
      <c r="J79" s="592">
        <v>1</v>
      </c>
      <c r="K79" s="592">
        <f>I79*J79</f>
        <v>6</v>
      </c>
      <c r="L79" s="801"/>
    </row>
    <row r="80" spans="2:12" x14ac:dyDescent="0.35">
      <c r="B80" s="718"/>
      <c r="C80" s="816"/>
      <c r="D80" s="372"/>
      <c r="E80" s="371"/>
      <c r="F80" s="371"/>
      <c r="G80" s="371"/>
      <c r="H80" s="371"/>
      <c r="I80" s="592"/>
      <c r="J80" s="592"/>
      <c r="K80" s="592"/>
      <c r="L80" s="801"/>
    </row>
    <row r="81" spans="2:12" x14ac:dyDescent="0.35">
      <c r="B81" s="718" t="s">
        <v>1391</v>
      </c>
      <c r="C81" s="816"/>
      <c r="D81" s="372" t="s">
        <v>1405</v>
      </c>
      <c r="E81" s="371"/>
      <c r="F81" s="371"/>
      <c r="G81" s="371"/>
      <c r="H81" s="371" t="s">
        <v>1406</v>
      </c>
      <c r="I81" s="592">
        <v>12</v>
      </c>
      <c r="J81" s="592">
        <v>2</v>
      </c>
      <c r="K81" s="592">
        <f>I81*J81</f>
        <v>24</v>
      </c>
      <c r="L81" s="801"/>
    </row>
    <row r="82" spans="2:12" x14ac:dyDescent="0.35">
      <c r="B82" s="718"/>
      <c r="C82" s="816"/>
      <c r="D82" s="24"/>
      <c r="E82" s="592"/>
      <c r="F82" s="592"/>
      <c r="G82" s="592"/>
      <c r="H82" s="592"/>
      <c r="I82" s="592"/>
      <c r="J82" s="592"/>
      <c r="K82" s="592"/>
      <c r="L82" s="801"/>
    </row>
    <row r="83" spans="2:12" ht="15" thickBot="1" x14ac:dyDescent="0.4">
      <c r="B83" s="728"/>
      <c r="C83" s="820"/>
      <c r="D83" s="624"/>
      <c r="E83" s="821"/>
      <c r="F83" s="821"/>
      <c r="G83" s="821"/>
      <c r="H83" s="823"/>
      <c r="I83" s="821"/>
      <c r="J83" s="823"/>
      <c r="K83" s="823"/>
      <c r="L83" s="824"/>
    </row>
    <row r="84" spans="2:12" ht="15" thickBot="1" x14ac:dyDescent="0.4">
      <c r="B84" s="1069" t="s">
        <v>1407</v>
      </c>
      <c r="C84" s="1070"/>
      <c r="D84" s="1071"/>
      <c r="E84" s="826"/>
      <c r="F84" s="826"/>
      <c r="G84" s="826"/>
      <c r="H84" s="827"/>
      <c r="I84" s="827"/>
      <c r="J84" s="827"/>
      <c r="K84" s="827">
        <f>SUM(K54:K82)</f>
        <v>1992.9</v>
      </c>
      <c r="L84" s="834"/>
    </row>
    <row r="85" spans="2:12" ht="15" thickBot="1" x14ac:dyDescent="0.4">
      <c r="B85" s="813"/>
      <c r="C85" s="711"/>
      <c r="D85" s="745"/>
      <c r="E85" s="814"/>
      <c r="F85" s="814"/>
      <c r="G85" s="814"/>
      <c r="H85" s="814"/>
      <c r="I85" s="814"/>
      <c r="J85" s="814"/>
      <c r="K85" s="814"/>
      <c r="L85" s="815"/>
    </row>
    <row r="86" spans="2:12" ht="16" thickBot="1" x14ac:dyDescent="0.4">
      <c r="B86" s="1094" t="s">
        <v>1408</v>
      </c>
      <c r="C86" s="1095"/>
      <c r="D86" s="1096"/>
      <c r="E86" s="1096"/>
      <c r="F86" s="1096"/>
      <c r="G86" s="1096"/>
      <c r="H86" s="1096"/>
      <c r="I86" s="1096"/>
      <c r="J86" s="1096"/>
      <c r="K86" s="1096"/>
      <c r="L86" s="1097"/>
    </row>
    <row r="87" spans="2:12" x14ac:dyDescent="0.35">
      <c r="B87" s="715"/>
      <c r="C87" s="831"/>
      <c r="D87" s="713"/>
      <c r="E87" s="714"/>
      <c r="F87" s="714"/>
      <c r="G87" s="714"/>
      <c r="H87" s="714"/>
      <c r="I87" s="714"/>
      <c r="J87" s="714"/>
      <c r="K87" s="714"/>
      <c r="L87" s="832"/>
    </row>
    <row r="88" spans="2:12" x14ac:dyDescent="0.35">
      <c r="B88" s="715" t="s">
        <v>1409</v>
      </c>
      <c r="C88" s="831" t="s">
        <v>1410</v>
      </c>
      <c r="D88" s="642" t="s">
        <v>1411</v>
      </c>
      <c r="E88" s="717">
        <f>3.7*18</f>
        <v>66.600000000000009</v>
      </c>
      <c r="F88" s="717"/>
      <c r="G88" s="717"/>
      <c r="H88" s="371" t="s">
        <v>1412</v>
      </c>
      <c r="I88" s="714">
        <v>18</v>
      </c>
      <c r="J88" s="714">
        <v>17.649999999999999</v>
      </c>
      <c r="K88" s="714">
        <f>I88*J88</f>
        <v>317.7</v>
      </c>
      <c r="L88" s="835" t="s">
        <v>1413</v>
      </c>
    </row>
    <row r="89" spans="2:12" x14ac:dyDescent="0.35">
      <c r="B89" s="715"/>
      <c r="C89" s="831"/>
      <c r="D89" s="713"/>
      <c r="E89" s="714"/>
      <c r="F89" s="714"/>
      <c r="G89" s="714"/>
      <c r="H89" s="714"/>
      <c r="I89" s="714"/>
      <c r="J89" s="714"/>
      <c r="K89" s="714"/>
      <c r="L89" s="832"/>
    </row>
    <row r="90" spans="2:12" x14ac:dyDescent="0.35">
      <c r="B90" s="715" t="s">
        <v>1414</v>
      </c>
      <c r="C90" s="831" t="s">
        <v>1415</v>
      </c>
      <c r="D90" s="642" t="s">
        <v>1416</v>
      </c>
      <c r="E90" s="717">
        <f>5.5*3</f>
        <v>16.5</v>
      </c>
      <c r="F90" s="717"/>
      <c r="G90" s="717"/>
      <c r="H90" s="371" t="s">
        <v>1417</v>
      </c>
      <c r="I90" s="714">
        <v>3</v>
      </c>
      <c r="J90" s="714">
        <v>49</v>
      </c>
      <c r="K90" s="714">
        <f t="shared" ref="K90:K104" si="1">I90*J90</f>
        <v>147</v>
      </c>
      <c r="L90" s="832"/>
    </row>
    <row r="91" spans="2:12" x14ac:dyDescent="0.35">
      <c r="B91" s="715"/>
      <c r="C91" s="831"/>
      <c r="D91" s="713"/>
      <c r="E91" s="714"/>
      <c r="F91" s="714"/>
      <c r="G91" s="714"/>
      <c r="H91" s="714"/>
      <c r="I91" s="714"/>
      <c r="J91" s="714"/>
      <c r="K91" s="714"/>
      <c r="L91" s="832"/>
    </row>
    <row r="92" spans="2:12" x14ac:dyDescent="0.35">
      <c r="B92" s="715" t="s">
        <v>1418</v>
      </c>
      <c r="C92" s="831" t="s">
        <v>1419</v>
      </c>
      <c r="D92" s="642" t="s">
        <v>1420</v>
      </c>
      <c r="E92" s="717">
        <f>3.7*6</f>
        <v>22.200000000000003</v>
      </c>
      <c r="F92" s="717"/>
      <c r="G92" s="717"/>
      <c r="H92" s="371" t="s">
        <v>1421</v>
      </c>
      <c r="I92" s="714">
        <v>6</v>
      </c>
      <c r="J92" s="714">
        <v>15.5</v>
      </c>
      <c r="K92" s="714">
        <f t="shared" si="1"/>
        <v>93</v>
      </c>
      <c r="L92" s="835" t="s">
        <v>1422</v>
      </c>
    </row>
    <row r="93" spans="2:12" x14ac:dyDescent="0.35">
      <c r="B93" s="715"/>
      <c r="C93" s="831"/>
      <c r="D93" s="713"/>
      <c r="E93" s="714"/>
      <c r="F93" s="714"/>
      <c r="G93" s="714"/>
      <c r="H93" s="714"/>
      <c r="I93" s="714"/>
      <c r="J93" s="714"/>
      <c r="K93" s="714"/>
      <c r="L93" s="832"/>
    </row>
    <row r="94" spans="2:12" x14ac:dyDescent="0.35">
      <c r="B94" s="715" t="s">
        <v>1423</v>
      </c>
      <c r="C94" s="831" t="s">
        <v>1424</v>
      </c>
      <c r="D94" s="642" t="s">
        <v>1425</v>
      </c>
      <c r="E94" s="717"/>
      <c r="F94" s="717"/>
      <c r="G94" s="717">
        <v>0</v>
      </c>
      <c r="H94" s="371" t="s">
        <v>1426</v>
      </c>
      <c r="I94" s="714">
        <v>6</v>
      </c>
      <c r="J94" s="714">
        <v>5</v>
      </c>
      <c r="K94" s="714">
        <f t="shared" si="1"/>
        <v>30</v>
      </c>
      <c r="L94" s="835" t="s">
        <v>1427</v>
      </c>
    </row>
    <row r="95" spans="2:12" x14ac:dyDescent="0.35">
      <c r="B95" s="715"/>
      <c r="C95" s="831"/>
      <c r="D95" s="713"/>
      <c r="E95" s="714"/>
      <c r="F95" s="714"/>
      <c r="G95" s="714"/>
      <c r="H95" s="714"/>
      <c r="I95" s="714"/>
      <c r="J95" s="714"/>
      <c r="K95" s="714"/>
      <c r="L95" s="832"/>
    </row>
    <row r="96" spans="2:12" x14ac:dyDescent="0.35">
      <c r="B96" s="715" t="s">
        <v>1428</v>
      </c>
      <c r="C96" s="831" t="s">
        <v>1429</v>
      </c>
      <c r="D96" s="642" t="s">
        <v>1430</v>
      </c>
      <c r="E96" s="717"/>
      <c r="F96" s="717"/>
      <c r="G96" s="717" t="s">
        <v>1431</v>
      </c>
      <c r="H96" s="717" t="s">
        <v>1432</v>
      </c>
      <c r="I96" s="714">
        <v>3</v>
      </c>
      <c r="J96" s="714">
        <v>965.7</v>
      </c>
      <c r="K96" s="714">
        <f>I96*J96</f>
        <v>2897.1000000000004</v>
      </c>
      <c r="L96" s="835" t="s">
        <v>1433</v>
      </c>
    </row>
    <row r="97" spans="2:12" x14ac:dyDescent="0.35">
      <c r="B97" s="715"/>
      <c r="C97" s="831"/>
      <c r="D97" s="713"/>
      <c r="E97" s="714"/>
      <c r="F97" s="714"/>
      <c r="G97" s="714"/>
      <c r="H97" s="714"/>
      <c r="I97" s="714"/>
      <c r="J97" s="714"/>
      <c r="K97" s="714"/>
      <c r="L97" s="832"/>
    </row>
    <row r="98" spans="2:12" x14ac:dyDescent="0.35">
      <c r="B98" s="715" t="s">
        <v>1434</v>
      </c>
      <c r="C98" s="831" t="s">
        <v>1435</v>
      </c>
      <c r="D98" s="642" t="s">
        <v>1436</v>
      </c>
      <c r="E98" s="717"/>
      <c r="F98" s="717"/>
      <c r="G98" s="717">
        <v>2500</v>
      </c>
      <c r="H98" s="371" t="s">
        <v>1437</v>
      </c>
      <c r="I98" s="714">
        <v>3</v>
      </c>
      <c r="J98" s="714">
        <f>(G98*300)/100000</f>
        <v>7.5</v>
      </c>
      <c r="K98" s="714">
        <f t="shared" si="1"/>
        <v>22.5</v>
      </c>
      <c r="L98" s="835" t="s">
        <v>1438</v>
      </c>
    </row>
    <row r="99" spans="2:12" x14ac:dyDescent="0.35">
      <c r="B99" s="715"/>
      <c r="C99" s="831"/>
      <c r="D99" s="713"/>
      <c r="E99" s="714"/>
      <c r="F99" s="714"/>
      <c r="G99" s="714"/>
      <c r="H99" s="714"/>
      <c r="I99" s="714"/>
      <c r="J99" s="714"/>
      <c r="K99" s="714"/>
      <c r="L99" s="832"/>
    </row>
    <row r="100" spans="2:12" x14ac:dyDescent="0.35">
      <c r="B100" s="715" t="s">
        <v>1439</v>
      </c>
      <c r="C100" s="831" t="s">
        <v>1440</v>
      </c>
      <c r="D100" s="642" t="s">
        <v>1441</v>
      </c>
      <c r="E100" s="717"/>
      <c r="F100" s="717"/>
      <c r="G100" s="717">
        <v>2500</v>
      </c>
      <c r="H100" s="371" t="s">
        <v>1437</v>
      </c>
      <c r="I100" s="714">
        <v>3</v>
      </c>
      <c r="J100" s="714">
        <f>(G100*300)/100000</f>
        <v>7.5</v>
      </c>
      <c r="K100" s="714">
        <f t="shared" si="1"/>
        <v>22.5</v>
      </c>
      <c r="L100" s="832"/>
    </row>
    <row r="101" spans="2:12" x14ac:dyDescent="0.35">
      <c r="B101" s="715"/>
      <c r="C101" s="831"/>
      <c r="D101" s="713"/>
      <c r="E101" s="714"/>
      <c r="F101" s="717" t="s">
        <v>580</v>
      </c>
      <c r="G101" s="714"/>
      <c r="H101" s="714"/>
      <c r="I101" s="714"/>
      <c r="J101" s="714"/>
      <c r="K101" s="714"/>
      <c r="L101" s="832"/>
    </row>
    <row r="102" spans="2:12" x14ac:dyDescent="0.35">
      <c r="B102" s="715" t="s">
        <v>1442</v>
      </c>
      <c r="C102" s="831" t="s">
        <v>1443</v>
      </c>
      <c r="D102" s="642" t="s">
        <v>1444</v>
      </c>
      <c r="E102" s="717"/>
      <c r="F102" s="717"/>
      <c r="G102" s="717"/>
      <c r="H102" s="371" t="s">
        <v>1445</v>
      </c>
      <c r="I102" s="714">
        <v>2</v>
      </c>
      <c r="J102" s="714">
        <v>4</v>
      </c>
      <c r="K102" s="714">
        <f t="shared" si="1"/>
        <v>8</v>
      </c>
      <c r="L102" s="835" t="s">
        <v>1446</v>
      </c>
    </row>
    <row r="103" spans="2:12" x14ac:dyDescent="0.35">
      <c r="B103" s="715"/>
      <c r="C103" s="831"/>
      <c r="D103" s="24"/>
      <c r="E103" s="714"/>
      <c r="F103" s="714"/>
      <c r="G103" s="714"/>
      <c r="H103" s="714"/>
      <c r="I103" s="714"/>
      <c r="J103" s="714"/>
      <c r="K103" s="714"/>
      <c r="L103" s="832"/>
    </row>
    <row r="104" spans="2:12" x14ac:dyDescent="0.35">
      <c r="B104" s="715" t="s">
        <v>1447</v>
      </c>
      <c r="C104" s="831" t="s">
        <v>1448</v>
      </c>
      <c r="D104" s="642" t="s">
        <v>1449</v>
      </c>
      <c r="E104" s="717"/>
      <c r="F104" s="717"/>
      <c r="G104" s="717"/>
      <c r="H104" s="371" t="s">
        <v>1450</v>
      </c>
      <c r="I104" s="714">
        <v>2</v>
      </c>
      <c r="J104" s="714">
        <v>3</v>
      </c>
      <c r="K104" s="714">
        <f t="shared" si="1"/>
        <v>6</v>
      </c>
      <c r="L104" s="835" t="s">
        <v>1446</v>
      </c>
    </row>
    <row r="105" spans="2:12" ht="15" thickBot="1" x14ac:dyDescent="0.4">
      <c r="B105" s="718"/>
      <c r="C105" s="816"/>
      <c r="D105" s="24"/>
      <c r="E105" s="592"/>
      <c r="F105" s="592"/>
      <c r="G105" s="592"/>
      <c r="H105" s="592"/>
      <c r="I105" s="592"/>
      <c r="J105" s="592"/>
      <c r="K105" s="592"/>
      <c r="L105" s="801"/>
    </row>
    <row r="106" spans="2:12" ht="15" thickBot="1" x14ac:dyDescent="0.4">
      <c r="B106" s="1069" t="s">
        <v>1451</v>
      </c>
      <c r="C106" s="1070"/>
      <c r="D106" s="1071"/>
      <c r="E106" s="836"/>
      <c r="F106" s="836"/>
      <c r="G106" s="836"/>
      <c r="H106" s="837"/>
      <c r="I106" s="837"/>
      <c r="J106" s="837"/>
      <c r="K106" s="838">
        <f>SUM(K88:K104)</f>
        <v>3543.8</v>
      </c>
      <c r="L106" s="839"/>
    </row>
    <row r="107" spans="2:12" ht="15" thickBot="1" x14ac:dyDescent="0.4">
      <c r="B107" s="718"/>
      <c r="C107" s="816"/>
      <c r="D107" s="24"/>
      <c r="E107" s="592"/>
      <c r="F107" s="592"/>
      <c r="G107" s="592"/>
      <c r="H107" s="592"/>
      <c r="I107" s="592"/>
      <c r="J107" s="592"/>
      <c r="K107" s="592"/>
      <c r="L107" s="801"/>
    </row>
    <row r="108" spans="2:12" ht="16" thickBot="1" x14ac:dyDescent="0.4">
      <c r="B108" s="1084" t="s">
        <v>1452</v>
      </c>
      <c r="C108" s="1085"/>
      <c r="D108" s="1086"/>
      <c r="E108" s="1086"/>
      <c r="F108" s="1086"/>
      <c r="G108" s="1086"/>
      <c r="H108" s="1086"/>
      <c r="I108" s="1086"/>
      <c r="J108" s="1086"/>
      <c r="K108" s="1086"/>
      <c r="L108" s="1087"/>
    </row>
    <row r="109" spans="2:12" x14ac:dyDescent="0.35">
      <c r="B109" s="797"/>
      <c r="C109" s="798"/>
      <c r="D109" s="736"/>
      <c r="E109" s="750"/>
      <c r="F109" s="750"/>
      <c r="G109" s="750"/>
      <c r="H109" s="750"/>
      <c r="I109" s="750"/>
      <c r="J109" s="750"/>
      <c r="K109" s="750"/>
      <c r="L109" s="833"/>
    </row>
    <row r="110" spans="2:12" x14ac:dyDescent="0.35">
      <c r="B110" s="715" t="s">
        <v>1453</v>
      </c>
      <c r="C110" s="641" t="s">
        <v>1454</v>
      </c>
      <c r="D110" s="642" t="s">
        <v>1455</v>
      </c>
      <c r="E110" s="717">
        <v>1425</v>
      </c>
      <c r="F110" s="717">
        <v>639</v>
      </c>
      <c r="G110" s="717"/>
      <c r="H110" s="717" t="s">
        <v>1456</v>
      </c>
      <c r="I110" s="714">
        <v>1</v>
      </c>
      <c r="J110" s="714">
        <v>1900</v>
      </c>
      <c r="K110" s="714">
        <f>I110*J110</f>
        <v>1900</v>
      </c>
      <c r="L110" s="835" t="s">
        <v>1457</v>
      </c>
    </row>
    <row r="111" spans="2:12" x14ac:dyDescent="0.35">
      <c r="B111" s="715"/>
      <c r="C111" s="641"/>
      <c r="D111" s="713"/>
      <c r="E111" s="714"/>
      <c r="F111" s="714"/>
      <c r="G111" s="714"/>
      <c r="H111" s="714"/>
      <c r="I111" s="714"/>
      <c r="J111" s="714"/>
      <c r="K111" s="714"/>
      <c r="L111" s="832"/>
    </row>
    <row r="112" spans="2:12" x14ac:dyDescent="0.35">
      <c r="B112" s="715" t="s">
        <v>1458</v>
      </c>
      <c r="C112" s="641" t="s">
        <v>1459</v>
      </c>
      <c r="D112" s="642" t="s">
        <v>1460</v>
      </c>
      <c r="E112" s="717" t="s">
        <v>1332</v>
      </c>
      <c r="F112" s="717" t="s">
        <v>1332</v>
      </c>
      <c r="G112" s="717"/>
      <c r="H112" s="717" t="s">
        <v>1461</v>
      </c>
      <c r="I112" s="714">
        <v>1</v>
      </c>
      <c r="J112" s="714">
        <v>0</v>
      </c>
      <c r="K112" s="714">
        <f>I112*J112</f>
        <v>0</v>
      </c>
      <c r="L112" s="835" t="s">
        <v>1462</v>
      </c>
    </row>
    <row r="113" spans="2:12" x14ac:dyDescent="0.35">
      <c r="B113" s="715"/>
      <c r="C113" s="641"/>
      <c r="D113" s="713"/>
      <c r="E113" s="714"/>
      <c r="F113" s="714"/>
      <c r="G113" s="714"/>
      <c r="H113" s="714"/>
      <c r="I113" s="714"/>
      <c r="J113" s="714"/>
      <c r="K113" s="714"/>
      <c r="L113" s="832"/>
    </row>
    <row r="114" spans="2:12" x14ac:dyDescent="0.35">
      <c r="B114" s="715" t="s">
        <v>1463</v>
      </c>
      <c r="C114" s="641" t="s">
        <v>1464</v>
      </c>
      <c r="D114" s="642" t="s">
        <v>1465</v>
      </c>
      <c r="E114" s="717"/>
      <c r="F114" s="717"/>
      <c r="G114" s="717"/>
      <c r="H114" s="371" t="s">
        <v>1466</v>
      </c>
      <c r="I114" s="714">
        <v>6</v>
      </c>
      <c r="J114" s="714">
        <v>5</v>
      </c>
      <c r="K114" s="714">
        <f>I114*J114</f>
        <v>30</v>
      </c>
      <c r="L114" s="832"/>
    </row>
    <row r="115" spans="2:12" x14ac:dyDescent="0.35">
      <c r="B115" s="715"/>
      <c r="C115" s="641"/>
      <c r="D115" s="642"/>
      <c r="E115" s="717"/>
      <c r="F115" s="717"/>
      <c r="G115" s="717"/>
      <c r="H115" s="717"/>
      <c r="I115" s="714"/>
      <c r="J115" s="714"/>
      <c r="K115" s="714"/>
      <c r="L115" s="832"/>
    </row>
    <row r="116" spans="2:12" x14ac:dyDescent="0.35">
      <c r="B116" s="715" t="s">
        <v>1467</v>
      </c>
      <c r="C116" s="641" t="s">
        <v>1468</v>
      </c>
      <c r="D116" s="642" t="s">
        <v>1469</v>
      </c>
      <c r="E116" s="717"/>
      <c r="F116" s="717"/>
      <c r="G116" s="717"/>
      <c r="H116" s="371" t="s">
        <v>1470</v>
      </c>
      <c r="I116" s="714">
        <v>3</v>
      </c>
      <c r="J116" s="714">
        <v>25</v>
      </c>
      <c r="K116" s="714">
        <f>I116*J116</f>
        <v>75</v>
      </c>
      <c r="L116" s="832"/>
    </row>
    <row r="117" spans="2:12" ht="15" thickBot="1" x14ac:dyDescent="0.4">
      <c r="B117" s="715"/>
      <c r="C117" s="641"/>
      <c r="D117" s="642"/>
      <c r="E117" s="643"/>
      <c r="F117" s="643"/>
      <c r="G117" s="643"/>
      <c r="H117" s="643"/>
      <c r="I117" s="722"/>
      <c r="J117" s="722"/>
      <c r="K117" s="722"/>
      <c r="L117" s="840"/>
    </row>
    <row r="118" spans="2:12" ht="15" thickBot="1" x14ac:dyDescent="0.4">
      <c r="B118" s="1069" t="s">
        <v>1471</v>
      </c>
      <c r="C118" s="1070"/>
      <c r="D118" s="1070"/>
      <c r="E118" s="825"/>
      <c r="F118" s="825"/>
      <c r="G118" s="841"/>
      <c r="H118" s="842"/>
      <c r="I118" s="842"/>
      <c r="J118" s="842"/>
      <c r="K118" s="827">
        <f>SUM(K110:K116)</f>
        <v>2005</v>
      </c>
      <c r="L118" s="843"/>
    </row>
    <row r="119" spans="2:12" ht="15" thickBot="1" x14ac:dyDescent="0.4">
      <c r="B119" s="715"/>
      <c r="C119" s="641"/>
      <c r="D119" s="713"/>
      <c r="E119" s="714"/>
      <c r="F119" s="714"/>
      <c r="G119" s="714"/>
      <c r="H119" s="714"/>
      <c r="I119" s="714"/>
      <c r="J119" s="714"/>
      <c r="K119" s="714"/>
      <c r="L119" s="832"/>
    </row>
    <row r="120" spans="2:12" ht="16" thickBot="1" x14ac:dyDescent="0.4">
      <c r="B120" s="1094" t="s">
        <v>1472</v>
      </c>
      <c r="C120" s="1095"/>
      <c r="D120" s="1096"/>
      <c r="E120" s="1096"/>
      <c r="F120" s="1096"/>
      <c r="G120" s="1096"/>
      <c r="H120" s="1096"/>
      <c r="I120" s="1096"/>
      <c r="J120" s="1096"/>
      <c r="K120" s="1096"/>
      <c r="L120" s="1097"/>
    </row>
    <row r="121" spans="2:12" x14ac:dyDescent="0.35">
      <c r="B121" s="715"/>
      <c r="C121" s="641"/>
      <c r="D121" s="713"/>
      <c r="E121" s="714"/>
      <c r="F121" s="714"/>
      <c r="G121" s="714"/>
      <c r="H121" s="714"/>
      <c r="I121" s="714"/>
      <c r="J121" s="714"/>
      <c r="K121" s="714"/>
      <c r="L121" s="832"/>
    </row>
    <row r="122" spans="2:12" x14ac:dyDescent="0.35">
      <c r="B122" s="715" t="s">
        <v>1473</v>
      </c>
      <c r="C122" s="641" t="s">
        <v>1474</v>
      </c>
      <c r="D122" s="642" t="s">
        <v>1475</v>
      </c>
      <c r="E122" s="717" t="s">
        <v>1332</v>
      </c>
      <c r="F122" s="717"/>
      <c r="G122" s="717">
        <v>10000</v>
      </c>
      <c r="H122" s="717"/>
      <c r="I122" s="714">
        <v>3</v>
      </c>
      <c r="J122" s="714">
        <v>15</v>
      </c>
      <c r="K122" s="714">
        <f>I122*J122</f>
        <v>45</v>
      </c>
      <c r="L122" s="835" t="s">
        <v>1476</v>
      </c>
    </row>
    <row r="123" spans="2:12" x14ac:dyDescent="0.35">
      <c r="B123" s="715"/>
      <c r="C123" s="641"/>
      <c r="D123" s="713"/>
      <c r="E123" s="714"/>
      <c r="F123" s="714"/>
      <c r="G123" s="714"/>
      <c r="H123" s="714"/>
      <c r="I123" s="714"/>
      <c r="J123" s="714"/>
      <c r="K123" s="714"/>
      <c r="L123" s="832"/>
    </row>
    <row r="124" spans="2:12" x14ac:dyDescent="0.35">
      <c r="B124" s="715" t="s">
        <v>1477</v>
      </c>
      <c r="C124" s="641" t="s">
        <v>1474</v>
      </c>
      <c r="D124" s="642" t="s">
        <v>1478</v>
      </c>
      <c r="E124" s="717"/>
      <c r="F124" s="717"/>
      <c r="G124" s="717"/>
      <c r="H124" s="717" t="s">
        <v>1361</v>
      </c>
      <c r="I124" s="714">
        <v>6</v>
      </c>
      <c r="J124" s="714">
        <v>5</v>
      </c>
      <c r="K124" s="714">
        <f t="shared" ref="K124:K138" si="2">I124*J124</f>
        <v>30</v>
      </c>
      <c r="L124" s="832"/>
    </row>
    <row r="125" spans="2:12" x14ac:dyDescent="0.35">
      <c r="B125" s="715"/>
      <c r="C125" s="641"/>
      <c r="D125" s="713"/>
      <c r="E125" s="714"/>
      <c r="F125" s="714"/>
      <c r="G125" s="714"/>
      <c r="H125" s="714"/>
      <c r="I125" s="714"/>
      <c r="J125" s="714"/>
      <c r="K125" s="714"/>
      <c r="L125" s="832"/>
    </row>
    <row r="126" spans="2:12" x14ac:dyDescent="0.35">
      <c r="B126" s="715" t="s">
        <v>1479</v>
      </c>
      <c r="C126" s="641" t="s">
        <v>1480</v>
      </c>
      <c r="D126" s="642" t="s">
        <v>1481</v>
      </c>
      <c r="E126" s="717">
        <f>75*6</f>
        <v>450</v>
      </c>
      <c r="F126" s="717"/>
      <c r="G126" s="717"/>
      <c r="H126" s="717" t="s">
        <v>1482</v>
      </c>
      <c r="I126" s="714">
        <v>6</v>
      </c>
      <c r="J126" s="714">
        <v>122.75</v>
      </c>
      <c r="K126" s="714">
        <f t="shared" si="2"/>
        <v>736.5</v>
      </c>
      <c r="L126" s="835" t="s">
        <v>1483</v>
      </c>
    </row>
    <row r="127" spans="2:12" x14ac:dyDescent="0.35">
      <c r="B127" s="715"/>
      <c r="C127" s="641"/>
      <c r="D127" s="713"/>
      <c r="E127" s="714"/>
      <c r="F127" s="714"/>
      <c r="G127" s="714"/>
      <c r="H127" s="714"/>
      <c r="I127" s="714"/>
      <c r="J127" s="714"/>
      <c r="K127" s="714"/>
      <c r="L127" s="832"/>
    </row>
    <row r="128" spans="2:12" x14ac:dyDescent="0.35">
      <c r="B128" s="715" t="s">
        <v>1484</v>
      </c>
      <c r="C128" s="641" t="s">
        <v>1485</v>
      </c>
      <c r="D128" s="642" t="s">
        <v>1486</v>
      </c>
      <c r="E128" s="717">
        <f>45*6</f>
        <v>270</v>
      </c>
      <c r="F128" s="714"/>
      <c r="G128" s="714"/>
      <c r="H128" s="717" t="s">
        <v>1357</v>
      </c>
      <c r="I128" s="714">
        <v>9</v>
      </c>
      <c r="J128" s="714">
        <v>35</v>
      </c>
      <c r="K128" s="714">
        <f t="shared" si="2"/>
        <v>315</v>
      </c>
      <c r="L128" s="832"/>
    </row>
    <row r="129" spans="2:12" x14ac:dyDescent="0.35">
      <c r="B129" s="715"/>
      <c r="C129" s="641"/>
      <c r="D129" s="713"/>
      <c r="E129" s="714"/>
      <c r="F129" s="714"/>
      <c r="G129" s="714"/>
      <c r="H129" s="714"/>
      <c r="I129" s="714"/>
      <c r="J129" s="714"/>
      <c r="K129" s="714"/>
      <c r="L129" s="832"/>
    </row>
    <row r="130" spans="2:12" x14ac:dyDescent="0.35">
      <c r="B130" s="715" t="s">
        <v>1484</v>
      </c>
      <c r="C130" s="641" t="s">
        <v>1487</v>
      </c>
      <c r="D130" s="642" t="s">
        <v>1488</v>
      </c>
      <c r="E130" s="717"/>
      <c r="F130" s="717"/>
      <c r="G130" s="717"/>
      <c r="H130" s="717" t="s">
        <v>1489</v>
      </c>
      <c r="I130" s="714">
        <v>6</v>
      </c>
      <c r="J130" s="714">
        <v>20</v>
      </c>
      <c r="K130" s="714">
        <f t="shared" si="2"/>
        <v>120</v>
      </c>
      <c r="L130" s="835" t="s">
        <v>1483</v>
      </c>
    </row>
    <row r="131" spans="2:12" x14ac:dyDescent="0.35">
      <c r="B131" s="715"/>
      <c r="C131" s="641"/>
      <c r="D131" s="713"/>
      <c r="E131" s="714"/>
      <c r="F131" s="714"/>
      <c r="G131" s="714"/>
      <c r="H131" s="714"/>
      <c r="I131" s="714"/>
      <c r="J131" s="714"/>
      <c r="K131" s="714"/>
      <c r="L131" s="832"/>
    </row>
    <row r="132" spans="2:12" x14ac:dyDescent="0.35">
      <c r="B132" s="715" t="s">
        <v>1490</v>
      </c>
      <c r="C132" s="641"/>
      <c r="D132" s="642" t="s">
        <v>1491</v>
      </c>
      <c r="E132" s="717"/>
      <c r="F132" s="717"/>
      <c r="G132" s="717"/>
      <c r="H132" s="717" t="s">
        <v>1492</v>
      </c>
      <c r="I132" s="714">
        <v>2</v>
      </c>
      <c r="J132" s="714">
        <v>35</v>
      </c>
      <c r="K132" s="714">
        <f t="shared" si="2"/>
        <v>70</v>
      </c>
      <c r="L132" s="835" t="s">
        <v>1483</v>
      </c>
    </row>
    <row r="133" spans="2:12" x14ac:dyDescent="0.35">
      <c r="B133" s="715"/>
      <c r="C133" s="641"/>
      <c r="D133" s="713"/>
      <c r="E133" s="714"/>
      <c r="F133" s="714"/>
      <c r="G133" s="714"/>
      <c r="H133" s="714"/>
      <c r="I133" s="714"/>
      <c r="J133" s="714"/>
      <c r="K133" s="714"/>
      <c r="L133" s="832"/>
    </row>
    <row r="134" spans="2:12" x14ac:dyDescent="0.35">
      <c r="B134" s="715" t="s">
        <v>1493</v>
      </c>
      <c r="C134" s="641" t="s">
        <v>1494</v>
      </c>
      <c r="D134" s="844" t="s">
        <v>1495</v>
      </c>
      <c r="E134" s="717"/>
      <c r="F134" s="717"/>
      <c r="G134" s="717">
        <v>27325</v>
      </c>
      <c r="H134" s="717" t="s">
        <v>1496</v>
      </c>
      <c r="I134" s="714">
        <v>2</v>
      </c>
      <c r="J134" s="714">
        <v>82</v>
      </c>
      <c r="K134" s="714">
        <f t="shared" si="2"/>
        <v>164</v>
      </c>
      <c r="L134" s="835" t="s">
        <v>1497</v>
      </c>
    </row>
    <row r="135" spans="2:12" x14ac:dyDescent="0.35">
      <c r="B135" s="715"/>
      <c r="C135" s="641"/>
      <c r="D135" s="713"/>
      <c r="E135" s="714"/>
      <c r="F135" s="714"/>
      <c r="G135" s="714"/>
      <c r="H135" s="714"/>
      <c r="I135" s="714"/>
      <c r="J135" s="714"/>
      <c r="K135" s="714"/>
      <c r="L135" s="832"/>
    </row>
    <row r="136" spans="2:12" x14ac:dyDescent="0.35">
      <c r="B136" s="715" t="s">
        <v>1498</v>
      </c>
      <c r="C136" s="641" t="s">
        <v>1499</v>
      </c>
      <c r="D136" s="844" t="s">
        <v>1500</v>
      </c>
      <c r="E136" s="714"/>
      <c r="F136" s="714"/>
      <c r="G136" s="714">
        <v>1750</v>
      </c>
      <c r="H136" s="717" t="s">
        <v>1489</v>
      </c>
      <c r="I136" s="714">
        <v>1</v>
      </c>
      <c r="J136" s="714">
        <f>G136*300</f>
        <v>525000</v>
      </c>
      <c r="K136" s="714">
        <f t="shared" si="2"/>
        <v>525000</v>
      </c>
      <c r="L136" s="832"/>
    </row>
    <row r="137" spans="2:12" x14ac:dyDescent="0.35">
      <c r="B137" s="715"/>
      <c r="C137" s="641"/>
      <c r="D137" s="713"/>
      <c r="E137" s="714"/>
      <c r="F137" s="714"/>
      <c r="G137" s="714"/>
      <c r="H137" s="714"/>
      <c r="I137" s="714"/>
      <c r="J137" s="714"/>
      <c r="K137" s="714"/>
      <c r="L137" s="832"/>
    </row>
    <row r="138" spans="2:12" x14ac:dyDescent="0.35">
      <c r="B138" s="715" t="s">
        <v>1498</v>
      </c>
      <c r="C138" s="641" t="s">
        <v>1501</v>
      </c>
      <c r="D138" s="642" t="s">
        <v>1502</v>
      </c>
      <c r="E138" s="714"/>
      <c r="F138" s="714"/>
      <c r="G138" s="714"/>
      <c r="H138" s="371" t="s">
        <v>1503</v>
      </c>
      <c r="I138" s="714">
        <v>2</v>
      </c>
      <c r="J138" s="714">
        <v>3</v>
      </c>
      <c r="K138" s="714">
        <f t="shared" si="2"/>
        <v>6</v>
      </c>
      <c r="L138" s="832"/>
    </row>
    <row r="139" spans="2:12" ht="15" thickBot="1" x14ac:dyDescent="0.4">
      <c r="B139" s="715"/>
      <c r="C139" s="641"/>
      <c r="D139" s="713"/>
      <c r="E139" s="714"/>
      <c r="F139" s="714"/>
      <c r="G139" s="714"/>
      <c r="H139" s="714"/>
      <c r="I139" s="714"/>
      <c r="J139" s="714"/>
      <c r="K139" s="714"/>
      <c r="L139" s="832"/>
    </row>
    <row r="140" spans="2:12" ht="15" thickBot="1" x14ac:dyDescent="0.4">
      <c r="B140" s="1069" t="s">
        <v>1504</v>
      </c>
      <c r="C140" s="1070"/>
      <c r="D140" s="1071"/>
      <c r="E140" s="826"/>
      <c r="F140" s="826"/>
      <c r="G140" s="826"/>
      <c r="H140" s="842"/>
      <c r="I140" s="842"/>
      <c r="J140" s="842"/>
      <c r="K140" s="827">
        <f>SUM(K122:K135)</f>
        <v>1480.5</v>
      </c>
      <c r="L140" s="843"/>
    </row>
    <row r="141" spans="2:12" ht="15" thickBot="1" x14ac:dyDescent="0.4">
      <c r="B141" s="715"/>
      <c r="C141" s="641"/>
      <c r="D141" s="713"/>
      <c r="E141" s="714"/>
      <c r="F141" s="714"/>
      <c r="G141" s="714"/>
      <c r="H141" s="714"/>
      <c r="I141" s="714"/>
      <c r="J141" s="714"/>
      <c r="K141" s="714"/>
      <c r="L141" s="832"/>
    </row>
    <row r="142" spans="2:12" ht="16" thickBot="1" x14ac:dyDescent="0.4">
      <c r="B142" s="1094" t="s">
        <v>1505</v>
      </c>
      <c r="C142" s="1095"/>
      <c r="D142" s="1096"/>
      <c r="E142" s="1096"/>
      <c r="F142" s="1096"/>
      <c r="G142" s="1096"/>
      <c r="H142" s="1096"/>
      <c r="I142" s="1096"/>
      <c r="J142" s="1096"/>
      <c r="K142" s="1096"/>
      <c r="L142" s="1097"/>
    </row>
    <row r="143" spans="2:12" x14ac:dyDescent="0.35">
      <c r="B143" s="715"/>
      <c r="C143" s="641"/>
      <c r="D143" s="713"/>
      <c r="E143" s="714"/>
      <c r="F143" s="714"/>
      <c r="G143" s="714"/>
      <c r="H143" s="714"/>
      <c r="I143" s="714"/>
      <c r="J143" s="714"/>
      <c r="K143" s="714"/>
      <c r="L143" s="832"/>
    </row>
    <row r="144" spans="2:12" x14ac:dyDescent="0.35">
      <c r="B144" s="715" t="s">
        <v>1506</v>
      </c>
      <c r="C144" s="641"/>
      <c r="D144" s="642" t="s">
        <v>1507</v>
      </c>
      <c r="E144" s="717"/>
      <c r="F144" s="717"/>
      <c r="G144" s="717"/>
      <c r="H144" s="717" t="s">
        <v>1508</v>
      </c>
      <c r="I144" s="714">
        <v>2</v>
      </c>
      <c r="J144" s="717">
        <v>325</v>
      </c>
      <c r="K144" s="714">
        <f>I144*J144</f>
        <v>650</v>
      </c>
      <c r="L144" s="835" t="s">
        <v>1509</v>
      </c>
    </row>
    <row r="145" spans="2:12" x14ac:dyDescent="0.35">
      <c r="B145" s="715"/>
      <c r="C145" s="641"/>
      <c r="D145" s="642"/>
      <c r="E145" s="717"/>
      <c r="F145" s="717"/>
      <c r="G145" s="717"/>
      <c r="H145" s="717"/>
      <c r="I145" s="714"/>
      <c r="J145" s="714"/>
      <c r="K145" s="714"/>
      <c r="L145" s="832"/>
    </row>
    <row r="146" spans="2:12" x14ac:dyDescent="0.35">
      <c r="B146" s="715" t="s">
        <v>1510</v>
      </c>
      <c r="C146" s="641"/>
      <c r="D146" s="642" t="s">
        <v>1511</v>
      </c>
      <c r="E146" s="717"/>
      <c r="F146" s="717"/>
      <c r="G146" s="717"/>
      <c r="H146" s="717" t="s">
        <v>1512</v>
      </c>
      <c r="I146" s="714">
        <v>1</v>
      </c>
      <c r="J146" s="714">
        <v>50</v>
      </c>
      <c r="K146" s="714">
        <f>I146*J146</f>
        <v>50</v>
      </c>
      <c r="L146" s="832"/>
    </row>
    <row r="147" spans="2:12" x14ac:dyDescent="0.35">
      <c r="B147" s="715"/>
      <c r="C147" s="641"/>
      <c r="D147" s="642"/>
      <c r="E147" s="717"/>
      <c r="F147" s="717"/>
      <c r="G147" s="717"/>
      <c r="H147" s="717"/>
      <c r="I147" s="714"/>
      <c r="J147" s="714"/>
      <c r="K147" s="714"/>
      <c r="L147" s="832"/>
    </row>
    <row r="148" spans="2:12" x14ac:dyDescent="0.35">
      <c r="B148" s="715" t="s">
        <v>1513</v>
      </c>
      <c r="C148" s="641"/>
      <c r="D148" s="642" t="s">
        <v>1514</v>
      </c>
      <c r="E148" s="717"/>
      <c r="F148" s="717"/>
      <c r="G148" s="717"/>
      <c r="H148" s="717" t="s">
        <v>1515</v>
      </c>
      <c r="I148" s="714">
        <v>2</v>
      </c>
      <c r="J148" s="714">
        <v>16</v>
      </c>
      <c r="K148" s="714">
        <f t="shared" ref="K148:K162" si="3">I148*J148</f>
        <v>32</v>
      </c>
      <c r="L148" s="835" t="s">
        <v>1509</v>
      </c>
    </row>
    <row r="149" spans="2:12" x14ac:dyDescent="0.35">
      <c r="B149" s="715"/>
      <c r="C149" s="641"/>
      <c r="D149" s="642"/>
      <c r="E149" s="717"/>
      <c r="F149" s="717"/>
      <c r="G149" s="717"/>
      <c r="H149" s="714"/>
      <c r="I149" s="714"/>
      <c r="J149" s="714"/>
      <c r="K149" s="714"/>
      <c r="L149" s="832"/>
    </row>
    <row r="150" spans="2:12" x14ac:dyDescent="0.35">
      <c r="B150" s="715" t="s">
        <v>1516</v>
      </c>
      <c r="C150" s="641"/>
      <c r="D150" s="642" t="s">
        <v>1517</v>
      </c>
      <c r="E150" s="717"/>
      <c r="F150" s="717"/>
      <c r="G150" s="717"/>
      <c r="H150" s="717" t="s">
        <v>1518</v>
      </c>
      <c r="I150" s="714">
        <v>2</v>
      </c>
      <c r="J150" s="714">
        <v>7</v>
      </c>
      <c r="K150" s="714">
        <f t="shared" si="3"/>
        <v>14</v>
      </c>
      <c r="L150" s="832"/>
    </row>
    <row r="151" spans="2:12" x14ac:dyDescent="0.35">
      <c r="B151" s="715"/>
      <c r="C151" s="641"/>
      <c r="D151" s="642"/>
      <c r="E151" s="717"/>
      <c r="F151" s="717"/>
      <c r="G151" s="717"/>
      <c r="H151" s="714"/>
      <c r="I151" s="714"/>
      <c r="J151" s="714"/>
      <c r="K151" s="714"/>
      <c r="L151" s="832"/>
    </row>
    <row r="152" spans="2:12" x14ac:dyDescent="0.35">
      <c r="B152" s="715" t="s">
        <v>1519</v>
      </c>
      <c r="C152" s="641"/>
      <c r="D152" s="642" t="s">
        <v>1520</v>
      </c>
      <c r="E152" s="717"/>
      <c r="F152" s="717"/>
      <c r="G152" s="717"/>
      <c r="H152" s="717" t="s">
        <v>1521</v>
      </c>
      <c r="I152" s="714">
        <v>1</v>
      </c>
      <c r="J152" s="714">
        <v>20</v>
      </c>
      <c r="K152" s="714">
        <f t="shared" si="3"/>
        <v>20</v>
      </c>
      <c r="L152" s="832"/>
    </row>
    <row r="153" spans="2:12" x14ac:dyDescent="0.35">
      <c r="B153" s="715"/>
      <c r="C153" s="641"/>
      <c r="D153" s="642"/>
      <c r="E153" s="717"/>
      <c r="F153" s="717"/>
      <c r="G153" s="717"/>
      <c r="H153" s="714"/>
      <c r="I153" s="714"/>
      <c r="J153" s="714"/>
      <c r="K153" s="714"/>
      <c r="L153" s="832"/>
    </row>
    <row r="154" spans="2:12" x14ac:dyDescent="0.35">
      <c r="B154" s="715" t="s">
        <v>1522</v>
      </c>
      <c r="C154" s="641"/>
      <c r="D154" s="642" t="s">
        <v>1523</v>
      </c>
      <c r="E154" s="717"/>
      <c r="F154" s="717"/>
      <c r="G154" s="717"/>
      <c r="H154" s="717" t="s">
        <v>1524</v>
      </c>
      <c r="I154" s="714">
        <v>1</v>
      </c>
      <c r="J154" s="714">
        <v>35</v>
      </c>
      <c r="K154" s="714">
        <f t="shared" si="3"/>
        <v>35</v>
      </c>
      <c r="L154" s="832"/>
    </row>
    <row r="155" spans="2:12" x14ac:dyDescent="0.35">
      <c r="B155" s="715"/>
      <c r="C155" s="641"/>
      <c r="D155" s="642"/>
      <c r="E155" s="717"/>
      <c r="F155" s="717"/>
      <c r="G155" s="717"/>
      <c r="H155" s="714"/>
      <c r="I155" s="714"/>
      <c r="J155" s="714"/>
      <c r="K155" s="714"/>
      <c r="L155" s="832"/>
    </row>
    <row r="156" spans="2:12" x14ac:dyDescent="0.35">
      <c r="B156" s="715" t="s">
        <v>1525</v>
      </c>
      <c r="C156" s="641"/>
      <c r="D156" s="642" t="s">
        <v>1526</v>
      </c>
      <c r="E156" s="717"/>
      <c r="F156" s="717"/>
      <c r="G156" s="717"/>
      <c r="H156" s="717" t="s">
        <v>1527</v>
      </c>
      <c r="I156" s="714">
        <v>1</v>
      </c>
      <c r="J156" s="714">
        <v>55</v>
      </c>
      <c r="K156" s="714">
        <f t="shared" si="3"/>
        <v>55</v>
      </c>
      <c r="L156" s="832"/>
    </row>
    <row r="157" spans="2:12" x14ac:dyDescent="0.35">
      <c r="B157" s="715"/>
      <c r="C157" s="641"/>
      <c r="D157" s="642"/>
      <c r="E157" s="717"/>
      <c r="F157" s="717"/>
      <c r="G157" s="717"/>
      <c r="H157" s="714"/>
      <c r="I157" s="714"/>
      <c r="J157" s="714"/>
      <c r="K157" s="714"/>
      <c r="L157" s="832"/>
    </row>
    <row r="158" spans="2:12" x14ac:dyDescent="0.35">
      <c r="B158" s="715" t="s">
        <v>1528</v>
      </c>
      <c r="C158" s="641"/>
      <c r="D158" s="642" t="s">
        <v>1529</v>
      </c>
      <c r="E158" s="717"/>
      <c r="F158" s="717"/>
      <c r="G158" s="717"/>
      <c r="H158" s="717" t="s">
        <v>1530</v>
      </c>
      <c r="I158" s="717">
        <v>3</v>
      </c>
      <c r="J158" s="714">
        <v>20</v>
      </c>
      <c r="K158" s="714">
        <f>I158*J158</f>
        <v>60</v>
      </c>
      <c r="L158" s="835" t="s">
        <v>1531</v>
      </c>
    </row>
    <row r="159" spans="2:12" x14ac:dyDescent="0.35">
      <c r="B159" s="715"/>
      <c r="C159" s="373"/>
      <c r="D159" s="642"/>
      <c r="E159" s="717"/>
      <c r="F159" s="717"/>
      <c r="G159" s="717"/>
      <c r="H159" s="592"/>
      <c r="I159" s="592"/>
      <c r="J159" s="592"/>
      <c r="K159" s="714"/>
      <c r="L159" s="801"/>
    </row>
    <row r="160" spans="2:12" x14ac:dyDescent="0.35">
      <c r="B160" s="715" t="s">
        <v>1532</v>
      </c>
      <c r="C160" s="373"/>
      <c r="D160" s="642" t="s">
        <v>1533</v>
      </c>
      <c r="E160" s="717"/>
      <c r="F160" s="717"/>
      <c r="G160" s="717"/>
      <c r="H160" s="371" t="s">
        <v>1534</v>
      </c>
      <c r="I160" s="592">
        <v>2</v>
      </c>
      <c r="J160" s="592">
        <v>180</v>
      </c>
      <c r="K160" s="714">
        <f t="shared" si="3"/>
        <v>360</v>
      </c>
      <c r="L160" s="817" t="s">
        <v>1535</v>
      </c>
    </row>
    <row r="161" spans="2:12" x14ac:dyDescent="0.35">
      <c r="B161" s="715"/>
      <c r="C161" s="373"/>
      <c r="D161" s="642"/>
      <c r="E161" s="717"/>
      <c r="F161" s="717"/>
      <c r="G161" s="717"/>
      <c r="H161" s="592"/>
      <c r="I161" s="592"/>
      <c r="J161" s="592"/>
      <c r="K161" s="714"/>
      <c r="L161" s="801"/>
    </row>
    <row r="162" spans="2:12" x14ac:dyDescent="0.35">
      <c r="B162" s="715" t="s">
        <v>1536</v>
      </c>
      <c r="C162" s="373"/>
      <c r="D162" s="642" t="s">
        <v>1537</v>
      </c>
      <c r="E162" s="717"/>
      <c r="F162" s="717"/>
      <c r="G162" s="717"/>
      <c r="H162" s="371" t="s">
        <v>1538</v>
      </c>
      <c r="I162" s="592">
        <v>1</v>
      </c>
      <c r="J162" s="592">
        <v>40</v>
      </c>
      <c r="K162" s="714">
        <f t="shared" si="3"/>
        <v>40</v>
      </c>
      <c r="L162" s="801"/>
    </row>
    <row r="163" spans="2:12" x14ac:dyDescent="0.35">
      <c r="B163" s="715"/>
      <c r="C163" s="373"/>
      <c r="D163" s="642"/>
      <c r="E163" s="717"/>
      <c r="F163" s="717"/>
      <c r="G163" s="717"/>
      <c r="H163" s="371"/>
      <c r="I163" s="592"/>
      <c r="J163" s="592"/>
      <c r="K163" s="714"/>
      <c r="L163" s="801"/>
    </row>
    <row r="164" spans="2:12" x14ac:dyDescent="0.35">
      <c r="B164" s="715" t="s">
        <v>1539</v>
      </c>
      <c r="C164" s="373"/>
      <c r="D164" s="642" t="s">
        <v>1540</v>
      </c>
      <c r="E164" s="717"/>
      <c r="F164" s="717"/>
      <c r="G164" s="717">
        <v>28000</v>
      </c>
      <c r="H164" s="371" t="s">
        <v>1541</v>
      </c>
      <c r="I164" s="592">
        <v>1</v>
      </c>
      <c r="J164" s="592">
        <v>40</v>
      </c>
      <c r="K164" s="714">
        <f>J164*I164</f>
        <v>40</v>
      </c>
      <c r="L164" s="801"/>
    </row>
    <row r="165" spans="2:12" x14ac:dyDescent="0.35">
      <c r="B165" s="715"/>
      <c r="C165" s="373"/>
      <c r="D165" s="642"/>
      <c r="E165" s="717"/>
      <c r="F165" s="717"/>
      <c r="G165" s="717"/>
      <c r="H165" s="371"/>
      <c r="I165" s="592"/>
      <c r="J165" s="592"/>
      <c r="K165" s="714"/>
      <c r="L165" s="801"/>
    </row>
    <row r="166" spans="2:12" x14ac:dyDescent="0.35">
      <c r="B166" s="715" t="s">
        <v>1542</v>
      </c>
      <c r="C166" s="373"/>
      <c r="D166" s="642" t="s">
        <v>1543</v>
      </c>
      <c r="E166" s="717"/>
      <c r="F166" s="717"/>
      <c r="G166" s="717"/>
      <c r="H166" s="371" t="s">
        <v>1544</v>
      </c>
      <c r="I166" s="592">
        <v>60000</v>
      </c>
      <c r="J166" s="592">
        <v>590</v>
      </c>
      <c r="K166" s="714">
        <f>(J166*I166)/100000</f>
        <v>354</v>
      </c>
      <c r="L166" s="801"/>
    </row>
    <row r="167" spans="2:12" x14ac:dyDescent="0.35">
      <c r="B167" s="715"/>
      <c r="C167" s="373"/>
      <c r="D167" s="642"/>
      <c r="E167" s="717"/>
      <c r="F167" s="717"/>
      <c r="G167" s="717"/>
      <c r="H167" s="371"/>
      <c r="I167" s="592"/>
      <c r="J167" s="592"/>
      <c r="K167" s="714"/>
      <c r="L167" s="801"/>
    </row>
    <row r="168" spans="2:12" x14ac:dyDescent="0.35">
      <c r="B168" s="715" t="s">
        <v>1545</v>
      </c>
      <c r="C168" s="373"/>
      <c r="D168" s="642" t="s">
        <v>1546</v>
      </c>
      <c r="E168" s="717"/>
      <c r="F168" s="717"/>
      <c r="G168" s="717"/>
      <c r="H168" s="371" t="s">
        <v>1547</v>
      </c>
      <c r="I168" s="592">
        <v>10000</v>
      </c>
      <c r="J168" s="592">
        <v>350</v>
      </c>
      <c r="K168" s="714">
        <f>(J168*I168)/100000</f>
        <v>35</v>
      </c>
      <c r="L168" s="801"/>
    </row>
    <row r="169" spans="2:12" ht="15" thickBot="1" x14ac:dyDescent="0.4">
      <c r="B169" s="718"/>
      <c r="C169" s="373"/>
      <c r="D169" s="642"/>
      <c r="E169" s="717"/>
      <c r="F169" s="717"/>
      <c r="G169" s="717"/>
      <c r="H169" s="592"/>
      <c r="I169" s="592"/>
      <c r="J169" s="592"/>
      <c r="K169" s="592"/>
      <c r="L169" s="801"/>
    </row>
    <row r="170" spans="2:12" ht="15" thickBot="1" x14ac:dyDescent="0.4">
      <c r="B170" s="1069" t="s">
        <v>1548</v>
      </c>
      <c r="C170" s="1070"/>
      <c r="D170" s="1071"/>
      <c r="E170" s="826"/>
      <c r="F170" s="826"/>
      <c r="G170" s="826"/>
      <c r="H170" s="827"/>
      <c r="I170" s="827"/>
      <c r="J170" s="827"/>
      <c r="K170" s="827">
        <f>SUM(K144:K168)</f>
        <v>1745</v>
      </c>
      <c r="L170" s="834"/>
    </row>
    <row r="171" spans="2:12" ht="15" thickBot="1" x14ac:dyDescent="0.4">
      <c r="B171" s="718"/>
      <c r="C171" s="373"/>
      <c r="D171" s="24"/>
      <c r="E171" s="592"/>
      <c r="F171" s="592"/>
      <c r="G171" s="592"/>
      <c r="H171" s="592"/>
      <c r="I171" s="592"/>
      <c r="J171" s="592"/>
      <c r="K171" s="592"/>
      <c r="L171" s="801"/>
    </row>
    <row r="172" spans="2:12" ht="16" thickBot="1" x14ac:dyDescent="0.4">
      <c r="B172" s="1094" t="s">
        <v>1549</v>
      </c>
      <c r="C172" s="1095"/>
      <c r="D172" s="1096"/>
      <c r="E172" s="1096"/>
      <c r="F172" s="1096"/>
      <c r="G172" s="1096"/>
      <c r="H172" s="1096"/>
      <c r="I172" s="1096"/>
      <c r="J172" s="1096"/>
      <c r="K172" s="1096"/>
      <c r="L172" s="1097"/>
    </row>
    <row r="173" spans="2:12" x14ac:dyDescent="0.35">
      <c r="B173" s="715"/>
      <c r="C173" s="641"/>
      <c r="D173" s="713"/>
      <c r="E173" s="714"/>
      <c r="F173" s="714"/>
      <c r="G173" s="714"/>
      <c r="H173" s="714"/>
      <c r="I173" s="714"/>
      <c r="J173" s="714"/>
      <c r="K173" s="714"/>
      <c r="L173" s="832"/>
    </row>
    <row r="174" spans="2:12" x14ac:dyDescent="0.35">
      <c r="B174" s="718" t="s">
        <v>1550</v>
      </c>
      <c r="C174" s="373"/>
      <c r="D174" s="372" t="s">
        <v>1551</v>
      </c>
      <c r="E174" s="371"/>
      <c r="F174" s="371"/>
      <c r="G174" s="371">
        <v>18200</v>
      </c>
      <c r="H174" s="371" t="s">
        <v>1552</v>
      </c>
      <c r="I174" s="592">
        <v>1</v>
      </c>
      <c r="J174" s="592">
        <f>(18200*300)/100000</f>
        <v>54.6</v>
      </c>
      <c r="K174" s="592">
        <f>I174*J174</f>
        <v>54.6</v>
      </c>
      <c r="L174" s="801"/>
    </row>
    <row r="175" spans="2:12" x14ac:dyDescent="0.35">
      <c r="B175" s="718"/>
      <c r="C175" s="373"/>
      <c r="D175" s="24"/>
      <c r="E175" s="592"/>
      <c r="F175" s="592"/>
      <c r="G175" s="592"/>
      <c r="H175" s="592"/>
      <c r="I175" s="592"/>
      <c r="J175" s="592"/>
      <c r="K175" s="592"/>
      <c r="L175" s="801"/>
    </row>
    <row r="176" spans="2:12" x14ac:dyDescent="0.35">
      <c r="B176" s="718" t="s">
        <v>1553</v>
      </c>
      <c r="C176" s="373"/>
      <c r="D176" s="372" t="s">
        <v>1554</v>
      </c>
      <c r="E176" s="371"/>
      <c r="F176" s="371"/>
      <c r="G176" s="371">
        <v>25600</v>
      </c>
      <c r="H176" s="371" t="s">
        <v>1555</v>
      </c>
      <c r="I176" s="592">
        <v>1</v>
      </c>
      <c r="J176" s="592">
        <f>(25600*300)/100000</f>
        <v>76.8</v>
      </c>
      <c r="K176" s="592">
        <f t="shared" ref="K176:K184" si="4">I176*J176</f>
        <v>76.8</v>
      </c>
      <c r="L176" s="801"/>
    </row>
    <row r="177" spans="2:12" x14ac:dyDescent="0.35">
      <c r="B177" s="718"/>
      <c r="C177" s="373"/>
      <c r="D177" s="24"/>
      <c r="E177" s="592"/>
      <c r="F177" s="592"/>
      <c r="G177" s="592"/>
      <c r="H177" s="592"/>
      <c r="I177" s="592"/>
      <c r="J177" s="592"/>
      <c r="K177" s="592"/>
      <c r="L177" s="801"/>
    </row>
    <row r="178" spans="2:12" x14ac:dyDescent="0.35">
      <c r="B178" s="718" t="s">
        <v>1556</v>
      </c>
      <c r="C178" s="373"/>
      <c r="D178" s="372" t="s">
        <v>1557</v>
      </c>
      <c r="E178" s="371"/>
      <c r="F178" s="371"/>
      <c r="G178" s="371">
        <v>18200</v>
      </c>
      <c r="H178" s="371" t="s">
        <v>1558</v>
      </c>
      <c r="I178" s="592">
        <v>1</v>
      </c>
      <c r="J178" s="592">
        <f>(18200*300)/100000</f>
        <v>54.6</v>
      </c>
      <c r="K178" s="592">
        <f t="shared" si="4"/>
        <v>54.6</v>
      </c>
      <c r="L178" s="801"/>
    </row>
    <row r="179" spans="2:12" x14ac:dyDescent="0.35">
      <c r="B179" s="718"/>
      <c r="C179" s="373"/>
      <c r="D179" s="372"/>
      <c r="E179" s="371"/>
      <c r="F179" s="371"/>
      <c r="G179" s="371"/>
      <c r="H179" s="371"/>
      <c r="I179" s="592"/>
      <c r="J179" s="592"/>
      <c r="K179" s="592"/>
      <c r="L179" s="801"/>
    </row>
    <row r="180" spans="2:12" x14ac:dyDescent="0.35">
      <c r="B180" s="718" t="s">
        <v>1559</v>
      </c>
      <c r="C180" s="373"/>
      <c r="D180" s="372" t="s">
        <v>1560</v>
      </c>
      <c r="E180" s="717"/>
      <c r="F180" s="717"/>
      <c r="G180" s="717"/>
      <c r="H180" s="717" t="s">
        <v>1561</v>
      </c>
      <c r="I180" s="592">
        <v>2</v>
      </c>
      <c r="J180" s="592">
        <v>3</v>
      </c>
      <c r="K180" s="592">
        <f t="shared" si="4"/>
        <v>6</v>
      </c>
      <c r="L180" s="801"/>
    </row>
    <row r="181" spans="2:12" x14ac:dyDescent="0.35">
      <c r="B181" s="718"/>
      <c r="C181" s="373"/>
      <c r="D181" s="372"/>
      <c r="E181" s="371"/>
      <c r="F181" s="371"/>
      <c r="G181" s="371"/>
      <c r="H181" s="371"/>
      <c r="I181" s="592"/>
      <c r="J181" s="592"/>
      <c r="K181" s="592"/>
      <c r="L181" s="801"/>
    </row>
    <row r="182" spans="2:12" x14ac:dyDescent="0.35">
      <c r="B182" s="718" t="s">
        <v>1562</v>
      </c>
      <c r="C182" s="373"/>
      <c r="D182" s="372" t="s">
        <v>1563</v>
      </c>
      <c r="E182" s="717"/>
      <c r="F182" s="717"/>
      <c r="G182" s="717"/>
      <c r="H182" s="717" t="s">
        <v>1564</v>
      </c>
      <c r="I182" s="592">
        <v>2</v>
      </c>
      <c r="J182" s="592">
        <v>3</v>
      </c>
      <c r="K182" s="592">
        <f t="shared" si="4"/>
        <v>6</v>
      </c>
      <c r="L182" s="801"/>
    </row>
    <row r="183" spans="2:12" x14ac:dyDescent="0.35">
      <c r="B183" s="718"/>
      <c r="C183" s="373"/>
      <c r="D183" s="372"/>
      <c r="E183" s="371"/>
      <c r="F183" s="371"/>
      <c r="G183" s="371"/>
      <c r="H183" s="371"/>
      <c r="I183" s="592"/>
      <c r="J183" s="592"/>
      <c r="K183" s="592"/>
      <c r="L183" s="801"/>
    </row>
    <row r="184" spans="2:12" x14ac:dyDescent="0.35">
      <c r="B184" s="718" t="s">
        <v>1565</v>
      </c>
      <c r="C184" s="373"/>
      <c r="D184" s="372" t="s">
        <v>1566</v>
      </c>
      <c r="E184" s="717"/>
      <c r="F184" s="717"/>
      <c r="G184" s="717"/>
      <c r="H184" s="717" t="s">
        <v>1567</v>
      </c>
      <c r="I184" s="592">
        <v>2</v>
      </c>
      <c r="J184" s="592">
        <v>3</v>
      </c>
      <c r="K184" s="592">
        <f t="shared" si="4"/>
        <v>6</v>
      </c>
      <c r="L184" s="801"/>
    </row>
    <row r="185" spans="2:12" ht="15" thickBot="1" x14ac:dyDescent="0.4">
      <c r="B185" s="718"/>
      <c r="C185" s="373"/>
      <c r="D185" s="372"/>
      <c r="E185" s="717"/>
      <c r="F185" s="717"/>
      <c r="G185" s="717"/>
      <c r="H185" s="717"/>
      <c r="I185" s="592"/>
      <c r="J185" s="592"/>
      <c r="K185" s="592"/>
      <c r="L185" s="801"/>
    </row>
    <row r="186" spans="2:12" ht="15" thickBot="1" x14ac:dyDescent="0.4">
      <c r="B186" s="1069" t="s">
        <v>1568</v>
      </c>
      <c r="C186" s="1070"/>
      <c r="D186" s="1071"/>
      <c r="E186" s="826"/>
      <c r="F186" s="826"/>
      <c r="G186" s="826"/>
      <c r="H186" s="842"/>
      <c r="I186" s="842"/>
      <c r="J186" s="842"/>
      <c r="K186" s="827">
        <f>SUM(K174:K185)</f>
        <v>204</v>
      </c>
      <c r="L186" s="843"/>
    </row>
    <row r="187" spans="2:12" ht="15" thickBot="1" x14ac:dyDescent="0.4">
      <c r="B187" s="718"/>
      <c r="C187" s="373"/>
      <c r="D187" s="24"/>
      <c r="E187" s="592"/>
      <c r="F187" s="592"/>
      <c r="G187" s="592"/>
      <c r="H187" s="592"/>
      <c r="I187" s="592"/>
      <c r="J187" s="592"/>
      <c r="K187" s="592"/>
      <c r="L187" s="801"/>
    </row>
    <row r="188" spans="2:12" ht="16" thickBot="1" x14ac:dyDescent="0.4">
      <c r="B188" s="1094" t="s">
        <v>1569</v>
      </c>
      <c r="C188" s="1095"/>
      <c r="D188" s="1096"/>
      <c r="E188" s="1096"/>
      <c r="F188" s="1096"/>
      <c r="G188" s="1096"/>
      <c r="H188" s="1096"/>
      <c r="I188" s="1096"/>
      <c r="J188" s="1096"/>
      <c r="K188" s="1096"/>
      <c r="L188" s="1097"/>
    </row>
    <row r="189" spans="2:12" x14ac:dyDescent="0.35">
      <c r="B189" s="718"/>
      <c r="C189" s="373"/>
      <c r="D189" s="24"/>
      <c r="E189" s="592"/>
      <c r="F189" s="592"/>
      <c r="G189" s="592"/>
      <c r="H189" s="592"/>
      <c r="I189" s="592"/>
      <c r="J189" s="592"/>
      <c r="K189" s="592"/>
      <c r="L189" s="801"/>
    </row>
    <row r="190" spans="2:12" x14ac:dyDescent="0.35">
      <c r="B190" s="718" t="s">
        <v>1570</v>
      </c>
      <c r="C190" s="373"/>
      <c r="D190" s="372" t="s">
        <v>1571</v>
      </c>
      <c r="E190" s="371"/>
      <c r="F190" s="371"/>
      <c r="G190" s="371"/>
      <c r="H190" s="371" t="s">
        <v>1572</v>
      </c>
      <c r="I190" s="592">
        <v>2</v>
      </c>
      <c r="J190" s="592">
        <v>50</v>
      </c>
      <c r="K190" s="592">
        <f>I190*J190</f>
        <v>100</v>
      </c>
      <c r="L190" s="817" t="s">
        <v>1573</v>
      </c>
    </row>
    <row r="191" spans="2:12" ht="15" thickBot="1" x14ac:dyDescent="0.4">
      <c r="B191" s="718"/>
      <c r="C191" s="373"/>
      <c r="D191" s="24"/>
      <c r="E191" s="592"/>
      <c r="F191" s="592"/>
      <c r="G191" s="592"/>
      <c r="H191" s="592"/>
      <c r="I191" s="592"/>
      <c r="J191" s="592"/>
      <c r="K191" s="592"/>
      <c r="L191" s="801"/>
    </row>
    <row r="192" spans="2:12" ht="15" thickBot="1" x14ac:dyDescent="0.4">
      <c r="B192" s="1069" t="s">
        <v>1574</v>
      </c>
      <c r="C192" s="1070"/>
      <c r="D192" s="1071"/>
      <c r="E192" s="826"/>
      <c r="F192" s="826"/>
      <c r="G192" s="826"/>
      <c r="H192" s="827"/>
      <c r="I192" s="827"/>
      <c r="J192" s="827"/>
      <c r="K192" s="827">
        <f>SUM(K186:K190)</f>
        <v>304</v>
      </c>
      <c r="L192" s="834"/>
    </row>
    <row r="193" spans="2:12" ht="15" thickBot="1" x14ac:dyDescent="0.4">
      <c r="B193" s="718"/>
      <c r="C193" s="373"/>
      <c r="D193" s="24"/>
      <c r="E193" s="592"/>
      <c r="F193" s="592"/>
      <c r="G193" s="592"/>
      <c r="H193" s="592"/>
      <c r="I193" s="592"/>
      <c r="J193" s="592"/>
      <c r="K193" s="592"/>
      <c r="L193" s="801"/>
    </row>
    <row r="194" spans="2:12" ht="16" thickBot="1" x14ac:dyDescent="0.4">
      <c r="B194" s="1094" t="s">
        <v>1575</v>
      </c>
      <c r="C194" s="1095"/>
      <c r="D194" s="1096"/>
      <c r="E194" s="1096"/>
      <c r="F194" s="1096"/>
      <c r="G194" s="1096"/>
      <c r="H194" s="1096"/>
      <c r="I194" s="1096"/>
      <c r="J194" s="1096"/>
      <c r="K194" s="1096"/>
      <c r="L194" s="1097"/>
    </row>
    <row r="195" spans="2:12" x14ac:dyDescent="0.35">
      <c r="B195" s="718"/>
      <c r="C195" s="373"/>
      <c r="D195" s="24"/>
      <c r="E195" s="592"/>
      <c r="F195" s="592"/>
      <c r="G195" s="592"/>
      <c r="H195" s="592"/>
      <c r="I195" s="592"/>
      <c r="J195" s="592"/>
      <c r="K195" s="592"/>
      <c r="L195" s="801"/>
    </row>
    <row r="196" spans="2:12" x14ac:dyDescent="0.35">
      <c r="B196" s="718" t="s">
        <v>1576</v>
      </c>
      <c r="C196" s="373"/>
      <c r="D196" s="372" t="s">
        <v>1577</v>
      </c>
      <c r="E196" s="371"/>
      <c r="F196" s="371"/>
      <c r="G196" s="371"/>
      <c r="H196" s="371" t="s">
        <v>1316</v>
      </c>
      <c r="I196" s="592">
        <v>1</v>
      </c>
      <c r="J196" s="592">
        <v>90</v>
      </c>
      <c r="K196" s="592">
        <v>90</v>
      </c>
      <c r="L196" s="801"/>
    </row>
    <row r="197" spans="2:12" x14ac:dyDescent="0.35">
      <c r="B197" s="718"/>
      <c r="C197" s="373"/>
      <c r="D197" s="24"/>
      <c r="E197" s="592"/>
      <c r="F197" s="592"/>
      <c r="G197" s="592"/>
      <c r="H197" s="592"/>
      <c r="I197" s="592"/>
      <c r="J197" s="592"/>
      <c r="K197" s="592"/>
      <c r="L197" s="801"/>
    </row>
    <row r="198" spans="2:12" x14ac:dyDescent="0.35">
      <c r="B198" s="718" t="s">
        <v>1578</v>
      </c>
      <c r="C198" s="373"/>
      <c r="D198" s="372" t="s">
        <v>1579</v>
      </c>
      <c r="E198" s="371"/>
      <c r="F198" s="371"/>
      <c r="G198" s="371"/>
      <c r="H198" s="371" t="s">
        <v>1580</v>
      </c>
      <c r="I198" s="592">
        <v>1</v>
      </c>
      <c r="J198" s="592">
        <v>90</v>
      </c>
      <c r="K198" s="592">
        <v>90</v>
      </c>
      <c r="L198" s="801"/>
    </row>
    <row r="199" spans="2:12" x14ac:dyDescent="0.35">
      <c r="B199" s="718"/>
      <c r="C199" s="373"/>
      <c r="D199" s="24"/>
      <c r="E199" s="592"/>
      <c r="F199" s="592"/>
      <c r="G199" s="592"/>
      <c r="H199" s="592"/>
      <c r="I199" s="592"/>
      <c r="J199" s="592"/>
      <c r="K199" s="592"/>
      <c r="L199" s="801"/>
    </row>
    <row r="200" spans="2:12" x14ac:dyDescent="0.35">
      <c r="B200" s="718" t="s">
        <v>1581</v>
      </c>
      <c r="C200" s="373"/>
      <c r="D200" s="372" t="s">
        <v>1582</v>
      </c>
      <c r="E200" s="371"/>
      <c r="F200" s="371"/>
      <c r="G200" s="371"/>
      <c r="H200" s="371" t="s">
        <v>1580</v>
      </c>
      <c r="I200" s="592">
        <v>1</v>
      </c>
      <c r="J200" s="592">
        <v>50</v>
      </c>
      <c r="K200" s="592">
        <v>50</v>
      </c>
      <c r="L200" s="801"/>
    </row>
    <row r="201" spans="2:12" x14ac:dyDescent="0.35">
      <c r="B201" s="718"/>
      <c r="C201" s="373"/>
      <c r="D201" s="24"/>
      <c r="E201" s="592"/>
      <c r="F201" s="592"/>
      <c r="G201" s="592"/>
      <c r="H201" s="592"/>
      <c r="I201" s="592"/>
      <c r="J201" s="592"/>
      <c r="K201" s="592"/>
      <c r="L201" s="801"/>
    </row>
    <row r="202" spans="2:12" x14ac:dyDescent="0.35">
      <c r="B202" s="718" t="s">
        <v>1583</v>
      </c>
      <c r="C202" s="373"/>
      <c r="D202" s="372" t="s">
        <v>1584</v>
      </c>
      <c r="E202" s="371"/>
      <c r="F202" s="371"/>
      <c r="G202" s="371"/>
      <c r="H202" s="371" t="s">
        <v>1580</v>
      </c>
      <c r="I202" s="592">
        <v>1</v>
      </c>
      <c r="J202" s="592">
        <v>60</v>
      </c>
      <c r="K202" s="592">
        <v>60</v>
      </c>
      <c r="L202" s="801"/>
    </row>
    <row r="203" spans="2:12" x14ac:dyDescent="0.35">
      <c r="B203" s="718"/>
      <c r="C203" s="373"/>
      <c r="D203" s="24"/>
      <c r="E203" s="592"/>
      <c r="F203" s="592"/>
      <c r="G203" s="592"/>
      <c r="H203" s="592"/>
      <c r="I203" s="592"/>
      <c r="J203" s="592"/>
      <c r="K203" s="592"/>
      <c r="L203" s="801"/>
    </row>
    <row r="204" spans="2:12" x14ac:dyDescent="0.35">
      <c r="B204" s="718" t="s">
        <v>1585</v>
      </c>
      <c r="C204" s="373"/>
      <c r="D204" s="372" t="s">
        <v>1586</v>
      </c>
      <c r="E204" s="371"/>
      <c r="F204" s="371"/>
      <c r="G204" s="371"/>
      <c r="H204" s="371" t="s">
        <v>1580</v>
      </c>
      <c r="I204" s="592">
        <v>1</v>
      </c>
      <c r="J204" s="592">
        <v>50</v>
      </c>
      <c r="K204" s="592">
        <v>50</v>
      </c>
      <c r="L204" s="801"/>
    </row>
    <row r="205" spans="2:12" x14ac:dyDescent="0.35">
      <c r="B205" s="718"/>
      <c r="C205" s="373"/>
      <c r="D205" s="24"/>
      <c r="E205" s="592"/>
      <c r="F205" s="592"/>
      <c r="G205" s="592"/>
      <c r="H205" s="592"/>
      <c r="I205" s="592"/>
      <c r="J205" s="592"/>
      <c r="K205" s="592"/>
      <c r="L205" s="801"/>
    </row>
    <row r="206" spans="2:12" x14ac:dyDescent="0.35">
      <c r="B206" s="718" t="s">
        <v>1587</v>
      </c>
      <c r="C206" s="373"/>
      <c r="D206" s="372" t="s">
        <v>1588</v>
      </c>
      <c r="E206" s="371"/>
      <c r="F206" s="371"/>
      <c r="G206" s="371"/>
      <c r="H206" s="371" t="s">
        <v>1580</v>
      </c>
      <c r="I206" s="592">
        <v>1</v>
      </c>
      <c r="J206" s="592">
        <v>50</v>
      </c>
      <c r="K206" s="592">
        <v>50</v>
      </c>
      <c r="L206" s="801"/>
    </row>
    <row r="207" spans="2:12" x14ac:dyDescent="0.35">
      <c r="B207" s="718"/>
      <c r="C207" s="373"/>
      <c r="D207" s="372"/>
      <c r="E207" s="371"/>
      <c r="F207" s="371"/>
      <c r="G207" s="371"/>
      <c r="H207" s="371"/>
      <c r="I207" s="592"/>
      <c r="J207" s="592"/>
      <c r="K207" s="592"/>
      <c r="L207" s="801"/>
    </row>
    <row r="208" spans="2:12" x14ac:dyDescent="0.35">
      <c r="B208" s="718" t="s">
        <v>1589</v>
      </c>
      <c r="C208" s="373"/>
      <c r="D208" s="372" t="s">
        <v>1590</v>
      </c>
      <c r="E208" s="371"/>
      <c r="F208" s="371"/>
      <c r="G208" s="371"/>
      <c r="H208" s="371" t="s">
        <v>1580</v>
      </c>
      <c r="I208" s="592">
        <v>1</v>
      </c>
      <c r="J208" s="592">
        <v>30</v>
      </c>
      <c r="K208" s="592">
        <f>I208*J208</f>
        <v>30</v>
      </c>
      <c r="L208" s="801"/>
    </row>
    <row r="209" spans="2:12" ht="15" thickBot="1" x14ac:dyDescent="0.4">
      <c r="B209" s="718"/>
      <c r="C209" s="373"/>
      <c r="D209" s="372"/>
      <c r="E209" s="371"/>
      <c r="F209" s="371"/>
      <c r="G209" s="371"/>
      <c r="H209" s="371"/>
      <c r="I209" s="592"/>
      <c r="J209" s="592"/>
      <c r="K209" s="592"/>
      <c r="L209" s="801"/>
    </row>
    <row r="210" spans="2:12" ht="15" thickBot="1" x14ac:dyDescent="0.4">
      <c r="B210" s="1069" t="s">
        <v>1591</v>
      </c>
      <c r="C210" s="1070"/>
      <c r="D210" s="1071"/>
      <c r="E210" s="826"/>
      <c r="F210" s="826"/>
      <c r="G210" s="826"/>
      <c r="H210" s="842"/>
      <c r="I210" s="842"/>
      <c r="J210" s="842"/>
      <c r="K210" s="827">
        <f>SUM(K198:K206)</f>
        <v>300</v>
      </c>
      <c r="L210" s="843"/>
    </row>
    <row r="211" spans="2:12" ht="15" thickBot="1" x14ac:dyDescent="0.4">
      <c r="B211" s="718"/>
      <c r="C211" s="373"/>
      <c r="D211" s="24"/>
      <c r="E211" s="592"/>
      <c r="F211" s="592"/>
      <c r="G211" s="592"/>
      <c r="H211" s="592"/>
      <c r="I211" s="592"/>
      <c r="J211" s="592"/>
      <c r="K211" s="592"/>
      <c r="L211" s="801"/>
    </row>
    <row r="212" spans="2:12" ht="16" thickBot="1" x14ac:dyDescent="0.4">
      <c r="B212" s="1094" t="s">
        <v>1592</v>
      </c>
      <c r="C212" s="1095"/>
      <c r="D212" s="1096"/>
      <c r="E212" s="1096"/>
      <c r="F212" s="1096"/>
      <c r="G212" s="1096"/>
      <c r="H212" s="1096"/>
      <c r="I212" s="1096"/>
      <c r="J212" s="1096"/>
      <c r="K212" s="1096"/>
      <c r="L212" s="1097"/>
    </row>
    <row r="213" spans="2:12" x14ac:dyDescent="0.35">
      <c r="B213" s="718"/>
      <c r="C213" s="373"/>
      <c r="D213" s="24"/>
      <c r="E213" s="592"/>
      <c r="F213" s="592"/>
      <c r="G213" s="592"/>
      <c r="H213" s="592"/>
      <c r="I213" s="592"/>
      <c r="J213" s="592"/>
      <c r="K213" s="592"/>
      <c r="L213" s="801"/>
    </row>
    <row r="214" spans="2:12" x14ac:dyDescent="0.35">
      <c r="B214" s="718" t="s">
        <v>1593</v>
      </c>
      <c r="C214" s="373"/>
      <c r="D214" s="372" t="s">
        <v>1594</v>
      </c>
      <c r="E214" s="371"/>
      <c r="F214" s="371"/>
      <c r="G214" s="371"/>
      <c r="H214" s="371" t="s">
        <v>1580</v>
      </c>
      <c r="I214" s="592">
        <v>1</v>
      </c>
      <c r="J214" s="592">
        <v>125</v>
      </c>
      <c r="K214" s="592">
        <f>I214*J214</f>
        <v>125</v>
      </c>
      <c r="L214" s="801"/>
    </row>
    <row r="215" spans="2:12" x14ac:dyDescent="0.35">
      <c r="B215" s="718"/>
      <c r="C215" s="373"/>
      <c r="D215" s="24"/>
      <c r="E215" s="592"/>
      <c r="F215" s="592"/>
      <c r="G215" s="592"/>
      <c r="H215" s="592"/>
      <c r="I215" s="592"/>
      <c r="J215" s="592"/>
      <c r="K215" s="592"/>
      <c r="L215" s="801"/>
    </row>
    <row r="216" spans="2:12" x14ac:dyDescent="0.35">
      <c r="B216" s="718" t="s">
        <v>1595</v>
      </c>
      <c r="C216" s="373"/>
      <c r="D216" s="372" t="s">
        <v>1596</v>
      </c>
      <c r="E216" s="371"/>
      <c r="F216" s="371"/>
      <c r="G216" s="371"/>
      <c r="H216" s="371" t="s">
        <v>1580</v>
      </c>
      <c r="I216" s="592">
        <v>1</v>
      </c>
      <c r="J216" s="592">
        <v>70</v>
      </c>
      <c r="K216" s="592">
        <f>I216*J216</f>
        <v>70</v>
      </c>
      <c r="L216" s="801"/>
    </row>
    <row r="217" spans="2:12" x14ac:dyDescent="0.35">
      <c r="B217" s="718"/>
      <c r="C217" s="373"/>
      <c r="D217" s="24"/>
      <c r="E217" s="592"/>
      <c r="F217" s="592"/>
      <c r="G217" s="592"/>
      <c r="H217" s="592"/>
      <c r="I217" s="592"/>
      <c r="J217" s="592"/>
      <c r="K217" s="592"/>
      <c r="L217" s="801"/>
    </row>
    <row r="218" spans="2:12" x14ac:dyDescent="0.35">
      <c r="B218" s="718" t="s">
        <v>1597</v>
      </c>
      <c r="C218" s="373"/>
      <c r="D218" s="372" t="s">
        <v>1598</v>
      </c>
      <c r="E218" s="371"/>
      <c r="F218" s="371"/>
      <c r="G218" s="371"/>
      <c r="H218" s="371" t="s">
        <v>1580</v>
      </c>
      <c r="I218" s="592">
        <v>1</v>
      </c>
      <c r="J218" s="592">
        <v>35</v>
      </c>
      <c r="K218" s="592">
        <f>I218*J218</f>
        <v>35</v>
      </c>
      <c r="L218" s="801"/>
    </row>
    <row r="219" spans="2:12" x14ac:dyDescent="0.35">
      <c r="B219" s="718"/>
      <c r="C219" s="373"/>
      <c r="D219" s="24"/>
      <c r="E219" s="592"/>
      <c r="F219" s="592"/>
      <c r="G219" s="592"/>
      <c r="H219" s="592"/>
      <c r="I219" s="592"/>
      <c r="J219" s="592"/>
      <c r="K219" s="592"/>
      <c r="L219" s="801"/>
    </row>
    <row r="220" spans="2:12" x14ac:dyDescent="0.35">
      <c r="B220" s="718" t="s">
        <v>1599</v>
      </c>
      <c r="C220" s="373"/>
      <c r="D220" s="372" t="s">
        <v>1600</v>
      </c>
      <c r="E220" s="371"/>
      <c r="F220" s="371"/>
      <c r="G220" s="371"/>
      <c r="H220" s="371" t="s">
        <v>1580</v>
      </c>
      <c r="I220" s="592">
        <v>1</v>
      </c>
      <c r="J220" s="592">
        <v>75</v>
      </c>
      <c r="K220" s="592">
        <f>I220*J220</f>
        <v>75</v>
      </c>
      <c r="L220" s="801"/>
    </row>
    <row r="221" spans="2:12" x14ac:dyDescent="0.35">
      <c r="B221" s="718"/>
      <c r="C221" s="373"/>
      <c r="D221" s="24"/>
      <c r="E221" s="592"/>
      <c r="F221" s="592"/>
      <c r="G221" s="592"/>
      <c r="H221" s="592"/>
      <c r="I221" s="592"/>
      <c r="J221" s="592"/>
      <c r="K221" s="592"/>
      <c r="L221" s="801"/>
    </row>
    <row r="222" spans="2:12" x14ac:dyDescent="0.35">
      <c r="B222" s="718" t="s">
        <v>1601</v>
      </c>
      <c r="C222" s="373"/>
      <c r="D222" s="372" t="s">
        <v>1602</v>
      </c>
      <c r="E222" s="371"/>
      <c r="F222" s="371"/>
      <c r="G222" s="371"/>
      <c r="H222" s="371" t="s">
        <v>1580</v>
      </c>
      <c r="I222" s="592">
        <v>1</v>
      </c>
      <c r="J222" s="592">
        <v>75</v>
      </c>
      <c r="K222" s="592">
        <f>I222*J222</f>
        <v>75</v>
      </c>
      <c r="L222" s="801"/>
    </row>
    <row r="223" spans="2:12" x14ac:dyDescent="0.35">
      <c r="B223" s="718"/>
      <c r="C223" s="373"/>
      <c r="D223" s="372"/>
      <c r="E223" s="371"/>
      <c r="F223" s="371"/>
      <c r="G223" s="371"/>
      <c r="H223" s="371"/>
      <c r="I223" s="592"/>
      <c r="J223" s="592"/>
      <c r="K223" s="592"/>
      <c r="L223" s="801"/>
    </row>
    <row r="224" spans="2:12" x14ac:dyDescent="0.35">
      <c r="B224" s="718" t="s">
        <v>1603</v>
      </c>
      <c r="C224" s="373"/>
      <c r="D224" s="372" t="s">
        <v>1604</v>
      </c>
      <c r="E224" s="371"/>
      <c r="F224" s="371"/>
      <c r="G224" s="371"/>
      <c r="H224" s="371" t="s">
        <v>1605</v>
      </c>
      <c r="I224" s="592">
        <v>2</v>
      </c>
      <c r="J224" s="592">
        <v>60</v>
      </c>
      <c r="K224" s="592">
        <f>I224*J224</f>
        <v>120</v>
      </c>
      <c r="L224" s="801"/>
    </row>
    <row r="225" spans="2:12" ht="15" thickBot="1" x14ac:dyDescent="0.4">
      <c r="B225" s="718"/>
      <c r="C225" s="373"/>
      <c r="D225" s="372"/>
      <c r="E225" s="371"/>
      <c r="F225" s="371"/>
      <c r="G225" s="371"/>
      <c r="H225" s="371"/>
      <c r="I225" s="592"/>
      <c r="J225" s="592"/>
      <c r="K225" s="592"/>
      <c r="L225" s="801"/>
    </row>
    <row r="226" spans="2:12" ht="15" thickBot="1" x14ac:dyDescent="0.4">
      <c r="B226" s="1069" t="s">
        <v>1606</v>
      </c>
      <c r="C226" s="1070"/>
      <c r="D226" s="1071"/>
      <c r="E226" s="826"/>
      <c r="F226" s="826"/>
      <c r="G226" s="826"/>
      <c r="H226" s="827"/>
      <c r="I226" s="827"/>
      <c r="J226" s="827"/>
      <c r="K226" s="827">
        <f>SUM(K214:K222)</f>
        <v>380</v>
      </c>
      <c r="L226" s="834"/>
    </row>
    <row r="227" spans="2:12" ht="15" thickBot="1" x14ac:dyDescent="0.4">
      <c r="B227" s="718"/>
      <c r="C227" s="373"/>
      <c r="D227" s="24"/>
      <c r="E227" s="592"/>
      <c r="F227" s="592"/>
      <c r="G227" s="592"/>
      <c r="H227" s="592"/>
      <c r="I227" s="592"/>
      <c r="J227" s="592"/>
      <c r="K227" s="592"/>
      <c r="L227" s="801"/>
    </row>
    <row r="228" spans="2:12" ht="16" thickBot="1" x14ac:dyDescent="0.4">
      <c r="B228" s="1094" t="s">
        <v>1607</v>
      </c>
      <c r="C228" s="1095"/>
      <c r="D228" s="1096"/>
      <c r="E228" s="1096"/>
      <c r="F228" s="1096"/>
      <c r="G228" s="1096"/>
      <c r="H228" s="1096"/>
      <c r="I228" s="1096"/>
      <c r="J228" s="1096"/>
      <c r="K228" s="1096"/>
      <c r="L228" s="1097"/>
    </row>
    <row r="229" spans="2:12" x14ac:dyDescent="0.35">
      <c r="B229" s="718"/>
      <c r="C229" s="373"/>
      <c r="D229" s="24"/>
      <c r="E229" s="592"/>
      <c r="F229" s="592"/>
      <c r="G229" s="592"/>
      <c r="H229" s="592"/>
      <c r="I229" s="592"/>
      <c r="J229" s="592"/>
      <c r="K229" s="592"/>
      <c r="L229" s="801"/>
    </row>
    <row r="230" spans="2:12" x14ac:dyDescent="0.35">
      <c r="B230" s="718" t="s">
        <v>1608</v>
      </c>
      <c r="C230" s="373"/>
      <c r="D230" s="372" t="s">
        <v>1609</v>
      </c>
      <c r="E230" s="371"/>
      <c r="F230" s="371"/>
      <c r="G230" s="371"/>
      <c r="H230" s="371" t="s">
        <v>1580</v>
      </c>
      <c r="I230" s="592">
        <v>1</v>
      </c>
      <c r="J230" s="592">
        <v>75</v>
      </c>
      <c r="K230" s="592">
        <f>I230*J230</f>
        <v>75</v>
      </c>
      <c r="L230" s="801"/>
    </row>
    <row r="231" spans="2:12" x14ac:dyDescent="0.35">
      <c r="B231" s="718"/>
      <c r="C231" s="373"/>
      <c r="D231" s="24"/>
      <c r="E231" s="592"/>
      <c r="F231" s="592"/>
      <c r="G231" s="592"/>
      <c r="H231" s="592"/>
      <c r="I231" s="592"/>
      <c r="J231" s="592"/>
      <c r="K231" s="592"/>
      <c r="L231" s="801"/>
    </row>
    <row r="232" spans="2:12" x14ac:dyDescent="0.35">
      <c r="B232" s="718" t="s">
        <v>1610</v>
      </c>
      <c r="C232" s="373"/>
      <c r="D232" s="372" t="s">
        <v>1611</v>
      </c>
      <c r="E232" s="371"/>
      <c r="F232" s="371"/>
      <c r="G232" s="592"/>
      <c r="H232" s="371" t="s">
        <v>1580</v>
      </c>
      <c r="I232" s="592">
        <v>1</v>
      </c>
      <c r="J232" s="592">
        <v>250</v>
      </c>
      <c r="K232" s="592">
        <f>I232*J232</f>
        <v>250</v>
      </c>
      <c r="L232" s="801"/>
    </row>
    <row r="233" spans="2:12" x14ac:dyDescent="0.35">
      <c r="B233" s="718"/>
      <c r="C233" s="373"/>
      <c r="D233" s="24"/>
      <c r="E233" s="592"/>
      <c r="F233" s="592"/>
      <c r="G233" s="592"/>
      <c r="H233" s="592"/>
      <c r="I233" s="592"/>
      <c r="J233" s="592"/>
      <c r="K233" s="592"/>
      <c r="L233" s="801"/>
    </row>
    <row r="234" spans="2:12" x14ac:dyDescent="0.35">
      <c r="B234" s="718" t="s">
        <v>1610</v>
      </c>
      <c r="C234" s="373"/>
      <c r="D234" s="372" t="s">
        <v>1612</v>
      </c>
      <c r="E234" s="371"/>
      <c r="F234" s="371"/>
      <c r="G234" s="371"/>
      <c r="H234" s="371" t="s">
        <v>1580</v>
      </c>
      <c r="I234" s="592">
        <v>1</v>
      </c>
      <c r="J234" s="592">
        <v>200</v>
      </c>
      <c r="K234" s="592">
        <f>I234*J234</f>
        <v>200</v>
      </c>
      <c r="L234" s="801"/>
    </row>
    <row r="235" spans="2:12" x14ac:dyDescent="0.35">
      <c r="B235" s="718"/>
      <c r="C235" s="373"/>
      <c r="G235" s="11"/>
      <c r="H235" s="592"/>
      <c r="I235" s="592"/>
      <c r="J235" s="592"/>
      <c r="K235" s="592"/>
      <c r="L235" s="801"/>
    </row>
    <row r="236" spans="2:12" x14ac:dyDescent="0.35">
      <c r="B236" s="718" t="s">
        <v>1613</v>
      </c>
      <c r="C236" s="373"/>
      <c r="D236" s="372" t="s">
        <v>1614</v>
      </c>
      <c r="E236" s="371"/>
      <c r="F236" s="371"/>
      <c r="G236" s="371"/>
      <c r="H236" s="371" t="s">
        <v>1580</v>
      </c>
      <c r="I236" s="592">
        <v>1</v>
      </c>
      <c r="J236" s="592">
        <v>125</v>
      </c>
      <c r="K236" s="592">
        <f>I236*J236</f>
        <v>125</v>
      </c>
      <c r="L236" s="801"/>
    </row>
    <row r="237" spans="2:12" x14ac:dyDescent="0.35">
      <c r="B237" s="718"/>
      <c r="C237" s="373"/>
      <c r="D237" s="372"/>
      <c r="E237" s="371"/>
      <c r="F237" s="371"/>
      <c r="G237" s="371"/>
      <c r="H237" s="592"/>
      <c r="I237" s="592"/>
      <c r="J237" s="592"/>
      <c r="K237" s="592"/>
      <c r="L237" s="801"/>
    </row>
    <row r="238" spans="2:12" x14ac:dyDescent="0.35">
      <c r="B238" s="718" t="s">
        <v>1615</v>
      </c>
      <c r="C238" s="373"/>
      <c r="D238" s="372" t="s">
        <v>1616</v>
      </c>
      <c r="E238" s="371"/>
      <c r="F238" s="371"/>
      <c r="G238" s="371"/>
      <c r="H238" s="371" t="s">
        <v>1580</v>
      </c>
      <c r="I238" s="592">
        <v>1</v>
      </c>
      <c r="J238" s="592">
        <v>175</v>
      </c>
      <c r="K238" s="592">
        <f>I238*J238</f>
        <v>175</v>
      </c>
      <c r="L238" s="801"/>
    </row>
    <row r="239" spans="2:12" x14ac:dyDescent="0.35">
      <c r="B239" s="718"/>
      <c r="C239" s="373"/>
      <c r="D239" s="372"/>
      <c r="E239" s="371"/>
      <c r="F239" s="371"/>
      <c r="G239" s="371"/>
      <c r="H239" s="592"/>
      <c r="I239" s="592"/>
      <c r="J239" s="592"/>
      <c r="K239" s="592"/>
      <c r="L239" s="801"/>
    </row>
    <row r="240" spans="2:12" x14ac:dyDescent="0.35">
      <c r="B240" s="718" t="s">
        <v>1617</v>
      </c>
      <c r="C240" s="373"/>
      <c r="D240" s="372" t="s">
        <v>1618</v>
      </c>
      <c r="E240" s="371"/>
      <c r="F240" s="371"/>
      <c r="G240" s="371"/>
      <c r="H240" s="371" t="s">
        <v>1580</v>
      </c>
      <c r="I240" s="592">
        <v>1</v>
      </c>
      <c r="J240" s="592">
        <v>175</v>
      </c>
      <c r="K240" s="592">
        <f>I240*J240</f>
        <v>175</v>
      </c>
      <c r="L240" s="817" t="s">
        <v>1619</v>
      </c>
    </row>
    <row r="241" spans="2:12" x14ac:dyDescent="0.35">
      <c r="B241" s="718"/>
      <c r="C241" s="373"/>
      <c r="D241" s="372"/>
      <c r="E241" s="371"/>
      <c r="F241" s="371"/>
      <c r="G241" s="371"/>
      <c r="H241" s="592"/>
      <c r="I241" s="592"/>
      <c r="J241" s="592"/>
      <c r="K241" s="592"/>
      <c r="L241" s="801"/>
    </row>
    <row r="242" spans="2:12" x14ac:dyDescent="0.35">
      <c r="B242" s="718" t="s">
        <v>1620</v>
      </c>
      <c r="C242" s="373"/>
      <c r="D242" s="372" t="s">
        <v>1621</v>
      </c>
      <c r="E242" s="371"/>
      <c r="F242" s="371"/>
      <c r="G242" s="371"/>
      <c r="H242" s="371" t="s">
        <v>1580</v>
      </c>
      <c r="I242" s="592">
        <v>1</v>
      </c>
      <c r="J242" s="592">
        <v>75</v>
      </c>
      <c r="K242" s="592">
        <f>I242*J242</f>
        <v>75</v>
      </c>
      <c r="L242" s="801"/>
    </row>
    <row r="243" spans="2:12" x14ac:dyDescent="0.35">
      <c r="B243" s="718"/>
      <c r="C243" s="373"/>
      <c r="D243" s="372"/>
      <c r="E243" s="371"/>
      <c r="F243" s="371"/>
      <c r="G243" s="371"/>
      <c r="H243" s="592"/>
      <c r="I243" s="592"/>
      <c r="J243" s="592"/>
      <c r="K243" s="592"/>
      <c r="L243" s="801"/>
    </row>
    <row r="244" spans="2:12" x14ac:dyDescent="0.35">
      <c r="B244" s="718" t="s">
        <v>1617</v>
      </c>
      <c r="C244" s="373"/>
      <c r="D244" s="372" t="s">
        <v>1622</v>
      </c>
      <c r="E244" s="371"/>
      <c r="F244" s="371"/>
      <c r="G244" s="371"/>
      <c r="H244" s="371" t="s">
        <v>1580</v>
      </c>
      <c r="I244" s="592">
        <v>1</v>
      </c>
      <c r="J244" s="592">
        <v>125</v>
      </c>
      <c r="K244" s="592">
        <f>I244*J244</f>
        <v>125</v>
      </c>
      <c r="L244" s="801"/>
    </row>
    <row r="245" spans="2:12" x14ac:dyDescent="0.35">
      <c r="B245" s="718"/>
      <c r="C245" s="373"/>
      <c r="D245" s="372"/>
      <c r="E245" s="371"/>
      <c r="F245" s="371"/>
      <c r="G245" s="371"/>
      <c r="H245" s="592"/>
      <c r="I245" s="592"/>
      <c r="J245" s="592"/>
      <c r="K245" s="592"/>
      <c r="L245" s="801"/>
    </row>
    <row r="246" spans="2:12" x14ac:dyDescent="0.35">
      <c r="B246" s="718" t="s">
        <v>1620</v>
      </c>
      <c r="C246" s="373"/>
      <c r="D246" s="372" t="s">
        <v>1623</v>
      </c>
      <c r="E246" s="371"/>
      <c r="F246" s="371"/>
      <c r="G246" s="371"/>
      <c r="H246" s="371" t="s">
        <v>1580</v>
      </c>
      <c r="I246" s="592">
        <v>1</v>
      </c>
      <c r="J246" s="592">
        <v>60</v>
      </c>
      <c r="K246" s="592">
        <f>I246*J246</f>
        <v>60</v>
      </c>
      <c r="L246" s="801"/>
    </row>
    <row r="247" spans="2:12" ht="15" thickBot="1" x14ac:dyDescent="0.4">
      <c r="B247" s="718"/>
      <c r="C247" s="373"/>
      <c r="D247" s="372"/>
      <c r="E247" s="371"/>
      <c r="F247" s="371"/>
      <c r="G247" s="371"/>
      <c r="H247" s="592"/>
      <c r="I247" s="592"/>
      <c r="J247" s="592"/>
      <c r="K247" s="592"/>
      <c r="L247" s="801"/>
    </row>
    <row r="248" spans="2:12" ht="15" thickBot="1" x14ac:dyDescent="0.4">
      <c r="B248" s="1104" t="s">
        <v>1624</v>
      </c>
      <c r="C248" s="1105"/>
      <c r="D248" s="1106"/>
      <c r="E248" s="845"/>
      <c r="F248" s="845"/>
      <c r="G248" s="845"/>
      <c r="H248" s="846"/>
      <c r="I248" s="846"/>
      <c r="J248" s="846"/>
      <c r="K248" s="846">
        <f>SUM(K230:K246)</f>
        <v>1260</v>
      </c>
      <c r="L248" s="847"/>
    </row>
    <row r="249" spans="2:12" ht="16" thickBot="1" x14ac:dyDescent="0.4">
      <c r="B249" s="1094" t="s">
        <v>1625</v>
      </c>
      <c r="C249" s="1095"/>
      <c r="D249" s="1096"/>
      <c r="E249" s="1096"/>
      <c r="F249" s="1096"/>
      <c r="G249" s="1096"/>
      <c r="H249" s="1096"/>
      <c r="I249" s="1096"/>
      <c r="J249" s="1096"/>
      <c r="K249" s="1096"/>
      <c r="L249" s="1097"/>
    </row>
    <row r="250" spans="2:12" x14ac:dyDescent="0.35">
      <c r="B250" s="715"/>
      <c r="C250" s="641"/>
      <c r="D250" s="641"/>
      <c r="E250" s="641"/>
      <c r="F250" s="641"/>
      <c r="G250" s="641"/>
      <c r="H250" s="641"/>
      <c r="I250" s="641"/>
      <c r="J250" s="641"/>
      <c r="K250" s="641"/>
      <c r="L250" s="848"/>
    </row>
    <row r="251" spans="2:12" x14ac:dyDescent="0.35">
      <c r="B251" s="715" t="s">
        <v>1626</v>
      </c>
      <c r="C251" s="641"/>
      <c r="D251" s="849" t="s">
        <v>1627</v>
      </c>
      <c r="E251" s="641"/>
      <c r="F251" s="641"/>
      <c r="G251" s="641"/>
      <c r="H251" s="641"/>
      <c r="I251" s="641"/>
      <c r="J251" s="641"/>
      <c r="K251" s="641">
        <v>250</v>
      </c>
      <c r="L251" s="848"/>
    </row>
    <row r="252" spans="2:12" x14ac:dyDescent="0.35">
      <c r="B252" s="718"/>
      <c r="C252" s="373"/>
      <c r="D252" s="850"/>
      <c r="E252" s="373"/>
      <c r="F252" s="373"/>
      <c r="G252" s="373"/>
      <c r="H252" s="373"/>
      <c r="I252" s="373"/>
      <c r="J252" s="373"/>
      <c r="K252" s="373"/>
      <c r="L252" s="851"/>
    </row>
    <row r="253" spans="2:12" ht="15" thickBot="1" x14ac:dyDescent="0.4">
      <c r="B253" s="728"/>
      <c r="C253" s="638"/>
      <c r="D253" s="852"/>
      <c r="E253" s="638"/>
      <c r="F253" s="638"/>
      <c r="G253" s="638"/>
      <c r="H253" s="638"/>
      <c r="I253" s="638"/>
      <c r="J253" s="638"/>
      <c r="K253" s="638"/>
      <c r="L253" s="853"/>
    </row>
    <row r="254" spans="2:12" ht="15" thickBot="1" x14ac:dyDescent="0.4">
      <c r="B254" s="1098" t="s">
        <v>1628</v>
      </c>
      <c r="C254" s="1099"/>
      <c r="D254" s="1100"/>
      <c r="E254" s="854"/>
      <c r="F254" s="854"/>
      <c r="G254" s="855"/>
      <c r="H254" s="856"/>
      <c r="I254" s="856"/>
      <c r="J254" s="856"/>
      <c r="K254" s="856">
        <f>K251</f>
        <v>250</v>
      </c>
      <c r="L254" s="857"/>
    </row>
    <row r="255" spans="2:12" ht="15" thickBot="1" x14ac:dyDescent="0.4">
      <c r="B255" s="813"/>
      <c r="C255" s="858"/>
      <c r="D255" s="740"/>
      <c r="E255" s="859"/>
      <c r="F255" s="859"/>
      <c r="G255" s="806"/>
      <c r="H255" s="807"/>
      <c r="I255" s="807"/>
      <c r="J255" s="807"/>
      <c r="K255" s="807"/>
      <c r="L255" s="808"/>
    </row>
    <row r="256" spans="2:12" ht="18.5" thickBot="1" x14ac:dyDescent="0.45">
      <c r="B256" s="1101" t="s">
        <v>1629</v>
      </c>
      <c r="C256" s="1102"/>
      <c r="D256" s="1103"/>
      <c r="E256" s="860"/>
      <c r="F256" s="860"/>
      <c r="G256" s="860"/>
      <c r="H256" s="861"/>
      <c r="I256" s="861"/>
      <c r="J256" s="861"/>
      <c r="K256" s="862">
        <f>K27+K53+K84+K106+K118+K140+K170+K186+K192+K210+K226+K248+K254</f>
        <v>14922.2</v>
      </c>
      <c r="L256" s="863"/>
    </row>
    <row r="257" spans="2:12" ht="15" thickBot="1" x14ac:dyDescent="0.4">
      <c r="B257" s="803"/>
      <c r="C257" s="804"/>
      <c r="D257" s="864"/>
      <c r="E257" s="807"/>
      <c r="F257" s="807"/>
      <c r="G257" s="807"/>
      <c r="H257" s="807"/>
      <c r="I257" s="807"/>
      <c r="J257" s="807"/>
      <c r="K257" s="807"/>
      <c r="L257" s="808"/>
    </row>
    <row r="259" spans="2:12" x14ac:dyDescent="0.35">
      <c r="J259" t="s">
        <v>1630</v>
      </c>
      <c r="K259" s="865">
        <v>0.18</v>
      </c>
    </row>
    <row r="261" spans="2:12" x14ac:dyDescent="0.35">
      <c r="J261" t="s">
        <v>1631</v>
      </c>
      <c r="K261">
        <f>(K256*K259)+K256</f>
        <v>17608.196</v>
      </c>
    </row>
    <row r="278" spans="5:11" x14ac:dyDescent="0.35">
      <c r="E278" s="11">
        <v>3.14</v>
      </c>
      <c r="F278" s="605" t="s">
        <v>997</v>
      </c>
      <c r="G278" s="605" t="s">
        <v>1632</v>
      </c>
      <c r="H278" s="617"/>
      <c r="J278" s="605" t="s">
        <v>1633</v>
      </c>
    </row>
    <row r="280" spans="5:11" x14ac:dyDescent="0.35">
      <c r="F280" s="11">
        <v>8.5</v>
      </c>
      <c r="G280" s="11">
        <v>10</v>
      </c>
      <c r="H280">
        <f>E278*F280*G280</f>
        <v>266.90000000000003</v>
      </c>
      <c r="J280">
        <v>8</v>
      </c>
    </row>
    <row r="283" spans="5:11" x14ac:dyDescent="0.35">
      <c r="E283" s="11">
        <v>0.78500000000000003</v>
      </c>
      <c r="H283">
        <f>E283*F280*F280</f>
        <v>56.716250000000002</v>
      </c>
      <c r="I283">
        <f>H283*2</f>
        <v>113.4325</v>
      </c>
    </row>
    <row r="285" spans="5:11" x14ac:dyDescent="0.35">
      <c r="I285">
        <f>H280+I283</f>
        <v>380.33250000000004</v>
      </c>
      <c r="J285">
        <f>I285*J280*8</f>
        <v>24341.280000000002</v>
      </c>
    </row>
    <row r="286" spans="5:11" x14ac:dyDescent="0.35">
      <c r="J286">
        <f>J285*1.05</f>
        <v>25558.344000000005</v>
      </c>
      <c r="K286" s="617" t="s">
        <v>1634</v>
      </c>
    </row>
  </sheetData>
  <mergeCells count="33">
    <mergeCell ref="B249:L249"/>
    <mergeCell ref="B254:D254"/>
    <mergeCell ref="B256:D256"/>
    <mergeCell ref="B194:L194"/>
    <mergeCell ref="B210:D210"/>
    <mergeCell ref="B212:L212"/>
    <mergeCell ref="B226:D226"/>
    <mergeCell ref="B228:L228"/>
    <mergeCell ref="B248:D248"/>
    <mergeCell ref="B192:D192"/>
    <mergeCell ref="B86:L86"/>
    <mergeCell ref="B106:D106"/>
    <mergeCell ref="B108:L108"/>
    <mergeCell ref="B118:D118"/>
    <mergeCell ref="B120:L120"/>
    <mergeCell ref="B140:D140"/>
    <mergeCell ref="B142:L142"/>
    <mergeCell ref="B170:D170"/>
    <mergeCell ref="B172:L172"/>
    <mergeCell ref="B186:D186"/>
    <mergeCell ref="B188:L188"/>
    <mergeCell ref="B84:D84"/>
    <mergeCell ref="B2:L2"/>
    <mergeCell ref="B4:L4"/>
    <mergeCell ref="B6:B7"/>
    <mergeCell ref="D6:D7"/>
    <mergeCell ref="E6:F6"/>
    <mergeCell ref="B9:L9"/>
    <mergeCell ref="L17:L21"/>
    <mergeCell ref="B27:D27"/>
    <mergeCell ref="B29:L29"/>
    <mergeCell ref="B53:D53"/>
    <mergeCell ref="B55:L55"/>
  </mergeCell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ED7B-2E34-4FD9-9946-0C52ECB7AE82}">
  <dimension ref="C4:H35"/>
  <sheetViews>
    <sheetView topLeftCell="A14" zoomScale="89" workbookViewId="0">
      <selection activeCell="G28" sqref="G28"/>
    </sheetView>
  </sheetViews>
  <sheetFormatPr defaultRowHeight="14.5" x14ac:dyDescent="0.35"/>
  <cols>
    <col min="3" max="3" width="8.54296875" style="11" bestFit="1" customWidth="1"/>
    <col min="4" max="4" width="84.7265625" bestFit="1" customWidth="1"/>
    <col min="5" max="5" width="9.81640625" bestFit="1" customWidth="1"/>
    <col min="6" max="6" width="15.81640625" bestFit="1" customWidth="1"/>
    <col min="7" max="7" width="15.81640625" customWidth="1"/>
    <col min="8" max="8" width="47.54296875" customWidth="1"/>
    <col min="259" max="259" width="8.54296875" bestFit="1" customWidth="1"/>
    <col min="260" max="260" width="84.7265625" bestFit="1" customWidth="1"/>
    <col min="261" max="261" width="9.81640625" bestFit="1" customWidth="1"/>
    <col min="262" max="262" width="15.81640625" bestFit="1" customWidth="1"/>
    <col min="263" max="263" width="15.81640625" customWidth="1"/>
    <col min="264" max="264" width="47.54296875" customWidth="1"/>
    <col min="515" max="515" width="8.54296875" bestFit="1" customWidth="1"/>
    <col min="516" max="516" width="84.7265625" bestFit="1" customWidth="1"/>
    <col min="517" max="517" width="9.81640625" bestFit="1" customWidth="1"/>
    <col min="518" max="518" width="15.81640625" bestFit="1" customWidth="1"/>
    <col min="519" max="519" width="15.81640625" customWidth="1"/>
    <col min="520" max="520" width="47.54296875" customWidth="1"/>
    <col min="771" max="771" width="8.54296875" bestFit="1" customWidth="1"/>
    <col min="772" max="772" width="84.7265625" bestFit="1" customWidth="1"/>
    <col min="773" max="773" width="9.81640625" bestFit="1" customWidth="1"/>
    <col min="774" max="774" width="15.81640625" bestFit="1" customWidth="1"/>
    <col min="775" max="775" width="15.81640625" customWidth="1"/>
    <col min="776" max="776" width="47.54296875" customWidth="1"/>
    <col min="1027" max="1027" width="8.54296875" bestFit="1" customWidth="1"/>
    <col min="1028" max="1028" width="84.7265625" bestFit="1" customWidth="1"/>
    <col min="1029" max="1029" width="9.81640625" bestFit="1" customWidth="1"/>
    <col min="1030" max="1030" width="15.81640625" bestFit="1" customWidth="1"/>
    <col min="1031" max="1031" width="15.81640625" customWidth="1"/>
    <col min="1032" max="1032" width="47.54296875" customWidth="1"/>
    <col min="1283" max="1283" width="8.54296875" bestFit="1" customWidth="1"/>
    <col min="1284" max="1284" width="84.7265625" bestFit="1" customWidth="1"/>
    <col min="1285" max="1285" width="9.81640625" bestFit="1" customWidth="1"/>
    <col min="1286" max="1286" width="15.81640625" bestFit="1" customWidth="1"/>
    <col min="1287" max="1287" width="15.81640625" customWidth="1"/>
    <col min="1288" max="1288" width="47.54296875" customWidth="1"/>
    <col min="1539" max="1539" width="8.54296875" bestFit="1" customWidth="1"/>
    <col min="1540" max="1540" width="84.7265625" bestFit="1" customWidth="1"/>
    <col min="1541" max="1541" width="9.81640625" bestFit="1" customWidth="1"/>
    <col min="1542" max="1542" width="15.81640625" bestFit="1" customWidth="1"/>
    <col min="1543" max="1543" width="15.81640625" customWidth="1"/>
    <col min="1544" max="1544" width="47.54296875" customWidth="1"/>
    <col min="1795" max="1795" width="8.54296875" bestFit="1" customWidth="1"/>
    <col min="1796" max="1796" width="84.7265625" bestFit="1" customWidth="1"/>
    <col min="1797" max="1797" width="9.81640625" bestFit="1" customWidth="1"/>
    <col min="1798" max="1798" width="15.81640625" bestFit="1" customWidth="1"/>
    <col min="1799" max="1799" width="15.81640625" customWidth="1"/>
    <col min="1800" max="1800" width="47.54296875" customWidth="1"/>
    <col min="2051" max="2051" width="8.54296875" bestFit="1" customWidth="1"/>
    <col min="2052" max="2052" width="84.7265625" bestFit="1" customWidth="1"/>
    <col min="2053" max="2053" width="9.81640625" bestFit="1" customWidth="1"/>
    <col min="2054" max="2054" width="15.81640625" bestFit="1" customWidth="1"/>
    <col min="2055" max="2055" width="15.81640625" customWidth="1"/>
    <col min="2056" max="2056" width="47.54296875" customWidth="1"/>
    <col min="2307" max="2307" width="8.54296875" bestFit="1" customWidth="1"/>
    <col min="2308" max="2308" width="84.7265625" bestFit="1" customWidth="1"/>
    <col min="2309" max="2309" width="9.81640625" bestFit="1" customWidth="1"/>
    <col min="2310" max="2310" width="15.81640625" bestFit="1" customWidth="1"/>
    <col min="2311" max="2311" width="15.81640625" customWidth="1"/>
    <col min="2312" max="2312" width="47.54296875" customWidth="1"/>
    <col min="2563" max="2563" width="8.54296875" bestFit="1" customWidth="1"/>
    <col min="2564" max="2564" width="84.7265625" bestFit="1" customWidth="1"/>
    <col min="2565" max="2565" width="9.81640625" bestFit="1" customWidth="1"/>
    <col min="2566" max="2566" width="15.81640625" bestFit="1" customWidth="1"/>
    <col min="2567" max="2567" width="15.81640625" customWidth="1"/>
    <col min="2568" max="2568" width="47.54296875" customWidth="1"/>
    <col min="2819" max="2819" width="8.54296875" bestFit="1" customWidth="1"/>
    <col min="2820" max="2820" width="84.7265625" bestFit="1" customWidth="1"/>
    <col min="2821" max="2821" width="9.81640625" bestFit="1" customWidth="1"/>
    <col min="2822" max="2822" width="15.81640625" bestFit="1" customWidth="1"/>
    <col min="2823" max="2823" width="15.81640625" customWidth="1"/>
    <col min="2824" max="2824" width="47.54296875" customWidth="1"/>
    <col min="3075" max="3075" width="8.54296875" bestFit="1" customWidth="1"/>
    <col min="3076" max="3076" width="84.7265625" bestFit="1" customWidth="1"/>
    <col min="3077" max="3077" width="9.81640625" bestFit="1" customWidth="1"/>
    <col min="3078" max="3078" width="15.81640625" bestFit="1" customWidth="1"/>
    <col min="3079" max="3079" width="15.81640625" customWidth="1"/>
    <col min="3080" max="3080" width="47.54296875" customWidth="1"/>
    <col min="3331" max="3331" width="8.54296875" bestFit="1" customWidth="1"/>
    <col min="3332" max="3332" width="84.7265625" bestFit="1" customWidth="1"/>
    <col min="3333" max="3333" width="9.81640625" bestFit="1" customWidth="1"/>
    <col min="3334" max="3334" width="15.81640625" bestFit="1" customWidth="1"/>
    <col min="3335" max="3335" width="15.81640625" customWidth="1"/>
    <col min="3336" max="3336" width="47.54296875" customWidth="1"/>
    <col min="3587" max="3587" width="8.54296875" bestFit="1" customWidth="1"/>
    <col min="3588" max="3588" width="84.7265625" bestFit="1" customWidth="1"/>
    <col min="3589" max="3589" width="9.81640625" bestFit="1" customWidth="1"/>
    <col min="3590" max="3590" width="15.81640625" bestFit="1" customWidth="1"/>
    <col min="3591" max="3591" width="15.81640625" customWidth="1"/>
    <col min="3592" max="3592" width="47.54296875" customWidth="1"/>
    <col min="3843" max="3843" width="8.54296875" bestFit="1" customWidth="1"/>
    <col min="3844" max="3844" width="84.7265625" bestFit="1" customWidth="1"/>
    <col min="3845" max="3845" width="9.81640625" bestFit="1" customWidth="1"/>
    <col min="3846" max="3846" width="15.81640625" bestFit="1" customWidth="1"/>
    <col min="3847" max="3847" width="15.81640625" customWidth="1"/>
    <col min="3848" max="3848" width="47.54296875" customWidth="1"/>
    <col min="4099" max="4099" width="8.54296875" bestFit="1" customWidth="1"/>
    <col min="4100" max="4100" width="84.7265625" bestFit="1" customWidth="1"/>
    <col min="4101" max="4101" width="9.81640625" bestFit="1" customWidth="1"/>
    <col min="4102" max="4102" width="15.81640625" bestFit="1" customWidth="1"/>
    <col min="4103" max="4103" width="15.81640625" customWidth="1"/>
    <col min="4104" max="4104" width="47.54296875" customWidth="1"/>
    <col min="4355" max="4355" width="8.54296875" bestFit="1" customWidth="1"/>
    <col min="4356" max="4356" width="84.7265625" bestFit="1" customWidth="1"/>
    <col min="4357" max="4357" width="9.81640625" bestFit="1" customWidth="1"/>
    <col min="4358" max="4358" width="15.81640625" bestFit="1" customWidth="1"/>
    <col min="4359" max="4359" width="15.81640625" customWidth="1"/>
    <col min="4360" max="4360" width="47.54296875" customWidth="1"/>
    <col min="4611" max="4611" width="8.54296875" bestFit="1" customWidth="1"/>
    <col min="4612" max="4612" width="84.7265625" bestFit="1" customWidth="1"/>
    <col min="4613" max="4613" width="9.81640625" bestFit="1" customWidth="1"/>
    <col min="4614" max="4614" width="15.81640625" bestFit="1" customWidth="1"/>
    <col min="4615" max="4615" width="15.81640625" customWidth="1"/>
    <col min="4616" max="4616" width="47.54296875" customWidth="1"/>
    <col min="4867" max="4867" width="8.54296875" bestFit="1" customWidth="1"/>
    <col min="4868" max="4868" width="84.7265625" bestFit="1" customWidth="1"/>
    <col min="4869" max="4869" width="9.81640625" bestFit="1" customWidth="1"/>
    <col min="4870" max="4870" width="15.81640625" bestFit="1" customWidth="1"/>
    <col min="4871" max="4871" width="15.81640625" customWidth="1"/>
    <col min="4872" max="4872" width="47.54296875" customWidth="1"/>
    <col min="5123" max="5123" width="8.54296875" bestFit="1" customWidth="1"/>
    <col min="5124" max="5124" width="84.7265625" bestFit="1" customWidth="1"/>
    <col min="5125" max="5125" width="9.81640625" bestFit="1" customWidth="1"/>
    <col min="5126" max="5126" width="15.81640625" bestFit="1" customWidth="1"/>
    <col min="5127" max="5127" width="15.81640625" customWidth="1"/>
    <col min="5128" max="5128" width="47.54296875" customWidth="1"/>
    <col min="5379" max="5379" width="8.54296875" bestFit="1" customWidth="1"/>
    <col min="5380" max="5380" width="84.7265625" bestFit="1" customWidth="1"/>
    <col min="5381" max="5381" width="9.81640625" bestFit="1" customWidth="1"/>
    <col min="5382" max="5382" width="15.81640625" bestFit="1" customWidth="1"/>
    <col min="5383" max="5383" width="15.81640625" customWidth="1"/>
    <col min="5384" max="5384" width="47.54296875" customWidth="1"/>
    <col min="5635" max="5635" width="8.54296875" bestFit="1" customWidth="1"/>
    <col min="5636" max="5636" width="84.7265625" bestFit="1" customWidth="1"/>
    <col min="5637" max="5637" width="9.81640625" bestFit="1" customWidth="1"/>
    <col min="5638" max="5638" width="15.81640625" bestFit="1" customWidth="1"/>
    <col min="5639" max="5639" width="15.81640625" customWidth="1"/>
    <col min="5640" max="5640" width="47.54296875" customWidth="1"/>
    <col min="5891" max="5891" width="8.54296875" bestFit="1" customWidth="1"/>
    <col min="5892" max="5892" width="84.7265625" bestFit="1" customWidth="1"/>
    <col min="5893" max="5893" width="9.81640625" bestFit="1" customWidth="1"/>
    <col min="5894" max="5894" width="15.81640625" bestFit="1" customWidth="1"/>
    <col min="5895" max="5895" width="15.81640625" customWidth="1"/>
    <col min="5896" max="5896" width="47.54296875" customWidth="1"/>
    <col min="6147" max="6147" width="8.54296875" bestFit="1" customWidth="1"/>
    <col min="6148" max="6148" width="84.7265625" bestFit="1" customWidth="1"/>
    <col min="6149" max="6149" width="9.81640625" bestFit="1" customWidth="1"/>
    <col min="6150" max="6150" width="15.81640625" bestFit="1" customWidth="1"/>
    <col min="6151" max="6151" width="15.81640625" customWidth="1"/>
    <col min="6152" max="6152" width="47.54296875" customWidth="1"/>
    <col min="6403" max="6403" width="8.54296875" bestFit="1" customWidth="1"/>
    <col min="6404" max="6404" width="84.7265625" bestFit="1" customWidth="1"/>
    <col min="6405" max="6405" width="9.81640625" bestFit="1" customWidth="1"/>
    <col min="6406" max="6406" width="15.81640625" bestFit="1" customWidth="1"/>
    <col min="6407" max="6407" width="15.81640625" customWidth="1"/>
    <col min="6408" max="6408" width="47.54296875" customWidth="1"/>
    <col min="6659" max="6659" width="8.54296875" bestFit="1" customWidth="1"/>
    <col min="6660" max="6660" width="84.7265625" bestFit="1" customWidth="1"/>
    <col min="6661" max="6661" width="9.81640625" bestFit="1" customWidth="1"/>
    <col min="6662" max="6662" width="15.81640625" bestFit="1" customWidth="1"/>
    <col min="6663" max="6663" width="15.81640625" customWidth="1"/>
    <col min="6664" max="6664" width="47.54296875" customWidth="1"/>
    <col min="6915" max="6915" width="8.54296875" bestFit="1" customWidth="1"/>
    <col min="6916" max="6916" width="84.7265625" bestFit="1" customWidth="1"/>
    <col min="6917" max="6917" width="9.81640625" bestFit="1" customWidth="1"/>
    <col min="6918" max="6918" width="15.81640625" bestFit="1" customWidth="1"/>
    <col min="6919" max="6919" width="15.81640625" customWidth="1"/>
    <col min="6920" max="6920" width="47.54296875" customWidth="1"/>
    <col min="7171" max="7171" width="8.54296875" bestFit="1" customWidth="1"/>
    <col min="7172" max="7172" width="84.7265625" bestFit="1" customWidth="1"/>
    <col min="7173" max="7173" width="9.81640625" bestFit="1" customWidth="1"/>
    <col min="7174" max="7174" width="15.81640625" bestFit="1" customWidth="1"/>
    <col min="7175" max="7175" width="15.81640625" customWidth="1"/>
    <col min="7176" max="7176" width="47.54296875" customWidth="1"/>
    <col min="7427" max="7427" width="8.54296875" bestFit="1" customWidth="1"/>
    <col min="7428" max="7428" width="84.7265625" bestFit="1" customWidth="1"/>
    <col min="7429" max="7429" width="9.81640625" bestFit="1" customWidth="1"/>
    <col min="7430" max="7430" width="15.81640625" bestFit="1" customWidth="1"/>
    <col min="7431" max="7431" width="15.81640625" customWidth="1"/>
    <col min="7432" max="7432" width="47.54296875" customWidth="1"/>
    <col min="7683" max="7683" width="8.54296875" bestFit="1" customWidth="1"/>
    <col min="7684" max="7684" width="84.7265625" bestFit="1" customWidth="1"/>
    <col min="7685" max="7685" width="9.81640625" bestFit="1" customWidth="1"/>
    <col min="7686" max="7686" width="15.81640625" bestFit="1" customWidth="1"/>
    <col min="7687" max="7687" width="15.81640625" customWidth="1"/>
    <col min="7688" max="7688" width="47.54296875" customWidth="1"/>
    <col min="7939" max="7939" width="8.54296875" bestFit="1" customWidth="1"/>
    <col min="7940" max="7940" width="84.7265625" bestFit="1" customWidth="1"/>
    <col min="7941" max="7941" width="9.81640625" bestFit="1" customWidth="1"/>
    <col min="7942" max="7942" width="15.81640625" bestFit="1" customWidth="1"/>
    <col min="7943" max="7943" width="15.81640625" customWidth="1"/>
    <col min="7944" max="7944" width="47.54296875" customWidth="1"/>
    <col min="8195" max="8195" width="8.54296875" bestFit="1" customWidth="1"/>
    <col min="8196" max="8196" width="84.7265625" bestFit="1" customWidth="1"/>
    <col min="8197" max="8197" width="9.81640625" bestFit="1" customWidth="1"/>
    <col min="8198" max="8198" width="15.81640625" bestFit="1" customWidth="1"/>
    <col min="8199" max="8199" width="15.81640625" customWidth="1"/>
    <col min="8200" max="8200" width="47.54296875" customWidth="1"/>
    <col min="8451" max="8451" width="8.54296875" bestFit="1" customWidth="1"/>
    <col min="8452" max="8452" width="84.7265625" bestFit="1" customWidth="1"/>
    <col min="8453" max="8453" width="9.81640625" bestFit="1" customWidth="1"/>
    <col min="8454" max="8454" width="15.81640625" bestFit="1" customWidth="1"/>
    <col min="8455" max="8455" width="15.81640625" customWidth="1"/>
    <col min="8456" max="8456" width="47.54296875" customWidth="1"/>
    <col min="8707" max="8707" width="8.54296875" bestFit="1" customWidth="1"/>
    <col min="8708" max="8708" width="84.7265625" bestFit="1" customWidth="1"/>
    <col min="8709" max="8709" width="9.81640625" bestFit="1" customWidth="1"/>
    <col min="8710" max="8710" width="15.81640625" bestFit="1" customWidth="1"/>
    <col min="8711" max="8711" width="15.81640625" customWidth="1"/>
    <col min="8712" max="8712" width="47.54296875" customWidth="1"/>
    <col min="8963" max="8963" width="8.54296875" bestFit="1" customWidth="1"/>
    <col min="8964" max="8964" width="84.7265625" bestFit="1" customWidth="1"/>
    <col min="8965" max="8965" width="9.81640625" bestFit="1" customWidth="1"/>
    <col min="8966" max="8966" width="15.81640625" bestFit="1" customWidth="1"/>
    <col min="8967" max="8967" width="15.81640625" customWidth="1"/>
    <col min="8968" max="8968" width="47.54296875" customWidth="1"/>
    <col min="9219" max="9219" width="8.54296875" bestFit="1" customWidth="1"/>
    <col min="9220" max="9220" width="84.7265625" bestFit="1" customWidth="1"/>
    <col min="9221" max="9221" width="9.81640625" bestFit="1" customWidth="1"/>
    <col min="9222" max="9222" width="15.81640625" bestFit="1" customWidth="1"/>
    <col min="9223" max="9223" width="15.81640625" customWidth="1"/>
    <col min="9224" max="9224" width="47.54296875" customWidth="1"/>
    <col min="9475" max="9475" width="8.54296875" bestFit="1" customWidth="1"/>
    <col min="9476" max="9476" width="84.7265625" bestFit="1" customWidth="1"/>
    <col min="9477" max="9477" width="9.81640625" bestFit="1" customWidth="1"/>
    <col min="9478" max="9478" width="15.81640625" bestFit="1" customWidth="1"/>
    <col min="9479" max="9479" width="15.81640625" customWidth="1"/>
    <col min="9480" max="9480" width="47.54296875" customWidth="1"/>
    <col min="9731" max="9731" width="8.54296875" bestFit="1" customWidth="1"/>
    <col min="9732" max="9732" width="84.7265625" bestFit="1" customWidth="1"/>
    <col min="9733" max="9733" width="9.81640625" bestFit="1" customWidth="1"/>
    <col min="9734" max="9734" width="15.81640625" bestFit="1" customWidth="1"/>
    <col min="9735" max="9735" width="15.81640625" customWidth="1"/>
    <col min="9736" max="9736" width="47.54296875" customWidth="1"/>
    <col min="9987" max="9987" width="8.54296875" bestFit="1" customWidth="1"/>
    <col min="9988" max="9988" width="84.7265625" bestFit="1" customWidth="1"/>
    <col min="9989" max="9989" width="9.81640625" bestFit="1" customWidth="1"/>
    <col min="9990" max="9990" width="15.81640625" bestFit="1" customWidth="1"/>
    <col min="9991" max="9991" width="15.81640625" customWidth="1"/>
    <col min="9992" max="9992" width="47.54296875" customWidth="1"/>
    <col min="10243" max="10243" width="8.54296875" bestFit="1" customWidth="1"/>
    <col min="10244" max="10244" width="84.7265625" bestFit="1" customWidth="1"/>
    <col min="10245" max="10245" width="9.81640625" bestFit="1" customWidth="1"/>
    <col min="10246" max="10246" width="15.81640625" bestFit="1" customWidth="1"/>
    <col min="10247" max="10247" width="15.81640625" customWidth="1"/>
    <col min="10248" max="10248" width="47.54296875" customWidth="1"/>
    <col min="10499" max="10499" width="8.54296875" bestFit="1" customWidth="1"/>
    <col min="10500" max="10500" width="84.7265625" bestFit="1" customWidth="1"/>
    <col min="10501" max="10501" width="9.81640625" bestFit="1" customWidth="1"/>
    <col min="10502" max="10502" width="15.81640625" bestFit="1" customWidth="1"/>
    <col min="10503" max="10503" width="15.81640625" customWidth="1"/>
    <col min="10504" max="10504" width="47.54296875" customWidth="1"/>
    <col min="10755" max="10755" width="8.54296875" bestFit="1" customWidth="1"/>
    <col min="10756" max="10756" width="84.7265625" bestFit="1" customWidth="1"/>
    <col min="10757" max="10757" width="9.81640625" bestFit="1" customWidth="1"/>
    <col min="10758" max="10758" width="15.81640625" bestFit="1" customWidth="1"/>
    <col min="10759" max="10759" width="15.81640625" customWidth="1"/>
    <col min="10760" max="10760" width="47.54296875" customWidth="1"/>
    <col min="11011" max="11011" width="8.54296875" bestFit="1" customWidth="1"/>
    <col min="11012" max="11012" width="84.7265625" bestFit="1" customWidth="1"/>
    <col min="11013" max="11013" width="9.81640625" bestFit="1" customWidth="1"/>
    <col min="11014" max="11014" width="15.81640625" bestFit="1" customWidth="1"/>
    <col min="11015" max="11015" width="15.81640625" customWidth="1"/>
    <col min="11016" max="11016" width="47.54296875" customWidth="1"/>
    <col min="11267" max="11267" width="8.54296875" bestFit="1" customWidth="1"/>
    <col min="11268" max="11268" width="84.7265625" bestFit="1" customWidth="1"/>
    <col min="11269" max="11269" width="9.81640625" bestFit="1" customWidth="1"/>
    <col min="11270" max="11270" width="15.81640625" bestFit="1" customWidth="1"/>
    <col min="11271" max="11271" width="15.81640625" customWidth="1"/>
    <col min="11272" max="11272" width="47.54296875" customWidth="1"/>
    <col min="11523" max="11523" width="8.54296875" bestFit="1" customWidth="1"/>
    <col min="11524" max="11524" width="84.7265625" bestFit="1" customWidth="1"/>
    <col min="11525" max="11525" width="9.81640625" bestFit="1" customWidth="1"/>
    <col min="11526" max="11526" width="15.81640625" bestFit="1" customWidth="1"/>
    <col min="11527" max="11527" width="15.81640625" customWidth="1"/>
    <col min="11528" max="11528" width="47.54296875" customWidth="1"/>
    <col min="11779" max="11779" width="8.54296875" bestFit="1" customWidth="1"/>
    <col min="11780" max="11780" width="84.7265625" bestFit="1" customWidth="1"/>
    <col min="11781" max="11781" width="9.81640625" bestFit="1" customWidth="1"/>
    <col min="11782" max="11782" width="15.81640625" bestFit="1" customWidth="1"/>
    <col min="11783" max="11783" width="15.81640625" customWidth="1"/>
    <col min="11784" max="11784" width="47.54296875" customWidth="1"/>
    <col min="12035" max="12035" width="8.54296875" bestFit="1" customWidth="1"/>
    <col min="12036" max="12036" width="84.7265625" bestFit="1" customWidth="1"/>
    <col min="12037" max="12037" width="9.81640625" bestFit="1" customWidth="1"/>
    <col min="12038" max="12038" width="15.81640625" bestFit="1" customWidth="1"/>
    <col min="12039" max="12039" width="15.81640625" customWidth="1"/>
    <col min="12040" max="12040" width="47.54296875" customWidth="1"/>
    <col min="12291" max="12291" width="8.54296875" bestFit="1" customWidth="1"/>
    <col min="12292" max="12292" width="84.7265625" bestFit="1" customWidth="1"/>
    <col min="12293" max="12293" width="9.81640625" bestFit="1" customWidth="1"/>
    <col min="12294" max="12294" width="15.81640625" bestFit="1" customWidth="1"/>
    <col min="12295" max="12295" width="15.81640625" customWidth="1"/>
    <col min="12296" max="12296" width="47.54296875" customWidth="1"/>
    <col min="12547" max="12547" width="8.54296875" bestFit="1" customWidth="1"/>
    <col min="12548" max="12548" width="84.7265625" bestFit="1" customWidth="1"/>
    <col min="12549" max="12549" width="9.81640625" bestFit="1" customWidth="1"/>
    <col min="12550" max="12550" width="15.81640625" bestFit="1" customWidth="1"/>
    <col min="12551" max="12551" width="15.81640625" customWidth="1"/>
    <col min="12552" max="12552" width="47.54296875" customWidth="1"/>
    <col min="12803" max="12803" width="8.54296875" bestFit="1" customWidth="1"/>
    <col min="12804" max="12804" width="84.7265625" bestFit="1" customWidth="1"/>
    <col min="12805" max="12805" width="9.81640625" bestFit="1" customWidth="1"/>
    <col min="12806" max="12806" width="15.81640625" bestFit="1" customWidth="1"/>
    <col min="12807" max="12807" width="15.81640625" customWidth="1"/>
    <col min="12808" max="12808" width="47.54296875" customWidth="1"/>
    <col min="13059" max="13059" width="8.54296875" bestFit="1" customWidth="1"/>
    <col min="13060" max="13060" width="84.7265625" bestFit="1" customWidth="1"/>
    <col min="13061" max="13061" width="9.81640625" bestFit="1" customWidth="1"/>
    <col min="13062" max="13062" width="15.81640625" bestFit="1" customWidth="1"/>
    <col min="13063" max="13063" width="15.81640625" customWidth="1"/>
    <col min="13064" max="13064" width="47.54296875" customWidth="1"/>
    <col min="13315" max="13315" width="8.54296875" bestFit="1" customWidth="1"/>
    <col min="13316" max="13316" width="84.7265625" bestFit="1" customWidth="1"/>
    <col min="13317" max="13317" width="9.81640625" bestFit="1" customWidth="1"/>
    <col min="13318" max="13318" width="15.81640625" bestFit="1" customWidth="1"/>
    <col min="13319" max="13319" width="15.81640625" customWidth="1"/>
    <col min="13320" max="13320" width="47.54296875" customWidth="1"/>
    <col min="13571" max="13571" width="8.54296875" bestFit="1" customWidth="1"/>
    <col min="13572" max="13572" width="84.7265625" bestFit="1" customWidth="1"/>
    <col min="13573" max="13573" width="9.81640625" bestFit="1" customWidth="1"/>
    <col min="13574" max="13574" width="15.81640625" bestFit="1" customWidth="1"/>
    <col min="13575" max="13575" width="15.81640625" customWidth="1"/>
    <col min="13576" max="13576" width="47.54296875" customWidth="1"/>
    <col min="13827" max="13827" width="8.54296875" bestFit="1" customWidth="1"/>
    <col min="13828" max="13828" width="84.7265625" bestFit="1" customWidth="1"/>
    <col min="13829" max="13829" width="9.81640625" bestFit="1" customWidth="1"/>
    <col min="13830" max="13830" width="15.81640625" bestFit="1" customWidth="1"/>
    <col min="13831" max="13831" width="15.81640625" customWidth="1"/>
    <col min="13832" max="13832" width="47.54296875" customWidth="1"/>
    <col min="14083" max="14083" width="8.54296875" bestFit="1" customWidth="1"/>
    <col min="14084" max="14084" width="84.7265625" bestFit="1" customWidth="1"/>
    <col min="14085" max="14085" width="9.81640625" bestFit="1" customWidth="1"/>
    <col min="14086" max="14086" width="15.81640625" bestFit="1" customWidth="1"/>
    <col min="14087" max="14087" width="15.81640625" customWidth="1"/>
    <col min="14088" max="14088" width="47.54296875" customWidth="1"/>
    <col min="14339" max="14339" width="8.54296875" bestFit="1" customWidth="1"/>
    <col min="14340" max="14340" width="84.7265625" bestFit="1" customWidth="1"/>
    <col min="14341" max="14341" width="9.81640625" bestFit="1" customWidth="1"/>
    <col min="14342" max="14342" width="15.81640625" bestFit="1" customWidth="1"/>
    <col min="14343" max="14343" width="15.81640625" customWidth="1"/>
    <col min="14344" max="14344" width="47.54296875" customWidth="1"/>
    <col min="14595" max="14595" width="8.54296875" bestFit="1" customWidth="1"/>
    <col min="14596" max="14596" width="84.7265625" bestFit="1" customWidth="1"/>
    <col min="14597" max="14597" width="9.81640625" bestFit="1" customWidth="1"/>
    <col min="14598" max="14598" width="15.81640625" bestFit="1" customWidth="1"/>
    <col min="14599" max="14599" width="15.81640625" customWidth="1"/>
    <col min="14600" max="14600" width="47.54296875" customWidth="1"/>
    <col min="14851" max="14851" width="8.54296875" bestFit="1" customWidth="1"/>
    <col min="14852" max="14852" width="84.7265625" bestFit="1" customWidth="1"/>
    <col min="14853" max="14853" width="9.81640625" bestFit="1" customWidth="1"/>
    <col min="14854" max="14854" width="15.81640625" bestFit="1" customWidth="1"/>
    <col min="14855" max="14855" width="15.81640625" customWidth="1"/>
    <col min="14856" max="14856" width="47.54296875" customWidth="1"/>
    <col min="15107" max="15107" width="8.54296875" bestFit="1" customWidth="1"/>
    <col min="15108" max="15108" width="84.7265625" bestFit="1" customWidth="1"/>
    <col min="15109" max="15109" width="9.81640625" bestFit="1" customWidth="1"/>
    <col min="15110" max="15110" width="15.81640625" bestFit="1" customWidth="1"/>
    <col min="15111" max="15111" width="15.81640625" customWidth="1"/>
    <col min="15112" max="15112" width="47.54296875" customWidth="1"/>
    <col min="15363" max="15363" width="8.54296875" bestFit="1" customWidth="1"/>
    <col min="15364" max="15364" width="84.7265625" bestFit="1" customWidth="1"/>
    <col min="15365" max="15365" width="9.81640625" bestFit="1" customWidth="1"/>
    <col min="15366" max="15366" width="15.81640625" bestFit="1" customWidth="1"/>
    <col min="15367" max="15367" width="15.81640625" customWidth="1"/>
    <col min="15368" max="15368" width="47.54296875" customWidth="1"/>
    <col min="15619" max="15619" width="8.54296875" bestFit="1" customWidth="1"/>
    <col min="15620" max="15620" width="84.7265625" bestFit="1" customWidth="1"/>
    <col min="15621" max="15621" width="9.81640625" bestFit="1" customWidth="1"/>
    <col min="15622" max="15622" width="15.81640625" bestFit="1" customWidth="1"/>
    <col min="15623" max="15623" width="15.81640625" customWidth="1"/>
    <col min="15624" max="15624" width="47.54296875" customWidth="1"/>
    <col min="15875" max="15875" width="8.54296875" bestFit="1" customWidth="1"/>
    <col min="15876" max="15876" width="84.7265625" bestFit="1" customWidth="1"/>
    <col min="15877" max="15877" width="9.81640625" bestFit="1" customWidth="1"/>
    <col min="15878" max="15878" width="15.81640625" bestFit="1" customWidth="1"/>
    <col min="15879" max="15879" width="15.81640625" customWidth="1"/>
    <col min="15880" max="15880" width="47.54296875" customWidth="1"/>
    <col min="16131" max="16131" width="8.54296875" bestFit="1" customWidth="1"/>
    <col min="16132" max="16132" width="84.7265625" bestFit="1" customWidth="1"/>
    <col min="16133" max="16133" width="9.81640625" bestFit="1" customWidth="1"/>
    <col min="16134" max="16134" width="15.81640625" bestFit="1" customWidth="1"/>
    <col min="16135" max="16135" width="15.81640625" customWidth="1"/>
    <col min="16136" max="16136" width="47.54296875" customWidth="1"/>
  </cols>
  <sheetData>
    <row r="4" spans="3:8" ht="15" thickBot="1" x14ac:dyDescent="0.4"/>
    <row r="5" spans="3:8" ht="25.5" thickBot="1" x14ac:dyDescent="0.55000000000000004">
      <c r="C5" s="1107" t="s">
        <v>1279</v>
      </c>
      <c r="D5" s="1108"/>
      <c r="E5" s="1108"/>
      <c r="F5" s="1108"/>
      <c r="G5" s="1108"/>
      <c r="H5" s="1108"/>
    </row>
    <row r="6" spans="3:8" ht="36" customHeight="1" thickBot="1" x14ac:dyDescent="0.45">
      <c r="C6" s="866" t="s">
        <v>0</v>
      </c>
      <c r="D6" s="867" t="s">
        <v>1635</v>
      </c>
      <c r="E6" s="867" t="s">
        <v>1636</v>
      </c>
      <c r="F6" s="867" t="s">
        <v>1637</v>
      </c>
      <c r="G6" s="868" t="s">
        <v>1638</v>
      </c>
      <c r="H6" s="869" t="s">
        <v>1288</v>
      </c>
    </row>
    <row r="7" spans="3:8" ht="18" thickBot="1" x14ac:dyDescent="0.4">
      <c r="C7" s="1109"/>
      <c r="D7" s="1110"/>
      <c r="E7" s="1110"/>
      <c r="F7" s="1110"/>
      <c r="G7" s="1110"/>
      <c r="H7" s="1111"/>
    </row>
    <row r="8" spans="3:8" ht="17.5" x14ac:dyDescent="0.35">
      <c r="C8" s="870">
        <v>1</v>
      </c>
      <c r="D8" s="871" t="s">
        <v>1639</v>
      </c>
      <c r="E8" s="871"/>
      <c r="F8" s="871"/>
      <c r="G8" s="872">
        <v>500</v>
      </c>
      <c r="H8" s="873"/>
    </row>
    <row r="9" spans="3:8" ht="17.5" x14ac:dyDescent="0.35">
      <c r="C9" s="870"/>
      <c r="D9" s="871"/>
      <c r="E9" s="871"/>
      <c r="F9" s="871"/>
      <c r="G9" s="872"/>
      <c r="H9" s="873"/>
    </row>
    <row r="10" spans="3:8" ht="18" x14ac:dyDescent="0.4">
      <c r="C10" s="874">
        <v>2</v>
      </c>
      <c r="D10" s="871" t="s">
        <v>1640</v>
      </c>
      <c r="E10" s="875" t="s">
        <v>1641</v>
      </c>
      <c r="F10" s="871"/>
      <c r="G10" s="872"/>
      <c r="H10" s="873"/>
    </row>
    <row r="11" spans="3:8" ht="17.5" x14ac:dyDescent="0.35">
      <c r="C11" s="870"/>
      <c r="D11" s="871"/>
      <c r="E11" s="871"/>
      <c r="F11" s="871"/>
      <c r="G11" s="872"/>
      <c r="H11" s="873"/>
    </row>
    <row r="12" spans="3:8" ht="17.5" x14ac:dyDescent="0.35">
      <c r="C12" s="876">
        <v>2.1</v>
      </c>
      <c r="D12" s="877" t="s">
        <v>1642</v>
      </c>
      <c r="E12" s="877"/>
      <c r="F12" s="877"/>
      <c r="G12" s="878">
        <v>1125</v>
      </c>
      <c r="H12" s="879" t="s">
        <v>1643</v>
      </c>
    </row>
    <row r="13" spans="3:8" ht="17.5" x14ac:dyDescent="0.35">
      <c r="C13" s="876"/>
      <c r="D13" s="877"/>
      <c r="E13" s="877"/>
      <c r="F13" s="877"/>
      <c r="G13" s="878"/>
      <c r="H13" s="879"/>
    </row>
    <row r="14" spans="3:8" ht="18.5" x14ac:dyDescent="0.45">
      <c r="C14" s="876">
        <v>2.2000000000000002</v>
      </c>
      <c r="D14" s="877" t="s">
        <v>1644</v>
      </c>
      <c r="E14" s="880">
        <v>10000</v>
      </c>
      <c r="F14" s="881">
        <v>2000</v>
      </c>
      <c r="G14" s="882"/>
      <c r="H14" s="879" t="s">
        <v>1645</v>
      </c>
    </row>
    <row r="15" spans="3:8" ht="18" x14ac:dyDescent="0.4">
      <c r="C15" s="876"/>
      <c r="D15" s="877"/>
      <c r="E15" s="880"/>
      <c r="F15" s="881"/>
      <c r="G15" s="882"/>
      <c r="H15" s="879"/>
    </row>
    <row r="16" spans="3:8" ht="18.5" x14ac:dyDescent="0.45">
      <c r="C16" s="876">
        <v>2.2999999999999998</v>
      </c>
      <c r="D16" s="877" t="s">
        <v>1646</v>
      </c>
      <c r="E16" s="880">
        <v>3825</v>
      </c>
      <c r="F16" s="881">
        <v>765</v>
      </c>
      <c r="G16" s="882"/>
      <c r="H16" s="879" t="s">
        <v>1645</v>
      </c>
    </row>
    <row r="17" spans="3:8" ht="18.75" customHeight="1" x14ac:dyDescent="0.4">
      <c r="C17" s="876"/>
      <c r="D17" s="877"/>
      <c r="E17" s="880"/>
      <c r="F17" s="881"/>
      <c r="G17" s="882"/>
      <c r="H17" s="879"/>
    </row>
    <row r="18" spans="3:8" ht="18" x14ac:dyDescent="0.4">
      <c r="C18" s="876">
        <v>2.4</v>
      </c>
      <c r="D18" s="877" t="s">
        <v>1647</v>
      </c>
      <c r="E18" s="880">
        <v>2500</v>
      </c>
      <c r="F18" s="881">
        <v>375</v>
      </c>
      <c r="G18" s="882"/>
      <c r="H18" s="879" t="s">
        <v>1648</v>
      </c>
    </row>
    <row r="19" spans="3:8" ht="18" x14ac:dyDescent="0.4">
      <c r="C19" s="876"/>
      <c r="D19" s="877"/>
      <c r="E19" s="880"/>
      <c r="F19" s="881"/>
      <c r="G19" s="882"/>
      <c r="H19" s="879"/>
    </row>
    <row r="20" spans="3:8" ht="18" x14ac:dyDescent="0.4">
      <c r="C20" s="876">
        <v>2.5</v>
      </c>
      <c r="D20" s="877" t="s">
        <v>1649</v>
      </c>
      <c r="E20" s="880">
        <v>1395</v>
      </c>
      <c r="F20" s="883">
        <v>209</v>
      </c>
      <c r="G20" s="884"/>
      <c r="H20" s="879" t="s">
        <v>1648</v>
      </c>
    </row>
    <row r="21" spans="3:8" ht="18" x14ac:dyDescent="0.4">
      <c r="C21" s="876"/>
      <c r="D21" s="877"/>
      <c r="E21" s="880"/>
      <c r="F21" s="881"/>
      <c r="G21" s="882"/>
      <c r="H21" s="879"/>
    </row>
    <row r="22" spans="3:8" ht="18" x14ac:dyDescent="0.4">
      <c r="C22" s="876">
        <v>2.6</v>
      </c>
      <c r="D22" s="877" t="s">
        <v>833</v>
      </c>
      <c r="E22" s="880">
        <v>2000</v>
      </c>
      <c r="F22" s="881">
        <v>300</v>
      </c>
      <c r="G22" s="882"/>
      <c r="H22" s="879" t="s">
        <v>1648</v>
      </c>
    </row>
    <row r="23" spans="3:8" ht="18" x14ac:dyDescent="0.4">
      <c r="C23" s="876"/>
      <c r="D23" s="877"/>
      <c r="E23" s="880"/>
      <c r="F23" s="881"/>
      <c r="G23" s="882"/>
      <c r="H23" s="879"/>
    </row>
    <row r="24" spans="3:8" ht="18" x14ac:dyDescent="0.4">
      <c r="C24" s="876">
        <v>2.7</v>
      </c>
      <c r="D24" s="877" t="s">
        <v>1650</v>
      </c>
      <c r="E24" s="880">
        <v>1800</v>
      </c>
      <c r="F24" s="881">
        <v>270</v>
      </c>
      <c r="G24" s="882"/>
      <c r="H24" s="879" t="s">
        <v>1648</v>
      </c>
    </row>
    <row r="25" spans="3:8" ht="18" x14ac:dyDescent="0.4">
      <c r="C25" s="876"/>
      <c r="D25" s="877"/>
      <c r="E25" s="880"/>
      <c r="F25" s="881"/>
      <c r="G25" s="882"/>
      <c r="H25" s="879"/>
    </row>
    <row r="26" spans="3:8" ht="18" x14ac:dyDescent="0.4">
      <c r="C26" s="876">
        <v>2.8</v>
      </c>
      <c r="D26" s="877" t="s">
        <v>1651</v>
      </c>
      <c r="E26" s="880">
        <v>1200</v>
      </c>
      <c r="F26" s="881">
        <v>180</v>
      </c>
      <c r="G26" s="884">
        <f>F26+F24+F22+F20+F18+F16+F14</f>
        <v>4099</v>
      </c>
      <c r="H26" s="879" t="s">
        <v>1648</v>
      </c>
    </row>
    <row r="27" spans="3:8" ht="17.5" x14ac:dyDescent="0.35">
      <c r="C27" s="876"/>
      <c r="D27" s="877"/>
      <c r="E27" s="880"/>
      <c r="F27" s="877"/>
      <c r="G27" s="878"/>
      <c r="H27" s="879"/>
    </row>
    <row r="28" spans="3:8" ht="17.5" x14ac:dyDescent="0.35">
      <c r="C28" s="876">
        <v>3</v>
      </c>
      <c r="D28" s="877" t="s">
        <v>1652</v>
      </c>
      <c r="E28" s="880" t="s">
        <v>1316</v>
      </c>
      <c r="F28" s="877"/>
      <c r="G28" s="885">
        <f>+'[1]Depoly plant'!K261</f>
        <v>17608.196</v>
      </c>
      <c r="H28" s="879" t="s">
        <v>1653</v>
      </c>
    </row>
    <row r="29" spans="3:8" ht="17.5" x14ac:dyDescent="0.35">
      <c r="C29" s="876"/>
      <c r="D29" s="877"/>
      <c r="E29" s="880"/>
      <c r="F29" s="877"/>
      <c r="G29" s="878"/>
      <c r="H29" s="879"/>
    </row>
    <row r="30" spans="3:8" ht="17.5" x14ac:dyDescent="0.35">
      <c r="C30" s="876">
        <v>4</v>
      </c>
      <c r="D30" s="877" t="s">
        <v>1654</v>
      </c>
      <c r="E30" s="880" t="s">
        <v>1316</v>
      </c>
      <c r="F30" s="877"/>
      <c r="G30" s="885">
        <f>+[1]CP!G151</f>
        <v>4961.9199399999998</v>
      </c>
      <c r="H30" s="879" t="s">
        <v>1653</v>
      </c>
    </row>
    <row r="31" spans="3:8" ht="17.5" x14ac:dyDescent="0.35">
      <c r="C31" s="876"/>
      <c r="D31" s="877"/>
      <c r="E31" s="877"/>
      <c r="F31" s="877"/>
      <c r="G31" s="878"/>
      <c r="H31" s="879"/>
    </row>
    <row r="32" spans="3:8" ht="18" thickBot="1" x14ac:dyDescent="0.4">
      <c r="C32" s="886"/>
      <c r="D32" s="887"/>
      <c r="E32" s="887"/>
      <c r="F32" s="887"/>
      <c r="G32" s="888"/>
      <c r="H32" s="889"/>
    </row>
    <row r="33" spans="3:8" ht="20.5" thickBot="1" x14ac:dyDescent="0.45">
      <c r="C33" s="890"/>
      <c r="D33" s="891" t="s">
        <v>1655</v>
      </c>
      <c r="E33" s="892"/>
      <c r="F33" s="893"/>
      <c r="G33" s="894">
        <f>G30+G28+G26+G12+G8</f>
        <v>28294.11594</v>
      </c>
      <c r="H33" s="895"/>
    </row>
    <row r="35" spans="3:8" x14ac:dyDescent="0.35">
      <c r="C35" s="1002"/>
      <c r="D35" s="1002"/>
      <c r="E35" s="1002"/>
      <c r="F35" s="1002"/>
      <c r="G35" s="1002"/>
      <c r="H35" s="1002"/>
    </row>
  </sheetData>
  <mergeCells count="3">
    <mergeCell ref="C5:H5"/>
    <mergeCell ref="C7:H7"/>
    <mergeCell ref="C35:H3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99408-AB84-4982-9D33-3FB228CF2163}">
  <dimension ref="A1:O39"/>
  <sheetViews>
    <sheetView topLeftCell="E1" workbookViewId="0">
      <selection activeCell="N5" sqref="N5"/>
    </sheetView>
  </sheetViews>
  <sheetFormatPr defaultRowHeight="14.5" x14ac:dyDescent="0.35"/>
  <cols>
    <col min="2" max="2" width="27.26953125" customWidth="1"/>
    <col min="3" max="3" width="10.453125" bestFit="1" customWidth="1"/>
    <col min="4" max="4" width="30.81640625" bestFit="1" customWidth="1"/>
    <col min="5" max="5" width="30.81640625" customWidth="1"/>
    <col min="6" max="6" width="37.7265625" style="242" customWidth="1"/>
    <col min="7" max="7" width="8.1796875" customWidth="1"/>
    <col min="8" max="8" width="5" bestFit="1" customWidth="1"/>
    <col min="9" max="9" width="15.26953125" style="553" bestFit="1" customWidth="1"/>
    <col min="10" max="10" width="16.81640625" style="553" bestFit="1" customWidth="1"/>
    <col min="11" max="11" width="16.81640625" style="553" customWidth="1"/>
    <col min="12" max="12" width="11.08984375" bestFit="1" customWidth="1"/>
    <col min="15" max="15" width="14" bestFit="1" customWidth="1"/>
    <col min="259" max="259" width="27.26953125" customWidth="1"/>
    <col min="260" max="260" width="10.453125" bestFit="1" customWidth="1"/>
    <col min="261" max="261" width="30.81640625" bestFit="1" customWidth="1"/>
    <col min="262" max="262" width="30.81640625" customWidth="1"/>
    <col min="263" max="263" width="37.7265625" customWidth="1"/>
    <col min="264" max="264" width="8.1796875" customWidth="1"/>
    <col min="265" max="265" width="5" bestFit="1" customWidth="1"/>
    <col min="266" max="266" width="15.26953125" bestFit="1" customWidth="1"/>
    <col min="267" max="267" width="16.81640625" bestFit="1" customWidth="1"/>
    <col min="515" max="515" width="27.26953125" customWidth="1"/>
    <col min="516" max="516" width="10.453125" bestFit="1" customWidth="1"/>
    <col min="517" max="517" width="30.81640625" bestFit="1" customWidth="1"/>
    <col min="518" max="518" width="30.81640625" customWidth="1"/>
    <col min="519" max="519" width="37.7265625" customWidth="1"/>
    <col min="520" max="520" width="8.1796875" customWidth="1"/>
    <col min="521" max="521" width="5" bestFit="1" customWidth="1"/>
    <col min="522" max="522" width="15.26953125" bestFit="1" customWidth="1"/>
    <col min="523" max="523" width="16.81640625" bestFit="1" customWidth="1"/>
    <col min="771" max="771" width="27.26953125" customWidth="1"/>
    <col min="772" max="772" width="10.453125" bestFit="1" customWidth="1"/>
    <col min="773" max="773" width="30.81640625" bestFit="1" customWidth="1"/>
    <col min="774" max="774" width="30.81640625" customWidth="1"/>
    <col min="775" max="775" width="37.7265625" customWidth="1"/>
    <col min="776" max="776" width="8.1796875" customWidth="1"/>
    <col min="777" max="777" width="5" bestFit="1" customWidth="1"/>
    <col min="778" max="778" width="15.26953125" bestFit="1" customWidth="1"/>
    <col min="779" max="779" width="16.81640625" bestFit="1" customWidth="1"/>
    <col min="1027" max="1027" width="27.26953125" customWidth="1"/>
    <col min="1028" max="1028" width="10.453125" bestFit="1" customWidth="1"/>
    <col min="1029" max="1029" width="30.81640625" bestFit="1" customWidth="1"/>
    <col min="1030" max="1030" width="30.81640625" customWidth="1"/>
    <col min="1031" max="1031" width="37.7265625" customWidth="1"/>
    <col min="1032" max="1032" width="8.1796875" customWidth="1"/>
    <col min="1033" max="1033" width="5" bestFit="1" customWidth="1"/>
    <col min="1034" max="1034" width="15.26953125" bestFit="1" customWidth="1"/>
    <col min="1035" max="1035" width="16.81640625" bestFit="1" customWidth="1"/>
    <col min="1283" max="1283" width="27.26953125" customWidth="1"/>
    <col min="1284" max="1284" width="10.453125" bestFit="1" customWidth="1"/>
    <col min="1285" max="1285" width="30.81640625" bestFit="1" customWidth="1"/>
    <col min="1286" max="1286" width="30.81640625" customWidth="1"/>
    <col min="1287" max="1287" width="37.7265625" customWidth="1"/>
    <col min="1288" max="1288" width="8.1796875" customWidth="1"/>
    <col min="1289" max="1289" width="5" bestFit="1" customWidth="1"/>
    <col min="1290" max="1290" width="15.26953125" bestFit="1" customWidth="1"/>
    <col min="1291" max="1291" width="16.81640625" bestFit="1" customWidth="1"/>
    <col min="1539" max="1539" width="27.26953125" customWidth="1"/>
    <col min="1540" max="1540" width="10.453125" bestFit="1" customWidth="1"/>
    <col min="1541" max="1541" width="30.81640625" bestFit="1" customWidth="1"/>
    <col min="1542" max="1542" width="30.81640625" customWidth="1"/>
    <col min="1543" max="1543" width="37.7265625" customWidth="1"/>
    <col min="1544" max="1544" width="8.1796875" customWidth="1"/>
    <col min="1545" max="1545" width="5" bestFit="1" customWidth="1"/>
    <col min="1546" max="1546" width="15.26953125" bestFit="1" customWidth="1"/>
    <col min="1547" max="1547" width="16.81640625" bestFit="1" customWidth="1"/>
    <col min="1795" max="1795" width="27.26953125" customWidth="1"/>
    <col min="1796" max="1796" width="10.453125" bestFit="1" customWidth="1"/>
    <col min="1797" max="1797" width="30.81640625" bestFit="1" customWidth="1"/>
    <col min="1798" max="1798" width="30.81640625" customWidth="1"/>
    <col min="1799" max="1799" width="37.7265625" customWidth="1"/>
    <col min="1800" max="1800" width="8.1796875" customWidth="1"/>
    <col min="1801" max="1801" width="5" bestFit="1" customWidth="1"/>
    <col min="1802" max="1802" width="15.26953125" bestFit="1" customWidth="1"/>
    <col min="1803" max="1803" width="16.81640625" bestFit="1" customWidth="1"/>
    <col min="2051" max="2051" width="27.26953125" customWidth="1"/>
    <col min="2052" max="2052" width="10.453125" bestFit="1" customWidth="1"/>
    <col min="2053" max="2053" width="30.81640625" bestFit="1" customWidth="1"/>
    <col min="2054" max="2054" width="30.81640625" customWidth="1"/>
    <col min="2055" max="2055" width="37.7265625" customWidth="1"/>
    <col min="2056" max="2056" width="8.1796875" customWidth="1"/>
    <col min="2057" max="2057" width="5" bestFit="1" customWidth="1"/>
    <col min="2058" max="2058" width="15.26953125" bestFit="1" customWidth="1"/>
    <col min="2059" max="2059" width="16.81640625" bestFit="1" customWidth="1"/>
    <col min="2307" max="2307" width="27.26953125" customWidth="1"/>
    <col min="2308" max="2308" width="10.453125" bestFit="1" customWidth="1"/>
    <col min="2309" max="2309" width="30.81640625" bestFit="1" customWidth="1"/>
    <col min="2310" max="2310" width="30.81640625" customWidth="1"/>
    <col min="2311" max="2311" width="37.7265625" customWidth="1"/>
    <col min="2312" max="2312" width="8.1796875" customWidth="1"/>
    <col min="2313" max="2313" width="5" bestFit="1" customWidth="1"/>
    <col min="2314" max="2314" width="15.26953125" bestFit="1" customWidth="1"/>
    <col min="2315" max="2315" width="16.81640625" bestFit="1" customWidth="1"/>
    <col min="2563" max="2563" width="27.26953125" customWidth="1"/>
    <col min="2564" max="2564" width="10.453125" bestFit="1" customWidth="1"/>
    <col min="2565" max="2565" width="30.81640625" bestFit="1" customWidth="1"/>
    <col min="2566" max="2566" width="30.81640625" customWidth="1"/>
    <col min="2567" max="2567" width="37.7265625" customWidth="1"/>
    <col min="2568" max="2568" width="8.1796875" customWidth="1"/>
    <col min="2569" max="2569" width="5" bestFit="1" customWidth="1"/>
    <col min="2570" max="2570" width="15.26953125" bestFit="1" customWidth="1"/>
    <col min="2571" max="2571" width="16.81640625" bestFit="1" customWidth="1"/>
    <col min="2819" max="2819" width="27.26953125" customWidth="1"/>
    <col min="2820" max="2820" width="10.453125" bestFit="1" customWidth="1"/>
    <col min="2821" max="2821" width="30.81640625" bestFit="1" customWidth="1"/>
    <col min="2822" max="2822" width="30.81640625" customWidth="1"/>
    <col min="2823" max="2823" width="37.7265625" customWidth="1"/>
    <col min="2824" max="2824" width="8.1796875" customWidth="1"/>
    <col min="2825" max="2825" width="5" bestFit="1" customWidth="1"/>
    <col min="2826" max="2826" width="15.26953125" bestFit="1" customWidth="1"/>
    <col min="2827" max="2827" width="16.81640625" bestFit="1" customWidth="1"/>
    <col min="3075" max="3075" width="27.26953125" customWidth="1"/>
    <col min="3076" max="3076" width="10.453125" bestFit="1" customWidth="1"/>
    <col min="3077" max="3077" width="30.81640625" bestFit="1" customWidth="1"/>
    <col min="3078" max="3078" width="30.81640625" customWidth="1"/>
    <col min="3079" max="3079" width="37.7265625" customWidth="1"/>
    <col min="3080" max="3080" width="8.1796875" customWidth="1"/>
    <col min="3081" max="3081" width="5" bestFit="1" customWidth="1"/>
    <col min="3082" max="3082" width="15.26953125" bestFit="1" customWidth="1"/>
    <col min="3083" max="3083" width="16.81640625" bestFit="1" customWidth="1"/>
    <col min="3331" max="3331" width="27.26953125" customWidth="1"/>
    <col min="3332" max="3332" width="10.453125" bestFit="1" customWidth="1"/>
    <col min="3333" max="3333" width="30.81640625" bestFit="1" customWidth="1"/>
    <col min="3334" max="3334" width="30.81640625" customWidth="1"/>
    <col min="3335" max="3335" width="37.7265625" customWidth="1"/>
    <col min="3336" max="3336" width="8.1796875" customWidth="1"/>
    <col min="3337" max="3337" width="5" bestFit="1" customWidth="1"/>
    <col min="3338" max="3338" width="15.26953125" bestFit="1" customWidth="1"/>
    <col min="3339" max="3339" width="16.81640625" bestFit="1" customWidth="1"/>
    <col min="3587" max="3587" width="27.26953125" customWidth="1"/>
    <col min="3588" max="3588" width="10.453125" bestFit="1" customWidth="1"/>
    <col min="3589" max="3589" width="30.81640625" bestFit="1" customWidth="1"/>
    <col min="3590" max="3590" width="30.81640625" customWidth="1"/>
    <col min="3591" max="3591" width="37.7265625" customWidth="1"/>
    <col min="3592" max="3592" width="8.1796875" customWidth="1"/>
    <col min="3593" max="3593" width="5" bestFit="1" customWidth="1"/>
    <col min="3594" max="3594" width="15.26953125" bestFit="1" customWidth="1"/>
    <col min="3595" max="3595" width="16.81640625" bestFit="1" customWidth="1"/>
    <col min="3843" max="3843" width="27.26953125" customWidth="1"/>
    <col min="3844" max="3844" width="10.453125" bestFit="1" customWidth="1"/>
    <col min="3845" max="3845" width="30.81640625" bestFit="1" customWidth="1"/>
    <col min="3846" max="3846" width="30.81640625" customWidth="1"/>
    <col min="3847" max="3847" width="37.7265625" customWidth="1"/>
    <col min="3848" max="3848" width="8.1796875" customWidth="1"/>
    <col min="3849" max="3849" width="5" bestFit="1" customWidth="1"/>
    <col min="3850" max="3850" width="15.26953125" bestFit="1" customWidth="1"/>
    <col min="3851" max="3851" width="16.81640625" bestFit="1" customWidth="1"/>
    <col min="4099" max="4099" width="27.26953125" customWidth="1"/>
    <col min="4100" max="4100" width="10.453125" bestFit="1" customWidth="1"/>
    <col min="4101" max="4101" width="30.81640625" bestFit="1" customWidth="1"/>
    <col min="4102" max="4102" width="30.81640625" customWidth="1"/>
    <col min="4103" max="4103" width="37.7265625" customWidth="1"/>
    <col min="4104" max="4104" width="8.1796875" customWidth="1"/>
    <col min="4105" max="4105" width="5" bestFit="1" customWidth="1"/>
    <col min="4106" max="4106" width="15.26953125" bestFit="1" customWidth="1"/>
    <col min="4107" max="4107" width="16.81640625" bestFit="1" customWidth="1"/>
    <col min="4355" max="4355" width="27.26953125" customWidth="1"/>
    <col min="4356" max="4356" width="10.453125" bestFit="1" customWidth="1"/>
    <col min="4357" max="4357" width="30.81640625" bestFit="1" customWidth="1"/>
    <col min="4358" max="4358" width="30.81640625" customWidth="1"/>
    <col min="4359" max="4359" width="37.7265625" customWidth="1"/>
    <col min="4360" max="4360" width="8.1796875" customWidth="1"/>
    <col min="4361" max="4361" width="5" bestFit="1" customWidth="1"/>
    <col min="4362" max="4362" width="15.26953125" bestFit="1" customWidth="1"/>
    <col min="4363" max="4363" width="16.81640625" bestFit="1" customWidth="1"/>
    <col min="4611" max="4611" width="27.26953125" customWidth="1"/>
    <col min="4612" max="4612" width="10.453125" bestFit="1" customWidth="1"/>
    <col min="4613" max="4613" width="30.81640625" bestFit="1" customWidth="1"/>
    <col min="4614" max="4614" width="30.81640625" customWidth="1"/>
    <col min="4615" max="4615" width="37.7265625" customWidth="1"/>
    <col min="4616" max="4616" width="8.1796875" customWidth="1"/>
    <col min="4617" max="4617" width="5" bestFit="1" customWidth="1"/>
    <col min="4618" max="4618" width="15.26953125" bestFit="1" customWidth="1"/>
    <col min="4619" max="4619" width="16.81640625" bestFit="1" customWidth="1"/>
    <col min="4867" max="4867" width="27.26953125" customWidth="1"/>
    <col min="4868" max="4868" width="10.453125" bestFit="1" customWidth="1"/>
    <col min="4869" max="4869" width="30.81640625" bestFit="1" customWidth="1"/>
    <col min="4870" max="4870" width="30.81640625" customWidth="1"/>
    <col min="4871" max="4871" width="37.7265625" customWidth="1"/>
    <col min="4872" max="4872" width="8.1796875" customWidth="1"/>
    <col min="4873" max="4873" width="5" bestFit="1" customWidth="1"/>
    <col min="4874" max="4874" width="15.26953125" bestFit="1" customWidth="1"/>
    <col min="4875" max="4875" width="16.81640625" bestFit="1" customWidth="1"/>
    <col min="5123" max="5123" width="27.26953125" customWidth="1"/>
    <col min="5124" max="5124" width="10.453125" bestFit="1" customWidth="1"/>
    <col min="5125" max="5125" width="30.81640625" bestFit="1" customWidth="1"/>
    <col min="5126" max="5126" width="30.81640625" customWidth="1"/>
    <col min="5127" max="5127" width="37.7265625" customWidth="1"/>
    <col min="5128" max="5128" width="8.1796875" customWidth="1"/>
    <col min="5129" max="5129" width="5" bestFit="1" customWidth="1"/>
    <col min="5130" max="5130" width="15.26953125" bestFit="1" customWidth="1"/>
    <col min="5131" max="5131" width="16.81640625" bestFit="1" customWidth="1"/>
    <col min="5379" max="5379" width="27.26953125" customWidth="1"/>
    <col min="5380" max="5380" width="10.453125" bestFit="1" customWidth="1"/>
    <col min="5381" max="5381" width="30.81640625" bestFit="1" customWidth="1"/>
    <col min="5382" max="5382" width="30.81640625" customWidth="1"/>
    <col min="5383" max="5383" width="37.7265625" customWidth="1"/>
    <col min="5384" max="5384" width="8.1796875" customWidth="1"/>
    <col min="5385" max="5385" width="5" bestFit="1" customWidth="1"/>
    <col min="5386" max="5386" width="15.26953125" bestFit="1" customWidth="1"/>
    <col min="5387" max="5387" width="16.81640625" bestFit="1" customWidth="1"/>
    <col min="5635" max="5635" width="27.26953125" customWidth="1"/>
    <col min="5636" max="5636" width="10.453125" bestFit="1" customWidth="1"/>
    <col min="5637" max="5637" width="30.81640625" bestFit="1" customWidth="1"/>
    <col min="5638" max="5638" width="30.81640625" customWidth="1"/>
    <col min="5639" max="5639" width="37.7265625" customWidth="1"/>
    <col min="5640" max="5640" width="8.1796875" customWidth="1"/>
    <col min="5641" max="5641" width="5" bestFit="1" customWidth="1"/>
    <col min="5642" max="5642" width="15.26953125" bestFit="1" customWidth="1"/>
    <col min="5643" max="5643" width="16.81640625" bestFit="1" customWidth="1"/>
    <col min="5891" max="5891" width="27.26953125" customWidth="1"/>
    <col min="5892" max="5892" width="10.453125" bestFit="1" customWidth="1"/>
    <col min="5893" max="5893" width="30.81640625" bestFit="1" customWidth="1"/>
    <col min="5894" max="5894" width="30.81640625" customWidth="1"/>
    <col min="5895" max="5895" width="37.7265625" customWidth="1"/>
    <col min="5896" max="5896" width="8.1796875" customWidth="1"/>
    <col min="5897" max="5897" width="5" bestFit="1" customWidth="1"/>
    <col min="5898" max="5898" width="15.26953125" bestFit="1" customWidth="1"/>
    <col min="5899" max="5899" width="16.81640625" bestFit="1" customWidth="1"/>
    <col min="6147" max="6147" width="27.26953125" customWidth="1"/>
    <col min="6148" max="6148" width="10.453125" bestFit="1" customWidth="1"/>
    <col min="6149" max="6149" width="30.81640625" bestFit="1" customWidth="1"/>
    <col min="6150" max="6150" width="30.81640625" customWidth="1"/>
    <col min="6151" max="6151" width="37.7265625" customWidth="1"/>
    <col min="6152" max="6152" width="8.1796875" customWidth="1"/>
    <col min="6153" max="6153" width="5" bestFit="1" customWidth="1"/>
    <col min="6154" max="6154" width="15.26953125" bestFit="1" customWidth="1"/>
    <col min="6155" max="6155" width="16.81640625" bestFit="1" customWidth="1"/>
    <col min="6403" max="6403" width="27.26953125" customWidth="1"/>
    <col min="6404" max="6404" width="10.453125" bestFit="1" customWidth="1"/>
    <col min="6405" max="6405" width="30.81640625" bestFit="1" customWidth="1"/>
    <col min="6406" max="6406" width="30.81640625" customWidth="1"/>
    <col min="6407" max="6407" width="37.7265625" customWidth="1"/>
    <col min="6408" max="6408" width="8.1796875" customWidth="1"/>
    <col min="6409" max="6409" width="5" bestFit="1" customWidth="1"/>
    <col min="6410" max="6410" width="15.26953125" bestFit="1" customWidth="1"/>
    <col min="6411" max="6411" width="16.81640625" bestFit="1" customWidth="1"/>
    <col min="6659" max="6659" width="27.26953125" customWidth="1"/>
    <col min="6660" max="6660" width="10.453125" bestFit="1" customWidth="1"/>
    <col min="6661" max="6661" width="30.81640625" bestFit="1" customWidth="1"/>
    <col min="6662" max="6662" width="30.81640625" customWidth="1"/>
    <col min="6663" max="6663" width="37.7265625" customWidth="1"/>
    <col min="6664" max="6664" width="8.1796875" customWidth="1"/>
    <col min="6665" max="6665" width="5" bestFit="1" customWidth="1"/>
    <col min="6666" max="6666" width="15.26953125" bestFit="1" customWidth="1"/>
    <col min="6667" max="6667" width="16.81640625" bestFit="1" customWidth="1"/>
    <col min="6915" max="6915" width="27.26953125" customWidth="1"/>
    <col min="6916" max="6916" width="10.453125" bestFit="1" customWidth="1"/>
    <col min="6917" max="6917" width="30.81640625" bestFit="1" customWidth="1"/>
    <col min="6918" max="6918" width="30.81640625" customWidth="1"/>
    <col min="6919" max="6919" width="37.7265625" customWidth="1"/>
    <col min="6920" max="6920" width="8.1796875" customWidth="1"/>
    <col min="6921" max="6921" width="5" bestFit="1" customWidth="1"/>
    <col min="6922" max="6922" width="15.26953125" bestFit="1" customWidth="1"/>
    <col min="6923" max="6923" width="16.81640625" bestFit="1" customWidth="1"/>
    <col min="7171" max="7171" width="27.26953125" customWidth="1"/>
    <col min="7172" max="7172" width="10.453125" bestFit="1" customWidth="1"/>
    <col min="7173" max="7173" width="30.81640625" bestFit="1" customWidth="1"/>
    <col min="7174" max="7174" width="30.81640625" customWidth="1"/>
    <col min="7175" max="7175" width="37.7265625" customWidth="1"/>
    <col min="7176" max="7176" width="8.1796875" customWidth="1"/>
    <col min="7177" max="7177" width="5" bestFit="1" customWidth="1"/>
    <col min="7178" max="7178" width="15.26953125" bestFit="1" customWidth="1"/>
    <col min="7179" max="7179" width="16.81640625" bestFit="1" customWidth="1"/>
    <col min="7427" max="7427" width="27.26953125" customWidth="1"/>
    <col min="7428" max="7428" width="10.453125" bestFit="1" customWidth="1"/>
    <col min="7429" max="7429" width="30.81640625" bestFit="1" customWidth="1"/>
    <col min="7430" max="7430" width="30.81640625" customWidth="1"/>
    <col min="7431" max="7431" width="37.7265625" customWidth="1"/>
    <col min="7432" max="7432" width="8.1796875" customWidth="1"/>
    <col min="7433" max="7433" width="5" bestFit="1" customWidth="1"/>
    <col min="7434" max="7434" width="15.26953125" bestFit="1" customWidth="1"/>
    <col min="7435" max="7435" width="16.81640625" bestFit="1" customWidth="1"/>
    <col min="7683" max="7683" width="27.26953125" customWidth="1"/>
    <col min="7684" max="7684" width="10.453125" bestFit="1" customWidth="1"/>
    <col min="7685" max="7685" width="30.81640625" bestFit="1" customWidth="1"/>
    <col min="7686" max="7686" width="30.81640625" customWidth="1"/>
    <col min="7687" max="7687" width="37.7265625" customWidth="1"/>
    <col min="7688" max="7688" width="8.1796875" customWidth="1"/>
    <col min="7689" max="7689" width="5" bestFit="1" customWidth="1"/>
    <col min="7690" max="7690" width="15.26953125" bestFit="1" customWidth="1"/>
    <col min="7691" max="7691" width="16.81640625" bestFit="1" customWidth="1"/>
    <col min="7939" max="7939" width="27.26953125" customWidth="1"/>
    <col min="7940" max="7940" width="10.453125" bestFit="1" customWidth="1"/>
    <col min="7941" max="7941" width="30.81640625" bestFit="1" customWidth="1"/>
    <col min="7942" max="7942" width="30.81640625" customWidth="1"/>
    <col min="7943" max="7943" width="37.7265625" customWidth="1"/>
    <col min="7944" max="7944" width="8.1796875" customWidth="1"/>
    <col min="7945" max="7945" width="5" bestFit="1" customWidth="1"/>
    <col min="7946" max="7946" width="15.26953125" bestFit="1" customWidth="1"/>
    <col min="7947" max="7947" width="16.81640625" bestFit="1" customWidth="1"/>
    <col min="8195" max="8195" width="27.26953125" customWidth="1"/>
    <col min="8196" max="8196" width="10.453125" bestFit="1" customWidth="1"/>
    <col min="8197" max="8197" width="30.81640625" bestFit="1" customWidth="1"/>
    <col min="8198" max="8198" width="30.81640625" customWidth="1"/>
    <col min="8199" max="8199" width="37.7265625" customWidth="1"/>
    <col min="8200" max="8200" width="8.1796875" customWidth="1"/>
    <col min="8201" max="8201" width="5" bestFit="1" customWidth="1"/>
    <col min="8202" max="8202" width="15.26953125" bestFit="1" customWidth="1"/>
    <col min="8203" max="8203" width="16.81640625" bestFit="1" customWidth="1"/>
    <col min="8451" max="8451" width="27.26953125" customWidth="1"/>
    <col min="8452" max="8452" width="10.453125" bestFit="1" customWidth="1"/>
    <col min="8453" max="8453" width="30.81640625" bestFit="1" customWidth="1"/>
    <col min="8454" max="8454" width="30.81640625" customWidth="1"/>
    <col min="8455" max="8455" width="37.7265625" customWidth="1"/>
    <col min="8456" max="8456" width="8.1796875" customWidth="1"/>
    <col min="8457" max="8457" width="5" bestFit="1" customWidth="1"/>
    <col min="8458" max="8458" width="15.26953125" bestFit="1" customWidth="1"/>
    <col min="8459" max="8459" width="16.81640625" bestFit="1" customWidth="1"/>
    <col min="8707" max="8707" width="27.26953125" customWidth="1"/>
    <col min="8708" max="8708" width="10.453125" bestFit="1" customWidth="1"/>
    <col min="8709" max="8709" width="30.81640625" bestFit="1" customWidth="1"/>
    <col min="8710" max="8710" width="30.81640625" customWidth="1"/>
    <col min="8711" max="8711" width="37.7265625" customWidth="1"/>
    <col min="8712" max="8712" width="8.1796875" customWidth="1"/>
    <col min="8713" max="8713" width="5" bestFit="1" customWidth="1"/>
    <col min="8714" max="8714" width="15.26953125" bestFit="1" customWidth="1"/>
    <col min="8715" max="8715" width="16.81640625" bestFit="1" customWidth="1"/>
    <col min="8963" max="8963" width="27.26953125" customWidth="1"/>
    <col min="8964" max="8964" width="10.453125" bestFit="1" customWidth="1"/>
    <col min="8965" max="8965" width="30.81640625" bestFit="1" customWidth="1"/>
    <col min="8966" max="8966" width="30.81640625" customWidth="1"/>
    <col min="8967" max="8967" width="37.7265625" customWidth="1"/>
    <col min="8968" max="8968" width="8.1796875" customWidth="1"/>
    <col min="8969" max="8969" width="5" bestFit="1" customWidth="1"/>
    <col min="8970" max="8970" width="15.26953125" bestFit="1" customWidth="1"/>
    <col min="8971" max="8971" width="16.81640625" bestFit="1" customWidth="1"/>
    <col min="9219" max="9219" width="27.26953125" customWidth="1"/>
    <col min="9220" max="9220" width="10.453125" bestFit="1" customWidth="1"/>
    <col min="9221" max="9221" width="30.81640625" bestFit="1" customWidth="1"/>
    <col min="9222" max="9222" width="30.81640625" customWidth="1"/>
    <col min="9223" max="9223" width="37.7265625" customWidth="1"/>
    <col min="9224" max="9224" width="8.1796875" customWidth="1"/>
    <col min="9225" max="9225" width="5" bestFit="1" customWidth="1"/>
    <col min="9226" max="9226" width="15.26953125" bestFit="1" customWidth="1"/>
    <col min="9227" max="9227" width="16.81640625" bestFit="1" customWidth="1"/>
    <col min="9475" max="9475" width="27.26953125" customWidth="1"/>
    <col min="9476" max="9476" width="10.453125" bestFit="1" customWidth="1"/>
    <col min="9477" max="9477" width="30.81640625" bestFit="1" customWidth="1"/>
    <col min="9478" max="9478" width="30.81640625" customWidth="1"/>
    <col min="9479" max="9479" width="37.7265625" customWidth="1"/>
    <col min="9480" max="9480" width="8.1796875" customWidth="1"/>
    <col min="9481" max="9481" width="5" bestFit="1" customWidth="1"/>
    <col min="9482" max="9482" width="15.26953125" bestFit="1" customWidth="1"/>
    <col min="9483" max="9483" width="16.81640625" bestFit="1" customWidth="1"/>
    <col min="9731" max="9731" width="27.26953125" customWidth="1"/>
    <col min="9732" max="9732" width="10.453125" bestFit="1" customWidth="1"/>
    <col min="9733" max="9733" width="30.81640625" bestFit="1" customWidth="1"/>
    <col min="9734" max="9734" width="30.81640625" customWidth="1"/>
    <col min="9735" max="9735" width="37.7265625" customWidth="1"/>
    <col min="9736" max="9736" width="8.1796875" customWidth="1"/>
    <col min="9737" max="9737" width="5" bestFit="1" customWidth="1"/>
    <col min="9738" max="9738" width="15.26953125" bestFit="1" customWidth="1"/>
    <col min="9739" max="9739" width="16.81640625" bestFit="1" customWidth="1"/>
    <col min="9987" max="9987" width="27.26953125" customWidth="1"/>
    <col min="9988" max="9988" width="10.453125" bestFit="1" customWidth="1"/>
    <col min="9989" max="9989" width="30.81640625" bestFit="1" customWidth="1"/>
    <col min="9990" max="9990" width="30.81640625" customWidth="1"/>
    <col min="9991" max="9991" width="37.7265625" customWidth="1"/>
    <col min="9992" max="9992" width="8.1796875" customWidth="1"/>
    <col min="9993" max="9993" width="5" bestFit="1" customWidth="1"/>
    <col min="9994" max="9994" width="15.26953125" bestFit="1" customWidth="1"/>
    <col min="9995" max="9995" width="16.81640625" bestFit="1" customWidth="1"/>
    <col min="10243" max="10243" width="27.26953125" customWidth="1"/>
    <col min="10244" max="10244" width="10.453125" bestFit="1" customWidth="1"/>
    <col min="10245" max="10245" width="30.81640625" bestFit="1" customWidth="1"/>
    <col min="10246" max="10246" width="30.81640625" customWidth="1"/>
    <col min="10247" max="10247" width="37.7265625" customWidth="1"/>
    <col min="10248" max="10248" width="8.1796875" customWidth="1"/>
    <col min="10249" max="10249" width="5" bestFit="1" customWidth="1"/>
    <col min="10250" max="10250" width="15.26953125" bestFit="1" customWidth="1"/>
    <col min="10251" max="10251" width="16.81640625" bestFit="1" customWidth="1"/>
    <col min="10499" max="10499" width="27.26953125" customWidth="1"/>
    <col min="10500" max="10500" width="10.453125" bestFit="1" customWidth="1"/>
    <col min="10501" max="10501" width="30.81640625" bestFit="1" customWidth="1"/>
    <col min="10502" max="10502" width="30.81640625" customWidth="1"/>
    <col min="10503" max="10503" width="37.7265625" customWidth="1"/>
    <col min="10504" max="10504" width="8.1796875" customWidth="1"/>
    <col min="10505" max="10505" width="5" bestFit="1" customWidth="1"/>
    <col min="10506" max="10506" width="15.26953125" bestFit="1" customWidth="1"/>
    <col min="10507" max="10507" width="16.81640625" bestFit="1" customWidth="1"/>
    <col min="10755" max="10755" width="27.26953125" customWidth="1"/>
    <col min="10756" max="10756" width="10.453125" bestFit="1" customWidth="1"/>
    <col min="10757" max="10757" width="30.81640625" bestFit="1" customWidth="1"/>
    <col min="10758" max="10758" width="30.81640625" customWidth="1"/>
    <col min="10759" max="10759" width="37.7265625" customWidth="1"/>
    <col min="10760" max="10760" width="8.1796875" customWidth="1"/>
    <col min="10761" max="10761" width="5" bestFit="1" customWidth="1"/>
    <col min="10762" max="10762" width="15.26953125" bestFit="1" customWidth="1"/>
    <col min="10763" max="10763" width="16.81640625" bestFit="1" customWidth="1"/>
    <col min="11011" max="11011" width="27.26953125" customWidth="1"/>
    <col min="11012" max="11012" width="10.453125" bestFit="1" customWidth="1"/>
    <col min="11013" max="11013" width="30.81640625" bestFit="1" customWidth="1"/>
    <col min="11014" max="11014" width="30.81640625" customWidth="1"/>
    <col min="11015" max="11015" width="37.7265625" customWidth="1"/>
    <col min="11016" max="11016" width="8.1796875" customWidth="1"/>
    <col min="11017" max="11017" width="5" bestFit="1" customWidth="1"/>
    <col min="11018" max="11018" width="15.26953125" bestFit="1" customWidth="1"/>
    <col min="11019" max="11019" width="16.81640625" bestFit="1" customWidth="1"/>
    <col min="11267" max="11267" width="27.26953125" customWidth="1"/>
    <col min="11268" max="11268" width="10.453125" bestFit="1" customWidth="1"/>
    <col min="11269" max="11269" width="30.81640625" bestFit="1" customWidth="1"/>
    <col min="11270" max="11270" width="30.81640625" customWidth="1"/>
    <col min="11271" max="11271" width="37.7265625" customWidth="1"/>
    <col min="11272" max="11272" width="8.1796875" customWidth="1"/>
    <col min="11273" max="11273" width="5" bestFit="1" customWidth="1"/>
    <col min="11274" max="11274" width="15.26953125" bestFit="1" customWidth="1"/>
    <col min="11275" max="11275" width="16.81640625" bestFit="1" customWidth="1"/>
    <col min="11523" max="11523" width="27.26953125" customWidth="1"/>
    <col min="11524" max="11524" width="10.453125" bestFit="1" customWidth="1"/>
    <col min="11525" max="11525" width="30.81640625" bestFit="1" customWidth="1"/>
    <col min="11526" max="11526" width="30.81640625" customWidth="1"/>
    <col min="11527" max="11527" width="37.7265625" customWidth="1"/>
    <col min="11528" max="11528" width="8.1796875" customWidth="1"/>
    <col min="11529" max="11529" width="5" bestFit="1" customWidth="1"/>
    <col min="11530" max="11530" width="15.26953125" bestFit="1" customWidth="1"/>
    <col min="11531" max="11531" width="16.81640625" bestFit="1" customWidth="1"/>
    <col min="11779" max="11779" width="27.26953125" customWidth="1"/>
    <col min="11780" max="11780" width="10.453125" bestFit="1" customWidth="1"/>
    <col min="11781" max="11781" width="30.81640625" bestFit="1" customWidth="1"/>
    <col min="11782" max="11782" width="30.81640625" customWidth="1"/>
    <col min="11783" max="11783" width="37.7265625" customWidth="1"/>
    <col min="11784" max="11784" width="8.1796875" customWidth="1"/>
    <col min="11785" max="11785" width="5" bestFit="1" customWidth="1"/>
    <col min="11786" max="11786" width="15.26953125" bestFit="1" customWidth="1"/>
    <col min="11787" max="11787" width="16.81640625" bestFit="1" customWidth="1"/>
    <col min="12035" max="12035" width="27.26953125" customWidth="1"/>
    <col min="12036" max="12036" width="10.453125" bestFit="1" customWidth="1"/>
    <col min="12037" max="12037" width="30.81640625" bestFit="1" customWidth="1"/>
    <col min="12038" max="12038" width="30.81640625" customWidth="1"/>
    <col min="12039" max="12039" width="37.7265625" customWidth="1"/>
    <col min="12040" max="12040" width="8.1796875" customWidth="1"/>
    <col min="12041" max="12041" width="5" bestFit="1" customWidth="1"/>
    <col min="12042" max="12042" width="15.26953125" bestFit="1" customWidth="1"/>
    <col min="12043" max="12043" width="16.81640625" bestFit="1" customWidth="1"/>
    <col min="12291" max="12291" width="27.26953125" customWidth="1"/>
    <col min="12292" max="12292" width="10.453125" bestFit="1" customWidth="1"/>
    <col min="12293" max="12293" width="30.81640625" bestFit="1" customWidth="1"/>
    <col min="12294" max="12294" width="30.81640625" customWidth="1"/>
    <col min="12295" max="12295" width="37.7265625" customWidth="1"/>
    <col min="12296" max="12296" width="8.1796875" customWidth="1"/>
    <col min="12297" max="12297" width="5" bestFit="1" customWidth="1"/>
    <col min="12298" max="12298" width="15.26953125" bestFit="1" customWidth="1"/>
    <col min="12299" max="12299" width="16.81640625" bestFit="1" customWidth="1"/>
    <col min="12547" max="12547" width="27.26953125" customWidth="1"/>
    <col min="12548" max="12548" width="10.453125" bestFit="1" customWidth="1"/>
    <col min="12549" max="12549" width="30.81640625" bestFit="1" customWidth="1"/>
    <col min="12550" max="12550" width="30.81640625" customWidth="1"/>
    <col min="12551" max="12551" width="37.7265625" customWidth="1"/>
    <col min="12552" max="12552" width="8.1796875" customWidth="1"/>
    <col min="12553" max="12553" width="5" bestFit="1" customWidth="1"/>
    <col min="12554" max="12554" width="15.26953125" bestFit="1" customWidth="1"/>
    <col min="12555" max="12555" width="16.81640625" bestFit="1" customWidth="1"/>
    <col min="12803" max="12803" width="27.26953125" customWidth="1"/>
    <col min="12804" max="12804" width="10.453125" bestFit="1" customWidth="1"/>
    <col min="12805" max="12805" width="30.81640625" bestFit="1" customWidth="1"/>
    <col min="12806" max="12806" width="30.81640625" customWidth="1"/>
    <col min="12807" max="12807" width="37.7265625" customWidth="1"/>
    <col min="12808" max="12808" width="8.1796875" customWidth="1"/>
    <col min="12809" max="12809" width="5" bestFit="1" customWidth="1"/>
    <col min="12810" max="12810" width="15.26953125" bestFit="1" customWidth="1"/>
    <col min="12811" max="12811" width="16.81640625" bestFit="1" customWidth="1"/>
    <col min="13059" max="13059" width="27.26953125" customWidth="1"/>
    <col min="13060" max="13060" width="10.453125" bestFit="1" customWidth="1"/>
    <col min="13061" max="13061" width="30.81640625" bestFit="1" customWidth="1"/>
    <col min="13062" max="13062" width="30.81640625" customWidth="1"/>
    <col min="13063" max="13063" width="37.7265625" customWidth="1"/>
    <col min="13064" max="13064" width="8.1796875" customWidth="1"/>
    <col min="13065" max="13065" width="5" bestFit="1" customWidth="1"/>
    <col min="13066" max="13066" width="15.26953125" bestFit="1" customWidth="1"/>
    <col min="13067" max="13067" width="16.81640625" bestFit="1" customWidth="1"/>
    <col min="13315" max="13315" width="27.26953125" customWidth="1"/>
    <col min="13316" max="13316" width="10.453125" bestFit="1" customWidth="1"/>
    <col min="13317" max="13317" width="30.81640625" bestFit="1" customWidth="1"/>
    <col min="13318" max="13318" width="30.81640625" customWidth="1"/>
    <col min="13319" max="13319" width="37.7265625" customWidth="1"/>
    <col min="13320" max="13320" width="8.1796875" customWidth="1"/>
    <col min="13321" max="13321" width="5" bestFit="1" customWidth="1"/>
    <col min="13322" max="13322" width="15.26953125" bestFit="1" customWidth="1"/>
    <col min="13323" max="13323" width="16.81640625" bestFit="1" customWidth="1"/>
    <col min="13571" max="13571" width="27.26953125" customWidth="1"/>
    <col min="13572" max="13572" width="10.453125" bestFit="1" customWidth="1"/>
    <col min="13573" max="13573" width="30.81640625" bestFit="1" customWidth="1"/>
    <col min="13574" max="13574" width="30.81640625" customWidth="1"/>
    <col min="13575" max="13575" width="37.7265625" customWidth="1"/>
    <col min="13576" max="13576" width="8.1796875" customWidth="1"/>
    <col min="13577" max="13577" width="5" bestFit="1" customWidth="1"/>
    <col min="13578" max="13578" width="15.26953125" bestFit="1" customWidth="1"/>
    <col min="13579" max="13579" width="16.81640625" bestFit="1" customWidth="1"/>
    <col min="13827" max="13827" width="27.26953125" customWidth="1"/>
    <col min="13828" max="13828" width="10.453125" bestFit="1" customWidth="1"/>
    <col min="13829" max="13829" width="30.81640625" bestFit="1" customWidth="1"/>
    <col min="13830" max="13830" width="30.81640625" customWidth="1"/>
    <col min="13831" max="13831" width="37.7265625" customWidth="1"/>
    <col min="13832" max="13832" width="8.1796875" customWidth="1"/>
    <col min="13833" max="13833" width="5" bestFit="1" customWidth="1"/>
    <col min="13834" max="13834" width="15.26953125" bestFit="1" customWidth="1"/>
    <col min="13835" max="13835" width="16.81640625" bestFit="1" customWidth="1"/>
    <col min="14083" max="14083" width="27.26953125" customWidth="1"/>
    <col min="14084" max="14084" width="10.453125" bestFit="1" customWidth="1"/>
    <col min="14085" max="14085" width="30.81640625" bestFit="1" customWidth="1"/>
    <col min="14086" max="14086" width="30.81640625" customWidth="1"/>
    <col min="14087" max="14087" width="37.7265625" customWidth="1"/>
    <col min="14088" max="14088" width="8.1796875" customWidth="1"/>
    <col min="14089" max="14089" width="5" bestFit="1" customWidth="1"/>
    <col min="14090" max="14090" width="15.26953125" bestFit="1" customWidth="1"/>
    <col min="14091" max="14091" width="16.81640625" bestFit="1" customWidth="1"/>
    <col min="14339" max="14339" width="27.26953125" customWidth="1"/>
    <col min="14340" max="14340" width="10.453125" bestFit="1" customWidth="1"/>
    <col min="14341" max="14341" width="30.81640625" bestFit="1" customWidth="1"/>
    <col min="14342" max="14342" width="30.81640625" customWidth="1"/>
    <col min="14343" max="14343" width="37.7265625" customWidth="1"/>
    <col min="14344" max="14344" width="8.1796875" customWidth="1"/>
    <col min="14345" max="14345" width="5" bestFit="1" customWidth="1"/>
    <col min="14346" max="14346" width="15.26953125" bestFit="1" customWidth="1"/>
    <col min="14347" max="14347" width="16.81640625" bestFit="1" customWidth="1"/>
    <col min="14595" max="14595" width="27.26953125" customWidth="1"/>
    <col min="14596" max="14596" width="10.453125" bestFit="1" customWidth="1"/>
    <col min="14597" max="14597" width="30.81640625" bestFit="1" customWidth="1"/>
    <col min="14598" max="14598" width="30.81640625" customWidth="1"/>
    <col min="14599" max="14599" width="37.7265625" customWidth="1"/>
    <col min="14600" max="14600" width="8.1796875" customWidth="1"/>
    <col min="14601" max="14601" width="5" bestFit="1" customWidth="1"/>
    <col min="14602" max="14602" width="15.26953125" bestFit="1" customWidth="1"/>
    <col min="14603" max="14603" width="16.81640625" bestFit="1" customWidth="1"/>
    <col min="14851" max="14851" width="27.26953125" customWidth="1"/>
    <col min="14852" max="14852" width="10.453125" bestFit="1" customWidth="1"/>
    <col min="14853" max="14853" width="30.81640625" bestFit="1" customWidth="1"/>
    <col min="14854" max="14854" width="30.81640625" customWidth="1"/>
    <col min="14855" max="14855" width="37.7265625" customWidth="1"/>
    <col min="14856" max="14856" width="8.1796875" customWidth="1"/>
    <col min="14857" max="14857" width="5" bestFit="1" customWidth="1"/>
    <col min="14858" max="14858" width="15.26953125" bestFit="1" customWidth="1"/>
    <col min="14859" max="14859" width="16.81640625" bestFit="1" customWidth="1"/>
    <col min="15107" max="15107" width="27.26953125" customWidth="1"/>
    <col min="15108" max="15108" width="10.453125" bestFit="1" customWidth="1"/>
    <col min="15109" max="15109" width="30.81640625" bestFit="1" customWidth="1"/>
    <col min="15110" max="15110" width="30.81640625" customWidth="1"/>
    <col min="15111" max="15111" width="37.7265625" customWidth="1"/>
    <col min="15112" max="15112" width="8.1796875" customWidth="1"/>
    <col min="15113" max="15113" width="5" bestFit="1" customWidth="1"/>
    <col min="15114" max="15114" width="15.26953125" bestFit="1" customWidth="1"/>
    <col min="15115" max="15115" width="16.81640625" bestFit="1" customWidth="1"/>
    <col min="15363" max="15363" width="27.26953125" customWidth="1"/>
    <col min="15364" max="15364" width="10.453125" bestFit="1" customWidth="1"/>
    <col min="15365" max="15365" width="30.81640625" bestFit="1" customWidth="1"/>
    <col min="15366" max="15366" width="30.81640625" customWidth="1"/>
    <col min="15367" max="15367" width="37.7265625" customWidth="1"/>
    <col min="15368" max="15368" width="8.1796875" customWidth="1"/>
    <col min="15369" max="15369" width="5" bestFit="1" customWidth="1"/>
    <col min="15370" max="15370" width="15.26953125" bestFit="1" customWidth="1"/>
    <col min="15371" max="15371" width="16.81640625" bestFit="1" customWidth="1"/>
    <col min="15619" max="15619" width="27.26953125" customWidth="1"/>
    <col min="15620" max="15620" width="10.453125" bestFit="1" customWidth="1"/>
    <col min="15621" max="15621" width="30.81640625" bestFit="1" customWidth="1"/>
    <col min="15622" max="15622" width="30.81640625" customWidth="1"/>
    <col min="15623" max="15623" width="37.7265625" customWidth="1"/>
    <col min="15624" max="15624" width="8.1796875" customWidth="1"/>
    <col min="15625" max="15625" width="5" bestFit="1" customWidth="1"/>
    <col min="15626" max="15626" width="15.26953125" bestFit="1" customWidth="1"/>
    <col min="15627" max="15627" width="16.81640625" bestFit="1" customWidth="1"/>
    <col min="15875" max="15875" width="27.26953125" customWidth="1"/>
    <col min="15876" max="15876" width="10.453125" bestFit="1" customWidth="1"/>
    <col min="15877" max="15877" width="30.81640625" bestFit="1" customWidth="1"/>
    <col min="15878" max="15878" width="30.81640625" customWidth="1"/>
    <col min="15879" max="15879" width="37.7265625" customWidth="1"/>
    <col min="15880" max="15880" width="8.1796875" customWidth="1"/>
    <col min="15881" max="15881" width="5" bestFit="1" customWidth="1"/>
    <col min="15882" max="15882" width="15.26953125" bestFit="1" customWidth="1"/>
    <col min="15883" max="15883" width="16.81640625" bestFit="1" customWidth="1"/>
    <col min="16131" max="16131" width="27.26953125" customWidth="1"/>
    <col min="16132" max="16132" width="10.453125" bestFit="1" customWidth="1"/>
    <col min="16133" max="16133" width="30.81640625" bestFit="1" customWidth="1"/>
    <col min="16134" max="16134" width="30.81640625" customWidth="1"/>
    <col min="16135" max="16135" width="37.7265625" customWidth="1"/>
    <col min="16136" max="16136" width="8.1796875" customWidth="1"/>
    <col min="16137" max="16137" width="5" bestFit="1" customWidth="1"/>
    <col min="16138" max="16138" width="15.26953125" bestFit="1" customWidth="1"/>
    <col min="16139" max="16139" width="16.81640625" bestFit="1" customWidth="1"/>
  </cols>
  <sheetData>
    <row r="1" spans="1:15" x14ac:dyDescent="0.35">
      <c r="A1" s="1112" t="s">
        <v>1656</v>
      </c>
      <c r="B1" s="1112"/>
      <c r="C1" s="1112"/>
      <c r="D1" s="1112"/>
      <c r="E1" s="1112"/>
      <c r="F1" s="1112"/>
      <c r="G1" s="1112"/>
      <c r="H1" s="1112"/>
      <c r="I1" s="1112"/>
      <c r="J1" s="1112"/>
      <c r="K1" s="945"/>
    </row>
    <row r="2" spans="1:15" ht="18.5" x14ac:dyDescent="0.45">
      <c r="A2" s="595" t="s">
        <v>1657</v>
      </c>
    </row>
    <row r="3" spans="1:15" s="597" customFormat="1" ht="29" x14ac:dyDescent="0.35">
      <c r="A3" s="596" t="s">
        <v>1658</v>
      </c>
      <c r="B3" s="596" t="s">
        <v>1659</v>
      </c>
      <c r="C3" s="596" t="s">
        <v>1660</v>
      </c>
      <c r="D3" s="596" t="s">
        <v>1661</v>
      </c>
      <c r="E3" s="596"/>
      <c r="F3" s="596" t="s">
        <v>1635</v>
      </c>
      <c r="G3" s="596" t="s">
        <v>1662</v>
      </c>
      <c r="H3" s="596" t="s">
        <v>1663</v>
      </c>
      <c r="I3" s="554" t="s">
        <v>827</v>
      </c>
      <c r="J3" s="554" t="s">
        <v>780</v>
      </c>
      <c r="K3" s="950" t="s">
        <v>1977</v>
      </c>
      <c r="L3" s="597" t="s">
        <v>265</v>
      </c>
      <c r="M3" s="597" t="s">
        <v>1975</v>
      </c>
      <c r="N3" s="597" t="s">
        <v>1976</v>
      </c>
      <c r="O3" s="597" t="s">
        <v>449</v>
      </c>
    </row>
    <row r="4" spans="1:15" s="594" customFormat="1" ht="43.5" x14ac:dyDescent="0.35">
      <c r="A4" s="598">
        <v>1</v>
      </c>
      <c r="B4" s="599" t="s">
        <v>1664</v>
      </c>
      <c r="C4" s="600">
        <v>45560</v>
      </c>
      <c r="D4" s="599" t="s">
        <v>1665</v>
      </c>
      <c r="E4" s="599" t="s">
        <v>1666</v>
      </c>
      <c r="F4" s="599" t="s">
        <v>1667</v>
      </c>
      <c r="G4" s="599">
        <v>1</v>
      </c>
      <c r="H4" s="599" t="s">
        <v>146</v>
      </c>
      <c r="I4" s="601">
        <v>3780000</v>
      </c>
      <c r="J4" s="601">
        <f>+G4*I4</f>
        <v>3780000</v>
      </c>
      <c r="K4" s="951">
        <v>75600</v>
      </c>
      <c r="L4" s="955">
        <f t="shared" ref="L4:L20" si="0">J4*18%</f>
        <v>680400</v>
      </c>
      <c r="O4" s="955">
        <f t="shared" ref="O4:O20" si="1">SUM(J4:N4)</f>
        <v>4536000</v>
      </c>
    </row>
    <row r="5" spans="1:15" s="594" customFormat="1" ht="29" x14ac:dyDescent="0.35">
      <c r="A5" s="598">
        <v>1</v>
      </c>
      <c r="B5" s="599" t="s">
        <v>1664</v>
      </c>
      <c r="C5" s="600">
        <v>45560</v>
      </c>
      <c r="D5" s="599" t="s">
        <v>1665</v>
      </c>
      <c r="E5" s="599" t="s">
        <v>1666</v>
      </c>
      <c r="F5" s="599" t="s">
        <v>1668</v>
      </c>
      <c r="G5" s="599">
        <v>2</v>
      </c>
      <c r="H5" s="599" t="s">
        <v>146</v>
      </c>
      <c r="I5" s="601">
        <v>22500</v>
      </c>
      <c r="J5" s="601">
        <f>+G5*I5</f>
        <v>45000</v>
      </c>
      <c r="K5" s="951">
        <v>900</v>
      </c>
      <c r="L5" s="955">
        <f t="shared" si="0"/>
        <v>8100</v>
      </c>
      <c r="O5" s="955">
        <f t="shared" si="1"/>
        <v>54000</v>
      </c>
    </row>
    <row r="6" spans="1:15" ht="29" x14ac:dyDescent="0.35">
      <c r="A6" s="598">
        <v>2</v>
      </c>
      <c r="B6" s="599" t="s">
        <v>1669</v>
      </c>
      <c r="C6" s="600">
        <v>45488</v>
      </c>
      <c r="D6" s="599" t="s">
        <v>1670</v>
      </c>
      <c r="E6" s="599" t="s">
        <v>1671</v>
      </c>
      <c r="F6" s="599" t="s">
        <v>1672</v>
      </c>
      <c r="G6" s="599">
        <v>1</v>
      </c>
      <c r="H6" s="599" t="s">
        <v>146</v>
      </c>
      <c r="I6" s="601">
        <f>+(200+700+10+100+50+20+12.5+2.5+62.5+17.5+4+5.25+6.5+30)*100000</f>
        <v>122075000</v>
      </c>
      <c r="J6" s="601">
        <f>+G6*I6</f>
        <v>122075000</v>
      </c>
      <c r="K6" s="951">
        <v>3051875</v>
      </c>
      <c r="L6" s="955">
        <f t="shared" si="0"/>
        <v>21973500</v>
      </c>
      <c r="M6" s="594"/>
      <c r="N6" s="594"/>
      <c r="O6" s="955">
        <f t="shared" si="1"/>
        <v>147100375</v>
      </c>
    </row>
    <row r="7" spans="1:15" ht="29" x14ac:dyDescent="0.35">
      <c r="A7" s="598">
        <v>3</v>
      </c>
      <c r="B7" s="599" t="s">
        <v>1673</v>
      </c>
      <c r="C7" s="600">
        <v>45189</v>
      </c>
      <c r="D7" s="599" t="s">
        <v>1674</v>
      </c>
      <c r="E7" s="599" t="s">
        <v>1675</v>
      </c>
      <c r="F7" s="599" t="s">
        <v>1676</v>
      </c>
      <c r="G7" s="599">
        <v>1</v>
      </c>
      <c r="H7" s="599" t="s">
        <v>146</v>
      </c>
      <c r="I7" s="601">
        <v>5375000</v>
      </c>
      <c r="J7" s="601">
        <f>+G7*I7</f>
        <v>5375000</v>
      </c>
      <c r="K7" s="951"/>
      <c r="L7" s="955">
        <f t="shared" si="0"/>
        <v>967500</v>
      </c>
      <c r="M7" s="594"/>
      <c r="N7" s="594"/>
      <c r="O7" s="955">
        <f t="shared" si="1"/>
        <v>6342500</v>
      </c>
    </row>
    <row r="8" spans="1:15" ht="29" x14ac:dyDescent="0.35">
      <c r="A8" s="598">
        <v>3</v>
      </c>
      <c r="B8" s="599" t="s">
        <v>1673</v>
      </c>
      <c r="C8" s="600">
        <v>45189</v>
      </c>
      <c r="D8" s="599" t="s">
        <v>1674</v>
      </c>
      <c r="E8" s="599" t="s">
        <v>1675</v>
      </c>
      <c r="F8" s="599" t="s">
        <v>1677</v>
      </c>
      <c r="G8" s="599">
        <v>1</v>
      </c>
      <c r="H8" s="599" t="s">
        <v>146</v>
      </c>
      <c r="I8" s="601">
        <v>1875000</v>
      </c>
      <c r="J8" s="601">
        <f>+G8*I8</f>
        <v>1875000</v>
      </c>
      <c r="K8" s="951"/>
      <c r="L8" s="955">
        <f t="shared" si="0"/>
        <v>337500</v>
      </c>
      <c r="M8" s="594"/>
      <c r="N8" s="594"/>
      <c r="O8" s="955">
        <f t="shared" si="1"/>
        <v>2212500</v>
      </c>
    </row>
    <row r="9" spans="1:15" ht="29" x14ac:dyDescent="0.35">
      <c r="A9" s="598">
        <v>4</v>
      </c>
      <c r="B9" s="599" t="s">
        <v>1678</v>
      </c>
      <c r="C9" s="600">
        <v>45404</v>
      </c>
      <c r="D9" s="599" t="s">
        <v>1679</v>
      </c>
      <c r="E9" s="599" t="s">
        <v>1680</v>
      </c>
      <c r="F9" s="599" t="s">
        <v>1681</v>
      </c>
      <c r="G9" s="599">
        <v>1</v>
      </c>
      <c r="H9" s="599" t="s">
        <v>1274</v>
      </c>
      <c r="I9" s="602">
        <v>131800</v>
      </c>
      <c r="J9" s="602">
        <f>+G9*I9*85</f>
        <v>11203000</v>
      </c>
      <c r="K9" s="952"/>
      <c r="L9" s="955">
        <f t="shared" si="0"/>
        <v>2016540</v>
      </c>
      <c r="M9" s="594"/>
      <c r="N9" s="594"/>
      <c r="O9" s="955">
        <f t="shared" si="1"/>
        <v>13219540</v>
      </c>
    </row>
    <row r="10" spans="1:15" ht="29" x14ac:dyDescent="0.35">
      <c r="A10" s="598">
        <v>4</v>
      </c>
      <c r="B10" s="599" t="s">
        <v>1678</v>
      </c>
      <c r="C10" s="600">
        <v>45404</v>
      </c>
      <c r="D10" s="599" t="s">
        <v>1679</v>
      </c>
      <c r="E10" s="599" t="s">
        <v>1680</v>
      </c>
      <c r="F10" s="599" t="s">
        <v>1682</v>
      </c>
      <c r="G10" s="599">
        <v>1</v>
      </c>
      <c r="H10" s="599" t="s">
        <v>1274</v>
      </c>
      <c r="I10" s="602">
        <v>92400</v>
      </c>
      <c r="J10" s="602">
        <f>+G10*I10*85</f>
        <v>7854000</v>
      </c>
      <c r="K10" s="952"/>
      <c r="L10" s="955">
        <f t="shared" si="0"/>
        <v>1413720</v>
      </c>
      <c r="M10" s="594"/>
      <c r="N10" s="594"/>
      <c r="O10" s="955">
        <f t="shared" si="1"/>
        <v>9267720</v>
      </c>
    </row>
    <row r="11" spans="1:15" ht="43.5" x14ac:dyDescent="0.35">
      <c r="A11" s="598">
        <v>5</v>
      </c>
      <c r="B11" s="599" t="s">
        <v>1683</v>
      </c>
      <c r="C11" s="600">
        <v>45404</v>
      </c>
      <c r="D11" s="599" t="s">
        <v>1679</v>
      </c>
      <c r="E11" s="599" t="s">
        <v>1680</v>
      </c>
      <c r="F11" s="599" t="s">
        <v>1684</v>
      </c>
      <c r="G11" s="599">
        <v>1</v>
      </c>
      <c r="H11" s="599" t="s">
        <v>146</v>
      </c>
      <c r="I11" s="602">
        <v>1600000</v>
      </c>
      <c r="J11" s="602">
        <f>+G11*I11</f>
        <v>1600000</v>
      </c>
      <c r="K11" s="952"/>
      <c r="L11" s="955">
        <f t="shared" si="0"/>
        <v>288000</v>
      </c>
      <c r="M11" s="594"/>
      <c r="N11" s="594"/>
      <c r="O11" s="955">
        <f t="shared" si="1"/>
        <v>1888000</v>
      </c>
    </row>
    <row r="12" spans="1:15" ht="43.5" x14ac:dyDescent="0.35">
      <c r="A12" s="598">
        <v>5</v>
      </c>
      <c r="B12" s="599" t="s">
        <v>1683</v>
      </c>
      <c r="C12" s="600">
        <v>45404</v>
      </c>
      <c r="D12" s="599" t="s">
        <v>1679</v>
      </c>
      <c r="E12" s="599" t="s">
        <v>1680</v>
      </c>
      <c r="F12" s="599" t="s">
        <v>1685</v>
      </c>
      <c r="G12" s="599">
        <v>1</v>
      </c>
      <c r="H12" s="599" t="s">
        <v>146</v>
      </c>
      <c r="I12" s="602">
        <v>400000</v>
      </c>
      <c r="J12" s="602">
        <f>+G12*I12</f>
        <v>400000</v>
      </c>
      <c r="K12" s="952"/>
      <c r="L12" s="955">
        <f t="shared" si="0"/>
        <v>72000</v>
      </c>
      <c r="M12" s="594"/>
      <c r="N12" s="594"/>
      <c r="O12" s="955">
        <f t="shared" si="1"/>
        <v>472000</v>
      </c>
    </row>
    <row r="13" spans="1:15" ht="29" x14ac:dyDescent="0.35">
      <c r="A13" s="598">
        <v>6</v>
      </c>
      <c r="B13" s="599" t="s">
        <v>323</v>
      </c>
      <c r="C13" s="600">
        <v>45415</v>
      </c>
      <c r="D13" s="599" t="s">
        <v>1686</v>
      </c>
      <c r="E13" s="599" t="s">
        <v>1533</v>
      </c>
      <c r="F13" s="599" t="s">
        <v>1687</v>
      </c>
      <c r="G13" s="599">
        <v>1</v>
      </c>
      <c r="H13" s="599" t="s">
        <v>1274</v>
      </c>
      <c r="I13" s="602">
        <v>250328</v>
      </c>
      <c r="J13" s="602">
        <f>+G13*I13*85</f>
        <v>21277880</v>
      </c>
      <c r="K13" s="952"/>
      <c r="L13" s="955">
        <f t="shared" si="0"/>
        <v>3830018.4</v>
      </c>
      <c r="M13" s="594"/>
      <c r="N13" s="594"/>
      <c r="O13" s="955">
        <f t="shared" si="1"/>
        <v>25107898.399999999</v>
      </c>
    </row>
    <row r="14" spans="1:15" x14ac:dyDescent="0.35">
      <c r="A14" s="598">
        <v>7</v>
      </c>
      <c r="B14" s="599" t="s">
        <v>1688</v>
      </c>
      <c r="C14" s="600">
        <v>45404</v>
      </c>
      <c r="D14" s="599" t="s">
        <v>1689</v>
      </c>
      <c r="E14" s="599" t="s">
        <v>1690</v>
      </c>
      <c r="F14" s="599" t="s">
        <v>1691</v>
      </c>
      <c r="G14" s="599">
        <v>1</v>
      </c>
      <c r="H14" s="599" t="s">
        <v>146</v>
      </c>
      <c r="I14" s="602">
        <v>4500000</v>
      </c>
      <c r="J14" s="602">
        <f>+G14*I14</f>
        <v>4500000</v>
      </c>
      <c r="K14" s="952"/>
      <c r="L14" s="955">
        <f t="shared" si="0"/>
        <v>810000</v>
      </c>
      <c r="M14" s="594"/>
      <c r="N14" s="594"/>
      <c r="O14" s="955">
        <f t="shared" si="1"/>
        <v>5310000</v>
      </c>
    </row>
    <row r="15" spans="1:15" x14ac:dyDescent="0.35">
      <c r="A15" s="598">
        <v>8</v>
      </c>
      <c r="B15" s="599" t="s">
        <v>1688</v>
      </c>
      <c r="C15" s="600">
        <v>45404</v>
      </c>
      <c r="D15" s="599" t="s">
        <v>1689</v>
      </c>
      <c r="E15" s="599" t="s">
        <v>1692</v>
      </c>
      <c r="F15" s="599" t="s">
        <v>1693</v>
      </c>
      <c r="G15" s="599">
        <v>1</v>
      </c>
      <c r="H15" s="599" t="s">
        <v>146</v>
      </c>
      <c r="I15" s="602">
        <v>4000000</v>
      </c>
      <c r="J15" s="602">
        <f>+G15*I15</f>
        <v>4000000</v>
      </c>
      <c r="K15" s="952"/>
      <c r="L15" s="955">
        <f t="shared" si="0"/>
        <v>720000</v>
      </c>
      <c r="M15" s="594"/>
      <c r="N15" s="594"/>
      <c r="O15" s="955">
        <f t="shared" si="1"/>
        <v>4720000</v>
      </c>
    </row>
    <row r="16" spans="1:15" x14ac:dyDescent="0.35">
      <c r="A16" s="598">
        <v>9</v>
      </c>
      <c r="B16" s="599" t="s">
        <v>1688</v>
      </c>
      <c r="C16" s="600">
        <v>45404</v>
      </c>
      <c r="D16" s="599" t="s">
        <v>1689</v>
      </c>
      <c r="E16" s="599" t="s">
        <v>1694</v>
      </c>
      <c r="F16" s="599" t="s">
        <v>1695</v>
      </c>
      <c r="G16" s="599">
        <v>1</v>
      </c>
      <c r="H16" s="599" t="s">
        <v>146</v>
      </c>
      <c r="I16" s="602">
        <v>4000000</v>
      </c>
      <c r="J16" s="602">
        <f>+G16*I16</f>
        <v>4000000</v>
      </c>
      <c r="K16" s="952"/>
      <c r="L16" s="955">
        <f t="shared" si="0"/>
        <v>720000</v>
      </c>
      <c r="M16" s="594"/>
      <c r="N16" s="594"/>
      <c r="O16" s="955">
        <f t="shared" si="1"/>
        <v>4720000</v>
      </c>
    </row>
    <row r="17" spans="1:15" ht="43.5" x14ac:dyDescent="0.35">
      <c r="A17" s="598">
        <v>10</v>
      </c>
      <c r="B17" s="599" t="s">
        <v>1696</v>
      </c>
      <c r="C17" s="600">
        <v>45405</v>
      </c>
      <c r="D17" s="599" t="s">
        <v>1697</v>
      </c>
      <c r="E17" s="599" t="s">
        <v>1520</v>
      </c>
      <c r="F17" s="599" t="s">
        <v>1698</v>
      </c>
      <c r="G17" s="599">
        <v>1</v>
      </c>
      <c r="H17" s="599" t="s">
        <v>146</v>
      </c>
      <c r="I17" s="602">
        <f>1650000+140000</f>
        <v>1790000</v>
      </c>
      <c r="J17" s="602">
        <f>+G17*I17</f>
        <v>1790000</v>
      </c>
      <c r="K17" s="952">
        <v>53700</v>
      </c>
      <c r="L17" s="955">
        <f t="shared" si="0"/>
        <v>322200</v>
      </c>
      <c r="M17" s="594"/>
      <c r="N17" s="594"/>
      <c r="O17" s="955">
        <f t="shared" si="1"/>
        <v>2165900</v>
      </c>
    </row>
    <row r="18" spans="1:15" x14ac:dyDescent="0.35">
      <c r="A18" s="598">
        <v>11</v>
      </c>
      <c r="B18" s="599" t="s">
        <v>1699</v>
      </c>
      <c r="C18" s="600">
        <v>45474</v>
      </c>
      <c r="D18" s="599" t="s">
        <v>1700</v>
      </c>
      <c r="E18" s="599" t="s">
        <v>1701</v>
      </c>
      <c r="F18" s="599"/>
      <c r="G18" s="599">
        <v>1</v>
      </c>
      <c r="H18" s="599" t="s">
        <v>1702</v>
      </c>
      <c r="I18" s="602">
        <f>(250919+113990+7220+560+980+14680+4330+3010+14910+790+3000)</f>
        <v>414389</v>
      </c>
      <c r="J18" s="602">
        <f>+G18*I18*95</f>
        <v>39366955</v>
      </c>
      <c r="K18" s="952"/>
      <c r="L18" s="955">
        <f t="shared" si="0"/>
        <v>7086051.8999999994</v>
      </c>
      <c r="M18" s="594"/>
      <c r="N18" s="594"/>
      <c r="O18" s="955">
        <f t="shared" si="1"/>
        <v>46453006.899999999</v>
      </c>
    </row>
    <row r="19" spans="1:15" ht="29" x14ac:dyDescent="0.35">
      <c r="A19" s="598">
        <v>12</v>
      </c>
      <c r="B19" s="599" t="s">
        <v>1703</v>
      </c>
      <c r="C19" s="600">
        <v>45547</v>
      </c>
      <c r="D19" s="599" t="s">
        <v>1704</v>
      </c>
      <c r="E19" s="599" t="s">
        <v>1705</v>
      </c>
      <c r="F19" s="599" t="s">
        <v>1706</v>
      </c>
      <c r="G19" s="599">
        <v>1</v>
      </c>
      <c r="H19" s="599" t="s">
        <v>146</v>
      </c>
      <c r="I19" s="602">
        <v>199600000</v>
      </c>
      <c r="J19" s="602">
        <f>+G19*I19</f>
        <v>199600000</v>
      </c>
      <c r="K19" s="952">
        <v>5988000</v>
      </c>
      <c r="L19" s="955">
        <f t="shared" si="0"/>
        <v>35928000</v>
      </c>
      <c r="M19" s="594"/>
      <c r="N19" s="594"/>
      <c r="O19" s="955">
        <f t="shared" si="1"/>
        <v>241516000</v>
      </c>
    </row>
    <row r="20" spans="1:15" ht="29" x14ac:dyDescent="0.35">
      <c r="A20" s="598">
        <v>13</v>
      </c>
      <c r="B20" s="599" t="s">
        <v>1707</v>
      </c>
      <c r="C20" s="600">
        <v>45560</v>
      </c>
      <c r="D20" s="599" t="s">
        <v>1708</v>
      </c>
      <c r="E20" s="599" t="s">
        <v>1709</v>
      </c>
      <c r="F20" s="599"/>
      <c r="G20" s="599">
        <v>1</v>
      </c>
      <c r="H20" s="599" t="s">
        <v>146</v>
      </c>
      <c r="I20" s="603">
        <v>91147170</v>
      </c>
      <c r="J20" s="603">
        <f>+G20*I20</f>
        <v>91147170</v>
      </c>
      <c r="K20" s="953"/>
      <c r="L20" s="955">
        <f t="shared" si="0"/>
        <v>16406490.6</v>
      </c>
      <c r="M20" s="594"/>
      <c r="N20" s="594"/>
      <c r="O20" s="955">
        <f t="shared" si="1"/>
        <v>107553660.59999999</v>
      </c>
    </row>
    <row r="21" spans="1:15" ht="29" x14ac:dyDescent="0.35">
      <c r="A21" s="598">
        <v>14</v>
      </c>
      <c r="B21" s="599" t="s">
        <v>1710</v>
      </c>
      <c r="C21" s="600">
        <v>45449</v>
      </c>
      <c r="D21" s="599" t="s">
        <v>1711</v>
      </c>
      <c r="E21" s="599"/>
      <c r="F21" s="599"/>
      <c r="G21" s="599"/>
      <c r="H21" s="599"/>
      <c r="I21" s="603"/>
      <c r="J21" s="603"/>
      <c r="K21" s="953"/>
    </row>
    <row r="22" spans="1:15" ht="29" x14ac:dyDescent="0.35">
      <c r="A22" s="598">
        <v>15</v>
      </c>
      <c r="B22" s="599" t="s">
        <v>1712</v>
      </c>
      <c r="C22" s="600">
        <v>45548</v>
      </c>
      <c r="D22" s="599" t="s">
        <v>1713</v>
      </c>
      <c r="E22" s="599" t="s">
        <v>1714</v>
      </c>
      <c r="F22" s="599" t="s">
        <v>1714</v>
      </c>
      <c r="G22" s="599">
        <v>1</v>
      </c>
      <c r="H22" s="599" t="s">
        <v>1274</v>
      </c>
      <c r="I22" s="603">
        <v>1720000</v>
      </c>
      <c r="J22" s="603">
        <f>+G22*I22*85</f>
        <v>146200000</v>
      </c>
      <c r="K22" s="953"/>
      <c r="L22" s="955">
        <f t="shared" ref="L22:L38" si="2">J22*18%</f>
        <v>26316000</v>
      </c>
      <c r="M22" s="594"/>
      <c r="N22" s="594"/>
      <c r="O22" s="955">
        <f t="shared" ref="O22:O38" si="3">SUM(J22:N22)</f>
        <v>172516000</v>
      </c>
    </row>
    <row r="23" spans="1:15" ht="29" x14ac:dyDescent="0.35">
      <c r="A23" s="598">
        <v>16</v>
      </c>
      <c r="B23" s="599" t="s">
        <v>1715</v>
      </c>
      <c r="C23" s="600">
        <v>45554</v>
      </c>
      <c r="D23" s="599" t="s">
        <v>1716</v>
      </c>
      <c r="E23" s="599" t="s">
        <v>1717</v>
      </c>
      <c r="F23" s="599" t="s">
        <v>1718</v>
      </c>
      <c r="G23" s="599">
        <v>1</v>
      </c>
      <c r="H23" s="599" t="s">
        <v>146</v>
      </c>
      <c r="I23" s="603">
        <v>20800000</v>
      </c>
      <c r="J23" s="603">
        <f>+G23*I23</f>
        <v>20800000</v>
      </c>
      <c r="K23" s="953"/>
      <c r="L23" s="955">
        <f t="shared" si="2"/>
        <v>3744000</v>
      </c>
      <c r="M23" s="594"/>
      <c r="N23" s="594"/>
      <c r="O23" s="955">
        <f t="shared" si="3"/>
        <v>24544000</v>
      </c>
    </row>
    <row r="24" spans="1:15" ht="29" x14ac:dyDescent="0.35">
      <c r="A24" s="598">
        <v>17</v>
      </c>
      <c r="B24" s="599" t="s">
        <v>323</v>
      </c>
      <c r="C24" s="599"/>
      <c r="D24" s="599" t="s">
        <v>1719</v>
      </c>
      <c r="E24" s="599" t="s">
        <v>1720</v>
      </c>
      <c r="F24" s="599" t="s">
        <v>1720</v>
      </c>
      <c r="G24" s="599">
        <v>1</v>
      </c>
      <c r="H24" s="599" t="s">
        <v>1274</v>
      </c>
      <c r="I24" s="603">
        <v>134500</v>
      </c>
      <c r="J24" s="603">
        <f>+G24*I24*85</f>
        <v>11432500</v>
      </c>
      <c r="K24" s="953"/>
      <c r="L24" s="955">
        <f t="shared" si="2"/>
        <v>2057850</v>
      </c>
      <c r="M24" s="594"/>
      <c r="N24" s="594"/>
      <c r="O24" s="955">
        <f t="shared" si="3"/>
        <v>13490350</v>
      </c>
    </row>
    <row r="25" spans="1:15" x14ac:dyDescent="0.35">
      <c r="A25" s="598">
        <v>18</v>
      </c>
      <c r="B25" s="599" t="s">
        <v>1721</v>
      </c>
      <c r="C25" s="600">
        <v>45534</v>
      </c>
      <c r="D25" s="599" t="s">
        <v>1722</v>
      </c>
      <c r="E25" s="599" t="s">
        <v>1723</v>
      </c>
      <c r="F25" s="599" t="s">
        <v>1723</v>
      </c>
      <c r="G25" s="599">
        <v>1</v>
      </c>
      <c r="H25" s="599" t="s">
        <v>146</v>
      </c>
      <c r="I25" s="603">
        <v>11510980</v>
      </c>
      <c r="J25" s="603">
        <f>+G25*I25</f>
        <v>11510980</v>
      </c>
      <c r="K25" s="953">
        <v>345329</v>
      </c>
      <c r="L25" s="955">
        <f t="shared" si="2"/>
        <v>2071976.4</v>
      </c>
      <c r="M25" s="594"/>
      <c r="N25" s="594"/>
      <c r="O25" s="955">
        <f t="shared" si="3"/>
        <v>13928285.4</v>
      </c>
    </row>
    <row r="26" spans="1:15" x14ac:dyDescent="0.35">
      <c r="A26" s="598">
        <v>19</v>
      </c>
      <c r="B26" s="599" t="s">
        <v>1724</v>
      </c>
      <c r="C26" s="896">
        <v>45542</v>
      </c>
      <c r="D26" s="599" t="s">
        <v>1725</v>
      </c>
      <c r="E26" s="599" t="s">
        <v>1723</v>
      </c>
      <c r="F26" s="599" t="s">
        <v>1723</v>
      </c>
      <c r="G26" s="599">
        <v>1</v>
      </c>
      <c r="H26" s="599" t="s">
        <v>146</v>
      </c>
      <c r="I26" s="603">
        <v>5655014</v>
      </c>
      <c r="J26" s="603">
        <f>+G26*I26</f>
        <v>5655014</v>
      </c>
      <c r="K26" s="953"/>
      <c r="L26" s="955">
        <f t="shared" si="2"/>
        <v>1017902.52</v>
      </c>
      <c r="M26" s="594"/>
      <c r="N26" s="594"/>
      <c r="O26" s="955">
        <f t="shared" si="3"/>
        <v>6672916.5199999996</v>
      </c>
    </row>
    <row r="27" spans="1:15" x14ac:dyDescent="0.35">
      <c r="A27" s="598">
        <v>20</v>
      </c>
      <c r="B27" s="599" t="s">
        <v>1726</v>
      </c>
      <c r="C27" s="600">
        <v>45513</v>
      </c>
      <c r="D27" s="599" t="s">
        <v>1700</v>
      </c>
      <c r="E27" s="599" t="s">
        <v>1701</v>
      </c>
      <c r="F27" s="599"/>
      <c r="G27" s="599">
        <v>1</v>
      </c>
      <c r="H27" s="599" t="s">
        <v>1702</v>
      </c>
      <c r="I27" s="603">
        <f>+(266902+96280+7220+570+980+16640+4330+3010+13480+790+4500)</f>
        <v>414702</v>
      </c>
      <c r="J27" s="603">
        <f>+G27*I27*95</f>
        <v>39396690</v>
      </c>
      <c r="K27" s="953"/>
      <c r="L27" s="955">
        <f t="shared" si="2"/>
        <v>7091404.2000000002</v>
      </c>
      <c r="M27" s="594"/>
      <c r="N27" s="594"/>
      <c r="O27" s="955">
        <f t="shared" si="3"/>
        <v>46488094.200000003</v>
      </c>
    </row>
    <row r="28" spans="1:15" x14ac:dyDescent="0.35">
      <c r="A28" s="598">
        <v>21</v>
      </c>
      <c r="B28" s="599">
        <v>20117202</v>
      </c>
      <c r="C28" s="600">
        <v>45538</v>
      </c>
      <c r="D28" s="599" t="s">
        <v>1727</v>
      </c>
      <c r="E28" s="599" t="s">
        <v>1728</v>
      </c>
      <c r="F28" s="599" t="s">
        <v>1729</v>
      </c>
      <c r="G28" s="599">
        <v>1</v>
      </c>
      <c r="H28" s="599" t="s">
        <v>1702</v>
      </c>
      <c r="I28" s="602">
        <v>2997000</v>
      </c>
      <c r="J28" s="602">
        <f>+G28*I28*95</f>
        <v>284715000</v>
      </c>
      <c r="K28" s="952"/>
      <c r="L28" s="955">
        <f t="shared" si="2"/>
        <v>51248700</v>
      </c>
      <c r="M28" s="594"/>
      <c r="N28" s="594"/>
      <c r="O28" s="955">
        <f t="shared" si="3"/>
        <v>335963700</v>
      </c>
    </row>
    <row r="29" spans="1:15" ht="29" x14ac:dyDescent="0.35">
      <c r="A29" s="598">
        <v>22</v>
      </c>
      <c r="B29" s="599">
        <v>2303794</v>
      </c>
      <c r="C29" s="600">
        <v>45062</v>
      </c>
      <c r="D29" s="599" t="s">
        <v>1730</v>
      </c>
      <c r="E29" s="599" t="s">
        <v>457</v>
      </c>
      <c r="F29" s="599" t="s">
        <v>457</v>
      </c>
      <c r="G29" s="599">
        <v>1</v>
      </c>
      <c r="H29" s="599" t="s">
        <v>1274</v>
      </c>
      <c r="I29" s="602">
        <v>81880</v>
      </c>
      <c r="J29" s="602">
        <f>+G29*I29*85</f>
        <v>6959800</v>
      </c>
      <c r="K29" s="952"/>
      <c r="L29" s="955">
        <f t="shared" si="2"/>
        <v>1252764</v>
      </c>
      <c r="M29" s="594"/>
      <c r="N29" s="594"/>
      <c r="O29" s="955">
        <f t="shared" si="3"/>
        <v>8212564</v>
      </c>
    </row>
    <row r="30" spans="1:15" x14ac:dyDescent="0.35">
      <c r="A30" s="598">
        <v>23</v>
      </c>
      <c r="B30" s="599" t="s">
        <v>1731</v>
      </c>
      <c r="C30" s="600">
        <v>45558</v>
      </c>
      <c r="D30" s="599" t="s">
        <v>1732</v>
      </c>
      <c r="E30" s="599" t="s">
        <v>1733</v>
      </c>
      <c r="F30" s="599" t="s">
        <v>1733</v>
      </c>
      <c r="G30" s="599">
        <v>1</v>
      </c>
      <c r="H30" s="599" t="s">
        <v>1274</v>
      </c>
      <c r="I30" s="602">
        <v>55600</v>
      </c>
      <c r="J30" s="602">
        <f>+G30*I30*85</f>
        <v>4726000</v>
      </c>
      <c r="K30" s="952"/>
      <c r="L30" s="955">
        <f t="shared" si="2"/>
        <v>850680</v>
      </c>
      <c r="M30" s="594"/>
      <c r="N30" s="594"/>
      <c r="O30" s="955">
        <f t="shared" si="3"/>
        <v>5576680</v>
      </c>
    </row>
    <row r="31" spans="1:15" ht="43.5" x14ac:dyDescent="0.35">
      <c r="A31" s="598">
        <v>24</v>
      </c>
      <c r="B31" s="599" t="s">
        <v>1734</v>
      </c>
      <c r="C31" s="600">
        <v>45500</v>
      </c>
      <c r="D31" s="599" t="s">
        <v>1735</v>
      </c>
      <c r="E31" s="599" t="s">
        <v>1736</v>
      </c>
      <c r="F31" s="599" t="s">
        <v>1737</v>
      </c>
      <c r="G31" s="599">
        <v>3</v>
      </c>
      <c r="H31" s="599" t="s">
        <v>146</v>
      </c>
      <c r="I31" s="602">
        <v>4900000</v>
      </c>
      <c r="J31" s="602">
        <f t="shared" ref="J31:J38" si="4">+G31*I31</f>
        <v>14700000</v>
      </c>
      <c r="K31" s="952"/>
      <c r="L31" s="955">
        <f t="shared" si="2"/>
        <v>2646000</v>
      </c>
      <c r="M31" s="594"/>
      <c r="N31" s="594"/>
      <c r="O31" s="955">
        <f t="shared" si="3"/>
        <v>17346000</v>
      </c>
    </row>
    <row r="32" spans="1:15" ht="29" x14ac:dyDescent="0.35">
      <c r="A32" s="598">
        <v>24</v>
      </c>
      <c r="B32" s="599" t="s">
        <v>1734</v>
      </c>
      <c r="C32" s="600">
        <v>45500</v>
      </c>
      <c r="D32" s="599" t="s">
        <v>1735</v>
      </c>
      <c r="E32" s="599" t="s">
        <v>1736</v>
      </c>
      <c r="F32" s="599" t="s">
        <v>1738</v>
      </c>
      <c r="G32" s="599">
        <v>18</v>
      </c>
      <c r="H32" s="599" t="s">
        <v>146</v>
      </c>
      <c r="I32" s="602">
        <v>2050000</v>
      </c>
      <c r="J32" s="602">
        <f t="shared" si="4"/>
        <v>36900000</v>
      </c>
      <c r="K32" s="952"/>
      <c r="L32" s="955">
        <f t="shared" si="2"/>
        <v>6642000</v>
      </c>
      <c r="M32" s="594"/>
      <c r="N32" s="594"/>
      <c r="O32" s="955">
        <f t="shared" si="3"/>
        <v>43542000</v>
      </c>
    </row>
    <row r="33" spans="1:15" ht="29" x14ac:dyDescent="0.35">
      <c r="A33" s="598">
        <v>24</v>
      </c>
      <c r="B33" s="599" t="s">
        <v>1734</v>
      </c>
      <c r="C33" s="600">
        <v>45500</v>
      </c>
      <c r="D33" s="599" t="s">
        <v>1735</v>
      </c>
      <c r="E33" s="599" t="s">
        <v>1736</v>
      </c>
      <c r="F33" s="599" t="s">
        <v>1739</v>
      </c>
      <c r="G33" s="599">
        <v>6</v>
      </c>
      <c r="H33" s="599" t="s">
        <v>146</v>
      </c>
      <c r="I33" s="602">
        <v>1550000</v>
      </c>
      <c r="J33" s="602">
        <f t="shared" si="4"/>
        <v>9300000</v>
      </c>
      <c r="K33" s="952"/>
      <c r="L33" s="955">
        <f t="shared" si="2"/>
        <v>1674000</v>
      </c>
      <c r="M33" s="594"/>
      <c r="N33" s="594"/>
      <c r="O33" s="955">
        <f t="shared" si="3"/>
        <v>10974000</v>
      </c>
    </row>
    <row r="34" spans="1:15" ht="87" x14ac:dyDescent="0.35">
      <c r="A34" s="598">
        <v>25</v>
      </c>
      <c r="B34" s="599" t="s">
        <v>1740</v>
      </c>
      <c r="C34" s="600">
        <v>45555</v>
      </c>
      <c r="D34" s="599" t="s">
        <v>1741</v>
      </c>
      <c r="E34" s="599"/>
      <c r="F34" s="599" t="s">
        <v>1742</v>
      </c>
      <c r="G34" s="599">
        <v>9</v>
      </c>
      <c r="H34" s="599" t="s">
        <v>146</v>
      </c>
      <c r="I34" s="602">
        <v>5850000</v>
      </c>
      <c r="J34" s="602">
        <f t="shared" si="4"/>
        <v>52650000</v>
      </c>
      <c r="K34" s="952">
        <v>1579500</v>
      </c>
      <c r="L34" s="955">
        <f t="shared" si="2"/>
        <v>9477000</v>
      </c>
      <c r="M34" s="594"/>
      <c r="N34" s="594"/>
      <c r="O34" s="955">
        <f t="shared" si="3"/>
        <v>63706500</v>
      </c>
    </row>
    <row r="35" spans="1:15" x14ac:dyDescent="0.35">
      <c r="A35" s="598">
        <v>25</v>
      </c>
      <c r="B35" s="599" t="s">
        <v>1740</v>
      </c>
      <c r="C35" s="600">
        <v>45555</v>
      </c>
      <c r="D35" s="599" t="s">
        <v>1741</v>
      </c>
      <c r="E35" s="599"/>
      <c r="F35" s="599" t="s">
        <v>1743</v>
      </c>
      <c r="G35" s="599">
        <v>1</v>
      </c>
      <c r="H35" s="599" t="s">
        <v>146</v>
      </c>
      <c r="I35" s="602">
        <v>1800000</v>
      </c>
      <c r="J35" s="602">
        <f t="shared" si="4"/>
        <v>1800000</v>
      </c>
      <c r="K35" s="952">
        <v>54000</v>
      </c>
      <c r="L35" s="955">
        <f t="shared" si="2"/>
        <v>324000</v>
      </c>
      <c r="M35" s="594"/>
      <c r="N35" s="594"/>
      <c r="O35" s="955">
        <f t="shared" si="3"/>
        <v>2178000</v>
      </c>
    </row>
    <row r="36" spans="1:15" ht="58" x14ac:dyDescent="0.35">
      <c r="A36" s="598">
        <v>25</v>
      </c>
      <c r="B36" s="599" t="s">
        <v>1740</v>
      </c>
      <c r="C36" s="600">
        <v>45555</v>
      </c>
      <c r="D36" s="599" t="s">
        <v>1741</v>
      </c>
      <c r="E36" s="599"/>
      <c r="F36" s="599" t="s">
        <v>1744</v>
      </c>
      <c r="G36" s="599">
        <v>9</v>
      </c>
      <c r="H36" s="599" t="s">
        <v>146</v>
      </c>
      <c r="I36" s="602">
        <v>9900000</v>
      </c>
      <c r="J36" s="602">
        <f t="shared" si="4"/>
        <v>89100000</v>
      </c>
      <c r="K36" s="952">
        <v>2673000</v>
      </c>
      <c r="L36" s="955">
        <f t="shared" si="2"/>
        <v>16038000</v>
      </c>
      <c r="M36" s="594"/>
      <c r="N36" s="594"/>
      <c r="O36" s="955">
        <f t="shared" si="3"/>
        <v>107811000</v>
      </c>
    </row>
    <row r="37" spans="1:15" x14ac:dyDescent="0.35">
      <c r="A37" s="598">
        <v>25</v>
      </c>
      <c r="B37" s="599" t="s">
        <v>1740</v>
      </c>
      <c r="C37" s="600">
        <v>45555</v>
      </c>
      <c r="D37" s="599" t="s">
        <v>1741</v>
      </c>
      <c r="E37" s="599"/>
      <c r="F37" s="599" t="s">
        <v>1745</v>
      </c>
      <c r="G37" s="599">
        <v>1</v>
      </c>
      <c r="H37" s="599" t="s">
        <v>146</v>
      </c>
      <c r="I37" s="602">
        <v>360000</v>
      </c>
      <c r="J37" s="602">
        <f t="shared" si="4"/>
        <v>360000</v>
      </c>
      <c r="K37" s="952">
        <v>10800</v>
      </c>
      <c r="L37" s="955">
        <f t="shared" si="2"/>
        <v>64800</v>
      </c>
      <c r="M37" s="594"/>
      <c r="N37" s="594"/>
      <c r="O37" s="955">
        <f t="shared" si="3"/>
        <v>435600</v>
      </c>
    </row>
    <row r="38" spans="1:15" ht="29" x14ac:dyDescent="0.35">
      <c r="A38" s="598">
        <v>26</v>
      </c>
      <c r="B38" s="599" t="s">
        <v>1746</v>
      </c>
      <c r="C38" s="600">
        <v>45560</v>
      </c>
      <c r="D38" s="599" t="s">
        <v>1747</v>
      </c>
      <c r="E38" s="599" t="s">
        <v>1748</v>
      </c>
      <c r="F38" s="599" t="s">
        <v>1749</v>
      </c>
      <c r="G38" s="599">
        <v>1</v>
      </c>
      <c r="H38" s="599" t="s">
        <v>146</v>
      </c>
      <c r="I38" s="602">
        <v>3703000</v>
      </c>
      <c r="J38" s="602">
        <f t="shared" si="4"/>
        <v>3703000</v>
      </c>
      <c r="K38" s="952">
        <v>111090</v>
      </c>
      <c r="L38" s="955">
        <f t="shared" si="2"/>
        <v>666540</v>
      </c>
      <c r="M38" s="594"/>
      <c r="N38" s="594"/>
      <c r="O38" s="955">
        <f t="shared" si="3"/>
        <v>4480630</v>
      </c>
    </row>
    <row r="39" spans="1:15" x14ac:dyDescent="0.35">
      <c r="A39" s="24"/>
      <c r="B39" s="24"/>
      <c r="C39" s="24"/>
      <c r="D39" s="24"/>
      <c r="E39" s="24"/>
      <c r="F39" s="897"/>
      <c r="G39" s="24"/>
      <c r="H39" s="24"/>
      <c r="I39" s="555"/>
      <c r="J39" s="556">
        <f>SUM(J4:J38)</f>
        <v>1259797989</v>
      </c>
      <c r="K39" s="954"/>
      <c r="O39" s="956">
        <f>SUM(O4:O38)</f>
        <v>1500505421.02</v>
      </c>
    </row>
  </sheetData>
  <autoFilter ref="A3:O39" xr:uid="{95D99408-AB84-4982-9D33-3FB228CF2163}"/>
  <mergeCells count="1">
    <mergeCell ref="A1:J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E17"/>
  <sheetViews>
    <sheetView workbookViewId="0"/>
  </sheetViews>
  <sheetFormatPr defaultColWidth="8.81640625" defaultRowHeight="14.5" x14ac:dyDescent="0.35"/>
  <cols>
    <col min="1" max="1" width="32" customWidth="1"/>
    <col min="2" max="2" width="11.81640625" style="11" customWidth="1"/>
    <col min="3" max="3" width="16.81640625" style="11" customWidth="1"/>
  </cols>
  <sheetData>
    <row r="1" spans="1:5" s="28" customFormat="1" ht="22.5" customHeight="1" x14ac:dyDescent="0.35">
      <c r="A1" s="28" t="s">
        <v>306</v>
      </c>
      <c r="B1" s="28" t="s">
        <v>318</v>
      </c>
      <c r="C1" s="28" t="s">
        <v>307</v>
      </c>
    </row>
    <row r="2" spans="1:5" s="29" customFormat="1" ht="22.5" customHeight="1" x14ac:dyDescent="0.35">
      <c r="A2" s="28" t="s">
        <v>308</v>
      </c>
      <c r="B2" s="30">
        <v>34</v>
      </c>
      <c r="C2" s="30">
        <v>8</v>
      </c>
      <c r="E2" s="29">
        <f>B2*C2</f>
        <v>272</v>
      </c>
    </row>
    <row r="3" spans="1:5" s="29" customFormat="1" ht="22.5" customHeight="1" x14ac:dyDescent="0.35">
      <c r="A3" s="28" t="s">
        <v>309</v>
      </c>
      <c r="B3" s="30">
        <v>7.5</v>
      </c>
      <c r="C3" s="30">
        <v>8</v>
      </c>
      <c r="E3" s="29">
        <f t="shared" ref="E3:E11" si="0">B3*C3</f>
        <v>60</v>
      </c>
    </row>
    <row r="4" spans="1:5" s="29" customFormat="1" ht="22.5" customHeight="1" x14ac:dyDescent="0.35">
      <c r="A4" s="28" t="s">
        <v>310</v>
      </c>
      <c r="B4" s="30">
        <v>22.5</v>
      </c>
      <c r="C4" s="30">
        <v>8</v>
      </c>
      <c r="D4" s="29">
        <f>SUM(B2:B4)</f>
        <v>64</v>
      </c>
      <c r="E4" s="29">
        <f t="shared" si="0"/>
        <v>180</v>
      </c>
    </row>
    <row r="5" spans="1:5" s="29" customFormat="1" ht="22.5" customHeight="1" x14ac:dyDescent="0.35">
      <c r="A5" s="28" t="s">
        <v>311</v>
      </c>
      <c r="B5" s="30">
        <v>34</v>
      </c>
      <c r="C5" s="30">
        <v>10</v>
      </c>
      <c r="E5" s="29">
        <f t="shared" si="0"/>
        <v>340</v>
      </c>
    </row>
    <row r="6" spans="1:5" s="29" customFormat="1" ht="22.5" customHeight="1" x14ac:dyDescent="0.35">
      <c r="A6" s="28" t="s">
        <v>312</v>
      </c>
      <c r="B6" s="30">
        <v>30</v>
      </c>
      <c r="C6" s="30">
        <v>10</v>
      </c>
      <c r="D6" s="29">
        <f>SUM(B5:B6)</f>
        <v>64</v>
      </c>
      <c r="E6" s="29">
        <f t="shared" si="0"/>
        <v>300</v>
      </c>
    </row>
    <row r="7" spans="1:5" s="29" customFormat="1" ht="22.5" customHeight="1" x14ac:dyDescent="0.35">
      <c r="A7" s="28" t="s">
        <v>313</v>
      </c>
      <c r="B7" s="30">
        <v>3</v>
      </c>
      <c r="C7" s="30">
        <v>24</v>
      </c>
      <c r="E7" s="29">
        <f t="shared" si="0"/>
        <v>72</v>
      </c>
    </row>
    <row r="8" spans="1:5" s="29" customFormat="1" ht="22.5" customHeight="1" x14ac:dyDescent="0.35">
      <c r="A8" s="28" t="s">
        <v>314</v>
      </c>
      <c r="B8" s="30">
        <v>6</v>
      </c>
      <c r="C8" s="30">
        <v>16</v>
      </c>
      <c r="E8" s="29">
        <f t="shared" si="0"/>
        <v>96</v>
      </c>
    </row>
    <row r="9" spans="1:5" s="29" customFormat="1" ht="22.5" customHeight="1" x14ac:dyDescent="0.35">
      <c r="A9" s="28" t="s">
        <v>319</v>
      </c>
      <c r="B9" s="30">
        <v>23</v>
      </c>
      <c r="C9" s="30">
        <v>20</v>
      </c>
      <c r="E9" s="29">
        <f t="shared" si="0"/>
        <v>460</v>
      </c>
    </row>
    <row r="10" spans="1:5" s="29" customFormat="1" ht="22.5" customHeight="1" x14ac:dyDescent="0.35">
      <c r="A10" s="28" t="s">
        <v>315</v>
      </c>
      <c r="B10" s="30">
        <v>75</v>
      </c>
      <c r="C10" s="30">
        <v>11</v>
      </c>
      <c r="E10" s="29">
        <f t="shared" si="0"/>
        <v>825</v>
      </c>
    </row>
    <row r="11" spans="1:5" s="29" customFormat="1" ht="22.5" customHeight="1" x14ac:dyDescent="0.35">
      <c r="A11" s="28" t="s">
        <v>316</v>
      </c>
      <c r="B11" s="30">
        <v>90</v>
      </c>
      <c r="C11" s="30">
        <v>8</v>
      </c>
      <c r="E11" s="29">
        <f t="shared" si="0"/>
        <v>720</v>
      </c>
    </row>
    <row r="12" spans="1:5" s="29" customFormat="1" ht="22.5" customHeight="1" x14ac:dyDescent="0.35">
      <c r="A12" s="28" t="s">
        <v>317</v>
      </c>
      <c r="B12" s="30"/>
      <c r="C12" s="30">
        <v>10</v>
      </c>
    </row>
    <row r="13" spans="1:5" s="29" customFormat="1" ht="22.5" customHeight="1" x14ac:dyDescent="0.35">
      <c r="A13" s="28"/>
      <c r="B13" s="30">
        <f>SUM(B2:B11)</f>
        <v>325</v>
      </c>
      <c r="C13" s="30">
        <f>SUM(C2:C11)</f>
        <v>123</v>
      </c>
      <c r="E13" s="30">
        <f>SUM(E2:E11)</f>
        <v>3325</v>
      </c>
    </row>
    <row r="14" spans="1:5" ht="22.5" customHeight="1" x14ac:dyDescent="0.35"/>
    <row r="15" spans="1:5" ht="22.5" customHeight="1" x14ac:dyDescent="0.35"/>
    <row r="16" spans="1:5" ht="22.5" customHeight="1" x14ac:dyDescent="0.35"/>
    <row r="17" ht="22.5" customHeight="1" x14ac:dyDescent="0.35"/>
  </sheetData>
  <customSheetViews>
    <customSheetView guid="{22475485-DA09-46DB-978D-BB94CE1E5597}" state="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A6095F-A486-4993-8BB1-A6EFC2C11E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18</vt:i4>
      </vt:variant>
    </vt:vector>
  </HeadingPairs>
  <TitlesOfParts>
    <vt:vector size="63" baseType="lpstr">
      <vt:lpstr>Det CoP_MOF</vt:lpstr>
      <vt:lpstr>Queries</vt:lpstr>
      <vt:lpstr>Site Visit Checklist</vt:lpstr>
      <vt:lpstr>Cutouts</vt:lpstr>
      <vt:lpstr>CoP-MoF</vt:lpstr>
      <vt:lpstr>Det Assump</vt:lpstr>
      <vt:lpstr>Assump</vt:lpstr>
      <vt:lpstr>Sheet2</vt:lpstr>
      <vt:lpstr>P &amp; L</vt:lpstr>
      <vt:lpstr>BS</vt:lpstr>
      <vt:lpstr>Cash Flow</vt:lpstr>
      <vt:lpstr>BEP</vt:lpstr>
      <vt:lpstr>IRR</vt:lpstr>
      <vt:lpstr>DSCR</vt:lpstr>
      <vt:lpstr>Loan Assumptions</vt:lpstr>
      <vt:lpstr>TL Schd</vt:lpstr>
      <vt:lpstr>Ratio</vt:lpstr>
      <vt:lpstr>WC</vt:lpstr>
      <vt:lpstr>PBP-IRR</vt:lpstr>
      <vt:lpstr>NPV</vt:lpstr>
      <vt:lpstr>P E</vt:lpstr>
      <vt:lpstr>PE</vt:lpstr>
      <vt:lpstr>Tax</vt:lpstr>
      <vt:lpstr>Depr</vt:lpstr>
      <vt:lpstr>Client Data&gt;&gt;&gt;</vt:lpstr>
      <vt:lpstr>Texfil</vt:lpstr>
      <vt:lpstr>SNAPSHOTS</vt:lpstr>
      <vt:lpstr>Project Cost </vt:lpstr>
      <vt:lpstr>Project Cost  (2)</vt:lpstr>
      <vt:lpstr>Profitability</vt:lpstr>
      <vt:lpstr>Balance Sheet</vt:lpstr>
      <vt:lpstr>Cash Flow (2)</vt:lpstr>
      <vt:lpstr>Depriciation</vt:lpstr>
      <vt:lpstr>term loans repayments</vt:lpstr>
      <vt:lpstr>DSCR (2)</vt:lpstr>
      <vt:lpstr>payback</vt:lpstr>
      <vt:lpstr>IRR (2)</vt:lpstr>
      <vt:lpstr>WC Requirement</vt:lpstr>
      <vt:lpstr>Cost &amp; Sales assumptions</vt:lpstr>
      <vt:lpstr>Costing</vt:lpstr>
      <vt:lpstr>CP</vt:lpstr>
      <vt:lpstr>Depoly plant</vt:lpstr>
      <vt:lpstr>summery</vt:lpstr>
      <vt:lpstr>Quotations received</vt:lpstr>
      <vt:lpstr>Sheet1</vt:lpstr>
      <vt:lpstr>A</vt:lpstr>
      <vt:lpstr>'Balance Sheet'!Print_Area</vt:lpstr>
      <vt:lpstr>'Cash Flow (2)'!Print_Area</vt:lpstr>
      <vt:lpstr>'Cost &amp; Sales assumptions'!Print_Area</vt:lpstr>
      <vt:lpstr>Depriciation!Print_Area</vt:lpstr>
      <vt:lpstr>'DSCR (2)'!Print_Area</vt:lpstr>
      <vt:lpstr>'IRR (2)'!Print_Area</vt:lpstr>
      <vt:lpstr>payback!Print_Area</vt:lpstr>
      <vt:lpstr>Profitability!Print_Area</vt:lpstr>
      <vt:lpstr>'Project Cost '!Print_Area</vt:lpstr>
      <vt:lpstr>'Project Cost  (2)'!Print_Area</vt:lpstr>
      <vt:lpstr>SNAPSHOTS!Print_Area</vt:lpstr>
      <vt:lpstr>'term loans repayments'!Print_Area</vt:lpstr>
      <vt:lpstr>Texfil!Print_Area</vt:lpstr>
      <vt:lpstr>'WC Requirement'!Print_Area</vt:lpstr>
      <vt:lpstr>'Balance Sheet'!Print_Titles</vt:lpstr>
      <vt:lpstr>'Cash Flow (2)'!Print_Titles</vt:lpstr>
      <vt:lpstr>Profitability!Print_Titles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P Mishra</dc:creator>
  <cp:lastModifiedBy>Aneesh Mallick</cp:lastModifiedBy>
  <cp:lastPrinted>2024-10-23T09:53:51Z</cp:lastPrinted>
  <dcterms:created xsi:type="dcterms:W3CDTF">2015-03-21T00:42:44Z</dcterms:created>
  <dcterms:modified xsi:type="dcterms:W3CDTF">2024-11-19T05:58:05Z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{4AF292D0-B31F-47DC-AF2C-4A134CE844EB}</vt:lpwstr>
  </property>
</Properties>
</file>