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2" i="1" l="1"/>
  <c r="L42" i="1"/>
  <c r="K42" i="1"/>
  <c r="H42" i="1"/>
  <c r="G42" i="1"/>
  <c r="D42" i="1"/>
  <c r="J41" i="1"/>
  <c r="I41" i="1"/>
  <c r="F41" i="1"/>
  <c r="E41" i="1"/>
  <c r="I39" i="1"/>
  <c r="H39" i="1"/>
  <c r="K39" i="1" s="1"/>
  <c r="K41" i="1" s="1"/>
  <c r="D39" i="1"/>
  <c r="G39" i="1" s="1"/>
  <c r="M31" i="1"/>
  <c r="L31" i="1"/>
  <c r="K31" i="1"/>
  <c r="I31" i="1"/>
  <c r="H31" i="1"/>
  <c r="G31" i="1"/>
  <c r="E31" i="1"/>
  <c r="D31" i="1"/>
  <c r="J30" i="1"/>
  <c r="F30" i="1"/>
  <c r="E30" i="1"/>
  <c r="I28" i="1"/>
  <c r="K28" i="1" s="1"/>
  <c r="H28" i="1"/>
  <c r="G28" i="1"/>
  <c r="D28" i="1"/>
  <c r="M28" i="1" s="1"/>
  <c r="I26" i="1"/>
  <c r="H26" i="1"/>
  <c r="K26" i="1" s="1"/>
  <c r="D26" i="1"/>
  <c r="G26" i="1" s="1"/>
  <c r="I24" i="1"/>
  <c r="H24" i="1"/>
  <c r="K24" i="1" s="1"/>
  <c r="G24" i="1"/>
  <c r="L24" i="1" s="1"/>
  <c r="D24" i="1"/>
  <c r="K22" i="1"/>
  <c r="I22" i="1"/>
  <c r="H22" i="1"/>
  <c r="D22" i="1"/>
  <c r="M22" i="1" s="1"/>
  <c r="I20" i="1"/>
  <c r="K20" i="1" s="1"/>
  <c r="H20" i="1"/>
  <c r="G20" i="1"/>
  <c r="L20" i="1" s="1"/>
  <c r="D20" i="1"/>
  <c r="M20" i="1" s="1"/>
  <c r="I18" i="1"/>
  <c r="H18" i="1"/>
  <c r="K18" i="1" s="1"/>
  <c r="D18" i="1"/>
  <c r="G18" i="1" s="1"/>
  <c r="L18" i="1" s="1"/>
  <c r="I16" i="1"/>
  <c r="H16" i="1"/>
  <c r="K16" i="1" s="1"/>
  <c r="G16" i="1"/>
  <c r="E16" i="1"/>
  <c r="D16" i="1"/>
  <c r="M16" i="1" s="1"/>
  <c r="I14" i="1"/>
  <c r="I30" i="1" s="1"/>
  <c r="H14" i="1"/>
  <c r="K14" i="1" s="1"/>
  <c r="G14" i="1"/>
  <c r="L14" i="1" s="1"/>
  <c r="D14" i="1"/>
  <c r="K12" i="1"/>
  <c r="I12" i="1"/>
  <c r="H12" i="1"/>
  <c r="D12" i="1"/>
  <c r="M12" i="1" s="1"/>
  <c r="D10" i="1"/>
  <c r="M10" i="1" s="1"/>
  <c r="K30" i="1" l="1"/>
  <c r="L26" i="1"/>
  <c r="L28" i="1"/>
  <c r="L16" i="1"/>
  <c r="L39" i="1"/>
  <c r="L41" i="1" s="1"/>
  <c r="G41" i="1"/>
  <c r="M26" i="1"/>
  <c r="H30" i="1"/>
  <c r="G10" i="1"/>
  <c r="G12" i="1"/>
  <c r="L12" i="1" s="1"/>
  <c r="M14" i="1"/>
  <c r="M30" i="1" s="1"/>
  <c r="G22" i="1"/>
  <c r="L22" i="1" s="1"/>
  <c r="M24" i="1"/>
  <c r="D41" i="1"/>
  <c r="H41" i="1"/>
  <c r="M18" i="1"/>
  <c r="D30" i="1"/>
  <c r="M39" i="1"/>
  <c r="M41" i="1" s="1"/>
  <c r="G30" i="1" l="1"/>
  <c r="L10" i="1"/>
  <c r="L30" i="1" s="1"/>
</calcChain>
</file>

<file path=xl/sharedStrings.xml><?xml version="1.0" encoding="utf-8"?>
<sst xmlns="http://schemas.openxmlformats.org/spreadsheetml/2006/main" count="48" uniqueCount="35">
  <si>
    <t>GRG Accessories Limited</t>
  </si>
  <si>
    <t xml:space="preserve">       Note No. 10(a)</t>
  </si>
  <si>
    <t>(Rs. In Lakhs)</t>
  </si>
  <si>
    <t>Name of Assets</t>
  </si>
  <si>
    <t>Gross Block</t>
  </si>
  <si>
    <t>Depreciation</t>
  </si>
  <si>
    <t>Net Block</t>
  </si>
  <si>
    <t xml:space="preserve">Useful Life </t>
  </si>
  <si>
    <t>As On 01.04.2023</t>
  </si>
  <si>
    <t>Addition During The Year</t>
  </si>
  <si>
    <t>Adjustment during the Year</t>
  </si>
  <si>
    <t>As On 31.03.2024</t>
  </si>
  <si>
    <t>Upto 31.03.2023</t>
  </si>
  <si>
    <t>Depreciation During The Year</t>
  </si>
  <si>
    <t>Upto 31.03.2024</t>
  </si>
  <si>
    <t>As On 31.03.2023</t>
  </si>
  <si>
    <t>Land</t>
  </si>
  <si>
    <t>Factory Building</t>
  </si>
  <si>
    <t>Other Building</t>
  </si>
  <si>
    <t>Plant &amp; Machinery</t>
  </si>
  <si>
    <t>Electrical Installation</t>
  </si>
  <si>
    <t>Computer</t>
  </si>
  <si>
    <t>Server &amp; Networking</t>
  </si>
  <si>
    <t>Furniture &amp; Fixtures</t>
  </si>
  <si>
    <t>Office Equipment</t>
  </si>
  <si>
    <t>Vehicle</t>
  </si>
  <si>
    <t>Previous Year</t>
  </si>
  <si>
    <t xml:space="preserve">      Note No. 10(b)</t>
  </si>
  <si>
    <t>As On 01.04.2022</t>
  </si>
  <si>
    <t>As On 30.06.2023</t>
  </si>
  <si>
    <t>Upto 31.03.2022</t>
  </si>
  <si>
    <t>Upto 30.06.2023</t>
  </si>
  <si>
    <t>As On 31.03.2022</t>
  </si>
  <si>
    <t>Software</t>
  </si>
  <si>
    <t>SCHEDULE OF PROPERTY, PLANT AND EQUIPMENT AS ON 31ST MARCH,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</si>
</sst>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 * #,##0.00_ ;_ * \-#,##0.00_ ;_ * &quot;-&quot;??_ ;_ @_ "/>
    <numFmt numFmtId="164" formatCode="_-* #,##0.00\ &quot;F&quot;_-;\-* #,##0.00\ &quot;F&quot;_-;_-* &quot;-&quot;??\ &quot;F&quot;_-;_-@_-"/>
    <numFmt numFmtId="165" formatCode="_-* #,##0.00_-;\-* #,##0.00_-;_-* &quot;-&quot;??_-;_-@_-"/>
    <numFmt numFmtId="166" formatCode="_(* #,##0.00_);_(* \(#,##0.00\);_(* &quot;-&quot;??_);_(@_)"/>
    <numFmt numFmtId="167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</cellStyleXfs>
  <cellXfs count="76">
    <xf numFmtId="0" fontId="0" fillId="0" borderId="0" xfId="0"/>
    <xf numFmtId="0" fontId="3" fillId="2" borderId="0" xfId="2" applyFont="1" applyFill="1" applyAlignment="1">
      <alignment horizontal="center" wrapText="1"/>
    </xf>
    <xf numFmtId="165" fontId="4" fillId="2" borderId="0" xfId="3" applyNumberFormat="1" applyFont="1" applyFill="1" applyAlignment="1" applyProtection="1">
      <alignment horizontal="center"/>
    </xf>
    <xf numFmtId="165" fontId="2" fillId="2" borderId="0" xfId="3" applyNumberFormat="1" applyFont="1" applyFill="1" applyAlignment="1" applyProtection="1">
      <alignment horizontal="center"/>
    </xf>
    <xf numFmtId="0" fontId="2" fillId="2" borderId="0" xfId="2" applyFont="1" applyFill="1"/>
    <xf numFmtId="0" fontId="2" fillId="2" borderId="0" xfId="0" applyFont="1" applyFill="1"/>
    <xf numFmtId="0" fontId="4" fillId="2" borderId="0" xfId="2" applyFont="1" applyFill="1"/>
    <xf numFmtId="0" fontId="4" fillId="2" borderId="1" xfId="4" applyFont="1" applyFill="1" applyBorder="1" applyAlignment="1">
      <alignment horizontal="center" vertical="center" wrapText="1"/>
    </xf>
    <xf numFmtId="0" fontId="4" fillId="2" borderId="2" xfId="4" applyFont="1" applyFill="1" applyBorder="1" applyAlignment="1">
      <alignment horizontal="center" vertical="center" wrapText="1"/>
    </xf>
    <xf numFmtId="0" fontId="4" fillId="2" borderId="2" xfId="4" applyFont="1" applyFill="1" applyBorder="1" applyAlignment="1">
      <alignment horizontal="center" vertical="center" wrapText="1"/>
    </xf>
    <xf numFmtId="165" fontId="4" fillId="2" borderId="3" xfId="3" applyNumberFormat="1" applyFont="1" applyFill="1" applyBorder="1" applyAlignment="1" applyProtection="1">
      <alignment horizontal="center" vertical="center" wrapText="1"/>
    </xf>
    <xf numFmtId="165" fontId="4" fillId="2" borderId="4" xfId="3" applyNumberFormat="1" applyFont="1" applyFill="1" applyBorder="1" applyAlignment="1" applyProtection="1">
      <alignment horizontal="center" vertical="center" wrapText="1"/>
    </xf>
    <xf numFmtId="165" fontId="4" fillId="2" borderId="5" xfId="3" applyNumberFormat="1" applyFont="1" applyFill="1" applyBorder="1" applyAlignment="1" applyProtection="1">
      <alignment horizontal="center" vertical="center" wrapText="1"/>
    </xf>
    <xf numFmtId="0" fontId="4" fillId="2" borderId="6" xfId="4" applyFont="1" applyFill="1" applyBorder="1" applyAlignment="1">
      <alignment horizontal="center" vertical="center" wrapText="1"/>
    </xf>
    <xf numFmtId="0" fontId="4" fillId="2" borderId="7" xfId="4" applyFont="1" applyFill="1" applyBorder="1" applyAlignment="1">
      <alignment horizontal="center" vertical="center" wrapText="1"/>
    </xf>
    <xf numFmtId="0" fontId="4" fillId="2" borderId="7" xfId="4" applyFont="1" applyFill="1" applyBorder="1" applyAlignment="1">
      <alignment horizontal="center" vertical="center" wrapText="1"/>
    </xf>
    <xf numFmtId="165" fontId="4" fillId="2" borderId="8" xfId="3" applyNumberFormat="1" applyFont="1" applyFill="1" applyBorder="1" applyAlignment="1" applyProtection="1">
      <alignment horizontal="center" vertical="center" wrapText="1"/>
    </xf>
    <xf numFmtId="165" fontId="4" fillId="2" borderId="8" xfId="3" applyNumberFormat="1" applyFont="1" applyFill="1" applyBorder="1" applyAlignment="1">
      <alignment horizontal="center" vertical="center" wrapText="1"/>
    </xf>
    <xf numFmtId="165" fontId="4" fillId="2" borderId="9" xfId="3" applyNumberFormat="1" applyFont="1" applyFill="1" applyBorder="1" applyAlignment="1" applyProtection="1">
      <alignment horizontal="center" vertical="center" wrapText="1"/>
    </xf>
    <xf numFmtId="165" fontId="4" fillId="2" borderId="9" xfId="3" applyNumberFormat="1" applyFont="1" applyFill="1" applyBorder="1" applyAlignment="1">
      <alignment horizontal="center" vertical="center" wrapText="1"/>
    </xf>
    <xf numFmtId="0" fontId="4" fillId="2" borderId="10" xfId="4" applyFont="1" applyFill="1" applyBorder="1" applyAlignment="1">
      <alignment horizontal="center" vertical="center" wrapText="1"/>
    </xf>
    <xf numFmtId="0" fontId="4" fillId="2" borderId="11" xfId="4" applyFont="1" applyFill="1" applyBorder="1" applyAlignment="1">
      <alignment horizontal="center" vertical="center" wrapText="1"/>
    </xf>
    <xf numFmtId="0" fontId="4" fillId="2" borderId="11" xfId="4" applyFont="1" applyFill="1" applyBorder="1" applyAlignment="1">
      <alignment horizontal="center" vertical="center" wrapText="1"/>
    </xf>
    <xf numFmtId="165" fontId="4" fillId="2" borderId="12" xfId="3" applyNumberFormat="1" applyFont="1" applyFill="1" applyBorder="1" applyAlignment="1" applyProtection="1">
      <alignment horizontal="center" vertical="center" wrapText="1"/>
    </xf>
    <xf numFmtId="165" fontId="4" fillId="2" borderId="12" xfId="3" applyNumberFormat="1" applyFont="1" applyFill="1" applyBorder="1" applyAlignment="1">
      <alignment horizontal="center" vertical="center" wrapText="1"/>
    </xf>
    <xf numFmtId="165" fontId="2" fillId="2" borderId="1" xfId="3" applyNumberFormat="1" applyFont="1" applyFill="1" applyBorder="1"/>
    <xf numFmtId="165" fontId="2" fillId="2" borderId="2" xfId="3" applyNumberFormat="1" applyFont="1" applyFill="1" applyBorder="1"/>
    <xf numFmtId="3" fontId="2" fillId="2" borderId="8" xfId="3" applyNumberFormat="1" applyFont="1" applyFill="1" applyBorder="1" applyAlignment="1">
      <alignment horizontal="center"/>
    </xf>
    <xf numFmtId="165" fontId="2" fillId="2" borderId="8" xfId="3" applyNumberFormat="1" applyFont="1" applyFill="1" applyBorder="1" applyAlignment="1">
      <alignment horizontal="center"/>
    </xf>
    <xf numFmtId="165" fontId="2" fillId="2" borderId="8" xfId="3" applyNumberFormat="1" applyFont="1" applyFill="1" applyBorder="1"/>
    <xf numFmtId="165" fontId="2" fillId="2" borderId="2" xfId="3" applyNumberFormat="1" applyFont="1" applyFill="1" applyBorder="1" applyAlignment="1">
      <alignment horizontal="center"/>
    </xf>
    <xf numFmtId="165" fontId="2" fillId="2" borderId="6" xfId="3" applyNumberFormat="1" applyFont="1" applyFill="1" applyBorder="1" applyAlignment="1" applyProtection="1">
      <alignment horizontal="left"/>
    </xf>
    <xf numFmtId="165" fontId="4" fillId="2" borderId="7" xfId="3" applyNumberFormat="1" applyFont="1" applyFill="1" applyBorder="1"/>
    <xf numFmtId="165" fontId="4" fillId="2" borderId="7" xfId="3" applyNumberFormat="1" applyFont="1" applyFill="1" applyBorder="1" applyAlignment="1">
      <alignment horizontal="center"/>
    </xf>
    <xf numFmtId="166" fontId="2" fillId="2" borderId="9" xfId="1" applyNumberFormat="1" applyFont="1" applyFill="1" applyBorder="1" applyAlignment="1" applyProtection="1">
      <alignment horizontal="right"/>
    </xf>
    <xf numFmtId="166" fontId="2" fillId="2" borderId="9" xfId="1" applyNumberFormat="1" applyFont="1" applyFill="1" applyBorder="1" applyAlignment="1">
      <alignment horizontal="right"/>
    </xf>
    <xf numFmtId="166" fontId="2" fillId="2" borderId="7" xfId="1" applyNumberFormat="1" applyFont="1" applyFill="1" applyBorder="1" applyAlignment="1" applyProtection="1">
      <alignment horizontal="right"/>
    </xf>
    <xf numFmtId="166" fontId="2" fillId="2" borderId="6" xfId="1" applyNumberFormat="1" applyFont="1" applyFill="1" applyBorder="1" applyAlignment="1" applyProtection="1">
      <alignment horizontal="right"/>
    </xf>
    <xf numFmtId="165" fontId="2" fillId="2" borderId="6" xfId="3" applyNumberFormat="1" applyFont="1" applyFill="1" applyBorder="1"/>
    <xf numFmtId="165" fontId="2" fillId="2" borderId="7" xfId="3" applyNumberFormat="1" applyFont="1" applyFill="1" applyBorder="1"/>
    <xf numFmtId="165" fontId="2" fillId="2" borderId="7" xfId="3" applyNumberFormat="1" applyFont="1" applyFill="1" applyBorder="1" applyAlignment="1">
      <alignment horizontal="center"/>
    </xf>
    <xf numFmtId="166" fontId="2" fillId="2" borderId="7" xfId="1" applyNumberFormat="1" applyFont="1" applyFill="1" applyBorder="1" applyAlignment="1">
      <alignment horizontal="right"/>
    </xf>
    <xf numFmtId="165" fontId="5" fillId="2" borderId="6" xfId="3" applyNumberFormat="1" applyFont="1" applyFill="1" applyBorder="1" applyAlignment="1">
      <alignment horizontal="left"/>
    </xf>
    <xf numFmtId="0" fontId="2" fillId="2" borderId="9" xfId="2" applyFont="1" applyFill="1" applyBorder="1" applyAlignment="1">
      <alignment horizontal="center"/>
    </xf>
    <xf numFmtId="166" fontId="2" fillId="2" borderId="6" xfId="1" applyNumberFormat="1" applyFont="1" applyFill="1" applyBorder="1" applyAlignment="1">
      <alignment horizontal="right"/>
    </xf>
    <xf numFmtId="165" fontId="2" fillId="2" borderId="6" xfId="3" applyNumberFormat="1" applyFont="1" applyFill="1" applyBorder="1" applyAlignment="1">
      <alignment horizontal="left"/>
    </xf>
    <xf numFmtId="167" fontId="2" fillId="2" borderId="6" xfId="3" applyNumberFormat="1" applyFont="1" applyFill="1" applyBorder="1" applyAlignment="1">
      <alignment horizontal="center"/>
    </xf>
    <xf numFmtId="166" fontId="2" fillId="2" borderId="0" xfId="1" applyNumberFormat="1" applyFont="1" applyFill="1" applyBorder="1" applyAlignment="1" applyProtection="1">
      <alignment horizontal="right"/>
    </xf>
    <xf numFmtId="166" fontId="2" fillId="0" borderId="6" xfId="1" applyNumberFormat="1" applyFont="1" applyFill="1" applyBorder="1" applyAlignment="1" applyProtection="1">
      <alignment horizontal="right"/>
    </xf>
    <xf numFmtId="0" fontId="2" fillId="2" borderId="6" xfId="2" applyFont="1" applyFill="1" applyBorder="1"/>
    <xf numFmtId="167" fontId="2" fillId="2" borderId="7" xfId="3" applyNumberFormat="1" applyFont="1" applyFill="1" applyBorder="1" applyAlignment="1">
      <alignment horizontal="center"/>
    </xf>
    <xf numFmtId="165" fontId="2" fillId="2" borderId="10" xfId="3" applyNumberFormat="1" applyFont="1" applyFill="1" applyBorder="1"/>
    <xf numFmtId="165" fontId="2" fillId="2" borderId="11" xfId="3" applyNumberFormat="1" applyFont="1" applyFill="1" applyBorder="1"/>
    <xf numFmtId="166" fontId="4" fillId="2" borderId="13" xfId="3" applyNumberFormat="1" applyFont="1" applyFill="1" applyBorder="1" applyAlignment="1" applyProtection="1">
      <alignment horizontal="right"/>
    </xf>
    <xf numFmtId="165" fontId="4" fillId="2" borderId="10" xfId="3" applyNumberFormat="1" applyFont="1" applyFill="1" applyBorder="1"/>
    <xf numFmtId="4" fontId="2" fillId="2" borderId="0" xfId="2" applyNumberFormat="1" applyFont="1" applyFill="1"/>
    <xf numFmtId="0" fontId="2" fillId="2" borderId="1" xfId="2" applyFont="1" applyFill="1" applyBorder="1"/>
    <xf numFmtId="0" fontId="2" fillId="2" borderId="14" xfId="2" applyFont="1" applyFill="1" applyBorder="1"/>
    <xf numFmtId="0" fontId="2" fillId="2" borderId="8" xfId="2" applyFont="1" applyFill="1" applyBorder="1"/>
    <xf numFmtId="0" fontId="2" fillId="2" borderId="8" xfId="0" applyFont="1" applyFill="1" applyBorder="1"/>
    <xf numFmtId="3" fontId="2" fillId="2" borderId="8" xfId="2" applyNumberFormat="1" applyFont="1" applyFill="1" applyBorder="1"/>
    <xf numFmtId="0" fontId="2" fillId="2" borderId="14" xfId="0" applyFont="1" applyFill="1" applyBorder="1"/>
    <xf numFmtId="165" fontId="2" fillId="2" borderId="0" xfId="3" applyNumberFormat="1" applyFont="1" applyFill="1" applyBorder="1" applyAlignment="1">
      <alignment horizontal="left"/>
    </xf>
    <xf numFmtId="166" fontId="2" fillId="2" borderId="9" xfId="1" applyNumberFormat="1" applyFont="1" applyFill="1" applyBorder="1"/>
    <xf numFmtId="166" fontId="2" fillId="2" borderId="0" xfId="1" applyNumberFormat="1" applyFont="1" applyFill="1" applyBorder="1"/>
    <xf numFmtId="0" fontId="2" fillId="2" borderId="0" xfId="2" applyFont="1" applyFill="1" applyBorder="1"/>
    <xf numFmtId="0" fontId="2" fillId="2" borderId="9" xfId="2" applyFont="1" applyFill="1" applyBorder="1"/>
    <xf numFmtId="0" fontId="2" fillId="2" borderId="10" xfId="2" applyFont="1" applyFill="1" applyBorder="1"/>
    <xf numFmtId="0" fontId="2" fillId="2" borderId="15" xfId="2" applyFont="1" applyFill="1" applyBorder="1"/>
    <xf numFmtId="0" fontId="2" fillId="2" borderId="12" xfId="2" applyFont="1" applyFill="1" applyBorder="1"/>
    <xf numFmtId="166" fontId="4" fillId="2" borderId="13" xfId="1" applyNumberFormat="1" applyFont="1" applyFill="1" applyBorder="1"/>
    <xf numFmtId="166" fontId="4" fillId="2" borderId="4" xfId="1" applyNumberFormat="1" applyFont="1" applyFill="1" applyBorder="1"/>
    <xf numFmtId="166" fontId="4" fillId="2" borderId="5" xfId="1" applyNumberFormat="1" applyFont="1" applyFill="1" applyBorder="1"/>
    <xf numFmtId="165" fontId="2" fillId="2" borderId="15" xfId="3" applyNumberFormat="1" applyFont="1" applyFill="1" applyBorder="1"/>
    <xf numFmtId="166" fontId="4" fillId="2" borderId="10" xfId="1" applyNumberFormat="1" applyFont="1" applyFill="1" applyBorder="1"/>
    <xf numFmtId="166" fontId="2" fillId="2" borderId="10" xfId="1" applyNumberFormat="1" applyFont="1" applyFill="1" applyBorder="1"/>
  </cellXfs>
  <cellStyles count="5">
    <cellStyle name="Comma" xfId="1" builtinId="3"/>
    <cellStyle name="Comma_BS11_Harmonic 2" xfId="3"/>
    <cellStyle name="Normal" xfId="0" builtinId="0"/>
    <cellStyle name="Normal 2 2" xfId="2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nshika\Anshika\GRG%20Accessories%20Ltd\Financials\2024\31032024\BS%2031032204%20-%2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nants"/>
      <sheetName val="Working"/>
      <sheetName val="Compu"/>
      <sheetName val="BS"/>
      <sheetName val="P &amp; L"/>
      <sheetName val="Cash Flow"/>
      <sheetName val="Actual Cash Flow "/>
      <sheetName val="TB20"/>
      <sheetName val="Schedules"/>
      <sheetName val="TB 24"/>
      <sheetName val="Ratio Working"/>
      <sheetName val="Dep"/>
      <sheetName val="Depreciation working"/>
      <sheetName val="Capitalisation"/>
      <sheetName val="Gratuity and LE"/>
      <sheetName val="Deffered"/>
      <sheetName val="Dep-IT"/>
      <sheetName val="Sheet2"/>
      <sheetName val="Sheet3"/>
      <sheetName val="GST Reco"/>
      <sheetName val="Creditors"/>
      <sheetName val="Preoperative expenses Working"/>
      <sheetName val="Salary"/>
      <sheetName val="Stock"/>
      <sheetName val="GST"/>
      <sheetName val="Capitalized"/>
      <sheetName val="Sheet1"/>
    </sheetNames>
    <sheetDataSet>
      <sheetData sheetId="0"/>
      <sheetData sheetId="1"/>
      <sheetData sheetId="2"/>
      <sheetData sheetId="3">
        <row r="5">
          <cell r="H5">
            <v>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0">
          <cell r="W10">
            <v>5838637.0397985168</v>
          </cell>
        </row>
        <row r="19">
          <cell r="W19">
            <v>139724.166975</v>
          </cell>
        </row>
        <row r="66">
          <cell r="E66">
            <v>4621500</v>
          </cell>
        </row>
        <row r="67">
          <cell r="W67">
            <v>24510700.503221195</v>
          </cell>
        </row>
        <row r="80">
          <cell r="W80">
            <v>1875372.3329999999</v>
          </cell>
        </row>
        <row r="94">
          <cell r="W94">
            <v>0</v>
          </cell>
        </row>
        <row r="103">
          <cell r="W103">
            <v>257445.95933333336</v>
          </cell>
        </row>
        <row r="129">
          <cell r="W129">
            <v>249673.69994999995</v>
          </cell>
        </row>
        <row r="153">
          <cell r="W153">
            <v>185835.65117315066</v>
          </cell>
        </row>
        <row r="159">
          <cell r="W159">
            <v>256381.25</v>
          </cell>
        </row>
        <row r="169">
          <cell r="U169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2"/>
  <sheetViews>
    <sheetView tabSelected="1" workbookViewId="0">
      <selection sqref="A1:M1"/>
    </sheetView>
  </sheetViews>
  <sheetFormatPr defaultRowHeight="15" x14ac:dyDescent="0.25"/>
  <cols>
    <col min="4" max="4" width="15.5703125" bestFit="1" customWidth="1"/>
    <col min="5" max="5" width="15.85546875" bestFit="1" customWidth="1"/>
    <col min="7" max="8" width="15.5703125" bestFit="1" customWidth="1"/>
    <col min="9" max="9" width="15.85546875" bestFit="1" customWidth="1"/>
    <col min="11" max="13" width="15.5703125" bestFit="1" customWidth="1"/>
  </cols>
  <sheetData>
    <row r="1" spans="1:13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34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x14ac:dyDescent="0.25">
      <c r="A3" s="3" t="s">
        <v>1</v>
      </c>
      <c r="B3" s="4"/>
      <c r="C3" s="4"/>
      <c r="D3" s="5"/>
      <c r="E3" s="4"/>
      <c r="F3" s="4"/>
      <c r="G3" s="4"/>
      <c r="H3" s="4"/>
      <c r="I3" s="4"/>
      <c r="J3" s="4"/>
      <c r="K3" s="4"/>
      <c r="L3" s="4"/>
      <c r="M3" s="6" t="s">
        <v>2</v>
      </c>
    </row>
    <row r="4" spans="1:13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</row>
    <row r="5" spans="1:13" x14ac:dyDescent="0.25">
      <c r="A5" s="7" t="s">
        <v>3</v>
      </c>
      <c r="B5" s="8"/>
      <c r="C5" s="9"/>
      <c r="D5" s="10" t="s">
        <v>4</v>
      </c>
      <c r="E5" s="11"/>
      <c r="F5" s="11"/>
      <c r="G5" s="12"/>
      <c r="H5" s="10" t="s">
        <v>5</v>
      </c>
      <c r="I5" s="11"/>
      <c r="J5" s="11"/>
      <c r="K5" s="12"/>
      <c r="L5" s="10" t="s">
        <v>6</v>
      </c>
      <c r="M5" s="12"/>
    </row>
    <row r="6" spans="1:13" ht="25.5" x14ac:dyDescent="0.25">
      <c r="A6" s="13"/>
      <c r="B6" s="14"/>
      <c r="C6" s="15" t="s">
        <v>7</v>
      </c>
      <c r="D6" s="16" t="s">
        <v>8</v>
      </c>
      <c r="E6" s="16" t="s">
        <v>9</v>
      </c>
      <c r="F6" s="17" t="s">
        <v>10</v>
      </c>
      <c r="G6" s="16" t="s">
        <v>11</v>
      </c>
      <c r="H6" s="16" t="s">
        <v>12</v>
      </c>
      <c r="I6" s="16" t="s">
        <v>13</v>
      </c>
      <c r="J6" s="17" t="s">
        <v>10</v>
      </c>
      <c r="K6" s="16" t="s">
        <v>14</v>
      </c>
      <c r="L6" s="16" t="s">
        <v>11</v>
      </c>
      <c r="M6" s="16" t="s">
        <v>15</v>
      </c>
    </row>
    <row r="7" spans="1:13" x14ac:dyDescent="0.25">
      <c r="A7" s="13"/>
      <c r="B7" s="14"/>
      <c r="C7" s="15"/>
      <c r="D7" s="18"/>
      <c r="E7" s="18"/>
      <c r="F7" s="19"/>
      <c r="G7" s="18"/>
      <c r="H7" s="18"/>
      <c r="I7" s="18"/>
      <c r="J7" s="19"/>
      <c r="K7" s="18"/>
      <c r="L7" s="18"/>
      <c r="M7" s="18"/>
    </row>
    <row r="8" spans="1:13" x14ac:dyDescent="0.25">
      <c r="A8" s="20"/>
      <c r="B8" s="21"/>
      <c r="C8" s="22"/>
      <c r="D8" s="23"/>
      <c r="E8" s="23"/>
      <c r="F8" s="24"/>
      <c r="G8" s="23"/>
      <c r="H8" s="23"/>
      <c r="I8" s="23"/>
      <c r="J8" s="24"/>
      <c r="K8" s="23"/>
      <c r="L8" s="23"/>
      <c r="M8" s="23"/>
    </row>
    <row r="9" spans="1:13" x14ac:dyDescent="0.25">
      <c r="A9" s="25"/>
      <c r="B9" s="26"/>
      <c r="C9" s="26"/>
      <c r="D9" s="27"/>
      <c r="E9" s="28"/>
      <c r="F9" s="29"/>
      <c r="G9" s="28"/>
      <c r="H9" s="30"/>
      <c r="I9" s="28"/>
      <c r="J9" s="28"/>
      <c r="K9" s="28"/>
      <c r="L9" s="28"/>
      <c r="M9" s="28"/>
    </row>
    <row r="10" spans="1:13" x14ac:dyDescent="0.25">
      <c r="A10" s="31" t="s">
        <v>16</v>
      </c>
      <c r="B10" s="32"/>
      <c r="C10" s="33">
        <v>0</v>
      </c>
      <c r="D10" s="34">
        <f>23407900/[1]BS!H5</f>
        <v>23407900</v>
      </c>
      <c r="E10" s="34">
        <v>0</v>
      </c>
      <c r="F10" s="35">
        <v>0</v>
      </c>
      <c r="G10" s="34">
        <f>+D10+E10-F10</f>
        <v>23407900</v>
      </c>
      <c r="H10" s="36">
        <v>0</v>
      </c>
      <c r="I10" s="34">
        <v>0</v>
      </c>
      <c r="J10" s="34">
        <v>0</v>
      </c>
      <c r="K10" s="34">
        <v>0</v>
      </c>
      <c r="L10" s="37">
        <f>+G10-K10</f>
        <v>23407900</v>
      </c>
      <c r="M10" s="34">
        <f>D10-H10</f>
        <v>23407900</v>
      </c>
    </row>
    <row r="11" spans="1:13" x14ac:dyDescent="0.25">
      <c r="A11" s="38"/>
      <c r="B11" s="39"/>
      <c r="C11" s="40"/>
      <c r="D11" s="35"/>
      <c r="E11" s="34"/>
      <c r="F11" s="35"/>
      <c r="G11" s="35"/>
      <c r="H11" s="41"/>
      <c r="I11" s="35"/>
      <c r="J11" s="35"/>
      <c r="K11" s="35"/>
      <c r="L11" s="35"/>
      <c r="M11" s="35"/>
    </row>
    <row r="12" spans="1:13" x14ac:dyDescent="0.25">
      <c r="A12" s="42" t="s">
        <v>17</v>
      </c>
      <c r="B12" s="39"/>
      <c r="C12" s="43">
        <v>30</v>
      </c>
      <c r="D12" s="37">
        <f>184378011.783111/[1]BS!H5</f>
        <v>184378011.78311101</v>
      </c>
      <c r="E12" s="34">
        <v>0</v>
      </c>
      <c r="F12" s="44">
        <v>0</v>
      </c>
      <c r="G12" s="34">
        <f>+D12+E12-F12</f>
        <v>184378011.78311101</v>
      </c>
      <c r="H12" s="37">
        <f>29393245.8323407/[1]BS!H5</f>
        <v>29393245.832340699</v>
      </c>
      <c r="I12" s="34">
        <f>'[1]Depreciation working'!W10/[1]BS!H5</f>
        <v>5838637.0397985168</v>
      </c>
      <c r="J12" s="37">
        <v>0</v>
      </c>
      <c r="K12" s="34">
        <f>+H12+I12-J12</f>
        <v>35231882.872139215</v>
      </c>
      <c r="L12" s="37">
        <f>+G12-K12</f>
        <v>149146128.91097179</v>
      </c>
      <c r="M12" s="34">
        <f>D12-H12</f>
        <v>154984765.95077032</v>
      </c>
    </row>
    <row r="13" spans="1:13" x14ac:dyDescent="0.25">
      <c r="A13" s="45"/>
      <c r="B13" s="39"/>
      <c r="C13" s="43"/>
      <c r="D13" s="37"/>
      <c r="E13" s="34"/>
      <c r="F13" s="44"/>
      <c r="G13" s="37"/>
      <c r="H13" s="37"/>
      <c r="I13" s="34"/>
      <c r="J13" s="37"/>
      <c r="K13" s="37"/>
      <c r="L13" s="37"/>
      <c r="M13" s="34"/>
    </row>
    <row r="14" spans="1:13" x14ac:dyDescent="0.25">
      <c r="A14" s="42" t="s">
        <v>18</v>
      </c>
      <c r="B14" s="39"/>
      <c r="C14" s="43">
        <v>60</v>
      </c>
      <c r="D14" s="37">
        <f>8824684.23/[1]BS!H5</f>
        <v>8824684.2300000004</v>
      </c>
      <c r="E14" s="34">
        <v>0</v>
      </c>
      <c r="F14" s="44">
        <v>0</v>
      </c>
      <c r="G14" s="34">
        <f>+D14+E14-F14</f>
        <v>8824684.2300000004</v>
      </c>
      <c r="H14" s="37">
        <f>568270.057313265/[1]BS!H5</f>
        <v>568270.05731326505</v>
      </c>
      <c r="I14" s="34">
        <f>'[1]Depreciation working'!W19/[1]BS!H5</f>
        <v>139724.166975</v>
      </c>
      <c r="J14" s="37">
        <v>0</v>
      </c>
      <c r="K14" s="34">
        <f>+H14+I14-J14</f>
        <v>707994.22428826499</v>
      </c>
      <c r="L14" s="37">
        <f>+G14-K14</f>
        <v>8116690.0057117352</v>
      </c>
      <c r="M14" s="34">
        <f>D14-H14</f>
        <v>8256414.1726867352</v>
      </c>
    </row>
    <row r="15" spans="1:13" x14ac:dyDescent="0.25">
      <c r="A15" s="45"/>
      <c r="B15" s="39"/>
      <c r="C15" s="43"/>
      <c r="D15" s="37"/>
      <c r="E15" s="34"/>
      <c r="F15" s="44"/>
      <c r="G15" s="37"/>
      <c r="H15" s="37"/>
      <c r="I15" s="34"/>
      <c r="J15" s="37"/>
      <c r="K15" s="37"/>
      <c r="L15" s="37"/>
      <c r="M15" s="34"/>
    </row>
    <row r="16" spans="1:13" x14ac:dyDescent="0.25">
      <c r="A16" s="45" t="s">
        <v>19</v>
      </c>
      <c r="B16" s="39"/>
      <c r="C16" s="43">
        <v>15</v>
      </c>
      <c r="D16" s="37">
        <f>385099242.768085/[1]BS!H5</f>
        <v>385099242.768085</v>
      </c>
      <c r="E16" s="34">
        <f>'[1]Depreciation working'!E66/[1]BS!H5</f>
        <v>4621500</v>
      </c>
      <c r="F16" s="44">
        <v>0</v>
      </c>
      <c r="G16" s="34">
        <f>+D16+E16-F16</f>
        <v>389720742.768085</v>
      </c>
      <c r="H16" s="37">
        <f>119118195.433544/[1]BS!H5</f>
        <v>119118195.433544</v>
      </c>
      <c r="I16" s="34">
        <f>'[1]Depreciation working'!W67/[1]BS!H5</f>
        <v>24510700.503221195</v>
      </c>
      <c r="J16" s="37">
        <v>0</v>
      </c>
      <c r="K16" s="34">
        <f>+H16+I16-J16</f>
        <v>143628895.93676519</v>
      </c>
      <c r="L16" s="37">
        <f>+G16-K16</f>
        <v>246091846.83131981</v>
      </c>
      <c r="M16" s="34">
        <f t="shared" ref="M16:M28" si="0">D16-H16</f>
        <v>265981047.33454102</v>
      </c>
    </row>
    <row r="17" spans="1:13" x14ac:dyDescent="0.25">
      <c r="A17" s="45"/>
      <c r="B17" s="39"/>
      <c r="C17" s="43"/>
      <c r="D17" s="37"/>
      <c r="E17" s="34"/>
      <c r="F17" s="44"/>
      <c r="G17" s="37"/>
      <c r="H17" s="37"/>
      <c r="I17" s="34"/>
      <c r="J17" s="37"/>
      <c r="K17" s="37"/>
      <c r="L17" s="37"/>
      <c r="M17" s="34"/>
    </row>
    <row r="18" spans="1:13" x14ac:dyDescent="0.25">
      <c r="A18" s="42" t="s">
        <v>20</v>
      </c>
      <c r="B18" s="39"/>
      <c r="C18" s="43">
        <v>10</v>
      </c>
      <c r="D18" s="37">
        <f>19740761.4/[1]BS!H5</f>
        <v>19740761.399999999</v>
      </c>
      <c r="E18" s="34">
        <v>0</v>
      </c>
      <c r="F18" s="44">
        <v>0</v>
      </c>
      <c r="G18" s="34">
        <f>+D18+E18-F18</f>
        <v>19740761.399999999</v>
      </c>
      <c r="H18" s="37">
        <f>9495524.86989753/[1]BS!H5</f>
        <v>9495524.8698975295</v>
      </c>
      <c r="I18" s="34">
        <f>'[1]Depreciation working'!W80/[1]BS!H5</f>
        <v>1875372.3329999999</v>
      </c>
      <c r="J18" s="37">
        <v>0</v>
      </c>
      <c r="K18" s="34">
        <f>+H18+I18-J18</f>
        <v>11370897.20289753</v>
      </c>
      <c r="L18" s="37">
        <f>+G18-K18</f>
        <v>8369864.1971024685</v>
      </c>
      <c r="M18" s="34">
        <f t="shared" si="0"/>
        <v>10245236.530102469</v>
      </c>
    </row>
    <row r="19" spans="1:13" x14ac:dyDescent="0.25">
      <c r="A19" s="45"/>
      <c r="B19" s="39"/>
      <c r="C19" s="43"/>
      <c r="D19" s="37"/>
      <c r="E19" s="34"/>
      <c r="F19" s="44"/>
      <c r="G19" s="37"/>
      <c r="H19" s="37"/>
      <c r="I19" s="34"/>
      <c r="J19" s="37"/>
      <c r="K19" s="37"/>
      <c r="L19" s="37"/>
      <c r="M19" s="34"/>
    </row>
    <row r="20" spans="1:13" x14ac:dyDescent="0.25">
      <c r="A20" s="45" t="s">
        <v>21</v>
      </c>
      <c r="B20" s="39"/>
      <c r="C20" s="43">
        <v>3</v>
      </c>
      <c r="D20" s="37">
        <f>629385.78/[1]BS!H5</f>
        <v>629385.78</v>
      </c>
      <c r="E20" s="34">
        <v>0</v>
      </c>
      <c r="F20" s="44">
        <v>0</v>
      </c>
      <c r="G20" s="34">
        <f>+D20+E20-F20</f>
        <v>629385.78</v>
      </c>
      <c r="H20" s="37">
        <f>597916.491/[1]BS!H5</f>
        <v>597916.49100000004</v>
      </c>
      <c r="I20" s="34">
        <f>'[1]Depreciation working'!W94</f>
        <v>0</v>
      </c>
      <c r="J20" s="37">
        <v>0</v>
      </c>
      <c r="K20" s="34">
        <f>+H20+I20-J20</f>
        <v>597916.49100000004</v>
      </c>
      <c r="L20" s="37">
        <f>+G20-K20</f>
        <v>31469.28899999999</v>
      </c>
      <c r="M20" s="34">
        <f t="shared" si="0"/>
        <v>31469.28899999999</v>
      </c>
    </row>
    <row r="21" spans="1:13" x14ac:dyDescent="0.25">
      <c r="A21" s="45"/>
      <c r="B21" s="39"/>
      <c r="C21" s="43"/>
      <c r="D21" s="37"/>
      <c r="E21" s="34"/>
      <c r="F21" s="44"/>
      <c r="G21" s="37"/>
      <c r="H21" s="37"/>
      <c r="I21" s="34"/>
      <c r="J21" s="37"/>
      <c r="K21" s="37"/>
      <c r="L21" s="37"/>
      <c r="M21" s="34"/>
    </row>
    <row r="22" spans="1:13" x14ac:dyDescent="0.25">
      <c r="A22" s="45" t="s">
        <v>22</v>
      </c>
      <c r="B22" s="39"/>
      <c r="C22" s="43">
        <v>6</v>
      </c>
      <c r="D22" s="37">
        <f>1625974.48/[1]BS!H5</f>
        <v>1625974.48</v>
      </c>
      <c r="E22" s="34">
        <v>0</v>
      </c>
      <c r="F22" s="44">
        <v>0</v>
      </c>
      <c r="G22" s="34">
        <f>+D22+E22-F22</f>
        <v>1625974.48</v>
      </c>
      <c r="H22" s="37">
        <f>1292078.8368952/[1]BS!H5</f>
        <v>1292078.8368952</v>
      </c>
      <c r="I22" s="34">
        <f>'[1]Depreciation working'!W103/[1]BS!H5</f>
        <v>257445.95933333336</v>
      </c>
      <c r="J22" s="37">
        <v>0</v>
      </c>
      <c r="K22" s="34">
        <f>+H22+I22-J22</f>
        <v>1549524.7962285334</v>
      </c>
      <c r="L22" s="37">
        <f>+G22-K22</f>
        <v>76449.683771466604</v>
      </c>
      <c r="M22" s="34">
        <f t="shared" si="0"/>
        <v>333895.64310480002</v>
      </c>
    </row>
    <row r="23" spans="1:13" x14ac:dyDescent="0.25">
      <c r="A23" s="45"/>
      <c r="B23" s="39"/>
      <c r="C23" s="43"/>
      <c r="D23" s="37"/>
      <c r="E23" s="34"/>
      <c r="F23" s="44"/>
      <c r="G23" s="37"/>
      <c r="H23" s="37"/>
      <c r="I23" s="34"/>
      <c r="J23" s="37"/>
      <c r="K23" s="37"/>
      <c r="L23" s="37"/>
      <c r="M23" s="34"/>
    </row>
    <row r="24" spans="1:13" x14ac:dyDescent="0.25">
      <c r="A24" s="45" t="s">
        <v>23</v>
      </c>
      <c r="B24" s="39"/>
      <c r="C24" s="43">
        <v>10</v>
      </c>
      <c r="D24" s="37">
        <f>2628144.21/[1]BS!H5</f>
        <v>2628144.21</v>
      </c>
      <c r="E24" s="34">
        <v>0</v>
      </c>
      <c r="F24" s="44">
        <v>0</v>
      </c>
      <c r="G24" s="34">
        <f>+D24+E24-F24</f>
        <v>2628144.21</v>
      </c>
      <c r="H24" s="37">
        <f>1201898.10510151/[1]BS!H5</f>
        <v>1201898.10510151</v>
      </c>
      <c r="I24" s="34">
        <f>'[1]Depreciation working'!W129/[1]BS!H5</f>
        <v>249673.69994999995</v>
      </c>
      <c r="J24" s="37">
        <v>0</v>
      </c>
      <c r="K24" s="34">
        <f>+H24+I24-J24</f>
        <v>1451571.80505151</v>
      </c>
      <c r="L24" s="37">
        <f>+G24-K24</f>
        <v>1176572.40494849</v>
      </c>
      <c r="M24" s="34">
        <f t="shared" si="0"/>
        <v>1426246.10489849</v>
      </c>
    </row>
    <row r="25" spans="1:13" x14ac:dyDescent="0.25">
      <c r="A25" s="45"/>
      <c r="B25" s="39"/>
      <c r="C25" s="43"/>
      <c r="D25" s="37"/>
      <c r="E25" s="34"/>
      <c r="F25" s="44"/>
      <c r="G25" s="37"/>
      <c r="H25" s="37"/>
      <c r="I25" s="34"/>
      <c r="J25" s="37"/>
      <c r="K25" s="37"/>
      <c r="L25" s="37"/>
      <c r="M25" s="34"/>
    </row>
    <row r="26" spans="1:13" x14ac:dyDescent="0.25">
      <c r="A26" s="42" t="s">
        <v>24</v>
      </c>
      <c r="B26" s="39"/>
      <c r="C26" s="43">
        <v>5</v>
      </c>
      <c r="D26" s="37">
        <f>1915111.98/[1]BS!H5</f>
        <v>1915111.98</v>
      </c>
      <c r="E26" s="34">
        <v>0</v>
      </c>
      <c r="F26" s="44">
        <v>0</v>
      </c>
      <c r="G26" s="34">
        <f>+D26+E26-F26</f>
        <v>1915111.98</v>
      </c>
      <c r="H26" s="37">
        <f>1448111.3467274/[1]BS!H5</f>
        <v>1448111.3467274001</v>
      </c>
      <c r="I26" s="34">
        <f>'[1]Depreciation working'!W153/[1]BS!H5</f>
        <v>185835.65117315066</v>
      </c>
      <c r="J26" s="37">
        <v>0</v>
      </c>
      <c r="K26" s="34">
        <f>+H26+I26-J26</f>
        <v>1633946.9979005507</v>
      </c>
      <c r="L26" s="37">
        <f>+G26-K26+0.01</f>
        <v>281164.99209944927</v>
      </c>
      <c r="M26" s="34">
        <f t="shared" si="0"/>
        <v>467000.63327259989</v>
      </c>
    </row>
    <row r="27" spans="1:13" x14ac:dyDescent="0.25">
      <c r="A27" s="45"/>
      <c r="B27" s="39"/>
      <c r="C27" s="46"/>
      <c r="D27" s="37"/>
      <c r="E27" s="37"/>
      <c r="F27" s="44"/>
      <c r="G27" s="34"/>
      <c r="H27" s="37"/>
      <c r="I27" s="34"/>
      <c r="J27" s="37"/>
      <c r="K27" s="34"/>
      <c r="L27" s="37"/>
      <c r="M27" s="34"/>
    </row>
    <row r="28" spans="1:13" x14ac:dyDescent="0.25">
      <c r="A28" s="45" t="s">
        <v>25</v>
      </c>
      <c r="B28" s="39"/>
      <c r="C28" s="43">
        <v>8</v>
      </c>
      <c r="D28" s="37">
        <f>2159000/[1]BS!H5</f>
        <v>2159000</v>
      </c>
      <c r="E28" s="37">
        <v>0</v>
      </c>
      <c r="F28" s="44">
        <v>0</v>
      </c>
      <c r="G28" s="34">
        <f>+D28+E28-F28</f>
        <v>2159000</v>
      </c>
      <c r="H28" s="47">
        <f>1158162.89383562/[1]BS!H5</f>
        <v>1158162.89383562</v>
      </c>
      <c r="I28" s="34">
        <f>'[1]Depreciation working'!W159/[1]BS!H5</f>
        <v>256381.25</v>
      </c>
      <c r="J28" s="37">
        <v>0</v>
      </c>
      <c r="K28" s="34">
        <f>+H28+I28-J28</f>
        <v>1414544.14383562</v>
      </c>
      <c r="L28" s="48">
        <f>+G28-K28</f>
        <v>744455.85616437998</v>
      </c>
      <c r="M28" s="34">
        <f t="shared" si="0"/>
        <v>1000837.10616438</v>
      </c>
    </row>
    <row r="29" spans="1:13" x14ac:dyDescent="0.25">
      <c r="A29" s="49"/>
      <c r="B29" s="39"/>
      <c r="C29" s="50"/>
      <c r="D29" s="34"/>
      <c r="E29" s="34"/>
      <c r="F29" s="35"/>
      <c r="G29" s="34"/>
      <c r="H29" s="36"/>
      <c r="I29" s="34"/>
      <c r="J29" s="34"/>
      <c r="K29" s="34"/>
      <c r="L29" s="34"/>
      <c r="M29" s="34"/>
    </row>
    <row r="30" spans="1:13" x14ac:dyDescent="0.25">
      <c r="A30" s="51"/>
      <c r="B30" s="52"/>
      <c r="C30" s="52"/>
      <c r="D30" s="53">
        <f t="shared" ref="D30:M30" si="1">SUM(D10:D29)</f>
        <v>630408216.63119602</v>
      </c>
      <c r="E30" s="53">
        <f t="shared" si="1"/>
        <v>4621500</v>
      </c>
      <c r="F30" s="53">
        <f t="shared" si="1"/>
        <v>0</v>
      </c>
      <c r="G30" s="53">
        <f t="shared" si="1"/>
        <v>635029716.63119602</v>
      </c>
      <c r="H30" s="53">
        <f t="shared" si="1"/>
        <v>164273403.86665523</v>
      </c>
      <c r="I30" s="53">
        <f t="shared" si="1"/>
        <v>33313770.603451196</v>
      </c>
      <c r="J30" s="53">
        <f t="shared" si="1"/>
        <v>0</v>
      </c>
      <c r="K30" s="53">
        <f t="shared" si="1"/>
        <v>197587174.47010639</v>
      </c>
      <c r="L30" s="53">
        <f t="shared" si="1"/>
        <v>437442542.17108965</v>
      </c>
      <c r="M30" s="53">
        <f t="shared" si="1"/>
        <v>466134812.76454079</v>
      </c>
    </row>
    <row r="31" spans="1:13" x14ac:dyDescent="0.25">
      <c r="A31" s="54" t="s">
        <v>26</v>
      </c>
      <c r="B31" s="52"/>
      <c r="C31" s="52"/>
      <c r="D31" s="53">
        <f>624047237.561196/[1]BS!H5</f>
        <v>624047237.56119597</v>
      </c>
      <c r="E31" s="53">
        <f>6360979.07/[1]BS!H5</f>
        <v>6360979.0700000003</v>
      </c>
      <c r="F31" s="53">
        <v>0</v>
      </c>
      <c r="G31" s="53">
        <f>630408216.631196/[1]BS!H5</f>
        <v>630408216.63119602</v>
      </c>
      <c r="H31" s="53">
        <f>131172524.150123/[1]BS!H5</f>
        <v>131172524.150123</v>
      </c>
      <c r="I31" s="53">
        <f>33100879.7165322/[1]BS!H5</f>
        <v>33100879.716532201</v>
      </c>
      <c r="J31" s="53">
        <v>0</v>
      </c>
      <c r="K31" s="53">
        <f>164273403.866655/[1]BS!H5</f>
        <v>164273403.86665499</v>
      </c>
      <c r="L31" s="53">
        <f>466134812.774541/[1]BS!H5</f>
        <v>466134812.77454102</v>
      </c>
      <c r="M31" s="53">
        <f>492874713.411073/[1]BS!H5</f>
        <v>492874713.41107303</v>
      </c>
    </row>
    <row r="32" spans="1:13" x14ac:dyDescent="0.25">
      <c r="A32" s="4"/>
      <c r="B32" s="4"/>
      <c r="C32" s="4"/>
      <c r="D32" s="55"/>
      <c r="E32" s="55"/>
      <c r="F32" s="55"/>
      <c r="G32" s="55"/>
      <c r="H32" s="55"/>
      <c r="I32" s="55"/>
      <c r="J32" s="55"/>
      <c r="K32" s="55"/>
      <c r="L32" s="55"/>
      <c r="M32" s="55"/>
    </row>
    <row r="33" spans="1:13" x14ac:dyDescent="0.25">
      <c r="A33" s="3" t="s">
        <v>27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25">
      <c r="A34" s="7" t="s">
        <v>3</v>
      </c>
      <c r="B34" s="8"/>
      <c r="C34" s="9"/>
      <c r="D34" s="10" t="s">
        <v>4</v>
      </c>
      <c r="E34" s="11"/>
      <c r="F34" s="11"/>
      <c r="G34" s="12"/>
      <c r="H34" s="10" t="s">
        <v>5</v>
      </c>
      <c r="I34" s="11"/>
      <c r="J34" s="11"/>
      <c r="K34" s="12"/>
      <c r="L34" s="10" t="s">
        <v>6</v>
      </c>
      <c r="M34" s="12"/>
    </row>
    <row r="35" spans="1:13" ht="25.5" x14ac:dyDescent="0.25">
      <c r="A35" s="13"/>
      <c r="B35" s="14"/>
      <c r="C35" s="15" t="s">
        <v>7</v>
      </c>
      <c r="D35" s="16" t="s">
        <v>28</v>
      </c>
      <c r="E35" s="16" t="s">
        <v>9</v>
      </c>
      <c r="F35" s="17" t="s">
        <v>10</v>
      </c>
      <c r="G35" s="16" t="s">
        <v>29</v>
      </c>
      <c r="H35" s="16" t="s">
        <v>30</v>
      </c>
      <c r="I35" s="16" t="s">
        <v>13</v>
      </c>
      <c r="J35" s="17" t="s">
        <v>10</v>
      </c>
      <c r="K35" s="16" t="s">
        <v>31</v>
      </c>
      <c r="L35" s="16" t="s">
        <v>29</v>
      </c>
      <c r="M35" s="16" t="s">
        <v>32</v>
      </c>
    </row>
    <row r="36" spans="1:13" x14ac:dyDescent="0.25">
      <c r="A36" s="13"/>
      <c r="B36" s="14"/>
      <c r="C36" s="15"/>
      <c r="D36" s="18"/>
      <c r="E36" s="18"/>
      <c r="F36" s="19"/>
      <c r="G36" s="18"/>
      <c r="H36" s="18"/>
      <c r="I36" s="18"/>
      <c r="J36" s="19"/>
      <c r="K36" s="18"/>
      <c r="L36" s="18"/>
      <c r="M36" s="18"/>
    </row>
    <row r="37" spans="1:13" x14ac:dyDescent="0.25">
      <c r="A37" s="13"/>
      <c r="B37" s="14"/>
      <c r="C37" s="15"/>
      <c r="D37" s="18"/>
      <c r="E37" s="18"/>
      <c r="F37" s="19"/>
      <c r="G37" s="18"/>
      <c r="H37" s="18"/>
      <c r="I37" s="18"/>
      <c r="J37" s="19"/>
      <c r="K37" s="18"/>
      <c r="L37" s="23"/>
      <c r="M37" s="18"/>
    </row>
    <row r="38" spans="1:13" x14ac:dyDescent="0.25">
      <c r="A38" s="56"/>
      <c r="B38" s="57"/>
      <c r="C38" s="58"/>
      <c r="D38" s="58"/>
      <c r="E38" s="58"/>
      <c r="F38" s="57"/>
      <c r="G38" s="59"/>
      <c r="H38" s="57"/>
      <c r="I38" s="60"/>
      <c r="J38" s="57"/>
      <c r="K38" s="60"/>
      <c r="L38" s="61"/>
      <c r="M38" s="58"/>
    </row>
    <row r="39" spans="1:13" x14ac:dyDescent="0.25">
      <c r="A39" s="45" t="s">
        <v>33</v>
      </c>
      <c r="B39" s="62"/>
      <c r="C39" s="43">
        <v>3</v>
      </c>
      <c r="D39" s="63">
        <f>587975/[1]BS!H5</f>
        <v>587975</v>
      </c>
      <c r="E39" s="63"/>
      <c r="F39" s="64">
        <v>0</v>
      </c>
      <c r="G39" s="63">
        <f>D39+E39-F39</f>
        <v>587975</v>
      </c>
      <c r="H39" s="64">
        <f>562375.859589041/[1]BS!H5</f>
        <v>562375.85958904098</v>
      </c>
      <c r="I39" s="63">
        <f>'[1]Depreciation working'!U169</f>
        <v>0</v>
      </c>
      <c r="J39" s="64">
        <v>0</v>
      </c>
      <c r="K39" s="63">
        <f>I39+H39</f>
        <v>562375.85958904098</v>
      </c>
      <c r="L39" s="64">
        <f>G39-K39</f>
        <v>25599.140410959022</v>
      </c>
      <c r="M39" s="63">
        <f>D39-H39</f>
        <v>25599.140410959022</v>
      </c>
    </row>
    <row r="40" spans="1:13" x14ac:dyDescent="0.25">
      <c r="A40" s="49"/>
      <c r="B40" s="65"/>
      <c r="C40" s="66"/>
      <c r="D40" s="63"/>
      <c r="E40" s="63"/>
      <c r="F40" s="64"/>
      <c r="G40" s="63"/>
      <c r="H40" s="64"/>
      <c r="I40" s="63"/>
      <c r="J40" s="64"/>
      <c r="K40" s="63"/>
      <c r="L40" s="64"/>
      <c r="M40" s="63"/>
    </row>
    <row r="41" spans="1:13" x14ac:dyDescent="0.25">
      <c r="A41" s="67"/>
      <c r="B41" s="68"/>
      <c r="C41" s="69"/>
      <c r="D41" s="70">
        <f t="shared" ref="D41:M41" si="2">D39</f>
        <v>587975</v>
      </c>
      <c r="E41" s="70">
        <f t="shared" si="2"/>
        <v>0</v>
      </c>
      <c r="F41" s="70">
        <f t="shared" si="2"/>
        <v>0</v>
      </c>
      <c r="G41" s="70">
        <f t="shared" si="2"/>
        <v>587975</v>
      </c>
      <c r="H41" s="70">
        <f t="shared" si="2"/>
        <v>562375.85958904098</v>
      </c>
      <c r="I41" s="71">
        <f t="shared" si="2"/>
        <v>0</v>
      </c>
      <c r="J41" s="70">
        <f t="shared" si="2"/>
        <v>0</v>
      </c>
      <c r="K41" s="71">
        <f t="shared" si="2"/>
        <v>562375.85958904098</v>
      </c>
      <c r="L41" s="70">
        <f t="shared" si="2"/>
        <v>25599.140410959022</v>
      </c>
      <c r="M41" s="72">
        <f t="shared" si="2"/>
        <v>25599.140410959022</v>
      </c>
    </row>
    <row r="42" spans="1:13" x14ac:dyDescent="0.25">
      <c r="A42" s="54" t="s">
        <v>26</v>
      </c>
      <c r="B42" s="52"/>
      <c r="C42" s="73"/>
      <c r="D42" s="74">
        <f>587975/[1]BS!H5</f>
        <v>587975</v>
      </c>
      <c r="E42" s="75">
        <v>0</v>
      </c>
      <c r="F42" s="75">
        <v>0</v>
      </c>
      <c r="G42" s="74">
        <f>587975/[1]BS!H5</f>
        <v>587975</v>
      </c>
      <c r="H42" s="74">
        <f>562375.859589041/[1]BS!H5</f>
        <v>562375.85958904098</v>
      </c>
      <c r="I42" s="74">
        <v>0</v>
      </c>
      <c r="J42" s="74">
        <v>0</v>
      </c>
      <c r="K42" s="74">
        <f>562375.859589041/[1]BS!H5</f>
        <v>562375.85958904098</v>
      </c>
      <c r="L42" s="74">
        <f>25599.140410959/[1]BS!H5</f>
        <v>25599.140410959</v>
      </c>
      <c r="M42" s="70">
        <f>25599.140410959/[1]BS!H5</f>
        <v>25599.140410959</v>
      </c>
    </row>
  </sheetData>
  <mergeCells count="30">
    <mergeCell ref="J35:J37"/>
    <mergeCell ref="K35:K37"/>
    <mergeCell ref="L35:L37"/>
    <mergeCell ref="M35:M37"/>
    <mergeCell ref="A34:B37"/>
    <mergeCell ref="D34:G34"/>
    <mergeCell ref="H34:K34"/>
    <mergeCell ref="L34:M34"/>
    <mergeCell ref="D35:D37"/>
    <mergeCell ref="E35:E37"/>
    <mergeCell ref="F35:F37"/>
    <mergeCell ref="G35:G37"/>
    <mergeCell ref="H35:H37"/>
    <mergeCell ref="I35:I37"/>
    <mergeCell ref="H6:H8"/>
    <mergeCell ref="I6:I8"/>
    <mergeCell ref="J6:J8"/>
    <mergeCell ref="K6:K8"/>
    <mergeCell ref="L6:L8"/>
    <mergeCell ref="M6:M8"/>
    <mergeCell ref="A1:M1"/>
    <mergeCell ref="A2:M2"/>
    <mergeCell ref="A5:B8"/>
    <mergeCell ref="D5:G5"/>
    <mergeCell ref="H5:K5"/>
    <mergeCell ref="L5:M5"/>
    <mergeCell ref="D6:D8"/>
    <mergeCell ref="E6:E8"/>
    <mergeCell ref="F6:F8"/>
    <mergeCell ref="G6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2024-08-23T04:41:57Z</dcterms:modified>
</cp:coreProperties>
</file>