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n Progress Files\Yash Bhatnagar\GUpta Power\"/>
    </mc:Choice>
  </mc:AlternateContent>
  <xr:revisionPtr revIDLastSave="0" documentId="13_ncr:1_{1CF979E6-4C1B-49FB-8DBD-E1645E1B7570}" xr6:coauthVersionLast="47" xr6:coauthVersionMax="47" xr10:uidLastSave="{00000000-0000-0000-0000-000000000000}"/>
  <bookViews>
    <workbookView xWindow="-120" yWindow="-120" windowWidth="21840" windowHeight="13140" xr2:uid="{385EADBC-8B9E-43A5-BF56-A226E9772188}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Sheet3!$B$3:$E$23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T11" i="1"/>
  <c r="T14" i="1" s="1"/>
  <c r="T13" i="1"/>
  <c r="T12" i="1"/>
  <c r="P30" i="1"/>
  <c r="S11" i="1" s="1"/>
  <c r="F30" i="3"/>
  <c r="D1" i="3"/>
  <c r="C1" i="3"/>
  <c r="G23" i="3"/>
  <c r="F23" i="3"/>
  <c r="G22" i="3"/>
  <c r="F22" i="3"/>
  <c r="G21" i="3"/>
  <c r="F21" i="3"/>
  <c r="G20" i="3"/>
  <c r="F20" i="3"/>
  <c r="F19" i="3"/>
  <c r="F18" i="3"/>
  <c r="F17" i="3"/>
  <c r="F16" i="3"/>
  <c r="G15" i="3"/>
  <c r="F15" i="3"/>
  <c r="G14" i="3"/>
  <c r="F14" i="3"/>
  <c r="G13" i="3"/>
  <c r="F13" i="3"/>
  <c r="F12" i="3"/>
  <c r="G11" i="3"/>
  <c r="F11" i="3"/>
  <c r="G10" i="3"/>
  <c r="F10" i="3"/>
  <c r="G9" i="3"/>
  <c r="F9" i="3"/>
  <c r="G8" i="3"/>
  <c r="F8" i="3"/>
  <c r="F7" i="3"/>
  <c r="F6" i="3"/>
  <c r="G5" i="3"/>
  <c r="F5" i="3"/>
  <c r="G4" i="3"/>
  <c r="F4" i="3"/>
  <c r="F1" i="3" l="1"/>
  <c r="G1" i="3"/>
  <c r="Q25" i="1"/>
  <c r="R25" i="1"/>
  <c r="C15" i="1"/>
  <c r="D16" i="1" s="1"/>
  <c r="D22" i="1"/>
  <c r="I13" i="1"/>
  <c r="G13" i="1" s="1"/>
  <c r="N13" i="1"/>
  <c r="O13" i="1" s="1"/>
  <c r="E14" i="1"/>
  <c r="F7" i="2"/>
  <c r="F6" i="2"/>
  <c r="F5" i="2"/>
  <c r="F4" i="2"/>
  <c r="F3" i="2"/>
  <c r="E23" i="1"/>
  <c r="F23" i="1"/>
  <c r="N6" i="1" s="1"/>
  <c r="I12" i="1"/>
  <c r="I11" i="1"/>
  <c r="G11" i="1" s="1"/>
  <c r="N12" i="1"/>
  <c r="O12" i="1" s="1"/>
  <c r="N11" i="1"/>
  <c r="O11" i="1" s="1"/>
  <c r="G5" i="1"/>
  <c r="E4" i="1"/>
  <c r="G4" i="1" s="1"/>
  <c r="G2" i="1"/>
  <c r="G12" i="1" l="1"/>
  <c r="J12" i="1"/>
  <c r="I14" i="1"/>
  <c r="I24" i="1"/>
  <c r="J11" i="1"/>
  <c r="J13" i="1"/>
  <c r="G6" i="1"/>
  <c r="P13" i="1" l="1"/>
  <c r="Q13" i="1"/>
  <c r="R13" i="1" s="1"/>
  <c r="P11" i="1"/>
  <c r="Q11" i="1" s="1"/>
  <c r="J14" i="1"/>
  <c r="P12" i="1"/>
  <c r="Q12" i="1" s="1"/>
  <c r="R12" i="1" s="1"/>
  <c r="N3" i="1"/>
  <c r="P6" i="1"/>
  <c r="V11" i="1" l="1"/>
  <c r="V16" i="1" s="1"/>
  <c r="R14" i="1"/>
</calcChain>
</file>

<file path=xl/sharedStrings.xml><?xml version="1.0" encoding="utf-8"?>
<sst xmlns="http://schemas.openxmlformats.org/spreadsheetml/2006/main" count="95" uniqueCount="62">
  <si>
    <t>Plot Area</t>
  </si>
  <si>
    <t>Project Cost</t>
  </si>
  <si>
    <t>sqm</t>
  </si>
  <si>
    <t>Cr.</t>
  </si>
  <si>
    <t>G. BUA.</t>
  </si>
  <si>
    <t>Per Ton</t>
  </si>
  <si>
    <t>https://www.realestateindia.com/property-detail/industrial-land-plot-for-sale-in-mahindra-sez-jaipur-6000-sq-meter-5-cr-1042309.htm</t>
  </si>
  <si>
    <t>EL</t>
  </si>
  <si>
    <t>SV</t>
  </si>
  <si>
    <t>BEL</t>
  </si>
  <si>
    <t>Dep. Rate</t>
  </si>
  <si>
    <t>FMV</t>
  </si>
  <si>
    <t>sqft</t>
  </si>
  <si>
    <t>CoC</t>
  </si>
  <si>
    <t>Land</t>
  </si>
  <si>
    <t>Building</t>
  </si>
  <si>
    <t>P&amp;M</t>
  </si>
  <si>
    <t>6 to 8</t>
  </si>
  <si>
    <t>DRC</t>
  </si>
  <si>
    <t>Total Depreciation</t>
  </si>
  <si>
    <t>Sqm</t>
  </si>
  <si>
    <t>Per Sqm</t>
  </si>
  <si>
    <t>MTA</t>
  </si>
  <si>
    <t>km</t>
  </si>
  <si>
    <t>MT</t>
  </si>
  <si>
    <t>Ton Per Kg</t>
  </si>
  <si>
    <t>Km</t>
  </si>
  <si>
    <t>Per Km</t>
  </si>
  <si>
    <t>Oswal</t>
  </si>
  <si>
    <t>Diamond Power</t>
  </si>
  <si>
    <t>Rs. Cr.</t>
  </si>
  <si>
    <t>Khurda</t>
  </si>
  <si>
    <t>Kashipur</t>
  </si>
  <si>
    <t>Chennai</t>
  </si>
  <si>
    <t>FF</t>
  </si>
  <si>
    <t>Computer</t>
  </si>
  <si>
    <t>Air Conditioner</t>
  </si>
  <si>
    <t>GB</t>
  </si>
  <si>
    <t>NB</t>
  </si>
  <si>
    <t>Land Freehold</t>
  </si>
  <si>
    <t>land leasehold</t>
  </si>
  <si>
    <t>Other Auxillary Equip.</t>
  </si>
  <si>
    <t>Fork Lift</t>
  </si>
  <si>
    <t>Office Building &amp; Stores</t>
  </si>
  <si>
    <t>Electrical Ins.</t>
  </si>
  <si>
    <t>Building &amp; Factory Shed</t>
  </si>
  <si>
    <t>lab Equip.</t>
  </si>
  <si>
    <t>Motor Cycle</t>
  </si>
  <si>
    <t>Motor Car</t>
  </si>
  <si>
    <t>Telephone EPBAX</t>
  </si>
  <si>
    <t>Type Writer &amp; Office Equip.</t>
  </si>
  <si>
    <t>Generator</t>
  </si>
  <si>
    <t>Truck</t>
  </si>
  <si>
    <t>Tractor</t>
  </si>
  <si>
    <t>Weigh Bridge</t>
  </si>
  <si>
    <t>Particulars</t>
  </si>
  <si>
    <t>Status</t>
  </si>
  <si>
    <t>Done</t>
  </si>
  <si>
    <t>yes</t>
  </si>
  <si>
    <t>No</t>
  </si>
  <si>
    <t>---</t>
  </si>
  <si>
    <t>Other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</si>
</sst>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" fontId="0" fillId="0" borderId="0" xfId="1" applyNumberFormat="1" applyFont="1" applyAlignment="1">
      <alignment horizontal="center" vertical="center"/>
    </xf>
    <xf numFmtId="16" fontId="1" fillId="0" borderId="0" xfId="1" applyNumberFormat="1" applyFont="1" applyAlignment="1">
      <alignment horizontal="center" vertical="center"/>
    </xf>
    <xf numFmtId="43" fontId="0" fillId="0" borderId="0" xfId="1" applyFont="1"/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164" fontId="0" fillId="0" borderId="0" xfId="0" applyNumberFormat="1" applyAlignment="1">
      <alignment vertical="center"/>
    </xf>
    <xf numFmtId="9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43" fontId="0" fillId="0" borderId="0" xfId="0" applyNumberFormat="1" applyAlignment="1">
      <alignment vertical="center"/>
    </xf>
    <xf numFmtId="164" fontId="1" fillId="0" borderId="0" xfId="1" applyNumberFormat="1" applyFont="1" applyAlignment="1">
      <alignment vertical="center"/>
    </xf>
    <xf numFmtId="9" fontId="1" fillId="0" borderId="0" xfId="2" applyFont="1" applyAlignment="1">
      <alignment vertical="center"/>
    </xf>
    <xf numFmtId="164" fontId="2" fillId="0" borderId="0" xfId="0" applyNumberFormat="1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/>
    <xf numFmtId="164" fontId="2" fillId="0" borderId="0" xfId="1" applyNumberFormat="1" applyFont="1"/>
    <xf numFmtId="3" fontId="3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BF2B-D206-4932-8ADA-0DE9EBB4D239}">
  <dimension ref="B1:V30"/>
  <sheetViews>
    <sheetView tabSelected="1" topLeftCell="D4" workbookViewId="0">
      <selection activeCell="T10" sqref="T10"/>
    </sheetView>
  </sheetViews>
  <sheetFormatPr defaultRowHeight="15" x14ac:dyDescent="0.25"/>
  <cols>
    <col min="1" max="1" width="9.140625" style="7"/>
    <col min="2" max="2" width="15.28515625" style="7" bestFit="1" customWidth="1"/>
    <col min="3" max="4" width="11.5703125" style="7" bestFit="1" customWidth="1"/>
    <col min="5" max="5" width="12.7109375" style="8" bestFit="1" customWidth="1"/>
    <col min="6" max="6" width="11.85546875" style="7" customWidth="1"/>
    <col min="7" max="7" width="14.28515625" style="8" bestFit="1" customWidth="1"/>
    <col min="8" max="8" width="10" style="7" bestFit="1" customWidth="1"/>
    <col min="9" max="9" width="14.28515625" style="7" bestFit="1" customWidth="1"/>
    <col min="10" max="10" width="14.28515625" style="7" customWidth="1"/>
    <col min="11" max="11" width="7.7109375" style="7" bestFit="1" customWidth="1"/>
    <col min="12" max="12" width="4.5703125" style="7" bestFit="1" customWidth="1"/>
    <col min="13" max="13" width="5.7109375" style="7" bestFit="1" customWidth="1"/>
    <col min="14" max="14" width="10" style="7" bestFit="1" customWidth="1"/>
    <col min="15" max="15" width="7.140625" style="7" bestFit="1" customWidth="1"/>
    <col min="16" max="17" width="14.28515625" style="8" bestFit="1" customWidth="1"/>
    <col min="18" max="18" width="15.28515625" style="7" bestFit="1" customWidth="1"/>
    <col min="19" max="20" width="15.28515625" style="7" customWidth="1"/>
    <col min="21" max="21" width="9.140625" style="7"/>
    <col min="22" max="22" width="14.28515625" style="7" bestFit="1" customWidth="1"/>
    <col min="23" max="16384" width="9.140625" style="7"/>
  </cols>
  <sheetData>
    <row r="1" spans="2:22" x14ac:dyDescent="0.25">
      <c r="C1" s="2" t="s">
        <v>20</v>
      </c>
      <c r="D1" s="2"/>
      <c r="E1" s="2" t="s">
        <v>21</v>
      </c>
    </row>
    <row r="2" spans="2:22" x14ac:dyDescent="0.25">
      <c r="B2" s="7" t="s">
        <v>0</v>
      </c>
      <c r="C2" s="9">
        <v>55196.55</v>
      </c>
      <c r="E2" s="8">
        <v>7000</v>
      </c>
      <c r="G2" s="8">
        <f>E2*C2</f>
        <v>386375850</v>
      </c>
      <c r="H2" s="7" t="s">
        <v>14</v>
      </c>
      <c r="I2" s="7" t="s">
        <v>6</v>
      </c>
    </row>
    <row r="3" spans="2:22" x14ac:dyDescent="0.25">
      <c r="C3" s="9"/>
      <c r="E3" s="3" t="s">
        <v>12</v>
      </c>
      <c r="F3" s="2" t="s">
        <v>13</v>
      </c>
      <c r="N3" s="8">
        <f>G6/I6</f>
        <v>61205.788085416665</v>
      </c>
    </row>
    <row r="4" spans="2:22" x14ac:dyDescent="0.25">
      <c r="B4" s="7" t="s">
        <v>4</v>
      </c>
      <c r="C4" s="9">
        <v>37431.339999999997</v>
      </c>
      <c r="D4" s="7" t="s">
        <v>2</v>
      </c>
      <c r="E4" s="8">
        <f>C4*10.764</f>
        <v>402910.94375999994</v>
      </c>
      <c r="F4" s="8">
        <v>2000</v>
      </c>
      <c r="G4" s="8">
        <f>F4*E4</f>
        <v>805821887.51999986</v>
      </c>
      <c r="H4" s="7" t="s">
        <v>15</v>
      </c>
    </row>
    <row r="5" spans="2:22" x14ac:dyDescent="0.25">
      <c r="B5" s="10" t="s">
        <v>1</v>
      </c>
      <c r="C5" s="10">
        <v>354.25</v>
      </c>
      <c r="D5" s="10" t="s">
        <v>3</v>
      </c>
      <c r="E5" s="11"/>
      <c r="F5" s="10"/>
      <c r="G5" s="11">
        <f>C5*10^7</f>
        <v>3542500000</v>
      </c>
      <c r="N5" s="27" t="s">
        <v>28</v>
      </c>
      <c r="O5" s="27"/>
      <c r="P5" s="27"/>
      <c r="Q5" s="27"/>
    </row>
    <row r="6" spans="2:22" x14ac:dyDescent="0.25">
      <c r="G6" s="11">
        <f>G5-G4-G2</f>
        <v>2350302262.48</v>
      </c>
      <c r="H6" s="10" t="s">
        <v>16</v>
      </c>
      <c r="I6" s="8">
        <v>38400</v>
      </c>
      <c r="J6" s="8"/>
      <c r="K6" s="7" t="s">
        <v>22</v>
      </c>
      <c r="N6" s="11">
        <f>I6/F23</f>
        <v>11245.714285714286</v>
      </c>
      <c r="O6" s="10" t="s">
        <v>26</v>
      </c>
      <c r="P6" s="11">
        <f>G6/N6</f>
        <v>208995.37395020324</v>
      </c>
      <c r="Q6" s="11" t="s">
        <v>27</v>
      </c>
    </row>
    <row r="7" spans="2:22" x14ac:dyDescent="0.25">
      <c r="I7" s="8">
        <v>56000</v>
      </c>
      <c r="J7" s="8"/>
      <c r="K7" s="7" t="s">
        <v>5</v>
      </c>
    </row>
    <row r="8" spans="2:22" x14ac:dyDescent="0.25">
      <c r="I8" s="8"/>
      <c r="J8" s="8"/>
    </row>
    <row r="10" spans="2:22" x14ac:dyDescent="0.25">
      <c r="H10" s="2" t="s">
        <v>22</v>
      </c>
      <c r="K10" s="2" t="s">
        <v>7</v>
      </c>
      <c r="L10" s="2" t="s">
        <v>8</v>
      </c>
      <c r="M10" s="2" t="s">
        <v>9</v>
      </c>
      <c r="N10" s="2" t="s">
        <v>10</v>
      </c>
      <c r="O10" s="27" t="s">
        <v>19</v>
      </c>
      <c r="P10" s="27"/>
      <c r="Q10" s="3" t="s">
        <v>18</v>
      </c>
      <c r="R10" s="2" t="s">
        <v>11</v>
      </c>
      <c r="S10" s="2"/>
      <c r="T10" s="2" t="s">
        <v>11</v>
      </c>
    </row>
    <row r="11" spans="2:22" x14ac:dyDescent="0.25">
      <c r="G11" s="8">
        <f>I11*0.1</f>
        <v>560000000</v>
      </c>
      <c r="H11" s="12">
        <v>100000</v>
      </c>
      <c r="I11" s="11">
        <f>H11*I7</f>
        <v>5600000000</v>
      </c>
      <c r="J11" s="11">
        <f>I11*0.85</f>
        <v>4760000000</v>
      </c>
      <c r="K11" s="7">
        <v>18</v>
      </c>
      <c r="L11" s="13">
        <v>0.95</v>
      </c>
      <c r="M11" s="4" t="s">
        <v>17</v>
      </c>
      <c r="N11" s="14">
        <f>L11/K11</f>
        <v>5.2777777777777778E-2</v>
      </c>
      <c r="O11" s="15">
        <f>N11*16</f>
        <v>0.84444444444444444</v>
      </c>
      <c r="P11" s="8">
        <f>J11*O11</f>
        <v>4019555555.5555553</v>
      </c>
      <c r="Q11" s="16">
        <f>J11-P11</f>
        <v>740444444.44444466</v>
      </c>
      <c r="R11" s="18">
        <f>Q11*0.8</f>
        <v>592355555.5555557</v>
      </c>
      <c r="S11" s="12">
        <f>P30</f>
        <v>140686000</v>
      </c>
      <c r="T11" s="18">
        <f>R11+S11</f>
        <v>733041555.5555557</v>
      </c>
      <c r="U11" s="10" t="s">
        <v>31</v>
      </c>
      <c r="V11" s="12">
        <f>R11*0.15</f>
        <v>88853333.333333358</v>
      </c>
    </row>
    <row r="12" spans="2:22" x14ac:dyDescent="0.25">
      <c r="E12" s="7"/>
      <c r="G12" s="8">
        <f>I12*0.1</f>
        <v>224000000</v>
      </c>
      <c r="H12" s="16">
        <v>40000</v>
      </c>
      <c r="I12" s="11">
        <f>H12*I7</f>
        <v>2240000000</v>
      </c>
      <c r="J12" s="11">
        <f>I12*0.95</f>
        <v>2128000000</v>
      </c>
      <c r="K12" s="7">
        <v>18</v>
      </c>
      <c r="L12" s="13">
        <v>0.95</v>
      </c>
      <c r="M12" s="5" t="s">
        <v>17</v>
      </c>
      <c r="N12" s="17">
        <f>L12/K12</f>
        <v>5.2777777777777778E-2</v>
      </c>
      <c r="O12" s="15">
        <f>N12*12</f>
        <v>0.6333333333333333</v>
      </c>
      <c r="P12" s="8">
        <f>J12*O12</f>
        <v>1347733333.3333333</v>
      </c>
      <c r="Q12" s="16">
        <f>J12-P12</f>
        <v>780266666.66666675</v>
      </c>
      <c r="R12" s="18">
        <f>Q12*0.9</f>
        <v>702240000.00000012</v>
      </c>
      <c r="S12" s="18"/>
      <c r="T12" s="18">
        <f t="shared" ref="T12:T13" si="0">R12+S12</f>
        <v>702240000.00000012</v>
      </c>
      <c r="U12" s="10" t="s">
        <v>32</v>
      </c>
      <c r="V12" s="12"/>
    </row>
    <row r="13" spans="2:22" x14ac:dyDescent="0.25">
      <c r="C13" s="2" t="s">
        <v>24</v>
      </c>
      <c r="D13" s="2" t="s">
        <v>30</v>
      </c>
      <c r="G13" s="8">
        <f>I13*(1-L13)</f>
        <v>28000000.000000026</v>
      </c>
      <c r="H13" s="16">
        <v>10000</v>
      </c>
      <c r="I13" s="11">
        <f>H13*I7</f>
        <v>560000000</v>
      </c>
      <c r="J13" s="11">
        <f t="shared" ref="J13" si="1">I13*0.85</f>
        <v>476000000</v>
      </c>
      <c r="K13" s="7">
        <v>18</v>
      </c>
      <c r="L13" s="13">
        <v>0.95</v>
      </c>
      <c r="M13" s="5" t="s">
        <v>17</v>
      </c>
      <c r="N13" s="17">
        <f>L13/K13</f>
        <v>5.2777777777777778E-2</v>
      </c>
      <c r="O13" s="15">
        <f>N13*17</f>
        <v>0.89722222222222225</v>
      </c>
      <c r="P13" s="8">
        <f>J13*O13</f>
        <v>427077777.77777779</v>
      </c>
      <c r="Q13" s="16">
        <f>J13-P13</f>
        <v>48922222.222222209</v>
      </c>
      <c r="R13" s="18">
        <f>Q13*0.8</f>
        <v>39137777.777777769</v>
      </c>
      <c r="S13" s="18"/>
      <c r="T13" s="18">
        <f t="shared" si="0"/>
        <v>39137777.777777769</v>
      </c>
      <c r="U13" s="10" t="s">
        <v>33</v>
      </c>
      <c r="V13" s="12"/>
    </row>
    <row r="14" spans="2:22" x14ac:dyDescent="0.25">
      <c r="B14" s="7" t="s">
        <v>29</v>
      </c>
      <c r="C14" s="8">
        <v>250000</v>
      </c>
      <c r="D14" s="19">
        <v>1279.8800000000001</v>
      </c>
      <c r="E14" s="8">
        <f>D14*10^7/C14</f>
        <v>51195.200000000004</v>
      </c>
      <c r="H14" s="8"/>
      <c r="I14" s="11">
        <f>SUM(I11:I13)</f>
        <v>8400000000</v>
      </c>
      <c r="J14" s="11">
        <f>SUM(J11:J13)</f>
        <v>7364000000</v>
      </c>
      <c r="R14" s="11">
        <f>SUM(R11:R13)</f>
        <v>1333733333.3333335</v>
      </c>
      <c r="S14" s="11"/>
      <c r="T14" s="11">
        <f>SUM(T11:T13)</f>
        <v>1474419333.3333335</v>
      </c>
    </row>
    <row r="15" spans="2:22" x14ac:dyDescent="0.25">
      <c r="C15" s="8">
        <f>C14*3.41</f>
        <v>852500</v>
      </c>
      <c r="H15" s="8"/>
      <c r="I15" s="8"/>
      <c r="J15" s="8"/>
      <c r="S15" s="12"/>
      <c r="T15" s="12"/>
    </row>
    <row r="16" spans="2:22" ht="15.75" thickBot="1" x14ac:dyDescent="0.3">
      <c r="D16" s="8">
        <f>D14*10^7/C15</f>
        <v>15013.255131964812</v>
      </c>
      <c r="I16" s="18"/>
      <c r="J16" s="18"/>
      <c r="P16" s="11" t="s">
        <v>61</v>
      </c>
      <c r="R16" s="18"/>
      <c r="S16" s="18"/>
      <c r="T16" s="18"/>
      <c r="V16" s="18">
        <f>SUM(V11:V13)</f>
        <v>88853333.333333358</v>
      </c>
    </row>
    <row r="17" spans="4:18" ht="15.75" thickBot="1" x14ac:dyDescent="0.3">
      <c r="P17" s="24">
        <v>23858000</v>
      </c>
    </row>
    <row r="18" spans="4:18" ht="15.75" thickBot="1" x14ac:dyDescent="0.3">
      <c r="P18" s="25">
        <v>1157000</v>
      </c>
    </row>
    <row r="19" spans="4:18" ht="15.75" thickBot="1" x14ac:dyDescent="0.3">
      <c r="P19" s="25">
        <v>20779000</v>
      </c>
    </row>
    <row r="20" spans="4:18" ht="15.75" thickBot="1" x14ac:dyDescent="0.3">
      <c r="P20" s="25">
        <v>13730000</v>
      </c>
    </row>
    <row r="21" spans="4:18" ht="15.75" thickBot="1" x14ac:dyDescent="0.3">
      <c r="D21" s="8">
        <v>150000</v>
      </c>
      <c r="E21" s="8">
        <v>131921</v>
      </c>
      <c r="F21" s="8">
        <v>112000</v>
      </c>
      <c r="G21" s="16" t="s">
        <v>24</v>
      </c>
      <c r="P21" s="25">
        <v>71130000</v>
      </c>
      <c r="Q21" s="8">
        <v>2021</v>
      </c>
      <c r="R21" s="7">
        <v>2022</v>
      </c>
    </row>
    <row r="22" spans="4:18" ht="15.75" thickBot="1" x14ac:dyDescent="0.3">
      <c r="D22" s="8">
        <f>D21/3.41</f>
        <v>43988.269794721404</v>
      </c>
      <c r="E22" s="8">
        <v>38738</v>
      </c>
      <c r="F22" s="8">
        <v>32800</v>
      </c>
      <c r="G22" s="16" t="s">
        <v>26</v>
      </c>
      <c r="P22" s="26" t="s">
        <v>60</v>
      </c>
      <c r="Q22" s="8">
        <v>67</v>
      </c>
      <c r="R22" s="7">
        <v>136</v>
      </c>
    </row>
    <row r="23" spans="4:18" ht="15.75" thickBot="1" x14ac:dyDescent="0.3">
      <c r="E23" s="19">
        <f>E21/E22</f>
        <v>3.4054674996127834</v>
      </c>
      <c r="F23" s="19">
        <f>F21/F22</f>
        <v>3.4146341463414633</v>
      </c>
      <c r="G23" s="16" t="s">
        <v>25</v>
      </c>
      <c r="P23" s="26" t="s">
        <v>60</v>
      </c>
      <c r="Q23" s="8">
        <v>48</v>
      </c>
      <c r="R23" s="7">
        <v>93</v>
      </c>
    </row>
    <row r="24" spans="4:18" ht="15.75" thickBot="1" x14ac:dyDescent="0.3">
      <c r="E24" s="19"/>
      <c r="F24" s="19"/>
      <c r="I24" s="12">
        <f>I6/F23</f>
        <v>11245.714285714286</v>
      </c>
      <c r="J24" s="12"/>
      <c r="K24" s="7" t="s">
        <v>23</v>
      </c>
      <c r="P24" s="26" t="s">
        <v>60</v>
      </c>
      <c r="Q24" s="8">
        <v>27</v>
      </c>
      <c r="R24" s="7">
        <v>13</v>
      </c>
    </row>
    <row r="25" spans="4:18" ht="15.75" thickBot="1" x14ac:dyDescent="0.3">
      <c r="P25" s="26" t="s">
        <v>60</v>
      </c>
      <c r="Q25" s="7">
        <f>SUM(Q22:Q24)</f>
        <v>142</v>
      </c>
      <c r="R25" s="7">
        <f>SUM(R22:R24)</f>
        <v>242</v>
      </c>
    </row>
    <row r="26" spans="4:18" ht="15.75" thickBot="1" x14ac:dyDescent="0.3">
      <c r="I26" s="19"/>
      <c r="J26" s="19"/>
      <c r="P26" s="25">
        <v>4155000</v>
      </c>
    </row>
    <row r="27" spans="4:18" ht="15.75" thickBot="1" x14ac:dyDescent="0.3">
      <c r="P27" s="25">
        <v>4545000</v>
      </c>
    </row>
    <row r="28" spans="4:18" ht="15.75" thickBot="1" x14ac:dyDescent="0.3">
      <c r="P28" s="25">
        <v>196000</v>
      </c>
    </row>
    <row r="29" spans="4:18" ht="15.75" thickBot="1" x14ac:dyDescent="0.3">
      <c r="P29" s="25">
        <v>1136000</v>
      </c>
    </row>
    <row r="30" spans="4:18" x14ac:dyDescent="0.25">
      <c r="P30" s="8">
        <f>SUM(P17:P29)</f>
        <v>140686000</v>
      </c>
    </row>
  </sheetData>
  <mergeCells count="2">
    <mergeCell ref="O10:P10"/>
    <mergeCell ref="N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1DAE1-4161-48F3-8CCE-F14871C97260}">
  <dimension ref="D3:F7"/>
  <sheetViews>
    <sheetView workbookViewId="0">
      <selection activeCell="F8" sqref="F8"/>
    </sheetView>
  </sheetViews>
  <sheetFormatPr defaultRowHeight="15" x14ac:dyDescent="0.25"/>
  <cols>
    <col min="4" max="5" width="9.5703125" style="1" customWidth="1"/>
    <col min="6" max="6" width="9.5703125" customWidth="1"/>
  </cols>
  <sheetData>
    <row r="3" spans="4:6" x14ac:dyDescent="0.25">
      <c r="D3" s="1">
        <v>98236.350699999995</v>
      </c>
      <c r="E3" s="1">
        <v>105507</v>
      </c>
      <c r="F3" s="6">
        <f>E3/D3</f>
        <v>1.0740118016212099</v>
      </c>
    </row>
    <row r="4" spans="4:6" x14ac:dyDescent="0.25">
      <c r="D4" s="1">
        <v>94453.817999999999</v>
      </c>
      <c r="E4" s="1">
        <v>155815.74</v>
      </c>
      <c r="F4" s="6">
        <f t="shared" ref="F4:F7" si="0">E4/D4</f>
        <v>1.6496499908558486</v>
      </c>
    </row>
    <row r="5" spans="4:6" x14ac:dyDescent="0.25">
      <c r="D5" s="1">
        <v>91746.39</v>
      </c>
      <c r="E5" s="1">
        <v>111575.124</v>
      </c>
      <c r="F5" s="6">
        <f t="shared" si="0"/>
        <v>1.2161254955099596</v>
      </c>
    </row>
    <row r="6" spans="4:6" x14ac:dyDescent="0.25">
      <c r="D6" s="1">
        <v>88272.84</v>
      </c>
      <c r="E6" s="1">
        <v>198144.09</v>
      </c>
      <c r="F6" s="6">
        <f t="shared" si="0"/>
        <v>2.2446778646750234</v>
      </c>
    </row>
    <row r="7" spans="4:6" x14ac:dyDescent="0.25">
      <c r="D7" s="1">
        <v>77765.45</v>
      </c>
      <c r="E7" s="1">
        <v>52687.461000000003</v>
      </c>
      <c r="F7" s="6">
        <f t="shared" si="0"/>
        <v>0.67751759939664724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7C7AA-135C-4FCB-9470-B192ED18C03A}">
  <dimension ref="B1:H30"/>
  <sheetViews>
    <sheetView workbookViewId="0">
      <selection activeCell="G23" sqref="G23"/>
    </sheetView>
  </sheetViews>
  <sheetFormatPr defaultRowHeight="15" x14ac:dyDescent="0.25"/>
  <cols>
    <col min="2" max="2" width="25.7109375" bestFit="1" customWidth="1"/>
    <col min="3" max="4" width="10" style="6" bestFit="1" customWidth="1"/>
    <col min="6" max="7" width="15.28515625" style="1" bestFit="1" customWidth="1"/>
  </cols>
  <sheetData>
    <row r="1" spans="2:8" x14ac:dyDescent="0.25">
      <c r="C1" s="22">
        <f>SUBTOTAL(9,C4:C23)</f>
        <v>67587.300000000017</v>
      </c>
      <c r="D1" s="22">
        <f>SUBTOTAL(9,D4:D23)</f>
        <v>49339.260000000009</v>
      </c>
      <c r="F1" s="23">
        <f>SUBTOTAL(9,F4:F23)</f>
        <v>6758730000</v>
      </c>
      <c r="G1" s="23">
        <f>SUBTOTAL(9,G4:G23)</f>
        <v>3672707778</v>
      </c>
    </row>
    <row r="2" spans="2:8" x14ac:dyDescent="0.25">
      <c r="C2" s="22">
        <v>67588.3</v>
      </c>
      <c r="D2" s="22">
        <v>21136.02</v>
      </c>
    </row>
    <row r="3" spans="2:8" x14ac:dyDescent="0.25">
      <c r="B3" s="2" t="s">
        <v>55</v>
      </c>
      <c r="C3" s="21" t="s">
        <v>37</v>
      </c>
      <c r="D3" s="21" t="s">
        <v>38</v>
      </c>
      <c r="E3" s="2" t="s">
        <v>56</v>
      </c>
      <c r="F3" s="21" t="s">
        <v>37</v>
      </c>
      <c r="G3" s="21" t="s">
        <v>38</v>
      </c>
    </row>
    <row r="4" spans="2:8" x14ac:dyDescent="0.25">
      <c r="B4" t="s">
        <v>39</v>
      </c>
      <c r="C4" s="6">
        <v>17502.099999999999</v>
      </c>
      <c r="D4" s="6">
        <v>17502.099999999999</v>
      </c>
      <c r="E4" t="s">
        <v>57</v>
      </c>
      <c r="F4" s="1">
        <f>C4*10^5</f>
        <v>1750209999.9999998</v>
      </c>
      <c r="G4" s="1">
        <f>D4*10^5</f>
        <v>1750209999.9999998</v>
      </c>
    </row>
    <row r="5" spans="2:8" x14ac:dyDescent="0.25">
      <c r="B5" t="s">
        <v>40</v>
      </c>
      <c r="C5" s="6">
        <v>134.55000000000001</v>
      </c>
      <c r="D5" s="6">
        <v>113.08</v>
      </c>
      <c r="E5" t="s">
        <v>57</v>
      </c>
      <c r="F5" s="1">
        <f t="shared" ref="F5:F23" si="0">C5*10^5</f>
        <v>13455000.000000002</v>
      </c>
      <c r="G5" s="1">
        <f t="shared" ref="G5:G23" si="1">D5*10^5</f>
        <v>11308000</v>
      </c>
    </row>
    <row r="6" spans="2:8" x14ac:dyDescent="0.25">
      <c r="B6" t="s">
        <v>16</v>
      </c>
      <c r="C6" s="6">
        <v>13698.84</v>
      </c>
      <c r="D6" s="6">
        <v>9950.66</v>
      </c>
      <c r="E6" t="s">
        <v>57</v>
      </c>
      <c r="F6" s="1">
        <f t="shared" si="0"/>
        <v>1369884000</v>
      </c>
      <c r="G6" s="1">
        <v>629377778</v>
      </c>
    </row>
    <row r="7" spans="2:8" x14ac:dyDescent="0.25">
      <c r="B7" t="s">
        <v>41</v>
      </c>
      <c r="C7" s="6">
        <v>9340.6299999999992</v>
      </c>
      <c r="D7" s="6">
        <v>6413.87</v>
      </c>
      <c r="E7" t="s">
        <v>57</v>
      </c>
      <c r="F7" s="1">
        <f t="shared" si="0"/>
        <v>934062999.99999988</v>
      </c>
    </row>
    <row r="8" spans="2:8" x14ac:dyDescent="0.25">
      <c r="B8" t="s">
        <v>42</v>
      </c>
      <c r="C8" s="6">
        <v>724.68</v>
      </c>
      <c r="D8" s="6">
        <v>238.58</v>
      </c>
      <c r="F8" s="1">
        <f t="shared" si="0"/>
        <v>72468000</v>
      </c>
      <c r="G8" s="1">
        <f t="shared" si="1"/>
        <v>23858000</v>
      </c>
      <c r="H8" s="20" t="s">
        <v>58</v>
      </c>
    </row>
    <row r="9" spans="2:8" x14ac:dyDescent="0.25">
      <c r="B9" t="s">
        <v>36</v>
      </c>
      <c r="C9" s="6">
        <v>195.29</v>
      </c>
      <c r="D9" s="6">
        <v>11.57</v>
      </c>
      <c r="F9" s="1">
        <f t="shared" si="0"/>
        <v>19529000</v>
      </c>
      <c r="G9" s="1">
        <f t="shared" si="1"/>
        <v>1157000</v>
      </c>
      <c r="H9" s="20" t="s">
        <v>58</v>
      </c>
    </row>
    <row r="10" spans="2:8" x14ac:dyDescent="0.25">
      <c r="B10" t="s">
        <v>35</v>
      </c>
      <c r="C10" s="6">
        <v>612.97</v>
      </c>
      <c r="D10" s="6">
        <v>207.79</v>
      </c>
      <c r="F10" s="1">
        <f t="shared" si="0"/>
        <v>61297000</v>
      </c>
      <c r="G10" s="1">
        <f t="shared" si="1"/>
        <v>20779000</v>
      </c>
      <c r="H10" s="20" t="s">
        <v>58</v>
      </c>
    </row>
    <row r="11" spans="2:8" x14ac:dyDescent="0.25">
      <c r="B11" t="s">
        <v>43</v>
      </c>
      <c r="C11" s="6">
        <v>1268.8800000000001</v>
      </c>
      <c r="D11" s="6">
        <v>1004.7</v>
      </c>
      <c r="E11" t="s">
        <v>57</v>
      </c>
      <c r="F11" s="1">
        <f t="shared" si="0"/>
        <v>126888000.00000001</v>
      </c>
      <c r="G11" s="1">
        <f t="shared" si="1"/>
        <v>100470000</v>
      </c>
    </row>
    <row r="12" spans="2:8" x14ac:dyDescent="0.25">
      <c r="B12" t="s">
        <v>44</v>
      </c>
      <c r="C12" s="6">
        <v>4129.3900000000003</v>
      </c>
      <c r="D12" s="6">
        <v>2352.5700000000002</v>
      </c>
      <c r="E12" t="s">
        <v>57</v>
      </c>
      <c r="F12" s="1">
        <f t="shared" si="0"/>
        <v>412939000.00000006</v>
      </c>
    </row>
    <row r="13" spans="2:8" x14ac:dyDescent="0.25">
      <c r="B13" t="s">
        <v>45</v>
      </c>
      <c r="C13" s="6">
        <v>15517.04</v>
      </c>
      <c r="D13" s="6">
        <v>10406.56</v>
      </c>
      <c r="E13" t="s">
        <v>57</v>
      </c>
      <c r="F13" s="1">
        <f t="shared" si="0"/>
        <v>1551704000</v>
      </c>
      <c r="G13" s="1">
        <f t="shared" si="1"/>
        <v>1040656000</v>
      </c>
    </row>
    <row r="14" spans="2:8" x14ac:dyDescent="0.25">
      <c r="B14" t="s">
        <v>34</v>
      </c>
      <c r="C14" s="6">
        <v>631.47</v>
      </c>
      <c r="D14" s="6">
        <v>137.30000000000001</v>
      </c>
      <c r="F14" s="1">
        <f t="shared" si="0"/>
        <v>63147000</v>
      </c>
      <c r="G14" s="1">
        <f t="shared" si="1"/>
        <v>13730000.000000002</v>
      </c>
      <c r="H14" s="20" t="s">
        <v>58</v>
      </c>
    </row>
    <row r="15" spans="2:8" x14ac:dyDescent="0.25">
      <c r="B15" t="s">
        <v>46</v>
      </c>
      <c r="C15" s="6">
        <v>1258.75</v>
      </c>
      <c r="D15" s="6">
        <v>711.3</v>
      </c>
      <c r="F15" s="1">
        <f t="shared" si="0"/>
        <v>125875000</v>
      </c>
      <c r="G15" s="1">
        <f t="shared" si="1"/>
        <v>71130000</v>
      </c>
      <c r="H15" s="20" t="s">
        <v>58</v>
      </c>
    </row>
    <row r="16" spans="2:8" x14ac:dyDescent="0.25">
      <c r="B16" t="s">
        <v>47</v>
      </c>
      <c r="C16" s="6">
        <v>92.23</v>
      </c>
      <c r="D16" s="6">
        <v>16.41</v>
      </c>
      <c r="E16" t="s">
        <v>59</v>
      </c>
      <c r="F16" s="1">
        <f t="shared" si="0"/>
        <v>9223000</v>
      </c>
      <c r="H16" s="20" t="s">
        <v>59</v>
      </c>
    </row>
    <row r="17" spans="2:8" x14ac:dyDescent="0.25">
      <c r="B17" t="s">
        <v>48</v>
      </c>
      <c r="C17" s="6">
        <v>1115.03</v>
      </c>
      <c r="D17" s="6">
        <v>94.61</v>
      </c>
      <c r="E17" t="s">
        <v>59</v>
      </c>
      <c r="F17" s="1">
        <f t="shared" si="0"/>
        <v>111503000</v>
      </c>
      <c r="H17" s="20" t="s">
        <v>59</v>
      </c>
    </row>
    <row r="18" spans="2:8" x14ac:dyDescent="0.25">
      <c r="B18" t="s">
        <v>49</v>
      </c>
      <c r="C18" s="6">
        <v>367.02</v>
      </c>
      <c r="D18" s="6">
        <v>50.51</v>
      </c>
      <c r="E18" t="s">
        <v>59</v>
      </c>
      <c r="F18" s="1">
        <f t="shared" si="0"/>
        <v>36702000</v>
      </c>
      <c r="H18" s="20" t="s">
        <v>59</v>
      </c>
    </row>
    <row r="19" spans="2:8" x14ac:dyDescent="0.25">
      <c r="B19" t="s">
        <v>50</v>
      </c>
      <c r="C19" s="6">
        <v>298.31</v>
      </c>
      <c r="D19" s="6">
        <v>27.33</v>
      </c>
      <c r="E19" t="s">
        <v>59</v>
      </c>
      <c r="F19" s="1">
        <f t="shared" si="0"/>
        <v>29831000</v>
      </c>
      <c r="H19" s="20" t="s">
        <v>59</v>
      </c>
    </row>
    <row r="20" spans="2:8" x14ac:dyDescent="0.25">
      <c r="B20" t="s">
        <v>51</v>
      </c>
      <c r="C20" s="6">
        <v>131.27000000000001</v>
      </c>
      <c r="D20" s="6">
        <v>41.55</v>
      </c>
      <c r="F20" s="1">
        <f t="shared" si="0"/>
        <v>13127000.000000002</v>
      </c>
      <c r="G20" s="1">
        <f t="shared" si="1"/>
        <v>4154999.9999999995</v>
      </c>
      <c r="H20" s="20" t="s">
        <v>58</v>
      </c>
    </row>
    <row r="21" spans="2:8" x14ac:dyDescent="0.25">
      <c r="B21" t="s">
        <v>52</v>
      </c>
      <c r="C21" s="6">
        <v>447.77</v>
      </c>
      <c r="D21" s="6">
        <v>45.45</v>
      </c>
      <c r="F21" s="1">
        <f t="shared" si="0"/>
        <v>44777000</v>
      </c>
      <c r="G21" s="1">
        <f t="shared" si="1"/>
        <v>4545000</v>
      </c>
      <c r="H21" s="20" t="s">
        <v>58</v>
      </c>
    </row>
    <row r="22" spans="2:8" x14ac:dyDescent="0.25">
      <c r="B22" t="s">
        <v>53</v>
      </c>
      <c r="C22" s="6">
        <v>50.48</v>
      </c>
      <c r="D22" s="6">
        <v>1.96</v>
      </c>
      <c r="F22" s="1">
        <f t="shared" si="0"/>
        <v>5048000</v>
      </c>
      <c r="G22" s="1">
        <f t="shared" si="1"/>
        <v>196000</v>
      </c>
      <c r="H22" s="20" t="s">
        <v>58</v>
      </c>
    </row>
    <row r="23" spans="2:8" x14ac:dyDescent="0.25">
      <c r="B23" t="s">
        <v>54</v>
      </c>
      <c r="C23" s="6">
        <v>70.599999999999994</v>
      </c>
      <c r="D23" s="6">
        <v>11.36</v>
      </c>
      <c r="F23" s="1">
        <f t="shared" si="0"/>
        <v>7059999.9999999991</v>
      </c>
      <c r="G23" s="1">
        <f t="shared" si="1"/>
        <v>1136000</v>
      </c>
      <c r="H23" s="20" t="s">
        <v>58</v>
      </c>
    </row>
    <row r="28" spans="2:8" x14ac:dyDescent="0.25">
      <c r="F28" s="1">
        <v>20</v>
      </c>
    </row>
    <row r="29" spans="2:8" x14ac:dyDescent="0.25">
      <c r="F29" s="1">
        <v>20000</v>
      </c>
    </row>
    <row r="30" spans="2:8" x14ac:dyDescent="0.25">
      <c r="F30" s="1">
        <f>F29*F28</f>
        <v>400000</v>
      </c>
    </row>
  </sheetData>
  <autoFilter ref="B3:E23" xr:uid="{9567C7AA-135C-4FCB-9470-B192ED18C03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Abhinav Chaturvedi</dc:creator>
  <cp:lastModifiedBy>Mahesh Joshi</cp:lastModifiedBy>
  <dcterms:created xsi:type="dcterms:W3CDTF">2024-09-20T04:49:54Z</dcterms:created>
  <dcterms:modified xsi:type="dcterms:W3CDTF">2024-09-27T13:07:14Z</dcterms:modified>
</cp:coreProperties>
</file>