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2\Desktop\GIPL\RK Working Sep 24\"/>
    </mc:Choice>
  </mc:AlternateContent>
  <xr:revisionPtr revIDLastSave="0" documentId="13_ncr:1_{2A1E291A-7A39-423F-8D14-796038515CBD}" xr6:coauthVersionLast="47" xr6:coauthVersionMax="47" xr10:uidLastSave="{00000000-0000-0000-0000-000000000000}"/>
  <bookViews>
    <workbookView xWindow="-120" yWindow="-120" windowWidth="21840" windowHeight="13140" firstSheet="1" activeTab="3" xr2:uid="{51D36E0D-F80B-41B3-BCDB-9952C0D22940}"/>
  </bookViews>
  <sheets>
    <sheet name="Assumptions" sheetId="7" r:id="rId1"/>
    <sheet name="Sheet1" sheetId="12" r:id="rId2"/>
    <sheet name="PL" sheetId="1" r:id="rId3"/>
    <sheet name="Historical Analysis" sheetId="13" r:id="rId4"/>
    <sheet name="BS" sheetId="2" r:id="rId5"/>
    <sheet name="CFS" sheetId="3" r:id="rId6"/>
    <sheet name="Dep Sch" sheetId="5" r:id="rId7"/>
    <sheet name="old Dep Sch" sheetId="4" state="hidden" r:id="rId8"/>
    <sheet name="EV" sheetId="6" r:id="rId9"/>
    <sheet name="DSCR" sheetId="11" r:id="rId10"/>
    <sheet name="Ratio Analysis" sheetId="14" r:id="rId11"/>
    <sheet name="Financial Indicators" sheetId="10" state="hidden" r:id="rId12"/>
    <sheet name="Shareholding Pattern" sheetId="9" state="hidden" r:id="rId13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5" l="1"/>
  <c r="M12" i="1"/>
  <c r="D8" i="14" s="1"/>
  <c r="N12" i="1"/>
  <c r="E8" i="14" s="1"/>
  <c r="O12" i="1"/>
  <c r="F8" i="14" s="1"/>
  <c r="P12" i="1"/>
  <c r="G8" i="14" s="1"/>
  <c r="Q12" i="1"/>
  <c r="R12" i="1"/>
  <c r="I8" i="14" s="1"/>
  <c r="S12" i="1"/>
  <c r="J8" i="14" s="1"/>
  <c r="T12" i="1"/>
  <c r="K8" i="14" s="1"/>
  <c r="L12" i="1"/>
  <c r="C8" i="14" s="1"/>
  <c r="M7" i="1"/>
  <c r="D7" i="14" s="1"/>
  <c r="N7" i="1"/>
  <c r="E7" i="14" s="1"/>
  <c r="O7" i="1"/>
  <c r="F7" i="14" s="1"/>
  <c r="P7" i="1"/>
  <c r="G7" i="14" s="1"/>
  <c r="Q7" i="1"/>
  <c r="H7" i="14" s="1"/>
  <c r="R7" i="1"/>
  <c r="I7" i="14" s="1"/>
  <c r="S7" i="1"/>
  <c r="J7" i="14" s="1"/>
  <c r="T7" i="1"/>
  <c r="K7" i="14" s="1"/>
  <c r="L7" i="1"/>
  <c r="C7" i="14" s="1"/>
  <c r="N121" i="7"/>
  <c r="N130" i="7" s="1"/>
  <c r="L121" i="7"/>
  <c r="L130" i="7" s="1"/>
  <c r="K44" i="12"/>
  <c r="L44" i="12"/>
  <c r="M44" i="12"/>
  <c r="N44" i="12"/>
  <c r="O44" i="12"/>
  <c r="P44" i="12"/>
  <c r="Q44" i="12"/>
  <c r="R44" i="12"/>
  <c r="S44" i="12"/>
  <c r="K45" i="12"/>
  <c r="L45" i="12"/>
  <c r="M45" i="12"/>
  <c r="N45" i="12"/>
  <c r="O45" i="12"/>
  <c r="P45" i="12"/>
  <c r="Q45" i="12"/>
  <c r="R45" i="12"/>
  <c r="S45" i="12"/>
  <c r="K46" i="12"/>
  <c r="L46" i="12"/>
  <c r="M46" i="12"/>
  <c r="N46" i="12"/>
  <c r="O46" i="12"/>
  <c r="P46" i="12"/>
  <c r="Q46" i="12"/>
  <c r="R46" i="12"/>
  <c r="S46" i="12"/>
  <c r="K47" i="12"/>
  <c r="L47" i="12"/>
  <c r="M47" i="12"/>
  <c r="N47" i="12"/>
  <c r="O47" i="12"/>
  <c r="P47" i="12"/>
  <c r="Q47" i="12"/>
  <c r="R47" i="12"/>
  <c r="S47" i="12"/>
  <c r="L43" i="12"/>
  <c r="M43" i="12"/>
  <c r="N43" i="12"/>
  <c r="O43" i="12"/>
  <c r="P43" i="12"/>
  <c r="Q43" i="12"/>
  <c r="R43" i="12"/>
  <c r="S43" i="12"/>
  <c r="K43" i="12"/>
  <c r="K9" i="11"/>
  <c r="K175" i="7"/>
  <c r="H8" i="14"/>
  <c r="D6" i="14"/>
  <c r="E6" i="14" s="1"/>
  <c r="F6" i="14" s="1"/>
  <c r="G6" i="14" s="1"/>
  <c r="H6" i="14" s="1"/>
  <c r="I6" i="14" s="1"/>
  <c r="J6" i="14" s="1"/>
  <c r="K6" i="14" s="1"/>
  <c r="B2" i="14"/>
  <c r="D23" i="14"/>
  <c r="E23" i="14" s="1"/>
  <c r="F23" i="14" s="1"/>
  <c r="G23" i="14" s="1"/>
  <c r="H23" i="14" s="1"/>
  <c r="I23" i="14" s="1"/>
  <c r="J23" i="14" s="1"/>
  <c r="K23" i="14" s="1"/>
  <c r="K7" i="1" l="1"/>
  <c r="K9" i="1" s="1"/>
  <c r="K8" i="1"/>
  <c r="K12" i="1"/>
  <c r="K18" i="1" s="1"/>
  <c r="K14" i="1"/>
  <c r="K15" i="1"/>
  <c r="K16" i="1"/>
  <c r="K17" i="1"/>
  <c r="T122" i="7"/>
  <c r="K169" i="7"/>
  <c r="N78" i="7"/>
  <c r="H31" i="13"/>
  <c r="H29" i="13"/>
  <c r="H30" i="13"/>
  <c r="H28" i="13"/>
  <c r="E31" i="13"/>
  <c r="F31" i="13"/>
  <c r="G31" i="13"/>
  <c r="D28" i="13"/>
  <c r="E28" i="13"/>
  <c r="F28" i="13"/>
  <c r="G28" i="13"/>
  <c r="D29" i="13"/>
  <c r="E29" i="13"/>
  <c r="F29" i="13"/>
  <c r="G29" i="13"/>
  <c r="D30" i="13"/>
  <c r="E30" i="13"/>
  <c r="F30" i="13"/>
  <c r="G30" i="13"/>
  <c r="D31" i="13"/>
  <c r="C30" i="13"/>
  <c r="C29" i="13"/>
  <c r="D20" i="13"/>
  <c r="E20" i="13"/>
  <c r="F20" i="13"/>
  <c r="F21" i="13" s="1"/>
  <c r="F25" i="13" s="1"/>
  <c r="G20" i="13"/>
  <c r="D23" i="13"/>
  <c r="E23" i="13"/>
  <c r="F23" i="13"/>
  <c r="G23" i="13"/>
  <c r="D24" i="13"/>
  <c r="E24" i="13"/>
  <c r="F24" i="13"/>
  <c r="G24" i="13"/>
  <c r="C24" i="13"/>
  <c r="C23" i="13"/>
  <c r="C20" i="13"/>
  <c r="D14" i="13"/>
  <c r="E14" i="13"/>
  <c r="F14" i="13"/>
  <c r="G14" i="13"/>
  <c r="D15" i="13"/>
  <c r="E15" i="13"/>
  <c r="E17" i="13" s="1"/>
  <c r="E19" i="13" s="1"/>
  <c r="E21" i="13" s="1"/>
  <c r="E25" i="13" s="1"/>
  <c r="F15" i="13"/>
  <c r="G15" i="13"/>
  <c r="D16" i="13"/>
  <c r="E16" i="13"/>
  <c r="F16" i="13"/>
  <c r="G16" i="13"/>
  <c r="D17" i="13"/>
  <c r="F17" i="13"/>
  <c r="G17" i="13"/>
  <c r="D18" i="13"/>
  <c r="E18" i="13"/>
  <c r="F18" i="13"/>
  <c r="G18" i="13"/>
  <c r="D19" i="13"/>
  <c r="D21" i="13" s="1"/>
  <c r="D25" i="13" s="1"/>
  <c r="F19" i="13"/>
  <c r="G19" i="13"/>
  <c r="C15" i="13"/>
  <c r="C17" i="13" s="1"/>
  <c r="C19" i="13" s="1"/>
  <c r="C21" i="13" s="1"/>
  <c r="C25" i="13" s="1"/>
  <c r="C14" i="13"/>
  <c r="D12" i="13"/>
  <c r="E12" i="13"/>
  <c r="F12" i="13"/>
  <c r="G12" i="13"/>
  <c r="D13" i="13"/>
  <c r="E13" i="13"/>
  <c r="F13" i="13"/>
  <c r="G13" i="13"/>
  <c r="C18" i="13"/>
  <c r="C16" i="13"/>
  <c r="C13" i="13"/>
  <c r="C12" i="13"/>
  <c r="D11" i="13"/>
  <c r="E11" i="13"/>
  <c r="F11" i="13"/>
  <c r="G11" i="13"/>
  <c r="C11" i="13"/>
  <c r="D9" i="13"/>
  <c r="E9" i="13"/>
  <c r="F9" i="13"/>
  <c r="G9" i="13"/>
  <c r="C9" i="13"/>
  <c r="C8" i="13"/>
  <c r="D8" i="13"/>
  <c r="E8" i="13"/>
  <c r="F8" i="13"/>
  <c r="G8" i="13"/>
  <c r="D7" i="13"/>
  <c r="E7" i="13"/>
  <c r="F7" i="13"/>
  <c r="G7" i="13"/>
  <c r="C7" i="13"/>
  <c r="G20" i="12"/>
  <c r="G19" i="12"/>
  <c r="G18" i="12"/>
  <c r="F21" i="12"/>
  <c r="L55" i="7"/>
  <c r="K178" i="7"/>
  <c r="C5" i="13"/>
  <c r="D5" i="13" s="1"/>
  <c r="E5" i="13" s="1"/>
  <c r="F5" i="13" s="1"/>
  <c r="G5" i="13" s="1"/>
  <c r="E21" i="12"/>
  <c r="L35" i="7"/>
  <c r="D21" i="12"/>
  <c r="F14" i="12"/>
  <c r="E14" i="12"/>
  <c r="D14" i="12"/>
  <c r="I17" i="7"/>
  <c r="H17" i="7"/>
  <c r="G17" i="7"/>
  <c r="O39" i="7"/>
  <c r="P39" i="7" s="1"/>
  <c r="Q39" i="7" s="1"/>
  <c r="R39" i="7" s="1"/>
  <c r="S39" i="7" s="1"/>
  <c r="T39" i="7" s="1"/>
  <c r="L17" i="7"/>
  <c r="L20" i="7" s="1"/>
  <c r="F17" i="7"/>
  <c r="G19" i="7" s="1"/>
  <c r="N26" i="7"/>
  <c r="O26" i="7" s="1"/>
  <c r="P26" i="7" s="1"/>
  <c r="Q26" i="7" s="1"/>
  <c r="R26" i="7" s="1"/>
  <c r="S26" i="7" s="1"/>
  <c r="T26" i="7" s="1"/>
  <c r="M20" i="7"/>
  <c r="N20" i="7"/>
  <c r="O20" i="7"/>
  <c r="P20" i="7"/>
  <c r="Q20" i="7"/>
  <c r="R20" i="7"/>
  <c r="S20" i="7"/>
  <c r="T20" i="7"/>
  <c r="M131" i="7"/>
  <c r="N131" i="7"/>
  <c r="O131" i="7"/>
  <c r="P131" i="7"/>
  <c r="Q131" i="7"/>
  <c r="R131" i="7"/>
  <c r="S131" i="7"/>
  <c r="L131" i="7"/>
  <c r="K36" i="7"/>
  <c r="K73" i="1" s="1"/>
  <c r="B43" i="6"/>
  <c r="B41" i="6"/>
  <c r="B42" i="6"/>
  <c r="K75" i="7" l="1"/>
  <c r="G21" i="12"/>
  <c r="G21" i="13"/>
  <c r="G25" i="13" s="1"/>
  <c r="C28" i="13"/>
  <c r="F19" i="7"/>
  <c r="I19" i="7"/>
  <c r="H19" i="7"/>
  <c r="C44" i="3"/>
  <c r="D21" i="3"/>
  <c r="D22" i="3"/>
  <c r="J100" i="2"/>
  <c r="K100" i="2" s="1"/>
  <c r="L100" i="2" s="1"/>
  <c r="M100" i="2" s="1"/>
  <c r="N100" i="2" s="1"/>
  <c r="O100" i="2" s="1"/>
  <c r="P100" i="2" s="1"/>
  <c r="Q100" i="2" s="1"/>
  <c r="R100" i="2" s="1"/>
  <c r="S100" i="2" s="1"/>
  <c r="T100" i="2" s="1"/>
  <c r="T101" i="2" s="1"/>
  <c r="I100" i="2"/>
  <c r="I101" i="2" s="1"/>
  <c r="H100" i="2"/>
  <c r="H101" i="2" s="1"/>
  <c r="G100" i="2"/>
  <c r="G101" i="2" s="1"/>
  <c r="F100" i="2"/>
  <c r="F101" i="2" s="1"/>
  <c r="T22" i="1"/>
  <c r="S22" i="1"/>
  <c r="R22" i="1"/>
  <c r="Q22" i="1"/>
  <c r="P22" i="1"/>
  <c r="O22" i="1"/>
  <c r="N22" i="1"/>
  <c r="M22" i="1"/>
  <c r="L22" i="1"/>
  <c r="I22" i="1"/>
  <c r="H22" i="1"/>
  <c r="G22" i="1"/>
  <c r="F22" i="1"/>
  <c r="F5" i="5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K113" i="7"/>
  <c r="K104" i="7"/>
  <c r="K105" i="7"/>
  <c r="R106" i="7" s="1"/>
  <c r="K108" i="7"/>
  <c r="L102" i="7"/>
  <c r="M102" i="7" s="1"/>
  <c r="N102" i="7" s="1"/>
  <c r="O102" i="7" s="1"/>
  <c r="P102" i="7" s="1"/>
  <c r="Q102" i="7" s="1"/>
  <c r="R102" i="7" s="1"/>
  <c r="S102" i="7" s="1"/>
  <c r="T102" i="7" s="1"/>
  <c r="L111" i="7"/>
  <c r="M111" i="7" s="1"/>
  <c r="N111" i="7" s="1"/>
  <c r="O111" i="7" s="1"/>
  <c r="P111" i="7" s="1"/>
  <c r="Q111" i="7" s="1"/>
  <c r="R111" i="7" s="1"/>
  <c r="S111" i="7" s="1"/>
  <c r="T111" i="7" s="1"/>
  <c r="K117" i="7"/>
  <c r="M68" i="7"/>
  <c r="N68" i="7" s="1"/>
  <c r="O68" i="7" s="1"/>
  <c r="P68" i="7" s="1"/>
  <c r="Q68" i="7" s="1"/>
  <c r="R68" i="7" s="1"/>
  <c r="S68" i="7" s="1"/>
  <c r="T68" i="7" s="1"/>
  <c r="O45" i="7"/>
  <c r="P45" i="7" s="1"/>
  <c r="Q45" i="7" s="1"/>
  <c r="R45" i="7" s="1"/>
  <c r="S45" i="7" s="1"/>
  <c r="T45" i="7" s="1"/>
  <c r="K49" i="1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F5" i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J6" i="11" s="1"/>
  <c r="J101" i="2" l="1"/>
  <c r="K101" i="2"/>
  <c r="L101" i="2"/>
  <c r="N101" i="2"/>
  <c r="O101" i="2"/>
  <c r="M101" i="2"/>
  <c r="P101" i="2"/>
  <c r="Q101" i="2"/>
  <c r="R101" i="2"/>
  <c r="S101" i="2"/>
  <c r="B6" i="11"/>
  <c r="I6" i="11"/>
  <c r="H6" i="11"/>
  <c r="G6" i="11"/>
  <c r="F6" i="11"/>
  <c r="E6" i="11"/>
  <c r="D6" i="11"/>
  <c r="C6" i="11"/>
  <c r="T106" i="7"/>
  <c r="S106" i="7"/>
  <c r="K106" i="7"/>
  <c r="M106" i="7"/>
  <c r="O106" i="7"/>
  <c r="P106" i="7"/>
  <c r="Q106" i="7"/>
  <c r="L106" i="7"/>
  <c r="N106" i="7"/>
  <c r="O11" i="3" l="1"/>
  <c r="N11" i="3"/>
  <c r="M11" i="3"/>
  <c r="L11" i="3"/>
  <c r="K11" i="3"/>
  <c r="J11" i="3"/>
  <c r="I11" i="3"/>
  <c r="H11" i="3"/>
  <c r="G11" i="3"/>
  <c r="L21" i="2"/>
  <c r="M21" i="2" s="1"/>
  <c r="N21" i="2" s="1"/>
  <c r="O21" i="2" s="1"/>
  <c r="P21" i="2" s="1"/>
  <c r="Q21" i="2" s="1"/>
  <c r="R21" i="2" s="1"/>
  <c r="S21" i="2" s="1"/>
  <c r="T21" i="2" s="1"/>
  <c r="L48" i="2"/>
  <c r="M48" i="2" s="1"/>
  <c r="N48" i="2" s="1"/>
  <c r="O48" i="2" s="1"/>
  <c r="P48" i="2" s="1"/>
  <c r="Q48" i="2" s="1"/>
  <c r="R48" i="2" s="1"/>
  <c r="S48" i="2" s="1"/>
  <c r="T48" i="2" s="1"/>
  <c r="O25" i="2"/>
  <c r="P25" i="2" s="1"/>
  <c r="Q25" i="2" s="1"/>
  <c r="R25" i="2" s="1"/>
  <c r="S25" i="2" s="1"/>
  <c r="T25" i="2" s="1"/>
  <c r="O24" i="2"/>
  <c r="P24" i="2" s="1"/>
  <c r="Q24" i="2" s="1"/>
  <c r="R24" i="2" s="1"/>
  <c r="S24" i="2" s="1"/>
  <c r="T24" i="2" s="1"/>
  <c r="K92" i="1"/>
  <c r="K93" i="1"/>
  <c r="T156" i="7"/>
  <c r="T164" i="2" s="1"/>
  <c r="K143" i="7"/>
  <c r="M130" i="7"/>
  <c r="L100" i="1"/>
  <c r="K100" i="1"/>
  <c r="N46" i="7"/>
  <c r="L86" i="1"/>
  <c r="M86" i="1"/>
  <c r="K86" i="1"/>
  <c r="N40" i="7"/>
  <c r="O40" i="7" l="1"/>
  <c r="P40" i="7" s="1"/>
  <c r="O130" i="7"/>
  <c r="N86" i="1"/>
  <c r="O46" i="7"/>
  <c r="N100" i="1"/>
  <c r="M100" i="1"/>
  <c r="G12" i="3"/>
  <c r="H12" i="3"/>
  <c r="I12" i="3"/>
  <c r="J12" i="3"/>
  <c r="K12" i="3"/>
  <c r="L12" i="3"/>
  <c r="M12" i="3"/>
  <c r="N12" i="3"/>
  <c r="O12" i="3"/>
  <c r="E93" i="7"/>
  <c r="E97" i="7" s="1"/>
  <c r="K142" i="7"/>
  <c r="M121" i="7"/>
  <c r="O121" i="7" s="1"/>
  <c r="P121" i="7" s="1"/>
  <c r="Q121" i="7" s="1"/>
  <c r="R121" i="7" s="1"/>
  <c r="S121" i="7" s="1"/>
  <c r="T121" i="7" s="1"/>
  <c r="K91" i="1"/>
  <c r="K90" i="1"/>
  <c r="T154" i="7"/>
  <c r="T166" i="2" s="1"/>
  <c r="H10" i="3"/>
  <c r="I10" i="3"/>
  <c r="J10" i="3"/>
  <c r="K10" i="3"/>
  <c r="L10" i="3"/>
  <c r="M10" i="3"/>
  <c r="N10" i="3"/>
  <c r="O10" i="3"/>
  <c r="B40" i="6"/>
  <c r="B39" i="6"/>
  <c r="B38" i="6"/>
  <c r="L133" i="7"/>
  <c r="T155" i="7"/>
  <c r="T163" i="2" s="1"/>
  <c r="T199" i="5"/>
  <c r="S199" i="5"/>
  <c r="R199" i="5"/>
  <c r="Q199" i="5"/>
  <c r="P199" i="5"/>
  <c r="O199" i="5"/>
  <c r="N199" i="5"/>
  <c r="M199" i="5"/>
  <c r="L199" i="5"/>
  <c r="K199" i="5"/>
  <c r="D37" i="3"/>
  <c r="D36" i="3"/>
  <c r="D35" i="3"/>
  <c r="D34" i="3"/>
  <c r="D33" i="3"/>
  <c r="D32" i="3"/>
  <c r="D31" i="3"/>
  <c r="G22" i="3"/>
  <c r="H22" i="3"/>
  <c r="I22" i="3"/>
  <c r="J22" i="3"/>
  <c r="K22" i="3"/>
  <c r="L22" i="3"/>
  <c r="M22" i="3"/>
  <c r="N22" i="3"/>
  <c r="O22" i="3"/>
  <c r="D25" i="3"/>
  <c r="D24" i="3"/>
  <c r="D23" i="3"/>
  <c r="T153" i="7"/>
  <c r="O86" i="1" l="1"/>
  <c r="K94" i="1"/>
  <c r="K96" i="1" s="1"/>
  <c r="T165" i="2"/>
  <c r="T152" i="7"/>
  <c r="M134" i="7"/>
  <c r="L134" i="7"/>
  <c r="N134" i="7"/>
  <c r="Q134" i="7"/>
  <c r="S134" i="7"/>
  <c r="O134" i="7"/>
  <c r="P134" i="7"/>
  <c r="R134" i="7"/>
  <c r="P130" i="7"/>
  <c r="P46" i="7"/>
  <c r="O100" i="1"/>
  <c r="P86" i="1"/>
  <c r="Q40" i="7"/>
  <c r="L29" i="5"/>
  <c r="L198" i="5" s="1"/>
  <c r="G31" i="3" s="1"/>
  <c r="F15" i="6"/>
  <c r="K202" i="2"/>
  <c r="L202" i="2" s="1"/>
  <c r="M202" i="2" s="1"/>
  <c r="N202" i="2" s="1"/>
  <c r="O202" i="2" s="1"/>
  <c r="P202" i="2" s="1"/>
  <c r="Q202" i="2" s="1"/>
  <c r="R202" i="2" s="1"/>
  <c r="S202" i="2" s="1"/>
  <c r="T202" i="2" s="1"/>
  <c r="L191" i="2"/>
  <c r="M191" i="2"/>
  <c r="N191" i="2"/>
  <c r="O191" i="2"/>
  <c r="P191" i="2"/>
  <c r="Q191" i="2"/>
  <c r="R191" i="2"/>
  <c r="S191" i="2"/>
  <c r="T191" i="2"/>
  <c r="L192" i="2"/>
  <c r="M192" i="2"/>
  <c r="N192" i="2"/>
  <c r="O192" i="2"/>
  <c r="P192" i="2"/>
  <c r="Q192" i="2"/>
  <c r="R192" i="2"/>
  <c r="S192" i="2"/>
  <c r="T192" i="2"/>
  <c r="L193" i="2"/>
  <c r="M193" i="2"/>
  <c r="N193" i="2"/>
  <c r="O193" i="2"/>
  <c r="P193" i="2"/>
  <c r="Q193" i="2"/>
  <c r="R193" i="2"/>
  <c r="S193" i="2"/>
  <c r="T193" i="2"/>
  <c r="L194" i="2"/>
  <c r="M194" i="2"/>
  <c r="N194" i="2"/>
  <c r="O194" i="2"/>
  <c r="P194" i="2"/>
  <c r="Q194" i="2"/>
  <c r="R194" i="2"/>
  <c r="S194" i="2"/>
  <c r="T194" i="2"/>
  <c r="L195" i="2"/>
  <c r="M195" i="2"/>
  <c r="N195" i="2"/>
  <c r="O195" i="2"/>
  <c r="P195" i="2"/>
  <c r="Q195" i="2"/>
  <c r="R195" i="2"/>
  <c r="S195" i="2"/>
  <c r="T195" i="2"/>
  <c r="K195" i="2"/>
  <c r="K194" i="2"/>
  <c r="K193" i="2"/>
  <c r="K192" i="2"/>
  <c r="K191" i="2"/>
  <c r="K94" i="2"/>
  <c r="L94" i="2"/>
  <c r="M94" i="2"/>
  <c r="N94" i="2"/>
  <c r="O94" i="2"/>
  <c r="P94" i="2"/>
  <c r="Q94" i="2"/>
  <c r="R94" i="2"/>
  <c r="S94" i="2"/>
  <c r="T94" i="2"/>
  <c r="K66" i="2"/>
  <c r="L66" i="2"/>
  <c r="M66" i="2"/>
  <c r="N66" i="2"/>
  <c r="O66" i="2"/>
  <c r="P66" i="2"/>
  <c r="Q66" i="2"/>
  <c r="R66" i="2"/>
  <c r="S66" i="2"/>
  <c r="T66" i="2"/>
  <c r="K67" i="2"/>
  <c r="K35" i="2" s="1"/>
  <c r="L67" i="2"/>
  <c r="L35" i="2" s="1"/>
  <c r="M67" i="2"/>
  <c r="M35" i="2" s="1"/>
  <c r="N67" i="2"/>
  <c r="N35" i="2" s="1"/>
  <c r="O67" i="2"/>
  <c r="O35" i="2" s="1"/>
  <c r="P67" i="2"/>
  <c r="P35" i="2" s="1"/>
  <c r="Q67" i="2"/>
  <c r="Q35" i="2" s="1"/>
  <c r="R67" i="2"/>
  <c r="R35" i="2" s="1"/>
  <c r="S67" i="2"/>
  <c r="S35" i="2" s="1"/>
  <c r="T67" i="2"/>
  <c r="T35" i="2" s="1"/>
  <c r="K29" i="5"/>
  <c r="K198" i="5" s="1"/>
  <c r="F31" i="3" s="1"/>
  <c r="M29" i="5"/>
  <c r="M198" i="5" s="1"/>
  <c r="H31" i="3" s="1"/>
  <c r="N29" i="5"/>
  <c r="N198" i="5" s="1"/>
  <c r="I31" i="3" s="1"/>
  <c r="O29" i="5"/>
  <c r="O198" i="5" s="1"/>
  <c r="J31" i="3" s="1"/>
  <c r="P29" i="5"/>
  <c r="P198" i="5" s="1"/>
  <c r="K31" i="3" s="1"/>
  <c r="Q29" i="5"/>
  <c r="Q198" i="5" s="1"/>
  <c r="L31" i="3" s="1"/>
  <c r="R29" i="5"/>
  <c r="R198" i="5" s="1"/>
  <c r="M31" i="3" s="1"/>
  <c r="S29" i="5"/>
  <c r="S198" i="5" s="1"/>
  <c r="N31" i="3" s="1"/>
  <c r="T29" i="5"/>
  <c r="T198" i="5" s="1"/>
  <c r="O31" i="3" s="1"/>
  <c r="J29" i="5"/>
  <c r="J198" i="5" s="1"/>
  <c r="U122" i="7"/>
  <c r="F5" i="3"/>
  <c r="L60" i="7"/>
  <c r="M60" i="7"/>
  <c r="N60" i="7"/>
  <c r="O60" i="7"/>
  <c r="P60" i="7"/>
  <c r="Q60" i="7"/>
  <c r="R60" i="7"/>
  <c r="S60" i="7"/>
  <c r="T60" i="7"/>
  <c r="K60" i="7"/>
  <c r="F6" i="7"/>
  <c r="G6" i="7" s="1"/>
  <c r="H6" i="7" s="1"/>
  <c r="I6" i="7" s="1"/>
  <c r="J6" i="7" s="1"/>
  <c r="K6" i="7" s="1"/>
  <c r="L6" i="7" s="1"/>
  <c r="M6" i="7" s="1"/>
  <c r="N6" i="7" s="1"/>
  <c r="O6" i="7" s="1"/>
  <c r="P6" i="7" s="1"/>
  <c r="Q6" i="7" s="1"/>
  <c r="R6" i="7" s="1"/>
  <c r="S6" i="7" s="1"/>
  <c r="T6" i="7" s="1"/>
  <c r="F138" i="2"/>
  <c r="B17" i="10"/>
  <c r="B13" i="10"/>
  <c r="B10" i="10"/>
  <c r="B9" i="10"/>
  <c r="B8" i="10"/>
  <c r="B7" i="10"/>
  <c r="B5" i="10"/>
  <c r="B6" i="10"/>
  <c r="B3" i="10"/>
  <c r="B2" i="10"/>
  <c r="W33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9" i="5"/>
  <c r="J89" i="2"/>
  <c r="G89" i="2"/>
  <c r="H89" i="2"/>
  <c r="I89" i="2"/>
  <c r="F89" i="2"/>
  <c r="E21" i="9"/>
  <c r="F15" i="9" s="1"/>
  <c r="E17" i="9"/>
  <c r="C5" i="9"/>
  <c r="C6" i="9" s="1"/>
  <c r="C7" i="9" s="1"/>
  <c r="C8" i="9" s="1"/>
  <c r="C9" i="9" s="1"/>
  <c r="C10" i="9" s="1"/>
  <c r="C11" i="9" s="1"/>
  <c r="C12" i="9" s="1"/>
  <c r="C13" i="9" s="1"/>
  <c r="J94" i="2"/>
  <c r="J77" i="2"/>
  <c r="J75" i="2"/>
  <c r="F72" i="2"/>
  <c r="F93" i="2"/>
  <c r="J23" i="1"/>
  <c r="J22" i="1" s="1"/>
  <c r="J30" i="1"/>
  <c r="J29" i="1" s="1"/>
  <c r="J16" i="1"/>
  <c r="G28" i="10" s="1"/>
  <c r="J49" i="1"/>
  <c r="J7" i="1" s="1"/>
  <c r="J27" i="7" s="1"/>
  <c r="J101" i="1"/>
  <c r="J49" i="7" s="1"/>
  <c r="J100" i="1"/>
  <c r="J46" i="7" s="1"/>
  <c r="J99" i="1"/>
  <c r="J43" i="7" s="1"/>
  <c r="J95" i="1"/>
  <c r="J94" i="1"/>
  <c r="J84" i="1"/>
  <c r="J83" i="1"/>
  <c r="J82" i="1"/>
  <c r="J81" i="1"/>
  <c r="J80" i="1"/>
  <c r="J79" i="1"/>
  <c r="J78" i="1"/>
  <c r="J77" i="1"/>
  <c r="J76" i="1"/>
  <c r="J85" i="1"/>
  <c r="J68" i="1"/>
  <c r="J67" i="1"/>
  <c r="J64" i="1"/>
  <c r="J63" i="1"/>
  <c r="J58" i="1"/>
  <c r="J55" i="1"/>
  <c r="J54" i="1"/>
  <c r="J56" i="1"/>
  <c r="J8" i="1"/>
  <c r="J29" i="2"/>
  <c r="J66" i="2"/>
  <c r="J67" i="2"/>
  <c r="J35" i="2" s="1"/>
  <c r="J201" i="2"/>
  <c r="K201" i="2" s="1"/>
  <c r="L201" i="2" s="1"/>
  <c r="M201" i="2" s="1"/>
  <c r="N201" i="2" s="1"/>
  <c r="O201" i="2" s="1"/>
  <c r="P201" i="2" s="1"/>
  <c r="Q201" i="2" s="1"/>
  <c r="R201" i="2" s="1"/>
  <c r="S201" i="2" s="1"/>
  <c r="T201" i="2" s="1"/>
  <c r="J200" i="2"/>
  <c r="K200" i="2" s="1"/>
  <c r="L200" i="2" s="1"/>
  <c r="M200" i="2" s="1"/>
  <c r="N200" i="2" s="1"/>
  <c r="O200" i="2" s="1"/>
  <c r="P200" i="2" s="1"/>
  <c r="Q200" i="2" s="1"/>
  <c r="R200" i="2" s="1"/>
  <c r="S200" i="2" s="1"/>
  <c r="T200" i="2" s="1"/>
  <c r="J199" i="2"/>
  <c r="K199" i="2" s="1"/>
  <c r="L199" i="2" s="1"/>
  <c r="M199" i="2" s="1"/>
  <c r="N199" i="2" s="1"/>
  <c r="O199" i="2" s="1"/>
  <c r="P199" i="2" s="1"/>
  <c r="Q199" i="2" s="1"/>
  <c r="R199" i="2" s="1"/>
  <c r="S199" i="2" s="1"/>
  <c r="T199" i="2" s="1"/>
  <c r="J195" i="2"/>
  <c r="J194" i="2"/>
  <c r="J193" i="2"/>
  <c r="J192" i="2"/>
  <c r="J191" i="2"/>
  <c r="J190" i="2"/>
  <c r="K190" i="2" s="1"/>
  <c r="J184" i="2"/>
  <c r="J185" i="2"/>
  <c r="J186" i="2"/>
  <c r="J187" i="2"/>
  <c r="J174" i="2"/>
  <c r="J50" i="2" s="1"/>
  <c r="J179" i="2"/>
  <c r="J180" i="2"/>
  <c r="J181" i="2"/>
  <c r="J171" i="2"/>
  <c r="J170" i="2"/>
  <c r="J162" i="2"/>
  <c r="J152" i="2"/>
  <c r="K152" i="2" s="1"/>
  <c r="J154" i="2"/>
  <c r="K154" i="2" s="1"/>
  <c r="L154" i="2" s="1"/>
  <c r="M154" i="2" s="1"/>
  <c r="N154" i="2" s="1"/>
  <c r="J143" i="2"/>
  <c r="J150" i="2"/>
  <c r="J133" i="2"/>
  <c r="J134" i="2" s="1"/>
  <c r="J28" i="2" s="1"/>
  <c r="J129" i="2"/>
  <c r="J128" i="2"/>
  <c r="J126" i="2"/>
  <c r="J122" i="2"/>
  <c r="J121" i="2"/>
  <c r="K166" i="7" s="1"/>
  <c r="K167" i="7" s="1"/>
  <c r="J115" i="2"/>
  <c r="J114" i="2"/>
  <c r="J113" i="2"/>
  <c r="J112" i="2"/>
  <c r="J111" i="2"/>
  <c r="J42" i="2"/>
  <c r="F22" i="3" s="1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J106" i="2"/>
  <c r="K106" i="2" s="1"/>
  <c r="L106" i="2" s="1"/>
  <c r="M106" i="2" s="1"/>
  <c r="N106" i="2" s="1"/>
  <c r="O106" i="2" s="1"/>
  <c r="P106" i="2" s="1"/>
  <c r="Q106" i="2" s="1"/>
  <c r="R106" i="2" s="1"/>
  <c r="S106" i="2" s="1"/>
  <c r="T106" i="2" s="1"/>
  <c r="J105" i="2"/>
  <c r="K105" i="2" s="1"/>
  <c r="L105" i="2" s="1"/>
  <c r="M105" i="2" s="1"/>
  <c r="N105" i="2" s="1"/>
  <c r="O105" i="2" s="1"/>
  <c r="P105" i="2" s="1"/>
  <c r="Q105" i="2" s="1"/>
  <c r="R105" i="2" s="1"/>
  <c r="S105" i="2" s="1"/>
  <c r="T105" i="2" s="1"/>
  <c r="J104" i="2"/>
  <c r="K104" i="2" s="1"/>
  <c r="L104" i="2" s="1"/>
  <c r="M104" i="2" s="1"/>
  <c r="N104" i="2" s="1"/>
  <c r="O104" i="2" s="1"/>
  <c r="P104" i="2" s="1"/>
  <c r="Q104" i="2" s="1"/>
  <c r="R104" i="2" s="1"/>
  <c r="S104" i="2" s="1"/>
  <c r="T104" i="2" s="1"/>
  <c r="J107" i="2"/>
  <c r="K107" i="2" s="1"/>
  <c r="L107" i="2" s="1"/>
  <c r="M107" i="2" s="1"/>
  <c r="N107" i="2" s="1"/>
  <c r="O107" i="2" s="1"/>
  <c r="P107" i="2" s="1"/>
  <c r="Q107" i="2" s="1"/>
  <c r="R107" i="2" s="1"/>
  <c r="S107" i="2" s="1"/>
  <c r="T107" i="2" s="1"/>
  <c r="J14" i="2"/>
  <c r="J12" i="2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J11" i="2"/>
  <c r="J205" i="5"/>
  <c r="J9" i="2" s="1"/>
  <c r="I88" i="2"/>
  <c r="H88" i="2"/>
  <c r="G88" i="2"/>
  <c r="F88" i="2"/>
  <c r="F87" i="2"/>
  <c r="F81" i="2"/>
  <c r="F84" i="2" s="1"/>
  <c r="G81" i="2" s="1"/>
  <c r="I77" i="2"/>
  <c r="H77" i="2"/>
  <c r="G77" i="2"/>
  <c r="F77" i="2"/>
  <c r="I76" i="2"/>
  <c r="H76" i="2"/>
  <c r="G76" i="2"/>
  <c r="F76" i="2"/>
  <c r="I75" i="2"/>
  <c r="H75" i="2"/>
  <c r="G75" i="2"/>
  <c r="F75" i="2"/>
  <c r="I72" i="2"/>
  <c r="H72" i="2"/>
  <c r="G72" i="2"/>
  <c r="F71" i="2"/>
  <c r="I66" i="2"/>
  <c r="H66" i="2"/>
  <c r="G66" i="2"/>
  <c r="F66" i="2"/>
  <c r="I67" i="2"/>
  <c r="I35" i="2" s="1"/>
  <c r="H67" i="2"/>
  <c r="H35" i="2" s="1"/>
  <c r="G67" i="2"/>
  <c r="G35" i="2" s="1"/>
  <c r="F67" i="2"/>
  <c r="F35" i="2" s="1"/>
  <c r="I202" i="2"/>
  <c r="H202" i="2"/>
  <c r="G202" i="2"/>
  <c r="F202" i="2"/>
  <c r="I201" i="2"/>
  <c r="H201" i="2"/>
  <c r="G201" i="2"/>
  <c r="F201" i="2"/>
  <c r="I200" i="2"/>
  <c r="H200" i="2"/>
  <c r="G200" i="2"/>
  <c r="F200" i="2"/>
  <c r="I199" i="2"/>
  <c r="H199" i="2"/>
  <c r="G199" i="2"/>
  <c r="F199" i="2"/>
  <c r="I195" i="2"/>
  <c r="H195" i="2"/>
  <c r="G195" i="2"/>
  <c r="F195" i="2"/>
  <c r="I194" i="2"/>
  <c r="H194" i="2"/>
  <c r="G194" i="2"/>
  <c r="F194" i="2"/>
  <c r="I193" i="2"/>
  <c r="H193" i="2"/>
  <c r="G193" i="2"/>
  <c r="F193" i="2"/>
  <c r="I192" i="2"/>
  <c r="H192" i="2"/>
  <c r="G192" i="2"/>
  <c r="F192" i="2"/>
  <c r="I191" i="2"/>
  <c r="H191" i="2"/>
  <c r="G191" i="2"/>
  <c r="F191" i="2"/>
  <c r="I190" i="2"/>
  <c r="H190" i="2"/>
  <c r="G190" i="2"/>
  <c r="F190" i="2"/>
  <c r="I187" i="2"/>
  <c r="H187" i="2"/>
  <c r="G187" i="2"/>
  <c r="F187" i="2"/>
  <c r="I186" i="2"/>
  <c r="H186" i="2"/>
  <c r="G186" i="2"/>
  <c r="F186" i="2"/>
  <c r="I185" i="2"/>
  <c r="H185" i="2"/>
  <c r="G185" i="2"/>
  <c r="F185" i="2"/>
  <c r="I184" i="2"/>
  <c r="H184" i="2"/>
  <c r="G184" i="2"/>
  <c r="F184" i="2"/>
  <c r="I181" i="2"/>
  <c r="H181" i="2"/>
  <c r="I180" i="2"/>
  <c r="H180" i="2"/>
  <c r="I179" i="2"/>
  <c r="H179" i="2"/>
  <c r="G181" i="2"/>
  <c r="F181" i="2"/>
  <c r="G180" i="2"/>
  <c r="F180" i="2"/>
  <c r="G179" i="2"/>
  <c r="F179" i="2"/>
  <c r="I174" i="2"/>
  <c r="H174" i="2"/>
  <c r="G174" i="2"/>
  <c r="F174" i="2"/>
  <c r="I171" i="2"/>
  <c r="H171" i="2"/>
  <c r="G171" i="2"/>
  <c r="F171" i="2"/>
  <c r="I170" i="2"/>
  <c r="H170" i="2"/>
  <c r="G170" i="2"/>
  <c r="F170" i="2"/>
  <c r="I162" i="2"/>
  <c r="I167" i="2" s="1"/>
  <c r="H162" i="2"/>
  <c r="H167" i="2" s="1"/>
  <c r="G162" i="2"/>
  <c r="G167" i="2" s="1"/>
  <c r="F162" i="2"/>
  <c r="F167" i="2" s="1"/>
  <c r="I154" i="2"/>
  <c r="H154" i="2"/>
  <c r="G154" i="2"/>
  <c r="F154" i="2"/>
  <c r="I151" i="2"/>
  <c r="H151" i="2"/>
  <c r="G151" i="2"/>
  <c r="F151" i="2"/>
  <c r="I150" i="2"/>
  <c r="H150" i="2"/>
  <c r="G150" i="2"/>
  <c r="F150" i="2"/>
  <c r="I147" i="2"/>
  <c r="H147" i="2"/>
  <c r="G147" i="2"/>
  <c r="F147" i="2"/>
  <c r="I146" i="2"/>
  <c r="H146" i="2"/>
  <c r="G146" i="2"/>
  <c r="F146" i="2"/>
  <c r="I145" i="2"/>
  <c r="H145" i="2"/>
  <c r="G145" i="2"/>
  <c r="F145" i="2"/>
  <c r="I144" i="2"/>
  <c r="H144" i="2"/>
  <c r="G144" i="2"/>
  <c r="F144" i="2"/>
  <c r="I143" i="2"/>
  <c r="H143" i="2"/>
  <c r="G143" i="2"/>
  <c r="F143" i="2"/>
  <c r="I142" i="2"/>
  <c r="H142" i="2"/>
  <c r="G142" i="2"/>
  <c r="F142" i="2"/>
  <c r="J139" i="2"/>
  <c r="I139" i="2"/>
  <c r="H139" i="2"/>
  <c r="G139" i="2"/>
  <c r="F139" i="2"/>
  <c r="J138" i="2"/>
  <c r="I138" i="2"/>
  <c r="H138" i="2"/>
  <c r="G138" i="2"/>
  <c r="I133" i="2"/>
  <c r="I134" i="2" s="1"/>
  <c r="H133" i="2"/>
  <c r="G133" i="2"/>
  <c r="F133" i="2"/>
  <c r="I129" i="2"/>
  <c r="H129" i="2"/>
  <c r="G129" i="2"/>
  <c r="F129" i="2"/>
  <c r="I128" i="2"/>
  <c r="H128" i="2"/>
  <c r="G128" i="2"/>
  <c r="F128" i="2"/>
  <c r="I126" i="2"/>
  <c r="H126" i="2"/>
  <c r="G126" i="2"/>
  <c r="F126" i="2"/>
  <c r="I122" i="2"/>
  <c r="H122" i="2"/>
  <c r="G122" i="2"/>
  <c r="F122" i="2"/>
  <c r="I121" i="2"/>
  <c r="H121" i="2"/>
  <c r="G121" i="2"/>
  <c r="F121" i="2"/>
  <c r="I115" i="2"/>
  <c r="H115" i="2"/>
  <c r="G115" i="2"/>
  <c r="F115" i="2"/>
  <c r="I114" i="2"/>
  <c r="H114" i="2"/>
  <c r="G114" i="2"/>
  <c r="F114" i="2"/>
  <c r="I113" i="2"/>
  <c r="H113" i="2"/>
  <c r="G113" i="2"/>
  <c r="F113" i="2"/>
  <c r="I112" i="2"/>
  <c r="H112" i="2"/>
  <c r="G112" i="2"/>
  <c r="F112" i="2"/>
  <c r="I111" i="2"/>
  <c r="H111" i="2"/>
  <c r="G111" i="2"/>
  <c r="F111" i="2"/>
  <c r="I107" i="2"/>
  <c r="H107" i="2"/>
  <c r="G107" i="2"/>
  <c r="F107" i="2"/>
  <c r="I106" i="2"/>
  <c r="H106" i="2"/>
  <c r="G106" i="2"/>
  <c r="F106" i="2"/>
  <c r="I105" i="2"/>
  <c r="H105" i="2"/>
  <c r="G105" i="2"/>
  <c r="F105" i="2"/>
  <c r="I104" i="2"/>
  <c r="H104" i="2"/>
  <c r="G104" i="2"/>
  <c r="F104" i="2"/>
  <c r="I42" i="2"/>
  <c r="H42" i="2"/>
  <c r="G42" i="2"/>
  <c r="F42" i="2"/>
  <c r="I29" i="2"/>
  <c r="I16" i="2"/>
  <c r="I12" i="2"/>
  <c r="I11" i="2"/>
  <c r="H11" i="2"/>
  <c r="G11" i="2"/>
  <c r="F11" i="2"/>
  <c r="I95" i="1"/>
  <c r="H95" i="1"/>
  <c r="G95" i="1"/>
  <c r="F95" i="1"/>
  <c r="I94" i="1"/>
  <c r="H94" i="1"/>
  <c r="G94" i="1"/>
  <c r="F94" i="1"/>
  <c r="I101" i="1"/>
  <c r="I49" i="7" s="1"/>
  <c r="H101" i="1"/>
  <c r="H49" i="7" s="1"/>
  <c r="G101" i="1"/>
  <c r="G49" i="7" s="1"/>
  <c r="F101" i="1"/>
  <c r="F49" i="7" s="1"/>
  <c r="I100" i="1"/>
  <c r="I46" i="7" s="1"/>
  <c r="H100" i="1"/>
  <c r="H46" i="7" s="1"/>
  <c r="G100" i="1"/>
  <c r="G46" i="7" s="1"/>
  <c r="F100" i="1"/>
  <c r="F46" i="7" s="1"/>
  <c r="I99" i="1"/>
  <c r="I43" i="7" s="1"/>
  <c r="H99" i="1"/>
  <c r="H43" i="7" s="1"/>
  <c r="G99" i="1"/>
  <c r="G43" i="7" s="1"/>
  <c r="F99" i="1"/>
  <c r="F43" i="7" s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I81" i="1"/>
  <c r="H81" i="1"/>
  <c r="G81" i="1"/>
  <c r="F81" i="1"/>
  <c r="I80" i="1"/>
  <c r="H80" i="1"/>
  <c r="G80" i="1"/>
  <c r="F80" i="1"/>
  <c r="I79" i="1"/>
  <c r="H79" i="1"/>
  <c r="G79" i="1"/>
  <c r="F79" i="1"/>
  <c r="I78" i="1"/>
  <c r="H78" i="1"/>
  <c r="G78" i="1"/>
  <c r="F78" i="1"/>
  <c r="I77" i="1"/>
  <c r="H77" i="1"/>
  <c r="G77" i="1"/>
  <c r="F77" i="1"/>
  <c r="I76" i="1"/>
  <c r="H76" i="1"/>
  <c r="G76" i="1"/>
  <c r="F76" i="1"/>
  <c r="I68" i="1"/>
  <c r="H68" i="1"/>
  <c r="G68" i="1"/>
  <c r="F68" i="1"/>
  <c r="I67" i="1"/>
  <c r="H67" i="1"/>
  <c r="G67" i="1"/>
  <c r="F67" i="1"/>
  <c r="I64" i="1"/>
  <c r="H64" i="1"/>
  <c r="G64" i="1"/>
  <c r="F64" i="1"/>
  <c r="I63" i="1"/>
  <c r="H63" i="1"/>
  <c r="G63" i="1"/>
  <c r="F63" i="1"/>
  <c r="I58" i="1"/>
  <c r="H58" i="1"/>
  <c r="G58" i="1"/>
  <c r="F58" i="1"/>
  <c r="I56" i="1"/>
  <c r="H56" i="1"/>
  <c r="G56" i="1"/>
  <c r="F56" i="1"/>
  <c r="I55" i="1"/>
  <c r="H55" i="1"/>
  <c r="G55" i="1"/>
  <c r="F55" i="1"/>
  <c r="I54" i="1"/>
  <c r="H54" i="1"/>
  <c r="G54" i="1"/>
  <c r="F54" i="1"/>
  <c r="I48" i="1"/>
  <c r="H48" i="1"/>
  <c r="G48" i="1"/>
  <c r="F48" i="1"/>
  <c r="I47" i="1"/>
  <c r="H47" i="1"/>
  <c r="G47" i="1"/>
  <c r="F47" i="1"/>
  <c r="I35" i="1"/>
  <c r="H35" i="1"/>
  <c r="G35" i="1"/>
  <c r="G94" i="2" s="1"/>
  <c r="F35" i="1"/>
  <c r="F94" i="2" s="1"/>
  <c r="I31" i="1"/>
  <c r="H31" i="1"/>
  <c r="G31" i="1"/>
  <c r="F31" i="1"/>
  <c r="I30" i="1"/>
  <c r="H30" i="1"/>
  <c r="G30" i="1"/>
  <c r="F30" i="1"/>
  <c r="I16" i="1"/>
  <c r="F28" i="10" s="1"/>
  <c r="H16" i="1"/>
  <c r="E7" i="10" s="1"/>
  <c r="G16" i="1"/>
  <c r="D28" i="10" s="1"/>
  <c r="F16" i="1"/>
  <c r="C28" i="10" s="1"/>
  <c r="F8" i="1"/>
  <c r="G8" i="1"/>
  <c r="H8" i="1"/>
  <c r="I8" i="1"/>
  <c r="H43" i="5"/>
  <c r="Y201" i="5"/>
  <c r="W201" i="5"/>
  <c r="G102" i="5"/>
  <c r="H102" i="5" s="1"/>
  <c r="I39" i="5"/>
  <c r="I107" i="5"/>
  <c r="I110" i="5"/>
  <c r="I43" i="5"/>
  <c r="H198" i="5"/>
  <c r="H138" i="5"/>
  <c r="G77" i="5"/>
  <c r="T131" i="7" l="1"/>
  <c r="T134" i="7" s="1"/>
  <c r="S156" i="7" s="1"/>
  <c r="S164" i="2" s="1"/>
  <c r="G3" i="10"/>
  <c r="J30" i="7"/>
  <c r="E3" i="10"/>
  <c r="H30" i="7"/>
  <c r="D3" i="10"/>
  <c r="G30" i="7"/>
  <c r="C3" i="10"/>
  <c r="F30" i="7"/>
  <c r="F3" i="10"/>
  <c r="I30" i="7"/>
  <c r="J167" i="2"/>
  <c r="H92" i="7" s="1"/>
  <c r="R156" i="7"/>
  <c r="R164" i="2" s="1"/>
  <c r="S143" i="7"/>
  <c r="Q143" i="7"/>
  <c r="P156" i="7"/>
  <c r="P164" i="2" s="1"/>
  <c r="M156" i="7"/>
  <c r="M164" i="2" s="1"/>
  <c r="N143" i="7"/>
  <c r="L143" i="7"/>
  <c r="K150" i="7"/>
  <c r="K156" i="2" s="1"/>
  <c r="K156" i="7"/>
  <c r="K164" i="2" s="1"/>
  <c r="M143" i="7"/>
  <c r="L156" i="7"/>
  <c r="L164" i="2" s="1"/>
  <c r="Q156" i="7"/>
  <c r="Q164" i="2" s="1"/>
  <c r="R143" i="7"/>
  <c r="P143" i="7"/>
  <c r="O156" i="7"/>
  <c r="O164" i="2" s="1"/>
  <c r="O143" i="7"/>
  <c r="N156" i="7"/>
  <c r="N164" i="2" s="1"/>
  <c r="K143" i="2"/>
  <c r="K153" i="2" s="1"/>
  <c r="Q130" i="7"/>
  <c r="Q46" i="7"/>
  <c r="P100" i="1"/>
  <c r="R40" i="7"/>
  <c r="Q86" i="1"/>
  <c r="K74" i="7"/>
  <c r="J65" i="1"/>
  <c r="J69" i="1"/>
  <c r="L152" i="2"/>
  <c r="M152" i="2" s="1"/>
  <c r="N152" i="2" s="1"/>
  <c r="O152" i="2" s="1"/>
  <c r="P152" i="2" s="1"/>
  <c r="Q152" i="2" s="1"/>
  <c r="R152" i="2" s="1"/>
  <c r="S152" i="2" s="1"/>
  <c r="T152" i="2" s="1"/>
  <c r="K11" i="2"/>
  <c r="F33" i="3"/>
  <c r="D34" i="10"/>
  <c r="J123" i="2"/>
  <c r="K29" i="2"/>
  <c r="F37" i="3" s="1"/>
  <c r="I153" i="2"/>
  <c r="I159" i="2" s="1"/>
  <c r="J153" i="2"/>
  <c r="J159" i="2" s="1"/>
  <c r="E34" i="10"/>
  <c r="F153" i="2"/>
  <c r="F159" i="2" s="1"/>
  <c r="F34" i="10"/>
  <c r="G34" i="10"/>
  <c r="G153" i="2"/>
  <c r="G159" i="2" s="1"/>
  <c r="H153" i="2"/>
  <c r="H159" i="2" s="1"/>
  <c r="C34" i="10"/>
  <c r="K174" i="2"/>
  <c r="K196" i="2"/>
  <c r="L190" i="2"/>
  <c r="K133" i="2"/>
  <c r="G2" i="10"/>
  <c r="J74" i="7"/>
  <c r="O154" i="2"/>
  <c r="I201" i="5"/>
  <c r="J29" i="7"/>
  <c r="D7" i="10"/>
  <c r="E28" i="10"/>
  <c r="C7" i="10"/>
  <c r="G7" i="10"/>
  <c r="F7" i="10"/>
  <c r="I69" i="1"/>
  <c r="I94" i="2"/>
  <c r="H94" i="2"/>
  <c r="F14" i="9"/>
  <c r="F13" i="9"/>
  <c r="F12" i="9"/>
  <c r="F11" i="9"/>
  <c r="F10" i="9"/>
  <c r="F9" i="9"/>
  <c r="F8" i="9"/>
  <c r="F7" i="9"/>
  <c r="F6" i="9"/>
  <c r="F5" i="9"/>
  <c r="F4" i="9"/>
  <c r="C14" i="9"/>
  <c r="C15" i="9" s="1"/>
  <c r="J196" i="2"/>
  <c r="J130" i="2"/>
  <c r="J27" i="2" s="1"/>
  <c r="F43" i="3" s="1"/>
  <c r="J108" i="2"/>
  <c r="J15" i="2" s="1"/>
  <c r="F108" i="2"/>
  <c r="J172" i="2"/>
  <c r="G108" i="2"/>
  <c r="I172" i="2"/>
  <c r="J116" i="2"/>
  <c r="J21" i="2" s="1"/>
  <c r="J20" i="2" s="1"/>
  <c r="H108" i="2"/>
  <c r="I108" i="2"/>
  <c r="I116" i="2"/>
  <c r="F90" i="2"/>
  <c r="G87" i="2" s="1"/>
  <c r="I130" i="2"/>
  <c r="I123" i="2"/>
  <c r="J9" i="1"/>
  <c r="I57" i="1"/>
  <c r="I59" i="1" s="1"/>
  <c r="I65" i="1"/>
  <c r="J102" i="1"/>
  <c r="J17" i="1" s="1"/>
  <c r="J57" i="1"/>
  <c r="J59" i="1" s="1"/>
  <c r="F95" i="2"/>
  <c r="J86" i="1"/>
  <c r="J14" i="1" s="1"/>
  <c r="J40" i="7" s="1"/>
  <c r="J51" i="7" s="1"/>
  <c r="G84" i="2"/>
  <c r="I196" i="2"/>
  <c r="H201" i="5"/>
  <c r="I198" i="5"/>
  <c r="G111" i="5"/>
  <c r="G15" i="5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F213" i="5"/>
  <c r="F216" i="5" s="1"/>
  <c r="F190" i="5"/>
  <c r="F192" i="5" s="1"/>
  <c r="F183" i="5"/>
  <c r="F174" i="5"/>
  <c r="F164" i="5"/>
  <c r="G157" i="5"/>
  <c r="H157" i="5" s="1"/>
  <c r="I157" i="5" s="1"/>
  <c r="F153" i="5"/>
  <c r="F155" i="5" s="1"/>
  <c r="F144" i="5"/>
  <c r="F146" i="5" s="1"/>
  <c r="F135" i="5"/>
  <c r="F137" i="5" s="1"/>
  <c r="F126" i="5"/>
  <c r="F128" i="5" s="1"/>
  <c r="F116" i="5"/>
  <c r="F118" i="5" s="1"/>
  <c r="F107" i="5"/>
  <c r="F109" i="5" s="1"/>
  <c r="F97" i="5"/>
  <c r="F99" i="5" s="1"/>
  <c r="G96" i="5" s="1"/>
  <c r="F87" i="5"/>
  <c r="F89" i="5" s="1"/>
  <c r="F77" i="5"/>
  <c r="F79" i="5" s="1"/>
  <c r="F68" i="5"/>
  <c r="F70" i="5" s="1"/>
  <c r="F73" i="5" s="1"/>
  <c r="X15" i="5" s="1"/>
  <c r="F59" i="5"/>
  <c r="F61" i="5" s="1"/>
  <c r="F64" i="5" s="1"/>
  <c r="X14" i="5" s="1"/>
  <c r="F24" i="5"/>
  <c r="G24" i="5" s="1"/>
  <c r="H24" i="5" s="1"/>
  <c r="I24" i="5" s="1"/>
  <c r="F34" i="5"/>
  <c r="F44" i="5"/>
  <c r="G44" i="5" s="1"/>
  <c r="H44" i="5" s="1"/>
  <c r="F49" i="5"/>
  <c r="F51" i="5" s="1"/>
  <c r="F55" i="5" s="1"/>
  <c r="X13" i="5" s="1"/>
  <c r="F39" i="5"/>
  <c r="F41" i="5" s="1"/>
  <c r="G38" i="5" s="1"/>
  <c r="F33" i="5"/>
  <c r="F201" i="5" s="1"/>
  <c r="F31" i="5"/>
  <c r="F22" i="5"/>
  <c r="F12" i="5"/>
  <c r="F16" i="5" s="1"/>
  <c r="X9" i="5" s="1"/>
  <c r="G5" i="3"/>
  <c r="H5" i="3" s="1"/>
  <c r="I5" i="3" s="1"/>
  <c r="J5" i="3" s="1"/>
  <c r="K5" i="3" s="1"/>
  <c r="L5" i="3" s="1"/>
  <c r="M5" i="3" s="1"/>
  <c r="N5" i="3" s="1"/>
  <c r="O5" i="3" s="1"/>
  <c r="T143" i="7" l="1"/>
  <c r="G4" i="10"/>
  <c r="J46" i="2"/>
  <c r="L143" i="2"/>
  <c r="M143" i="2" s="1"/>
  <c r="J41" i="2"/>
  <c r="G92" i="7"/>
  <c r="R130" i="7"/>
  <c r="R46" i="7"/>
  <c r="Q100" i="1"/>
  <c r="R86" i="1"/>
  <c r="S40" i="7"/>
  <c r="J71" i="1"/>
  <c r="J37" i="7" s="1"/>
  <c r="I71" i="1"/>
  <c r="I73" i="1" s="1"/>
  <c r="J24" i="2"/>
  <c r="L11" i="2"/>
  <c r="G33" i="3" s="1"/>
  <c r="L29" i="2"/>
  <c r="G37" i="3" s="1"/>
  <c r="J80" i="7"/>
  <c r="L133" i="2"/>
  <c r="K134" i="2"/>
  <c r="K28" i="2" s="1"/>
  <c r="K14" i="2"/>
  <c r="L153" i="2"/>
  <c r="L196" i="2"/>
  <c r="M190" i="2"/>
  <c r="P154" i="2"/>
  <c r="X33" i="5"/>
  <c r="F10" i="2"/>
  <c r="J48" i="7"/>
  <c r="J42" i="7"/>
  <c r="G17" i="10"/>
  <c r="C1" i="10"/>
  <c r="J48" i="2"/>
  <c r="J47" i="2" s="1"/>
  <c r="J61" i="2" s="1"/>
  <c r="F17" i="9"/>
  <c r="H81" i="2"/>
  <c r="H84" i="2" s="1"/>
  <c r="I81" i="2" s="1"/>
  <c r="G90" i="2"/>
  <c r="G93" i="2"/>
  <c r="J60" i="1"/>
  <c r="F35" i="5"/>
  <c r="X11" i="5" s="1"/>
  <c r="F25" i="5"/>
  <c r="X10" i="5" s="1"/>
  <c r="F45" i="5"/>
  <c r="X12" i="5" s="1"/>
  <c r="H102" i="1"/>
  <c r="H17" i="1" s="1"/>
  <c r="I102" i="1"/>
  <c r="I17" i="1" s="1"/>
  <c r="J96" i="1"/>
  <c r="J15" i="1" s="1"/>
  <c r="I96" i="1"/>
  <c r="I15" i="1" s="1"/>
  <c r="H96" i="1"/>
  <c r="H15" i="1" s="1"/>
  <c r="H69" i="1"/>
  <c r="H65" i="1"/>
  <c r="H57" i="1"/>
  <c r="H59" i="1" s="1"/>
  <c r="G102" i="1"/>
  <c r="G17" i="1" s="1"/>
  <c r="G69" i="1"/>
  <c r="G65" i="1"/>
  <c r="G57" i="1"/>
  <c r="G59" i="1" s="1"/>
  <c r="H196" i="2"/>
  <c r="H51" i="2" s="1"/>
  <c r="H172" i="2"/>
  <c r="H134" i="2"/>
  <c r="H28" i="2" s="1"/>
  <c r="H130" i="2"/>
  <c r="H27" i="2" s="1"/>
  <c r="H123" i="2"/>
  <c r="H116" i="2"/>
  <c r="H21" i="2" s="1"/>
  <c r="H20" i="2" s="1"/>
  <c r="I203" i="2"/>
  <c r="H203" i="2"/>
  <c r="I46" i="2"/>
  <c r="I48" i="2"/>
  <c r="I47" i="2" s="1"/>
  <c r="G50" i="2"/>
  <c r="H50" i="2"/>
  <c r="I50" i="2"/>
  <c r="I51" i="2"/>
  <c r="H14" i="2"/>
  <c r="I14" i="2"/>
  <c r="I21" i="2"/>
  <c r="I24" i="2"/>
  <c r="I27" i="2"/>
  <c r="I28" i="2"/>
  <c r="G14" i="2"/>
  <c r="G196" i="2"/>
  <c r="G51" i="2" s="1"/>
  <c r="G172" i="2"/>
  <c r="G41" i="2"/>
  <c r="G134" i="2"/>
  <c r="G28" i="2" s="1"/>
  <c r="G15" i="2"/>
  <c r="D17" i="10" s="1"/>
  <c r="H15" i="2"/>
  <c r="E17" i="10" s="1"/>
  <c r="I15" i="2"/>
  <c r="F17" i="10" s="1"/>
  <c r="K108" i="2"/>
  <c r="K15" i="2" s="1"/>
  <c r="L108" i="2"/>
  <c r="L15" i="2" s="1"/>
  <c r="M108" i="2"/>
  <c r="M15" i="2" s="1"/>
  <c r="N108" i="2"/>
  <c r="N15" i="2" s="1"/>
  <c r="O108" i="2"/>
  <c r="O15" i="2" s="1"/>
  <c r="P108" i="2"/>
  <c r="P15" i="2" s="1"/>
  <c r="Q108" i="2"/>
  <c r="Q15" i="2" s="1"/>
  <c r="R108" i="2"/>
  <c r="R15" i="2" s="1"/>
  <c r="S108" i="2"/>
  <c r="S15" i="2" s="1"/>
  <c r="T108" i="2"/>
  <c r="T15" i="2" s="1"/>
  <c r="G130" i="2"/>
  <c r="G27" i="2" s="1"/>
  <c r="G123" i="2"/>
  <c r="G116" i="2"/>
  <c r="G21" i="2" s="1"/>
  <c r="G20" i="2" s="1"/>
  <c r="G96" i="1"/>
  <c r="G15" i="1" s="1"/>
  <c r="G86" i="1"/>
  <c r="G14" i="1" s="1"/>
  <c r="G40" i="7" s="1"/>
  <c r="G51" i="7" s="1"/>
  <c r="H86" i="1"/>
  <c r="H14" i="1" s="1"/>
  <c r="H40" i="7" s="1"/>
  <c r="H51" i="7" s="1"/>
  <c r="I86" i="1"/>
  <c r="I14" i="1" s="1"/>
  <c r="I40" i="7" s="1"/>
  <c r="I51" i="7" s="1"/>
  <c r="F86" i="1"/>
  <c r="F96" i="1"/>
  <c r="F203" i="5"/>
  <c r="G198" i="5"/>
  <c r="F198" i="5"/>
  <c r="G215" i="5"/>
  <c r="H215" i="5" s="1"/>
  <c r="G211" i="5"/>
  <c r="G213" i="5" s="1"/>
  <c r="F200" i="5"/>
  <c r="F195" i="5"/>
  <c r="X28" i="5" s="1"/>
  <c r="G194" i="5"/>
  <c r="H194" i="5" s="1"/>
  <c r="I194" i="5" s="1"/>
  <c r="G189" i="5"/>
  <c r="G192" i="5" s="1"/>
  <c r="H189" i="5" s="1"/>
  <c r="H192" i="5" s="1"/>
  <c r="I189" i="5" s="1"/>
  <c r="I192" i="5" s="1"/>
  <c r="J189" i="5" s="1"/>
  <c r="J192" i="5" s="1"/>
  <c r="G185" i="5"/>
  <c r="H185" i="5" s="1"/>
  <c r="F186" i="5"/>
  <c r="X27" i="5" s="1"/>
  <c r="G180" i="5"/>
  <c r="G183" i="5" s="1"/>
  <c r="H180" i="5" s="1"/>
  <c r="H183" i="5" s="1"/>
  <c r="I180" i="5" s="1"/>
  <c r="I183" i="5" s="1"/>
  <c r="J180" i="5" s="1"/>
  <c r="J183" i="5" s="1"/>
  <c r="K180" i="5" s="1"/>
  <c r="K183" i="5" s="1"/>
  <c r="L180" i="5" s="1"/>
  <c r="L183" i="5" s="1"/>
  <c r="G176" i="5"/>
  <c r="H176" i="5" s="1"/>
  <c r="I176" i="5" s="1"/>
  <c r="F177" i="5"/>
  <c r="X26" i="5" s="1"/>
  <c r="G171" i="5"/>
  <c r="F158" i="5"/>
  <c r="X24" i="5" s="1"/>
  <c r="G152" i="5"/>
  <c r="G155" i="5" s="1"/>
  <c r="G167" i="5"/>
  <c r="F168" i="5"/>
  <c r="X25" i="5" s="1"/>
  <c r="G161" i="5"/>
  <c r="G164" i="5" s="1"/>
  <c r="H161" i="5" s="1"/>
  <c r="H164" i="5" s="1"/>
  <c r="I161" i="5" s="1"/>
  <c r="I164" i="5" s="1"/>
  <c r="J161" i="5" s="1"/>
  <c r="J164" i="5" s="1"/>
  <c r="K161" i="5" s="1"/>
  <c r="K164" i="5" s="1"/>
  <c r="F149" i="5"/>
  <c r="X23" i="5" s="1"/>
  <c r="G148" i="5"/>
  <c r="H148" i="5" s="1"/>
  <c r="I148" i="5" s="1"/>
  <c r="G143" i="5"/>
  <c r="G146" i="5" s="1"/>
  <c r="H143" i="5" s="1"/>
  <c r="H146" i="5" s="1"/>
  <c r="I143" i="5" s="1"/>
  <c r="I146" i="5" s="1"/>
  <c r="J143" i="5" s="1"/>
  <c r="J146" i="5" s="1"/>
  <c r="K143" i="5" s="1"/>
  <c r="K146" i="5" s="1"/>
  <c r="L143" i="5" s="1"/>
  <c r="L146" i="5" s="1"/>
  <c r="F140" i="5"/>
  <c r="X22" i="5" s="1"/>
  <c r="G138" i="5"/>
  <c r="G134" i="5"/>
  <c r="G137" i="5" s="1"/>
  <c r="H134" i="5" s="1"/>
  <c r="H137" i="5" s="1"/>
  <c r="I20" i="2" l="1"/>
  <c r="I60" i="2"/>
  <c r="I36" i="7"/>
  <c r="I12" i="1"/>
  <c r="I75" i="7" s="1"/>
  <c r="H73" i="1"/>
  <c r="J73" i="1"/>
  <c r="I77" i="7"/>
  <c r="I23" i="2"/>
  <c r="I30" i="2" s="1"/>
  <c r="J23" i="2"/>
  <c r="K160" i="7" s="1"/>
  <c r="K168" i="7" s="1"/>
  <c r="K25" i="2" s="1"/>
  <c r="L25" i="2" s="1"/>
  <c r="E92" i="7"/>
  <c r="J77" i="7"/>
  <c r="G14" i="10"/>
  <c r="J43" i="2"/>
  <c r="I35" i="3"/>
  <c r="S130" i="7"/>
  <c r="S46" i="7"/>
  <c r="R100" i="1"/>
  <c r="S86" i="1"/>
  <c r="T40" i="7"/>
  <c r="Z8" i="5"/>
  <c r="M35" i="3"/>
  <c r="O35" i="3"/>
  <c r="L35" i="3"/>
  <c r="G35" i="3"/>
  <c r="K35" i="3"/>
  <c r="J35" i="3"/>
  <c r="F36" i="3"/>
  <c r="F35" i="3"/>
  <c r="F34" i="3"/>
  <c r="M29" i="2"/>
  <c r="H37" i="3" s="1"/>
  <c r="H35" i="3"/>
  <c r="M11" i="2"/>
  <c r="H33" i="3" s="1"/>
  <c r="N35" i="3"/>
  <c r="L14" i="2"/>
  <c r="G34" i="3" s="1"/>
  <c r="N190" i="2"/>
  <c r="M196" i="2"/>
  <c r="M51" i="2" s="1"/>
  <c r="H80" i="7"/>
  <c r="G80" i="7"/>
  <c r="I80" i="7"/>
  <c r="J83" i="7"/>
  <c r="N143" i="2"/>
  <c r="M153" i="2"/>
  <c r="M133" i="2"/>
  <c r="L134" i="2"/>
  <c r="L28" i="2" s="1"/>
  <c r="I83" i="7"/>
  <c r="I61" i="2"/>
  <c r="M162" i="2"/>
  <c r="Q154" i="2"/>
  <c r="K189" i="5"/>
  <c r="K192" i="5" s="1"/>
  <c r="M180" i="5"/>
  <c r="M183" i="5" s="1"/>
  <c r="L161" i="5"/>
  <c r="L164" i="5" s="1"/>
  <c r="M143" i="5"/>
  <c r="M146" i="5" s="1"/>
  <c r="H211" i="5"/>
  <c r="H213" i="5" s="1"/>
  <c r="G216" i="5"/>
  <c r="D29" i="10"/>
  <c r="D33" i="10" s="1"/>
  <c r="D35" i="10" s="1"/>
  <c r="D8" i="10"/>
  <c r="E29" i="10"/>
  <c r="E33" i="10" s="1"/>
  <c r="E35" i="10" s="1"/>
  <c r="E8" i="10"/>
  <c r="G29" i="10"/>
  <c r="G33" i="10" s="1"/>
  <c r="G35" i="10" s="1"/>
  <c r="G8" i="10"/>
  <c r="F29" i="10"/>
  <c r="F33" i="10" s="1"/>
  <c r="F35" i="10" s="1"/>
  <c r="F8" i="10"/>
  <c r="D1" i="10"/>
  <c r="I118" i="2"/>
  <c r="H24" i="2"/>
  <c r="G24" i="2"/>
  <c r="G23" i="2" s="1"/>
  <c r="G30" i="2" s="1"/>
  <c r="G71" i="1"/>
  <c r="G73" i="1" s="1"/>
  <c r="H48" i="2"/>
  <c r="H47" i="2" s="1"/>
  <c r="G48" i="2"/>
  <c r="G47" i="2" s="1"/>
  <c r="G46" i="2"/>
  <c r="H46" i="2"/>
  <c r="H87" i="2"/>
  <c r="H90" i="2" s="1"/>
  <c r="I87" i="2" s="1"/>
  <c r="I90" i="2" s="1"/>
  <c r="J87" i="2" s="1"/>
  <c r="G95" i="2"/>
  <c r="H93" i="2" s="1"/>
  <c r="I84" i="2"/>
  <c r="H71" i="1"/>
  <c r="G139" i="5"/>
  <c r="H139" i="5" s="1"/>
  <c r="I139" i="5" s="1"/>
  <c r="G201" i="5"/>
  <c r="I149" i="5"/>
  <c r="I195" i="5"/>
  <c r="G158" i="5"/>
  <c r="Y24" i="5" s="1"/>
  <c r="H152" i="5"/>
  <c r="H155" i="5" s="1"/>
  <c r="I215" i="5"/>
  <c r="J215" i="5" s="1"/>
  <c r="K215" i="5" s="1"/>
  <c r="L215" i="5" s="1"/>
  <c r="M215" i="5" s="1"/>
  <c r="N215" i="5" s="1"/>
  <c r="O215" i="5" s="1"/>
  <c r="P215" i="5" s="1"/>
  <c r="Q215" i="5" s="1"/>
  <c r="R215" i="5" s="1"/>
  <c r="S215" i="5" s="1"/>
  <c r="T215" i="5" s="1"/>
  <c r="H195" i="5"/>
  <c r="Z28" i="5" s="1"/>
  <c r="H186" i="5"/>
  <c r="Z27" i="5" s="1"/>
  <c r="I185" i="5"/>
  <c r="I186" i="5" s="1"/>
  <c r="G174" i="5"/>
  <c r="H171" i="5" s="1"/>
  <c r="H174" i="5" s="1"/>
  <c r="H167" i="5"/>
  <c r="G168" i="5"/>
  <c r="Y25" i="5" s="1"/>
  <c r="I134" i="5"/>
  <c r="I137" i="5" s="1"/>
  <c r="J134" i="5" s="1"/>
  <c r="J137" i="5" s="1"/>
  <c r="K134" i="5" s="1"/>
  <c r="K137" i="5" s="1"/>
  <c r="H149" i="5"/>
  <c r="Z23" i="5" s="1"/>
  <c r="G186" i="5"/>
  <c r="Y27" i="5" s="1"/>
  <c r="G195" i="5"/>
  <c r="Y28" i="5" s="1"/>
  <c r="G149" i="5"/>
  <c r="Y23" i="5" s="1"/>
  <c r="G130" i="5"/>
  <c r="H130" i="5" s="1"/>
  <c r="F131" i="5"/>
  <c r="X21" i="5" s="1"/>
  <c r="G125" i="5"/>
  <c r="G128" i="5" s="1"/>
  <c r="H125" i="5" s="1"/>
  <c r="H128" i="5" s="1"/>
  <c r="I125" i="5" s="1"/>
  <c r="I128" i="5" s="1"/>
  <c r="J125" i="5" s="1"/>
  <c r="J128" i="5" s="1"/>
  <c r="K125" i="5" s="1"/>
  <c r="K128" i="5" s="1"/>
  <c r="G121" i="5"/>
  <c r="H121" i="5" s="1"/>
  <c r="F122" i="5"/>
  <c r="X20" i="5" s="1"/>
  <c r="G115" i="5"/>
  <c r="G118" i="5" s="1"/>
  <c r="H115" i="5" s="1"/>
  <c r="H118" i="5" s="1"/>
  <c r="I115" i="5" s="1"/>
  <c r="I118" i="5" s="1"/>
  <c r="J115" i="5" s="1"/>
  <c r="J118" i="5" s="1"/>
  <c r="K115" i="5" s="1"/>
  <c r="K118" i="5" s="1"/>
  <c r="F112" i="5"/>
  <c r="X19" i="5" s="1"/>
  <c r="H111" i="5"/>
  <c r="G106" i="5"/>
  <c r="G109" i="5" s="1"/>
  <c r="H106" i="5" s="1"/>
  <c r="H109" i="5" s="1"/>
  <c r="I106" i="5" s="1"/>
  <c r="I109" i="5" s="1"/>
  <c r="J106" i="5" s="1"/>
  <c r="J109" i="5" s="1"/>
  <c r="F103" i="5"/>
  <c r="X18" i="5" s="1"/>
  <c r="G92" i="5"/>
  <c r="H92" i="5" s="1"/>
  <c r="F93" i="5"/>
  <c r="X17" i="5" s="1"/>
  <c r="G82" i="5"/>
  <c r="H82" i="5" s="1"/>
  <c r="F83" i="5"/>
  <c r="X16" i="5" s="1"/>
  <c r="G72" i="5"/>
  <c r="H72" i="5" s="1"/>
  <c r="I72" i="5" s="1"/>
  <c r="G63" i="5"/>
  <c r="H63" i="5" s="1"/>
  <c r="G54" i="5"/>
  <c r="H54" i="5" s="1"/>
  <c r="I54" i="5" s="1"/>
  <c r="G99" i="5"/>
  <c r="G86" i="5"/>
  <c r="G89" i="5" s="1"/>
  <c r="H86" i="5" s="1"/>
  <c r="H89" i="5" s="1"/>
  <c r="I86" i="5" s="1"/>
  <c r="I89" i="5" s="1"/>
  <c r="J86" i="5" s="1"/>
  <c r="J89" i="5" s="1"/>
  <c r="G76" i="5"/>
  <c r="G79" i="5" s="1"/>
  <c r="H76" i="5" s="1"/>
  <c r="G67" i="5"/>
  <c r="G70" i="5" s="1"/>
  <c r="H67" i="5" s="1"/>
  <c r="H70" i="5" s="1"/>
  <c r="G58" i="5"/>
  <c r="G61" i="5" s="1"/>
  <c r="H58" i="5" s="1"/>
  <c r="H61" i="5" s="1"/>
  <c r="I58" i="5" s="1"/>
  <c r="I61" i="5" s="1"/>
  <c r="J58" i="5" s="1"/>
  <c r="J61" i="5" s="1"/>
  <c r="G48" i="5"/>
  <c r="G51" i="5" s="1"/>
  <c r="H48" i="5" s="1"/>
  <c r="H51" i="5" s="1"/>
  <c r="G41" i="5"/>
  <c r="G45" i="5" s="1"/>
  <c r="Y12" i="5" s="1"/>
  <c r="G28" i="5"/>
  <c r="G31" i="5" s="1"/>
  <c r="H28" i="5" s="1"/>
  <c r="H31" i="5" s="1"/>
  <c r="I28" i="5" s="1"/>
  <c r="I31" i="5" s="1"/>
  <c r="J28" i="5" s="1"/>
  <c r="J31" i="5" s="1"/>
  <c r="G19" i="5"/>
  <c r="G22" i="5" s="1"/>
  <c r="G9" i="5"/>
  <c r="G12" i="5" s="1"/>
  <c r="H9" i="5" s="1"/>
  <c r="H12" i="5" s="1"/>
  <c r="Y8" i="5"/>
  <c r="X8" i="5"/>
  <c r="H41" i="2"/>
  <c r="I41" i="2"/>
  <c r="G43" i="2"/>
  <c r="K50" i="2"/>
  <c r="L50" i="2"/>
  <c r="M50" i="2"/>
  <c r="N50" i="2"/>
  <c r="O50" i="2"/>
  <c r="P50" i="2"/>
  <c r="Q50" i="2"/>
  <c r="R50" i="2"/>
  <c r="S50" i="2"/>
  <c r="T50" i="2"/>
  <c r="J51" i="2"/>
  <c r="K51" i="2"/>
  <c r="L51" i="2"/>
  <c r="G203" i="2"/>
  <c r="G204" i="2" s="1"/>
  <c r="G52" i="2" s="1"/>
  <c r="H204" i="2"/>
  <c r="H52" i="2" s="1"/>
  <c r="J203" i="2"/>
  <c r="I204" i="2"/>
  <c r="F50" i="2"/>
  <c r="F14" i="2"/>
  <c r="F134" i="2"/>
  <c r="F28" i="2" s="1"/>
  <c r="F130" i="2"/>
  <c r="F27" i="2" s="1"/>
  <c r="F123" i="2"/>
  <c r="F116" i="2"/>
  <c r="F21" i="2" s="1"/>
  <c r="F20" i="2" s="1"/>
  <c r="F15" i="2"/>
  <c r="C17" i="10" s="1"/>
  <c r="F203" i="2"/>
  <c r="F204" i="2" s="1"/>
  <c r="F52" i="2" s="1"/>
  <c r="F196" i="2"/>
  <c r="F51" i="2" s="1"/>
  <c r="F172" i="2"/>
  <c r="F41" i="2"/>
  <c r="E24" i="4"/>
  <c r="E25" i="4" s="1"/>
  <c r="E27" i="4"/>
  <c r="E26" i="4"/>
  <c r="D27" i="4"/>
  <c r="D28" i="4" s="1"/>
  <c r="E20" i="4"/>
  <c r="E19" i="4"/>
  <c r="E17" i="4"/>
  <c r="E8" i="4"/>
  <c r="D103" i="4"/>
  <c r="E79" i="4"/>
  <c r="E71" i="4"/>
  <c r="E63" i="4"/>
  <c r="E55" i="4"/>
  <c r="E47" i="4"/>
  <c r="E39" i="4"/>
  <c r="E31" i="4"/>
  <c r="E23" i="4"/>
  <c r="E14" i="4"/>
  <c r="E5" i="4"/>
  <c r="D81" i="4"/>
  <c r="D41" i="4"/>
  <c r="D25" i="4"/>
  <c r="D2" i="4"/>
  <c r="N25" i="4"/>
  <c r="K17" i="4"/>
  <c r="E2" i="4"/>
  <c r="F102" i="1"/>
  <c r="F17" i="1" s="1"/>
  <c r="F15" i="1"/>
  <c r="F14" i="1"/>
  <c r="F40" i="7" s="1"/>
  <c r="F51" i="7" s="1"/>
  <c r="F69" i="1"/>
  <c r="F65" i="1"/>
  <c r="F57" i="1"/>
  <c r="F59" i="1" s="1"/>
  <c r="G49" i="1"/>
  <c r="H49" i="1"/>
  <c r="I49" i="1"/>
  <c r="F49" i="1"/>
  <c r="F29" i="1"/>
  <c r="H29" i="1"/>
  <c r="I29" i="1"/>
  <c r="G29" i="1"/>
  <c r="I18" i="1"/>
  <c r="G12" i="1" l="1"/>
  <c r="G75" i="7" s="1"/>
  <c r="G36" i="7"/>
  <c r="H36" i="7"/>
  <c r="H12" i="1"/>
  <c r="H75" i="7" s="1"/>
  <c r="H81" i="7" s="1"/>
  <c r="J36" i="7"/>
  <c r="J12" i="1"/>
  <c r="T86" i="1"/>
  <c r="K24" i="1"/>
  <c r="F11" i="3" s="1"/>
  <c r="H53" i="2"/>
  <c r="J78" i="7"/>
  <c r="J30" i="2"/>
  <c r="J60" i="2"/>
  <c r="J62" i="2" s="1"/>
  <c r="H60" i="2"/>
  <c r="H23" i="2"/>
  <c r="H30" i="2" s="1"/>
  <c r="D14" i="10"/>
  <c r="G53" i="2"/>
  <c r="D15" i="10" s="1"/>
  <c r="F24" i="3"/>
  <c r="L24" i="2"/>
  <c r="M24" i="2"/>
  <c r="H51" i="1"/>
  <c r="F2" i="4"/>
  <c r="G24" i="3"/>
  <c r="T130" i="7"/>
  <c r="T46" i="7"/>
  <c r="T100" i="1" s="1"/>
  <c r="S100" i="1"/>
  <c r="I51" i="1"/>
  <c r="J51" i="1"/>
  <c r="H118" i="2"/>
  <c r="G60" i="1"/>
  <c r="G51" i="1"/>
  <c r="H24" i="3"/>
  <c r="F124" i="2"/>
  <c r="J124" i="2"/>
  <c r="I124" i="2"/>
  <c r="H124" i="2"/>
  <c r="N11" i="2"/>
  <c r="I33" i="3" s="1"/>
  <c r="G36" i="3"/>
  <c r="G124" i="2"/>
  <c r="N29" i="2"/>
  <c r="I62" i="2"/>
  <c r="I81" i="7"/>
  <c r="G83" i="7"/>
  <c r="G61" i="2"/>
  <c r="F80" i="7"/>
  <c r="G118" i="2"/>
  <c r="H83" i="7"/>
  <c r="I84" i="7" s="1"/>
  <c r="H61" i="2"/>
  <c r="H62" i="2" s="1"/>
  <c r="O143" i="2"/>
  <c r="N153" i="2"/>
  <c r="J204" i="2"/>
  <c r="J52" i="2" s="1"/>
  <c r="K203" i="2"/>
  <c r="N162" i="2"/>
  <c r="N196" i="2"/>
  <c r="N51" i="2" s="1"/>
  <c r="I24" i="3" s="1"/>
  <c r="O190" i="2"/>
  <c r="G77" i="7"/>
  <c r="H77" i="7"/>
  <c r="M14" i="2"/>
  <c r="N133" i="2"/>
  <c r="M134" i="2"/>
  <c r="M28" i="2" s="1"/>
  <c r="G60" i="2"/>
  <c r="R154" i="2"/>
  <c r="K86" i="5"/>
  <c r="K89" i="5" s="1"/>
  <c r="N143" i="5"/>
  <c r="N146" i="5" s="1"/>
  <c r="K28" i="5"/>
  <c r="K31" i="5" s="1"/>
  <c r="K106" i="5"/>
  <c r="K109" i="5" s="1"/>
  <c r="L106" i="5" s="1"/>
  <c r="L109" i="5" s="1"/>
  <c r="M106" i="5" s="1"/>
  <c r="M109" i="5" s="1"/>
  <c r="N106" i="5" s="1"/>
  <c r="N109" i="5" s="1"/>
  <c r="O106" i="5" s="1"/>
  <c r="O109" i="5" s="1"/>
  <c r="AA23" i="5"/>
  <c r="J147" i="5"/>
  <c r="J148" i="5" s="1"/>
  <c r="M161" i="5"/>
  <c r="M164" i="5" s="1"/>
  <c r="L189" i="5"/>
  <c r="L192" i="5" s="1"/>
  <c r="AA27" i="5"/>
  <c r="J184" i="5"/>
  <c r="J185" i="5" s="1"/>
  <c r="L125" i="5"/>
  <c r="L128" i="5" s="1"/>
  <c r="AA28" i="5"/>
  <c r="J193" i="5"/>
  <c r="J194" i="5" s="1"/>
  <c r="K58" i="5"/>
  <c r="K61" i="5" s="1"/>
  <c r="L115" i="5"/>
  <c r="L118" i="5" s="1"/>
  <c r="N180" i="5"/>
  <c r="N183" i="5" s="1"/>
  <c r="L134" i="5"/>
  <c r="L137" i="5" s="1"/>
  <c r="G140" i="5"/>
  <c r="Y22" i="5" s="1"/>
  <c r="I140" i="5"/>
  <c r="X29" i="5"/>
  <c r="H140" i="5"/>
  <c r="Z22" i="5" s="1"/>
  <c r="G103" i="5"/>
  <c r="Y18" i="5" s="1"/>
  <c r="H96" i="5"/>
  <c r="H99" i="5" s="1"/>
  <c r="Y33" i="5"/>
  <c r="G10" i="2"/>
  <c r="I211" i="5"/>
  <c r="I213" i="5" s="1"/>
  <c r="H216" i="5"/>
  <c r="C8" i="10"/>
  <c r="C29" i="10"/>
  <c r="C33" i="10" s="1"/>
  <c r="C35" i="10" s="1"/>
  <c r="I43" i="2"/>
  <c r="F14" i="10"/>
  <c r="H43" i="2"/>
  <c r="E14" i="10"/>
  <c r="F24" i="2"/>
  <c r="F43" i="2"/>
  <c r="E1" i="10"/>
  <c r="G18" i="1"/>
  <c r="F48" i="2"/>
  <c r="F47" i="2" s="1"/>
  <c r="F46" i="2"/>
  <c r="J90" i="2"/>
  <c r="K87" i="2" s="1"/>
  <c r="K90" i="2" s="1"/>
  <c r="L87" i="2" s="1"/>
  <c r="L90" i="2" s="1"/>
  <c r="M87" i="2" s="1"/>
  <c r="M90" i="2" s="1"/>
  <c r="N87" i="2" s="1"/>
  <c r="N90" i="2" s="1"/>
  <c r="O87" i="2" s="1"/>
  <c r="O90" i="2" s="1"/>
  <c r="P87" i="2" s="1"/>
  <c r="P90" i="2" s="1"/>
  <c r="Q87" i="2" s="1"/>
  <c r="Q90" i="2" s="1"/>
  <c r="R87" i="2" s="1"/>
  <c r="R90" i="2" s="1"/>
  <c r="S87" i="2" s="1"/>
  <c r="S90" i="2" s="1"/>
  <c r="T87" i="2" s="1"/>
  <c r="T90" i="2" s="1"/>
  <c r="H95" i="2"/>
  <c r="J81" i="2"/>
  <c r="J84" i="2" s="1"/>
  <c r="K81" i="2" s="1"/>
  <c r="K84" i="2" s="1"/>
  <c r="L81" i="2" s="1"/>
  <c r="L84" i="2" s="1"/>
  <c r="M81" i="2" s="1"/>
  <c r="M84" i="2" s="1"/>
  <c r="N81" i="2" s="1"/>
  <c r="N84" i="2" s="1"/>
  <c r="O81" i="2" s="1"/>
  <c r="O84" i="2" s="1"/>
  <c r="P81" i="2" s="1"/>
  <c r="P84" i="2" s="1"/>
  <c r="Q81" i="2" s="1"/>
  <c r="Q84" i="2" s="1"/>
  <c r="R81" i="2" s="1"/>
  <c r="R84" i="2" s="1"/>
  <c r="S81" i="2" s="1"/>
  <c r="S84" i="2" s="1"/>
  <c r="T81" i="2" s="1"/>
  <c r="T84" i="2" s="1"/>
  <c r="F7" i="1"/>
  <c r="F27" i="7" s="1"/>
  <c r="F25" i="7" s="1"/>
  <c r="F50" i="1"/>
  <c r="I50" i="1"/>
  <c r="I60" i="1"/>
  <c r="H7" i="1"/>
  <c r="H50" i="1"/>
  <c r="H60" i="1"/>
  <c r="G7" i="1"/>
  <c r="G50" i="1"/>
  <c r="F60" i="1"/>
  <c r="I7" i="1"/>
  <c r="I52" i="2"/>
  <c r="I53" i="2" s="1"/>
  <c r="H158" i="5"/>
  <c r="Z24" i="5" s="1"/>
  <c r="I152" i="5"/>
  <c r="I155" i="5" s="1"/>
  <c r="I102" i="5"/>
  <c r="H55" i="5"/>
  <c r="Z13" i="5" s="1"/>
  <c r="I48" i="5"/>
  <c r="I51" i="5" s="1"/>
  <c r="H93" i="5"/>
  <c r="Z17" i="5" s="1"/>
  <c r="I92" i="5"/>
  <c r="I67" i="5"/>
  <c r="I70" i="5" s="1"/>
  <c r="H73" i="5"/>
  <c r="Z15" i="5" s="1"/>
  <c r="H16" i="5"/>
  <c r="Z9" i="5" s="1"/>
  <c r="I9" i="5"/>
  <c r="I12" i="5" s="1"/>
  <c r="I82" i="5"/>
  <c r="H79" i="5"/>
  <c r="G25" i="5"/>
  <c r="Y10" i="5" s="1"/>
  <c r="H19" i="5"/>
  <c r="H22" i="5" s="1"/>
  <c r="G177" i="5"/>
  <c r="Y26" i="5" s="1"/>
  <c r="I171" i="5"/>
  <c r="I174" i="5" s="1"/>
  <c r="H177" i="5"/>
  <c r="Z26" i="5" s="1"/>
  <c r="I167" i="5"/>
  <c r="I168" i="5" s="1"/>
  <c r="H168" i="5"/>
  <c r="Z25" i="5" s="1"/>
  <c r="G83" i="5"/>
  <c r="Y16" i="5" s="1"/>
  <c r="I63" i="5"/>
  <c r="H64" i="5"/>
  <c r="Z14" i="5" s="1"/>
  <c r="G93" i="5"/>
  <c r="Y17" i="5" s="1"/>
  <c r="I111" i="5"/>
  <c r="H112" i="5"/>
  <c r="Z19" i="5" s="1"/>
  <c r="I121" i="5"/>
  <c r="I122" i="5" s="1"/>
  <c r="H122" i="5"/>
  <c r="Z20" i="5" s="1"/>
  <c r="G55" i="5"/>
  <c r="Y13" i="5" s="1"/>
  <c r="I130" i="5"/>
  <c r="H131" i="5"/>
  <c r="Z21" i="5" s="1"/>
  <c r="H38" i="5"/>
  <c r="H41" i="5" s="1"/>
  <c r="F71" i="1"/>
  <c r="F73" i="1" s="1"/>
  <c r="G73" i="5"/>
  <c r="Y15" i="5" s="1"/>
  <c r="G112" i="5"/>
  <c r="Y19" i="5" s="1"/>
  <c r="G122" i="5"/>
  <c r="Y20" i="5" s="1"/>
  <c r="G64" i="5"/>
  <c r="Y14" i="5" s="1"/>
  <c r="G16" i="5"/>
  <c r="Y9" i="5" s="1"/>
  <c r="G131" i="5"/>
  <c r="Y21" i="5" s="1"/>
  <c r="G200" i="5"/>
  <c r="F204" i="5"/>
  <c r="G34" i="5"/>
  <c r="G35" i="5" s="1"/>
  <c r="Y11" i="5" s="1"/>
  <c r="E28" i="4"/>
  <c r="H18" i="1" l="1"/>
  <c r="F12" i="1"/>
  <c r="F75" i="7" s="1"/>
  <c r="F36" i="7"/>
  <c r="J75" i="7"/>
  <c r="J35" i="7"/>
  <c r="J18" i="1"/>
  <c r="J20" i="1" s="1"/>
  <c r="J27" i="1" s="1"/>
  <c r="J118" i="2"/>
  <c r="F77" i="7"/>
  <c r="F23" i="2"/>
  <c r="F30" i="2" s="1"/>
  <c r="C14" i="10"/>
  <c r="F53" i="2"/>
  <c r="C15" i="10" s="1"/>
  <c r="J53" i="2"/>
  <c r="G15" i="10" s="1"/>
  <c r="J63" i="2"/>
  <c r="G81" i="7"/>
  <c r="G74" i="7"/>
  <c r="G27" i="7"/>
  <c r="G25" i="7" s="1"/>
  <c r="H74" i="7"/>
  <c r="H78" i="7" s="1"/>
  <c r="H27" i="7"/>
  <c r="H25" i="7" s="1"/>
  <c r="I74" i="7"/>
  <c r="I78" i="7" s="1"/>
  <c r="I86" i="7" s="1"/>
  <c r="I27" i="7"/>
  <c r="I25" i="7" s="1"/>
  <c r="AA8" i="5"/>
  <c r="G2" i="4"/>
  <c r="F35" i="7"/>
  <c r="F74" i="7"/>
  <c r="F29" i="7"/>
  <c r="F37" i="7"/>
  <c r="O11" i="2"/>
  <c r="J33" i="3" s="1"/>
  <c r="O29" i="2"/>
  <c r="I37" i="3"/>
  <c r="H34" i="3"/>
  <c r="H36" i="3"/>
  <c r="L81" i="7"/>
  <c r="E15" i="10"/>
  <c r="I63" i="2"/>
  <c r="O162" i="2"/>
  <c r="G62" i="2"/>
  <c r="H63" i="2" s="1"/>
  <c r="F60" i="2"/>
  <c r="L203" i="2"/>
  <c r="K204" i="2"/>
  <c r="K52" i="2" s="1"/>
  <c r="F25" i="3" s="1"/>
  <c r="O133" i="2"/>
  <c r="N134" i="2"/>
  <c r="N28" i="2" s="1"/>
  <c r="F15" i="10"/>
  <c r="F83" i="7"/>
  <c r="G84" i="7" s="1"/>
  <c r="F61" i="2"/>
  <c r="N14" i="2"/>
  <c r="I34" i="3" s="1"/>
  <c r="P190" i="2"/>
  <c r="O196" i="2"/>
  <c r="O51" i="2" s="1"/>
  <c r="J24" i="3" s="1"/>
  <c r="P143" i="2"/>
  <c r="O153" i="2"/>
  <c r="H84" i="7"/>
  <c r="S154" i="2"/>
  <c r="I131" i="5"/>
  <c r="I64" i="5"/>
  <c r="M115" i="5"/>
  <c r="M118" i="5" s="1"/>
  <c r="J186" i="5"/>
  <c r="K184" i="5" s="1"/>
  <c r="K185" i="5" s="1"/>
  <c r="K186" i="5" s="1"/>
  <c r="L184" i="5" s="1"/>
  <c r="L185" i="5" s="1"/>
  <c r="L186" i="5" s="1"/>
  <c r="M184" i="5" s="1"/>
  <c r="M185" i="5" s="1"/>
  <c r="M186" i="5" s="1"/>
  <c r="N184" i="5" s="1"/>
  <c r="N185" i="5" s="1"/>
  <c r="AA20" i="5"/>
  <c r="AB20" i="5" s="1"/>
  <c r="J120" i="5"/>
  <c r="J121" i="5" s="1"/>
  <c r="J122" i="5" s="1"/>
  <c r="K120" i="5" s="1"/>
  <c r="K121" i="5" s="1"/>
  <c r="K122" i="5" s="1"/>
  <c r="L120" i="5" s="1"/>
  <c r="L121" i="5" s="1"/>
  <c r="L122" i="5" s="1"/>
  <c r="M120" i="5" s="1"/>
  <c r="M121" i="5" s="1"/>
  <c r="AA25" i="5"/>
  <c r="J166" i="5"/>
  <c r="J167" i="5" s="1"/>
  <c r="J168" i="5" s="1"/>
  <c r="K166" i="5" s="1"/>
  <c r="K167" i="5" s="1"/>
  <c r="I16" i="5"/>
  <c r="AA9" i="5" s="1"/>
  <c r="AB9" i="5" s="1"/>
  <c r="J9" i="5"/>
  <c r="J12" i="5" s="1"/>
  <c r="P106" i="5"/>
  <c r="P109" i="5" s="1"/>
  <c r="L58" i="5"/>
  <c r="L61" i="5" s="1"/>
  <c r="M58" i="5" s="1"/>
  <c r="M61" i="5" s="1"/>
  <c r="L86" i="5"/>
  <c r="L89" i="5" s="1"/>
  <c r="AA22" i="5"/>
  <c r="J138" i="5"/>
  <c r="J139" i="5" s="1"/>
  <c r="M134" i="5"/>
  <c r="M137" i="5" s="1"/>
  <c r="M189" i="5"/>
  <c r="M192" i="5" s="1"/>
  <c r="L28" i="5"/>
  <c r="L31" i="5" s="1"/>
  <c r="J149" i="5"/>
  <c r="K147" i="5" s="1"/>
  <c r="K148" i="5" s="1"/>
  <c r="K149" i="5" s="1"/>
  <c r="L147" i="5" s="1"/>
  <c r="L148" i="5" s="1"/>
  <c r="L149" i="5" s="1"/>
  <c r="M147" i="5" s="1"/>
  <c r="M148" i="5" s="1"/>
  <c r="M149" i="5" s="1"/>
  <c r="N147" i="5" s="1"/>
  <c r="N148" i="5" s="1"/>
  <c r="N149" i="5" s="1"/>
  <c r="O147" i="5" s="1"/>
  <c r="O148" i="5" s="1"/>
  <c r="I55" i="5"/>
  <c r="J48" i="5"/>
  <c r="J51" i="5" s="1"/>
  <c r="K48" i="5" s="1"/>
  <c r="K51" i="5" s="1"/>
  <c r="I158" i="5"/>
  <c r="J152" i="5"/>
  <c r="J155" i="5" s="1"/>
  <c r="K152" i="5" s="1"/>
  <c r="K155" i="5" s="1"/>
  <c r="I112" i="5"/>
  <c r="I177" i="5"/>
  <c r="J171" i="5"/>
  <c r="J174" i="5" s="1"/>
  <c r="K171" i="5" s="1"/>
  <c r="K174" i="5" s="1"/>
  <c r="I73" i="5"/>
  <c r="J67" i="5"/>
  <c r="J70" i="5" s="1"/>
  <c r="J195" i="5"/>
  <c r="K193" i="5" s="1"/>
  <c r="K194" i="5" s="1"/>
  <c r="K195" i="5" s="1"/>
  <c r="L193" i="5" s="1"/>
  <c r="L194" i="5" s="1"/>
  <c r="L195" i="5" s="1"/>
  <c r="M193" i="5" s="1"/>
  <c r="M194" i="5" s="1"/>
  <c r="O143" i="5"/>
  <c r="O146" i="5" s="1"/>
  <c r="M125" i="5"/>
  <c r="M128" i="5" s="1"/>
  <c r="I93" i="5"/>
  <c r="O180" i="5"/>
  <c r="O183" i="5" s="1"/>
  <c r="N161" i="5"/>
  <c r="N164" i="5" s="1"/>
  <c r="Q106" i="5"/>
  <c r="Q109" i="5" s="1"/>
  <c r="F9" i="2"/>
  <c r="C16" i="10" s="1"/>
  <c r="J211" i="5"/>
  <c r="J213" i="5" s="1"/>
  <c r="I216" i="5"/>
  <c r="Y29" i="5"/>
  <c r="Z33" i="5"/>
  <c r="H10" i="2"/>
  <c r="G29" i="7"/>
  <c r="G37" i="7"/>
  <c r="G35" i="7"/>
  <c r="I29" i="7"/>
  <c r="I37" i="7"/>
  <c r="I35" i="7"/>
  <c r="H29" i="7"/>
  <c r="H37" i="7"/>
  <c r="H35" i="7"/>
  <c r="F2" i="10"/>
  <c r="F4" i="10" s="1"/>
  <c r="H9" i="1"/>
  <c r="H20" i="1" s="1"/>
  <c r="H27" i="1" s="1"/>
  <c r="E2" i="10"/>
  <c r="E4" i="10" s="1"/>
  <c r="F9" i="1"/>
  <c r="C2" i="10"/>
  <c r="C4" i="10" s="1"/>
  <c r="G9" i="1"/>
  <c r="G20" i="1" s="1"/>
  <c r="G27" i="1" s="1"/>
  <c r="D2" i="10"/>
  <c r="D4" i="10" s="1"/>
  <c r="F1" i="10"/>
  <c r="F18" i="1"/>
  <c r="I93" i="2"/>
  <c r="I95" i="2" s="1"/>
  <c r="I9" i="1"/>
  <c r="I20" i="1" s="1"/>
  <c r="I27" i="1" s="1"/>
  <c r="I38" i="5"/>
  <c r="I41" i="5" s="1"/>
  <c r="J38" i="5" s="1"/>
  <c r="J41" i="5" s="1"/>
  <c r="H45" i="5"/>
  <c r="Z12" i="5" s="1"/>
  <c r="H83" i="5"/>
  <c r="Z16" i="5" s="1"/>
  <c r="I76" i="5"/>
  <c r="I79" i="5" s="1"/>
  <c r="H103" i="5"/>
  <c r="Z18" i="5" s="1"/>
  <c r="I96" i="5"/>
  <c r="I99" i="5" s="1"/>
  <c r="H200" i="5"/>
  <c r="H25" i="5"/>
  <c r="Z10" i="5" s="1"/>
  <c r="I19" i="5"/>
  <c r="I22" i="5" s="1"/>
  <c r="G203" i="5"/>
  <c r="H34" i="5"/>
  <c r="I44" i="5"/>
  <c r="G204" i="5"/>
  <c r="G9" i="2" s="1"/>
  <c r="J81" i="7" l="1"/>
  <c r="J84" i="7"/>
  <c r="J33" i="1"/>
  <c r="G9" i="10"/>
  <c r="L25" i="7"/>
  <c r="L27" i="7" s="1"/>
  <c r="L49" i="1" s="1"/>
  <c r="L74" i="7" s="1"/>
  <c r="G78" i="7"/>
  <c r="G86" i="7" s="1"/>
  <c r="F20" i="1"/>
  <c r="F27" i="1" s="1"/>
  <c r="H86" i="7"/>
  <c r="F48" i="7"/>
  <c r="F42" i="7"/>
  <c r="P29" i="2"/>
  <c r="J37" i="3"/>
  <c r="I36" i="3"/>
  <c r="P11" i="2"/>
  <c r="K33" i="3" s="1"/>
  <c r="L84" i="7"/>
  <c r="N84" i="7" s="1"/>
  <c r="O84" i="7" s="1"/>
  <c r="P84" i="7" s="1"/>
  <c r="Q84" i="7" s="1"/>
  <c r="R84" i="7" s="1"/>
  <c r="K29" i="7"/>
  <c r="K59" i="1"/>
  <c r="K37" i="7"/>
  <c r="K71" i="1" s="1"/>
  <c r="L116" i="2"/>
  <c r="J216" i="5"/>
  <c r="AB33" i="5" s="1"/>
  <c r="K211" i="5"/>
  <c r="K213" i="5" s="1"/>
  <c r="O14" i="2"/>
  <c r="J34" i="3" s="1"/>
  <c r="M203" i="2"/>
  <c r="L204" i="2"/>
  <c r="L52" i="2" s="1"/>
  <c r="G25" i="3" s="1"/>
  <c r="F62" i="2"/>
  <c r="G63" i="2" s="1"/>
  <c r="Q143" i="2"/>
  <c r="P153" i="2"/>
  <c r="P162" i="2"/>
  <c r="P196" i="2"/>
  <c r="P51" i="2" s="1"/>
  <c r="K24" i="3" s="1"/>
  <c r="Q190" i="2"/>
  <c r="P133" i="2"/>
  <c r="O134" i="2"/>
  <c r="O28" i="2" s="1"/>
  <c r="J36" i="3" s="1"/>
  <c r="T154" i="2"/>
  <c r="N186" i="5"/>
  <c r="O184" i="5" s="1"/>
  <c r="O185" i="5" s="1"/>
  <c r="O186" i="5" s="1"/>
  <c r="P184" i="5" s="1"/>
  <c r="P185" i="5" s="1"/>
  <c r="AA26" i="5"/>
  <c r="J175" i="5"/>
  <c r="J176" i="5" s="1"/>
  <c r="I103" i="5"/>
  <c r="J96" i="5"/>
  <c r="J99" i="5" s="1"/>
  <c r="K96" i="5" s="1"/>
  <c r="K99" i="5" s="1"/>
  <c r="AA17" i="5"/>
  <c r="AB17" i="5" s="1"/>
  <c r="J91" i="5"/>
  <c r="J92" i="5" s="1"/>
  <c r="J93" i="5" s="1"/>
  <c r="K91" i="5" s="1"/>
  <c r="K92" i="5" s="1"/>
  <c r="AA15" i="5"/>
  <c r="J71" i="5"/>
  <c r="J72" i="5" s="1"/>
  <c r="J73" i="5" s="1"/>
  <c r="K71" i="5" s="1"/>
  <c r="AA13" i="5"/>
  <c r="J53" i="5"/>
  <c r="J54" i="5" s="1"/>
  <c r="J55" i="5" s="1"/>
  <c r="K53" i="5" s="1"/>
  <c r="K54" i="5" s="1"/>
  <c r="K55" i="5" s="1"/>
  <c r="L53" i="5" s="1"/>
  <c r="L54" i="5" s="1"/>
  <c r="N134" i="5"/>
  <c r="N137" i="5" s="1"/>
  <c r="O134" i="5" s="1"/>
  <c r="O137" i="5" s="1"/>
  <c r="P134" i="5" s="1"/>
  <c r="P137" i="5" s="1"/>
  <c r="K168" i="5"/>
  <c r="L166" i="5" s="1"/>
  <c r="L167" i="5" s="1"/>
  <c r="L171" i="5"/>
  <c r="L174" i="5" s="1"/>
  <c r="J140" i="5"/>
  <c r="K138" i="5" s="1"/>
  <c r="K139" i="5" s="1"/>
  <c r="K9" i="5"/>
  <c r="K12" i="5" s="1"/>
  <c r="J16" i="5"/>
  <c r="I83" i="5"/>
  <c r="J76" i="5"/>
  <c r="J79" i="5" s="1"/>
  <c r="O161" i="5"/>
  <c r="O164" i="5" s="1"/>
  <c r="AA19" i="5"/>
  <c r="J110" i="5"/>
  <c r="J111" i="5" s="1"/>
  <c r="M28" i="5"/>
  <c r="M31" i="5" s="1"/>
  <c r="M86" i="5"/>
  <c r="M89" i="5" s="1"/>
  <c r="AA14" i="5"/>
  <c r="J62" i="5"/>
  <c r="J63" i="5" s="1"/>
  <c r="J64" i="5" s="1"/>
  <c r="K62" i="5" s="1"/>
  <c r="K63" i="5" s="1"/>
  <c r="N115" i="5"/>
  <c r="N118" i="5" s="1"/>
  <c r="M122" i="5"/>
  <c r="N120" i="5" s="1"/>
  <c r="N121" i="5" s="1"/>
  <c r="L152" i="5"/>
  <c r="L155" i="5" s="1"/>
  <c r="N125" i="5"/>
  <c r="N128" i="5" s="1"/>
  <c r="I25" i="5"/>
  <c r="AA10" i="5" s="1"/>
  <c r="J19" i="5"/>
  <c r="J22" i="5" s="1"/>
  <c r="P180" i="5"/>
  <c r="P183" i="5" s="1"/>
  <c r="AA24" i="5"/>
  <c r="J156" i="5"/>
  <c r="J157" i="5" s="1"/>
  <c r="J158" i="5" s="1"/>
  <c r="K156" i="5" s="1"/>
  <c r="K157" i="5" s="1"/>
  <c r="K158" i="5" s="1"/>
  <c r="L156" i="5" s="1"/>
  <c r="L157" i="5" s="1"/>
  <c r="N189" i="5"/>
  <c r="N192" i="5" s="1"/>
  <c r="M195" i="5"/>
  <c r="N193" i="5" s="1"/>
  <c r="N194" i="5" s="1"/>
  <c r="AA21" i="5"/>
  <c r="J129" i="5"/>
  <c r="J130" i="5" s="1"/>
  <c r="J131" i="5" s="1"/>
  <c r="K129" i="5" s="1"/>
  <c r="K130" i="5" s="1"/>
  <c r="K131" i="5" s="1"/>
  <c r="L129" i="5" s="1"/>
  <c r="L130" i="5" s="1"/>
  <c r="L131" i="5" s="1"/>
  <c r="M129" i="5" s="1"/>
  <c r="M130" i="5" s="1"/>
  <c r="M131" i="5" s="1"/>
  <c r="N129" i="5" s="1"/>
  <c r="N130" i="5" s="1"/>
  <c r="P143" i="5"/>
  <c r="P146" i="5" s="1"/>
  <c r="O149" i="5"/>
  <c r="P147" i="5" s="1"/>
  <c r="P148" i="5" s="1"/>
  <c r="K38" i="5"/>
  <c r="K41" i="5" s="1"/>
  <c r="K67" i="5"/>
  <c r="K70" i="5" s="1"/>
  <c r="L48" i="5"/>
  <c r="L51" i="5" s="1"/>
  <c r="N58" i="5"/>
  <c r="N61" i="5" s="1"/>
  <c r="R106" i="5"/>
  <c r="R109" i="5" s="1"/>
  <c r="J10" i="2"/>
  <c r="D16" i="10"/>
  <c r="D20" i="10"/>
  <c r="F17" i="2"/>
  <c r="F32" i="2" s="1"/>
  <c r="AA33" i="5"/>
  <c r="I10" i="2"/>
  <c r="C20" i="10"/>
  <c r="G42" i="7"/>
  <c r="G48" i="7"/>
  <c r="I48" i="7"/>
  <c r="H42" i="7"/>
  <c r="H48" i="7"/>
  <c r="I42" i="7"/>
  <c r="H33" i="1"/>
  <c r="G33" i="1"/>
  <c r="G1" i="10"/>
  <c r="J93" i="2"/>
  <c r="J95" i="2" s="1"/>
  <c r="K93" i="2" s="1"/>
  <c r="K95" i="2" s="1"/>
  <c r="L93" i="2" s="1"/>
  <c r="L95" i="2" s="1"/>
  <c r="M93" i="2" s="1"/>
  <c r="M95" i="2" s="1"/>
  <c r="N93" i="2" s="1"/>
  <c r="N95" i="2" s="1"/>
  <c r="O93" i="2" s="1"/>
  <c r="O95" i="2" s="1"/>
  <c r="P93" i="2" s="1"/>
  <c r="P95" i="2" s="1"/>
  <c r="Q93" i="2" s="1"/>
  <c r="Q95" i="2" s="1"/>
  <c r="R93" i="2" s="1"/>
  <c r="R95" i="2" s="1"/>
  <c r="S93" i="2" s="1"/>
  <c r="S95" i="2" s="1"/>
  <c r="T93" i="2" s="1"/>
  <c r="T95" i="2" s="1"/>
  <c r="G17" i="2"/>
  <c r="G32" i="2" s="1"/>
  <c r="I45" i="5"/>
  <c r="I200" i="5"/>
  <c r="H35" i="5"/>
  <c r="H203" i="5"/>
  <c r="I34" i="5"/>
  <c r="J37" i="1" l="1"/>
  <c r="J73" i="2"/>
  <c r="G10" i="10"/>
  <c r="G27" i="10"/>
  <c r="G30" i="10" s="1"/>
  <c r="G37" i="10" s="1"/>
  <c r="G22" i="10" s="1"/>
  <c r="J86" i="7"/>
  <c r="M25" i="7"/>
  <c r="M27" i="7" s="1"/>
  <c r="M49" i="1" s="1"/>
  <c r="M74" i="7" s="1"/>
  <c r="L29" i="7"/>
  <c r="L30" i="7" s="1"/>
  <c r="L8" i="1" s="1"/>
  <c r="L9" i="1" s="1"/>
  <c r="K30" i="7"/>
  <c r="F33" i="1"/>
  <c r="K86" i="7"/>
  <c r="Q11" i="2"/>
  <c r="L33" i="3" s="1"/>
  <c r="Q29" i="2"/>
  <c r="L37" i="3" s="1"/>
  <c r="K37" i="3"/>
  <c r="K42" i="7"/>
  <c r="K43" i="7" s="1"/>
  <c r="M116" i="2"/>
  <c r="N81" i="7"/>
  <c r="K48" i="7"/>
  <c r="K49" i="7" s="1"/>
  <c r="K101" i="1" s="1"/>
  <c r="K77" i="7"/>
  <c r="K123" i="2" s="1"/>
  <c r="K26" i="2" s="1"/>
  <c r="K23" i="2" s="1"/>
  <c r="L78" i="7"/>
  <c r="K10" i="2"/>
  <c r="F32" i="3" s="1"/>
  <c r="L211" i="5"/>
  <c r="L213" i="5" s="1"/>
  <c r="K216" i="5"/>
  <c r="R143" i="2"/>
  <c r="Q153" i="2"/>
  <c r="Q133" i="2"/>
  <c r="P134" i="2"/>
  <c r="P28" i="2" s="1"/>
  <c r="K36" i="3" s="1"/>
  <c r="Q196" i="2"/>
  <c r="Q51" i="2" s="1"/>
  <c r="L24" i="3" s="1"/>
  <c r="R190" i="2"/>
  <c r="N203" i="2"/>
  <c r="M204" i="2"/>
  <c r="M52" i="2" s="1"/>
  <c r="H25" i="3" s="1"/>
  <c r="Q162" i="2"/>
  <c r="P14" i="2"/>
  <c r="K34" i="3" s="1"/>
  <c r="S84" i="7"/>
  <c r="K140" i="5"/>
  <c r="L138" i="5" s="1"/>
  <c r="L139" i="5" s="1"/>
  <c r="L168" i="5"/>
  <c r="M166" i="5" s="1"/>
  <c r="M167" i="5" s="1"/>
  <c r="M168" i="5" s="1"/>
  <c r="N166" i="5" s="1"/>
  <c r="N167" i="5" s="1"/>
  <c r="N168" i="5" s="1"/>
  <c r="O166" i="5" s="1"/>
  <c r="O167" i="5" s="1"/>
  <c r="O168" i="5" s="1"/>
  <c r="P166" i="5" s="1"/>
  <c r="M171" i="5"/>
  <c r="M174" i="5" s="1"/>
  <c r="K76" i="5"/>
  <c r="K79" i="5" s="1"/>
  <c r="AA12" i="5"/>
  <c r="AB12" i="5" s="1"/>
  <c r="J43" i="5"/>
  <c r="J44" i="5" s="1"/>
  <c r="N86" i="5"/>
  <c r="N89" i="5" s="1"/>
  <c r="J200" i="5"/>
  <c r="N28" i="5"/>
  <c r="N31" i="5" s="1"/>
  <c r="O58" i="5"/>
  <c r="O61" i="5" s="1"/>
  <c r="P58" i="5" s="1"/>
  <c r="P61" i="5" s="1"/>
  <c r="J112" i="5"/>
  <c r="K110" i="5" s="1"/>
  <c r="K111" i="5" s="1"/>
  <c r="L9" i="5"/>
  <c r="L12" i="5" s="1"/>
  <c r="K16" i="5"/>
  <c r="L96" i="5"/>
  <c r="L99" i="5" s="1"/>
  <c r="K72" i="5"/>
  <c r="K73" i="5" s="1"/>
  <c r="L71" i="5" s="1"/>
  <c r="L67" i="5"/>
  <c r="L70" i="5" s="1"/>
  <c r="O125" i="5"/>
  <c r="O128" i="5" s="1"/>
  <c r="N131" i="5"/>
  <c r="O129" i="5" s="1"/>
  <c r="O130" i="5" s="1"/>
  <c r="AA16" i="5"/>
  <c r="AB16" i="5" s="1"/>
  <c r="J81" i="5"/>
  <c r="J82" i="5" s="1"/>
  <c r="J83" i="5" s="1"/>
  <c r="K81" i="5" s="1"/>
  <c r="K82" i="5" s="1"/>
  <c r="K93" i="5"/>
  <c r="L91" i="5" s="1"/>
  <c r="L92" i="5" s="1"/>
  <c r="L38" i="5"/>
  <c r="L41" i="5" s="1"/>
  <c r="M152" i="5"/>
  <c r="M155" i="5" s="1"/>
  <c r="N152" i="5" s="1"/>
  <c r="N155" i="5" s="1"/>
  <c r="L158" i="5"/>
  <c r="M156" i="5" s="1"/>
  <c r="M157" i="5" s="1"/>
  <c r="I35" i="5"/>
  <c r="I204" i="5" s="1"/>
  <c r="I9" i="2" s="1"/>
  <c r="Q143" i="5"/>
  <c r="Q146" i="5" s="1"/>
  <c r="P149" i="5"/>
  <c r="Q147" i="5" s="1"/>
  <c r="Q148" i="5" s="1"/>
  <c r="Q180" i="5"/>
  <c r="Q183" i="5" s="1"/>
  <c r="P186" i="5"/>
  <c r="Q184" i="5" s="1"/>
  <c r="Q185" i="5" s="1"/>
  <c r="O115" i="5"/>
  <c r="O118" i="5" s="1"/>
  <c r="P115" i="5" s="1"/>
  <c r="P118" i="5" s="1"/>
  <c r="N122" i="5"/>
  <c r="O120" i="5" s="1"/>
  <c r="O121" i="5" s="1"/>
  <c r="Q134" i="5"/>
  <c r="Q137" i="5" s="1"/>
  <c r="AA18" i="5"/>
  <c r="AB18" i="5" s="1"/>
  <c r="J101" i="5"/>
  <c r="J102" i="5" s="1"/>
  <c r="J103" i="5" s="1"/>
  <c r="K101" i="5" s="1"/>
  <c r="K102" i="5" s="1"/>
  <c r="O189" i="5"/>
  <c r="O192" i="5" s="1"/>
  <c r="N195" i="5"/>
  <c r="O193" i="5" s="1"/>
  <c r="O194" i="5" s="1"/>
  <c r="L55" i="5"/>
  <c r="M53" i="5" s="1"/>
  <c r="M54" i="5" s="1"/>
  <c r="M48" i="5"/>
  <c r="M51" i="5" s="1"/>
  <c r="K19" i="5"/>
  <c r="K22" i="5" s="1"/>
  <c r="J23" i="5"/>
  <c r="K64" i="5"/>
  <c r="L62" i="5" s="1"/>
  <c r="L63" i="5" s="1"/>
  <c r="P161" i="5"/>
  <c r="P164" i="5" s="1"/>
  <c r="J177" i="5"/>
  <c r="K175" i="5" s="1"/>
  <c r="K176" i="5" s="1"/>
  <c r="K177" i="5" s="1"/>
  <c r="L175" i="5" s="1"/>
  <c r="L176" i="5" s="1"/>
  <c r="L177" i="5" s="1"/>
  <c r="M175" i="5" s="1"/>
  <c r="S106" i="5"/>
  <c r="S109" i="5" s="1"/>
  <c r="H204" i="5"/>
  <c r="Z11" i="5"/>
  <c r="Z29" i="5" s="1"/>
  <c r="G16" i="10"/>
  <c r="G20" i="10"/>
  <c r="J17" i="2"/>
  <c r="J32" i="2" s="1"/>
  <c r="D9" i="10"/>
  <c r="L36" i="7"/>
  <c r="L73" i="1" s="1"/>
  <c r="L75" i="7" s="1"/>
  <c r="L37" i="7"/>
  <c r="E9" i="10"/>
  <c r="I33" i="1"/>
  <c r="I37" i="1" s="1"/>
  <c r="I41" i="1" s="1"/>
  <c r="F9" i="10"/>
  <c r="G73" i="2"/>
  <c r="D27" i="10"/>
  <c r="D30" i="10" s="1"/>
  <c r="D37" i="10" s="1"/>
  <c r="D22" i="10" s="1"/>
  <c r="D10" i="10"/>
  <c r="G37" i="1"/>
  <c r="H73" i="2"/>
  <c r="E27" i="10"/>
  <c r="E30" i="10" s="1"/>
  <c r="E37" i="10" s="1"/>
  <c r="E22" i="10" s="1"/>
  <c r="E10" i="10"/>
  <c r="H37" i="1"/>
  <c r="I203" i="5"/>
  <c r="J41" i="1" l="1"/>
  <c r="J40" i="1"/>
  <c r="G6" i="10" s="1"/>
  <c r="J39" i="1"/>
  <c r="G5" i="10" s="1"/>
  <c r="N25" i="7"/>
  <c r="N27" i="7" s="1"/>
  <c r="N49" i="1" s="1"/>
  <c r="N74" i="7" s="1"/>
  <c r="K99" i="1"/>
  <c r="K51" i="7"/>
  <c r="C9" i="10"/>
  <c r="M29" i="7"/>
  <c r="M30" i="7" s="1"/>
  <c r="M8" i="1" s="1"/>
  <c r="M9" i="1" s="1"/>
  <c r="F37" i="1"/>
  <c r="F73" i="2"/>
  <c r="F74" i="2" s="1"/>
  <c r="F78" i="2" s="1"/>
  <c r="G71" i="2" s="1"/>
  <c r="G74" i="2" s="1"/>
  <c r="C27" i="10"/>
  <c r="C30" i="10" s="1"/>
  <c r="C37" i="10" s="1"/>
  <c r="C22" i="10" s="1"/>
  <c r="C10" i="10"/>
  <c r="L86" i="7"/>
  <c r="M86" i="7"/>
  <c r="F6" i="6"/>
  <c r="F22" i="6" s="1"/>
  <c r="F23" i="6" s="1"/>
  <c r="R29" i="2"/>
  <c r="R11" i="2"/>
  <c r="M33" i="3" s="1"/>
  <c r="L77" i="7"/>
  <c r="L123" i="2" s="1"/>
  <c r="L26" i="2" s="1"/>
  <c r="N116" i="2"/>
  <c r="O81" i="7"/>
  <c r="M211" i="5"/>
  <c r="M213" i="5" s="1"/>
  <c r="L216" i="5"/>
  <c r="L10" i="2"/>
  <c r="G32" i="3" s="1"/>
  <c r="O203" i="2"/>
  <c r="N204" i="2"/>
  <c r="N52" i="2" s="1"/>
  <c r="I25" i="3" s="1"/>
  <c r="S190" i="2"/>
  <c r="R196" i="2"/>
  <c r="R51" i="2" s="1"/>
  <c r="M24" i="3" s="1"/>
  <c r="Q14" i="2"/>
  <c r="R133" i="2"/>
  <c r="Q134" i="2"/>
  <c r="Q28" i="2" s="1"/>
  <c r="L36" i="3" s="1"/>
  <c r="R162" i="2"/>
  <c r="S143" i="2"/>
  <c r="R153" i="2"/>
  <c r="K80" i="7"/>
  <c r="K83" i="7"/>
  <c r="K172" i="2" s="1"/>
  <c r="K49" i="2" s="1"/>
  <c r="K47" i="2" s="1"/>
  <c r="K61" i="2" s="1"/>
  <c r="T84" i="7"/>
  <c r="O122" i="5"/>
  <c r="P120" i="5" s="1"/>
  <c r="P121" i="5" s="1"/>
  <c r="L140" i="5"/>
  <c r="M138" i="5" s="1"/>
  <c r="M139" i="5" s="1"/>
  <c r="M158" i="5"/>
  <c r="N156" i="5" s="1"/>
  <c r="N157" i="5" s="1"/>
  <c r="N158" i="5" s="1"/>
  <c r="O156" i="5" s="1"/>
  <c r="O157" i="5" s="1"/>
  <c r="L19" i="5"/>
  <c r="L22" i="5" s="1"/>
  <c r="K23" i="5"/>
  <c r="R134" i="5"/>
  <c r="R137" i="5" s="1"/>
  <c r="Q115" i="5"/>
  <c r="Q118" i="5" s="1"/>
  <c r="M9" i="5"/>
  <c r="M12" i="5" s="1"/>
  <c r="L16" i="5"/>
  <c r="N171" i="5"/>
  <c r="N174" i="5" s="1"/>
  <c r="Q161" i="5"/>
  <c r="Q164" i="5" s="1"/>
  <c r="M38" i="5"/>
  <c r="M41" i="5" s="1"/>
  <c r="P125" i="5"/>
  <c r="P128" i="5" s="1"/>
  <c r="O131" i="5"/>
  <c r="P129" i="5" s="1"/>
  <c r="P130" i="5" s="1"/>
  <c r="P189" i="5"/>
  <c r="P192" i="5" s="1"/>
  <c r="O195" i="5"/>
  <c r="P193" i="5" s="1"/>
  <c r="P194" i="5" s="1"/>
  <c r="R180" i="5"/>
  <c r="R183" i="5" s="1"/>
  <c r="Q186" i="5"/>
  <c r="R184" i="5" s="1"/>
  <c r="R185" i="5" s="1"/>
  <c r="M67" i="5"/>
  <c r="M70" i="5" s="1"/>
  <c r="O86" i="5"/>
  <c r="O89" i="5" s="1"/>
  <c r="K200" i="5"/>
  <c r="L64" i="5"/>
  <c r="M62" i="5" s="1"/>
  <c r="M63" i="5" s="1"/>
  <c r="K112" i="5"/>
  <c r="L110" i="5" s="1"/>
  <c r="L111" i="5" s="1"/>
  <c r="Q149" i="5"/>
  <c r="R147" i="5" s="1"/>
  <c r="R148" i="5" s="1"/>
  <c r="R143" i="5"/>
  <c r="R146" i="5" s="1"/>
  <c r="L72" i="5"/>
  <c r="L73" i="5" s="1"/>
  <c r="M71" i="5" s="1"/>
  <c r="J45" i="5"/>
  <c r="K43" i="5" s="1"/>
  <c r="K44" i="5" s="1"/>
  <c r="K45" i="5" s="1"/>
  <c r="L43" i="5" s="1"/>
  <c r="L44" i="5" s="1"/>
  <c r="L45" i="5" s="1"/>
  <c r="M43" i="5" s="1"/>
  <c r="M176" i="5"/>
  <c r="M177" i="5" s="1"/>
  <c r="N175" i="5" s="1"/>
  <c r="AA11" i="5"/>
  <c r="AA29" i="5" s="1"/>
  <c r="AB30" i="5" s="1"/>
  <c r="J33" i="5"/>
  <c r="J34" i="5" s="1"/>
  <c r="J35" i="5" s="1"/>
  <c r="M55" i="5"/>
  <c r="N53" i="5" s="1"/>
  <c r="N54" i="5" s="1"/>
  <c r="N48" i="5"/>
  <c r="N51" i="5" s="1"/>
  <c r="O152" i="5"/>
  <c r="O155" i="5" s="1"/>
  <c r="O28" i="5"/>
  <c r="O31" i="5" s="1"/>
  <c r="J24" i="5"/>
  <c r="L93" i="5"/>
  <c r="M91" i="5" s="1"/>
  <c r="M92" i="5" s="1"/>
  <c r="M93" i="5" s="1"/>
  <c r="N91" i="5" s="1"/>
  <c r="N92" i="5" s="1"/>
  <c r="N93" i="5" s="1"/>
  <c r="O91" i="5" s="1"/>
  <c r="O92" i="5" s="1"/>
  <c r="K103" i="5"/>
  <c r="L101" i="5" s="1"/>
  <c r="L102" i="5" s="1"/>
  <c r="Q58" i="5"/>
  <c r="Q61" i="5" s="1"/>
  <c r="P167" i="5"/>
  <c r="M96" i="5"/>
  <c r="M99" i="5" s="1"/>
  <c r="L76" i="5"/>
  <c r="L79" i="5" s="1"/>
  <c r="K83" i="5"/>
  <c r="L81" i="5" s="1"/>
  <c r="L82" i="5" s="1"/>
  <c r="T106" i="5"/>
  <c r="T109" i="5" s="1"/>
  <c r="H9" i="2"/>
  <c r="F16" i="10"/>
  <c r="F20" i="10"/>
  <c r="M37" i="7"/>
  <c r="L71" i="1"/>
  <c r="L13" i="1" s="1"/>
  <c r="L42" i="7"/>
  <c r="L43" i="7" s="1"/>
  <c r="L48" i="7"/>
  <c r="L49" i="7" s="1"/>
  <c r="L101" i="1" s="1"/>
  <c r="M35" i="7"/>
  <c r="M36" i="7" s="1"/>
  <c r="M73" i="1" s="1"/>
  <c r="M75" i="7" s="1"/>
  <c r="L59" i="1"/>
  <c r="G41" i="1"/>
  <c r="G39" i="1"/>
  <c r="D5" i="10" s="1"/>
  <c r="G40" i="1"/>
  <c r="D6" i="10" s="1"/>
  <c r="H40" i="1"/>
  <c r="E6" i="10" s="1"/>
  <c r="H39" i="1"/>
  <c r="E5" i="10" s="1"/>
  <c r="H41" i="1"/>
  <c r="I40" i="1"/>
  <c r="F6" i="10" s="1"/>
  <c r="I39" i="1"/>
  <c r="F5" i="10" s="1"/>
  <c r="I73" i="2"/>
  <c r="F10" i="10"/>
  <c r="F27" i="10"/>
  <c r="F30" i="10" s="1"/>
  <c r="F37" i="10" s="1"/>
  <c r="F22" i="10" s="1"/>
  <c r="I17" i="2"/>
  <c r="I32" i="2" s="1"/>
  <c r="L23" i="2" l="1"/>
  <c r="C17" i="14"/>
  <c r="O25" i="7"/>
  <c r="O27" i="7" s="1"/>
  <c r="O49" i="1" s="1"/>
  <c r="O74" i="7" s="1"/>
  <c r="L99" i="1"/>
  <c r="L51" i="7"/>
  <c r="L200" i="5"/>
  <c r="F97" i="2"/>
  <c r="F36" i="2" s="1"/>
  <c r="F37" i="2" s="1"/>
  <c r="C21" i="10" s="1"/>
  <c r="N29" i="7"/>
  <c r="N30" i="7" s="1"/>
  <c r="N8" i="1" s="1"/>
  <c r="N9" i="1" s="1"/>
  <c r="F40" i="1"/>
  <c r="C6" i="10" s="1"/>
  <c r="F39" i="1"/>
  <c r="C5" i="10" s="1"/>
  <c r="F41" i="1"/>
  <c r="G6" i="6"/>
  <c r="G22" i="6" s="1"/>
  <c r="G23" i="6" s="1"/>
  <c r="S11" i="2"/>
  <c r="N33" i="3" s="1"/>
  <c r="L34" i="3"/>
  <c r="S29" i="2"/>
  <c r="N37" i="3" s="1"/>
  <c r="M37" i="3"/>
  <c r="P81" i="7"/>
  <c r="O116" i="2"/>
  <c r="O78" i="7"/>
  <c r="M77" i="7"/>
  <c r="M123" i="2" s="1"/>
  <c r="M26" i="2" s="1"/>
  <c r="L83" i="7"/>
  <c r="L172" i="2" s="1"/>
  <c r="L49" i="2" s="1"/>
  <c r="L47" i="2" s="1"/>
  <c r="M10" i="2"/>
  <c r="N211" i="5"/>
  <c r="N213" i="5" s="1"/>
  <c r="M216" i="5"/>
  <c r="S133" i="2"/>
  <c r="R134" i="2"/>
  <c r="R28" i="2" s="1"/>
  <c r="M36" i="3" s="1"/>
  <c r="R14" i="2"/>
  <c r="T143" i="2"/>
  <c r="T153" i="2" s="1"/>
  <c r="S153" i="2"/>
  <c r="T190" i="2"/>
  <c r="T196" i="2" s="1"/>
  <c r="T51" i="2" s="1"/>
  <c r="S196" i="2"/>
  <c r="S51" i="2" s="1"/>
  <c r="N24" i="3" s="1"/>
  <c r="S162" i="2"/>
  <c r="P203" i="2"/>
  <c r="O204" i="2"/>
  <c r="O52" i="2" s="1"/>
  <c r="J25" i="3" s="1"/>
  <c r="K116" i="2"/>
  <c r="K22" i="2"/>
  <c r="J201" i="5"/>
  <c r="M140" i="5"/>
  <c r="N138" i="5" s="1"/>
  <c r="N139" i="5" s="1"/>
  <c r="L112" i="5"/>
  <c r="M110" i="5" s="1"/>
  <c r="M111" i="5" s="1"/>
  <c r="L103" i="5"/>
  <c r="M101" i="5" s="1"/>
  <c r="M102" i="5" s="1"/>
  <c r="M103" i="5" s="1"/>
  <c r="N101" i="5" s="1"/>
  <c r="M64" i="5"/>
  <c r="N62" i="5" s="1"/>
  <c r="N63" i="5" s="1"/>
  <c r="R58" i="5"/>
  <c r="R61" i="5" s="1"/>
  <c r="P152" i="5"/>
  <c r="P155" i="5" s="1"/>
  <c r="O158" i="5"/>
  <c r="P156" i="5" s="1"/>
  <c r="P157" i="5" s="1"/>
  <c r="Q189" i="5"/>
  <c r="Q192" i="5" s="1"/>
  <c r="P195" i="5"/>
  <c r="Q193" i="5" s="1"/>
  <c r="Q194" i="5" s="1"/>
  <c r="N55" i="5"/>
  <c r="O53" i="5" s="1"/>
  <c r="O54" i="5" s="1"/>
  <c r="O48" i="5"/>
  <c r="O51" i="5" s="1"/>
  <c r="M76" i="5"/>
  <c r="M79" i="5" s="1"/>
  <c r="L83" i="5"/>
  <c r="M81" i="5" s="1"/>
  <c r="M82" i="5" s="1"/>
  <c r="O93" i="5"/>
  <c r="P91" i="5" s="1"/>
  <c r="P92" i="5" s="1"/>
  <c r="P86" i="5"/>
  <c r="P89" i="5" s="1"/>
  <c r="Q125" i="5"/>
  <c r="Q128" i="5" s="1"/>
  <c r="P131" i="5"/>
  <c r="Q129" i="5" s="1"/>
  <c r="Q130" i="5" s="1"/>
  <c r="N96" i="5"/>
  <c r="N99" i="5" s="1"/>
  <c r="O96" i="5" s="1"/>
  <c r="O99" i="5" s="1"/>
  <c r="J203" i="5"/>
  <c r="K24" i="5"/>
  <c r="J25" i="5"/>
  <c r="J204" i="5" s="1"/>
  <c r="J206" i="5" s="1"/>
  <c r="K23" i="1" s="1"/>
  <c r="K33" i="5"/>
  <c r="K34" i="5" s="1"/>
  <c r="K35" i="5" s="1"/>
  <c r="L33" i="5" s="1"/>
  <c r="L34" i="5" s="1"/>
  <c r="L35" i="5" s="1"/>
  <c r="M33" i="5" s="1"/>
  <c r="M34" i="5" s="1"/>
  <c r="M35" i="5" s="1"/>
  <c r="N33" i="5" s="1"/>
  <c r="N34" i="5" s="1"/>
  <c r="N35" i="5" s="1"/>
  <c r="O33" i="5" s="1"/>
  <c r="O34" i="5" s="1"/>
  <c r="O35" i="5" s="1"/>
  <c r="P33" i="5" s="1"/>
  <c r="P34" i="5" s="1"/>
  <c r="N38" i="5"/>
  <c r="N41" i="5" s="1"/>
  <c r="N9" i="5"/>
  <c r="N12" i="5" s="1"/>
  <c r="M16" i="5"/>
  <c r="S134" i="5"/>
  <c r="S137" i="5" s="1"/>
  <c r="N176" i="5"/>
  <c r="N177" i="5" s="1"/>
  <c r="O175" i="5" s="1"/>
  <c r="P168" i="5"/>
  <c r="Q166" i="5" s="1"/>
  <c r="Q167" i="5" s="1"/>
  <c r="Q168" i="5" s="1"/>
  <c r="R166" i="5" s="1"/>
  <c r="R167" i="5" s="1"/>
  <c r="P122" i="5"/>
  <c r="Q120" i="5" s="1"/>
  <c r="Q121" i="5" s="1"/>
  <c r="M44" i="5"/>
  <c r="M45" i="5" s="1"/>
  <c r="N43" i="5" s="1"/>
  <c r="N44" i="5" s="1"/>
  <c r="O171" i="5"/>
  <c r="O174" i="5" s="1"/>
  <c r="M72" i="5"/>
  <c r="M73" i="5" s="1"/>
  <c r="N71" i="5" s="1"/>
  <c r="R149" i="5"/>
  <c r="S147" i="5" s="1"/>
  <c r="S148" i="5" s="1"/>
  <c r="S143" i="5"/>
  <c r="S146" i="5" s="1"/>
  <c r="M19" i="5"/>
  <c r="M22" i="5" s="1"/>
  <c r="L23" i="5"/>
  <c r="N67" i="5"/>
  <c r="N70" i="5" s="1"/>
  <c r="O67" i="5" s="1"/>
  <c r="O70" i="5" s="1"/>
  <c r="P67" i="5" s="1"/>
  <c r="P70" i="5" s="1"/>
  <c r="Q67" i="5" s="1"/>
  <c r="Q70" i="5" s="1"/>
  <c r="R67" i="5" s="1"/>
  <c r="R70" i="5" s="1"/>
  <c r="S67" i="5" s="1"/>
  <c r="S70" i="5" s="1"/>
  <c r="T67" i="5" s="1"/>
  <c r="T70" i="5" s="1"/>
  <c r="R115" i="5"/>
  <c r="R118" i="5" s="1"/>
  <c r="AB11" i="5"/>
  <c r="AB29" i="5" s="1"/>
  <c r="P28" i="5"/>
  <c r="P31" i="5" s="1"/>
  <c r="R186" i="5"/>
  <c r="S184" i="5" s="1"/>
  <c r="S185" i="5" s="1"/>
  <c r="S180" i="5"/>
  <c r="S183" i="5" s="1"/>
  <c r="R161" i="5"/>
  <c r="R164" i="5" s="1"/>
  <c r="E20" i="10"/>
  <c r="E16" i="10"/>
  <c r="H17" i="2"/>
  <c r="H32" i="2" s="1"/>
  <c r="K102" i="1"/>
  <c r="L14" i="1"/>
  <c r="N37" i="7"/>
  <c r="M71" i="1"/>
  <c r="M13" i="1" s="1"/>
  <c r="M48" i="7"/>
  <c r="M49" i="7" s="1"/>
  <c r="M101" i="1" s="1"/>
  <c r="M42" i="7"/>
  <c r="M43" i="7" s="1"/>
  <c r="N35" i="7"/>
  <c r="N36" i="7" s="1"/>
  <c r="N73" i="1" s="1"/>
  <c r="N75" i="7" s="1"/>
  <c r="M59" i="1"/>
  <c r="G78" i="2"/>
  <c r="G97" i="2" s="1"/>
  <c r="L61" i="2" l="1"/>
  <c r="C18" i="14"/>
  <c r="M23" i="2"/>
  <c r="D17" i="14"/>
  <c r="D26" i="14" s="1"/>
  <c r="C26" i="14"/>
  <c r="P25" i="7"/>
  <c r="M99" i="1"/>
  <c r="M51" i="7"/>
  <c r="F10" i="3"/>
  <c r="F55" i="2"/>
  <c r="F56" i="2" s="1"/>
  <c r="C13" i="10"/>
  <c r="O29" i="7"/>
  <c r="O30" i="7" s="1"/>
  <c r="O8" i="1" s="1"/>
  <c r="O9" i="1" s="1"/>
  <c r="K65" i="7"/>
  <c r="K20" i="2"/>
  <c r="K60" i="2" s="1"/>
  <c r="K62" i="2" s="1"/>
  <c r="N86" i="7"/>
  <c r="O86" i="7"/>
  <c r="H6" i="6"/>
  <c r="H22" i="6" s="1"/>
  <c r="H23" i="6" s="1"/>
  <c r="O24" i="3"/>
  <c r="T29" i="2"/>
  <c r="O37" i="3" s="1"/>
  <c r="T11" i="2"/>
  <c r="M34" i="3"/>
  <c r="N77" i="7"/>
  <c r="N123" i="2" s="1"/>
  <c r="N26" i="2" s="1"/>
  <c r="P116" i="2"/>
  <c r="Q81" i="7"/>
  <c r="K206" i="5"/>
  <c r="L206" i="5" s="1"/>
  <c r="M206" i="5" s="1"/>
  <c r="N206" i="5" s="1"/>
  <c r="O206" i="5" s="1"/>
  <c r="P206" i="5" s="1"/>
  <c r="Q206" i="5" s="1"/>
  <c r="R206" i="5" s="1"/>
  <c r="S206" i="5" s="1"/>
  <c r="T206" i="5" s="1"/>
  <c r="L80" i="7"/>
  <c r="L22" i="2" s="1"/>
  <c r="L20" i="2" s="1"/>
  <c r="N10" i="2"/>
  <c r="I32" i="3" s="1"/>
  <c r="N72" i="5"/>
  <c r="N73" i="5" s="1"/>
  <c r="O211" i="5"/>
  <c r="O213" i="5" s="1"/>
  <c r="N216" i="5"/>
  <c r="H32" i="3"/>
  <c r="T162" i="2"/>
  <c r="T167" i="2" s="1"/>
  <c r="T133" i="2"/>
  <c r="T134" i="2" s="1"/>
  <c r="T28" i="2" s="1"/>
  <c r="S134" i="2"/>
  <c r="S28" i="2" s="1"/>
  <c r="N36" i="3" s="1"/>
  <c r="Q203" i="2"/>
  <c r="P204" i="2"/>
  <c r="P52" i="2" s="1"/>
  <c r="K25" i="3" s="1"/>
  <c r="T14" i="2"/>
  <c r="S14" i="2"/>
  <c r="L201" i="5"/>
  <c r="L16" i="1" s="1"/>
  <c r="B9" i="11" s="1"/>
  <c r="Q122" i="5"/>
  <c r="R120" i="5" s="1"/>
  <c r="R121" i="5" s="1"/>
  <c r="N140" i="5"/>
  <c r="O138" i="5" s="1"/>
  <c r="O139" i="5" s="1"/>
  <c r="P171" i="5"/>
  <c r="P174" i="5" s="1"/>
  <c r="R125" i="5"/>
  <c r="R128" i="5" s="1"/>
  <c r="Q131" i="5"/>
  <c r="R129" i="5" s="1"/>
  <c r="R130" i="5" s="1"/>
  <c r="N64" i="5"/>
  <c r="O62" i="5" s="1"/>
  <c r="O63" i="5" s="1"/>
  <c r="N19" i="5"/>
  <c r="N22" i="5" s="1"/>
  <c r="M23" i="5"/>
  <c r="M201" i="5" s="1"/>
  <c r="M16" i="1" s="1"/>
  <c r="C9" i="11" s="1"/>
  <c r="T134" i="5"/>
  <c r="T137" i="5" s="1"/>
  <c r="P93" i="5"/>
  <c r="Q91" i="5" s="1"/>
  <c r="Q92" i="5" s="1"/>
  <c r="Q86" i="5"/>
  <c r="Q89" i="5" s="1"/>
  <c r="S149" i="5"/>
  <c r="T147" i="5" s="1"/>
  <c r="T148" i="5" s="1"/>
  <c r="T143" i="5"/>
  <c r="T146" i="5" s="1"/>
  <c r="O9" i="5"/>
  <c r="O12" i="5" s="1"/>
  <c r="N16" i="5"/>
  <c r="N76" i="5"/>
  <c r="N79" i="5" s="1"/>
  <c r="M83" i="5"/>
  <c r="N81" i="5" s="1"/>
  <c r="N82" i="5" s="1"/>
  <c r="P158" i="5"/>
  <c r="Q156" i="5" s="1"/>
  <c r="Q157" i="5" s="1"/>
  <c r="Q152" i="5"/>
  <c r="Q155" i="5" s="1"/>
  <c r="R168" i="5"/>
  <c r="S166" i="5" s="1"/>
  <c r="S167" i="5" s="1"/>
  <c r="S161" i="5"/>
  <c r="S164" i="5" s="1"/>
  <c r="S115" i="5"/>
  <c r="S118" i="5" s="1"/>
  <c r="K201" i="5"/>
  <c r="F9" i="3" s="1"/>
  <c r="M200" i="5"/>
  <c r="N102" i="5"/>
  <c r="O176" i="5"/>
  <c r="O177" i="5" s="1"/>
  <c r="P175" i="5" s="1"/>
  <c r="P96" i="5"/>
  <c r="P99" i="5" s="1"/>
  <c r="Q96" i="5" s="1"/>
  <c r="Q99" i="5" s="1"/>
  <c r="P48" i="5"/>
  <c r="P51" i="5" s="1"/>
  <c r="O55" i="5"/>
  <c r="P53" i="5" s="1"/>
  <c r="P54" i="5" s="1"/>
  <c r="S58" i="5"/>
  <c r="S61" i="5" s="1"/>
  <c r="Q28" i="5"/>
  <c r="Q31" i="5" s="1"/>
  <c r="P35" i="5"/>
  <c r="Q33" i="5" s="1"/>
  <c r="Q34" i="5" s="1"/>
  <c r="R189" i="5"/>
  <c r="R192" i="5" s="1"/>
  <c r="Q195" i="5"/>
  <c r="R193" i="5" s="1"/>
  <c r="R194" i="5" s="1"/>
  <c r="K25" i="5"/>
  <c r="K204" i="5" s="1"/>
  <c r="K203" i="5"/>
  <c r="L24" i="5"/>
  <c r="M112" i="5"/>
  <c r="N110" i="5" s="1"/>
  <c r="N111" i="5" s="1"/>
  <c r="T180" i="5"/>
  <c r="T183" i="5" s="1"/>
  <c r="S186" i="5"/>
  <c r="T184" i="5" s="1"/>
  <c r="T185" i="5" s="1"/>
  <c r="N45" i="5"/>
  <c r="O43" i="5" s="1"/>
  <c r="O44" i="5" s="1"/>
  <c r="O38" i="5"/>
  <c r="O41" i="5" s="1"/>
  <c r="L102" i="1"/>
  <c r="L17" i="1" s="1"/>
  <c r="N42" i="7"/>
  <c r="N43" i="7" s="1"/>
  <c r="N48" i="7"/>
  <c r="N49" i="7" s="1"/>
  <c r="N101" i="1" s="1"/>
  <c r="O37" i="7"/>
  <c r="N71" i="1"/>
  <c r="N13" i="1" s="1"/>
  <c r="O35" i="7"/>
  <c r="O36" i="7" s="1"/>
  <c r="O73" i="1" s="1"/>
  <c r="O75" i="7" s="1"/>
  <c r="N59" i="1"/>
  <c r="M14" i="1"/>
  <c r="H71" i="2"/>
  <c r="H74" i="2" s="1"/>
  <c r="H78" i="2" s="1"/>
  <c r="I71" i="2" s="1"/>
  <c r="I74" i="2" s="1"/>
  <c r="I78" i="2" s="1"/>
  <c r="G36" i="2"/>
  <c r="G37" i="2" s="1"/>
  <c r="D21" i="10" s="1"/>
  <c r="L60" i="2" l="1"/>
  <c r="L62" i="2" s="1"/>
  <c r="L63" i="2" s="1"/>
  <c r="G16" i="3" s="1"/>
  <c r="C16" i="14"/>
  <c r="C27" i="14"/>
  <c r="N23" i="2"/>
  <c r="E17" i="14"/>
  <c r="E26" i="14" s="1"/>
  <c r="P27" i="7"/>
  <c r="P49" i="1" s="1"/>
  <c r="P74" i="7" s="1"/>
  <c r="Q25" i="7"/>
  <c r="N99" i="1"/>
  <c r="N51" i="7"/>
  <c r="P29" i="7"/>
  <c r="O33" i="3"/>
  <c r="F40" i="6"/>
  <c r="H40" i="6" s="1"/>
  <c r="I6" i="6"/>
  <c r="I22" i="6" s="1"/>
  <c r="I23" i="6" s="1"/>
  <c r="O34" i="3"/>
  <c r="O36" i="3"/>
  <c r="N34" i="3"/>
  <c r="Q116" i="2"/>
  <c r="R81" i="7"/>
  <c r="P78" i="7"/>
  <c r="P86" i="7" s="1"/>
  <c r="O77" i="7"/>
  <c r="O123" i="2" s="1"/>
  <c r="O26" i="2" s="1"/>
  <c r="L65" i="7"/>
  <c r="O10" i="2"/>
  <c r="J32" i="3" s="1"/>
  <c r="N200" i="5"/>
  <c r="O216" i="5"/>
  <c r="P211" i="5"/>
  <c r="P213" i="5" s="1"/>
  <c r="R203" i="2"/>
  <c r="Q204" i="2"/>
  <c r="Q52" i="2" s="1"/>
  <c r="L25" i="3" s="1"/>
  <c r="K63" i="2"/>
  <c r="F16" i="3" s="1"/>
  <c r="M80" i="7"/>
  <c r="M22" i="2" s="1"/>
  <c r="M83" i="7"/>
  <c r="M172" i="2" s="1"/>
  <c r="M49" i="2" s="1"/>
  <c r="M47" i="2" s="1"/>
  <c r="G9" i="3"/>
  <c r="F9" i="6"/>
  <c r="F13" i="6" s="1"/>
  <c r="J207" i="5"/>
  <c r="H9" i="3"/>
  <c r="G9" i="6"/>
  <c r="G13" i="6" s="1"/>
  <c r="K207" i="5"/>
  <c r="K9" i="2" s="1"/>
  <c r="O64" i="5"/>
  <c r="P62" i="5" s="1"/>
  <c r="P63" i="5" s="1"/>
  <c r="P64" i="5" s="1"/>
  <c r="Q62" i="5" s="1"/>
  <c r="Q63" i="5" s="1"/>
  <c r="R122" i="5"/>
  <c r="S120" i="5" s="1"/>
  <c r="S121" i="5" s="1"/>
  <c r="Q48" i="5"/>
  <c r="Q51" i="5" s="1"/>
  <c r="P55" i="5"/>
  <c r="Q53" i="5" s="1"/>
  <c r="Q54" i="5" s="1"/>
  <c r="R96" i="5"/>
  <c r="R99" i="5" s="1"/>
  <c r="T115" i="5"/>
  <c r="T118" i="5" s="1"/>
  <c r="S189" i="5"/>
  <c r="S192" i="5" s="1"/>
  <c r="R195" i="5"/>
  <c r="S193" i="5" s="1"/>
  <c r="S194" i="5" s="1"/>
  <c r="T161" i="5"/>
  <c r="T164" i="5" s="1"/>
  <c r="S168" i="5"/>
  <c r="T166" i="5" s="1"/>
  <c r="T167" i="5" s="1"/>
  <c r="O16" i="5"/>
  <c r="P9" i="5"/>
  <c r="P12" i="5" s="1"/>
  <c r="O19" i="5"/>
  <c r="O22" i="5" s="1"/>
  <c r="N23" i="5"/>
  <c r="N201" i="5" s="1"/>
  <c r="N16" i="1" s="1"/>
  <c r="D9" i="11" s="1"/>
  <c r="O76" i="5"/>
  <c r="O79" i="5" s="1"/>
  <c r="N83" i="5"/>
  <c r="O81" i="5" s="1"/>
  <c r="O82" i="5" s="1"/>
  <c r="N112" i="5"/>
  <c r="O110" i="5" s="1"/>
  <c r="O111" i="5" s="1"/>
  <c r="T149" i="5"/>
  <c r="S125" i="5"/>
  <c r="S128" i="5" s="1"/>
  <c r="R131" i="5"/>
  <c r="S129" i="5" s="1"/>
  <c r="S130" i="5" s="1"/>
  <c r="P38" i="5"/>
  <c r="P41" i="5" s="1"/>
  <c r="O45" i="5"/>
  <c r="P43" i="5" s="1"/>
  <c r="P44" i="5" s="1"/>
  <c r="T186" i="5"/>
  <c r="N103" i="5"/>
  <c r="O101" i="5" s="1"/>
  <c r="O102" i="5" s="1"/>
  <c r="R152" i="5"/>
  <c r="R155" i="5" s="1"/>
  <c r="Q158" i="5"/>
  <c r="R156" i="5" s="1"/>
  <c r="R157" i="5" s="1"/>
  <c r="Q171" i="5"/>
  <c r="Q174" i="5" s="1"/>
  <c r="O140" i="5"/>
  <c r="P138" i="5" s="1"/>
  <c r="P139" i="5" s="1"/>
  <c r="P176" i="5"/>
  <c r="R28" i="5"/>
  <c r="R31" i="5" s="1"/>
  <c r="Q35" i="5"/>
  <c r="R33" i="5" s="1"/>
  <c r="R34" i="5" s="1"/>
  <c r="L25" i="5"/>
  <c r="L204" i="5" s="1"/>
  <c r="L207" i="5" s="1"/>
  <c r="L9" i="2" s="1"/>
  <c r="L203" i="5"/>
  <c r="M24" i="5"/>
  <c r="T58" i="5"/>
  <c r="T61" i="5" s="1"/>
  <c r="Q93" i="5"/>
  <c r="R91" i="5" s="1"/>
  <c r="R92" i="5" s="1"/>
  <c r="R86" i="5"/>
  <c r="R89" i="5" s="1"/>
  <c r="O71" i="5"/>
  <c r="O48" i="7"/>
  <c r="O49" i="7" s="1"/>
  <c r="O101" i="1" s="1"/>
  <c r="M102" i="1"/>
  <c r="M17" i="1" s="1"/>
  <c r="O42" i="7"/>
  <c r="O43" i="7" s="1"/>
  <c r="N14" i="1"/>
  <c r="P37" i="7"/>
  <c r="O71" i="1"/>
  <c r="O13" i="1" s="1"/>
  <c r="P35" i="7"/>
  <c r="O59" i="1"/>
  <c r="G55" i="2"/>
  <c r="G56" i="2" s="1"/>
  <c r="D13" i="10"/>
  <c r="I97" i="2"/>
  <c r="I36" i="2" s="1"/>
  <c r="I37" i="2" s="1"/>
  <c r="F21" i="10" s="1"/>
  <c r="J71" i="2"/>
  <c r="J74" i="2" s="1"/>
  <c r="J78" i="2" s="1"/>
  <c r="H97" i="2"/>
  <c r="H36" i="2" s="1"/>
  <c r="H37" i="2" s="1"/>
  <c r="E21" i="10" s="1"/>
  <c r="M61" i="2" l="1"/>
  <c r="D18" i="14"/>
  <c r="D27" i="14" s="1"/>
  <c r="C25" i="14"/>
  <c r="O23" i="2"/>
  <c r="F17" i="14"/>
  <c r="F26" i="14" s="1"/>
  <c r="P36" i="7"/>
  <c r="P73" i="1" s="1"/>
  <c r="P75" i="7" s="1"/>
  <c r="P30" i="7"/>
  <c r="P8" i="1" s="1"/>
  <c r="P9" i="1" s="1"/>
  <c r="Q27" i="7"/>
  <c r="Q49" i="1" s="1"/>
  <c r="Q74" i="7" s="1"/>
  <c r="R25" i="7"/>
  <c r="O99" i="1"/>
  <c r="O51" i="7"/>
  <c r="T168" i="5"/>
  <c r="Q29" i="7"/>
  <c r="M65" i="7"/>
  <c r="M20" i="2"/>
  <c r="J6" i="6"/>
  <c r="J22" i="6" s="1"/>
  <c r="J23" i="6" s="1"/>
  <c r="Q78" i="7"/>
  <c r="Q86" i="7" s="1"/>
  <c r="P77" i="7"/>
  <c r="P123" i="2" s="1"/>
  <c r="P26" i="2" s="1"/>
  <c r="R116" i="2"/>
  <c r="S81" i="7"/>
  <c r="H9" i="6"/>
  <c r="H13" i="6" s="1"/>
  <c r="I9" i="3"/>
  <c r="P10" i="2"/>
  <c r="P177" i="5"/>
  <c r="Q175" i="5" s="1"/>
  <c r="Q176" i="5" s="1"/>
  <c r="Q177" i="5" s="1"/>
  <c r="R175" i="5" s="1"/>
  <c r="Q211" i="5"/>
  <c r="Q213" i="5" s="1"/>
  <c r="P216" i="5"/>
  <c r="L17" i="2"/>
  <c r="K17" i="2"/>
  <c r="G38" i="3"/>
  <c r="F38" i="3"/>
  <c r="S203" i="2"/>
  <c r="R204" i="2"/>
  <c r="R52" i="2" s="1"/>
  <c r="M25" i="3" s="1"/>
  <c r="F14" i="6"/>
  <c r="N80" i="7"/>
  <c r="N22" i="2" s="1"/>
  <c r="N83" i="7"/>
  <c r="N172" i="2" s="1"/>
  <c r="N49" i="2" s="1"/>
  <c r="N47" i="2" s="1"/>
  <c r="J97" i="2"/>
  <c r="J36" i="2" s="1"/>
  <c r="J37" i="2" s="1"/>
  <c r="G21" i="10" s="1"/>
  <c r="K71" i="2"/>
  <c r="S122" i="5"/>
  <c r="T120" i="5" s="1"/>
  <c r="T121" i="5" s="1"/>
  <c r="T122" i="5" s="1"/>
  <c r="P140" i="5"/>
  <c r="Q138" i="5" s="1"/>
  <c r="Q139" i="5" s="1"/>
  <c r="Q64" i="5"/>
  <c r="R62" i="5" s="1"/>
  <c r="R63" i="5" s="1"/>
  <c r="R64" i="5" s="1"/>
  <c r="S62" i="5" s="1"/>
  <c r="S63" i="5" s="1"/>
  <c r="S64" i="5" s="1"/>
  <c r="T62" i="5" s="1"/>
  <c r="T63" i="5" s="1"/>
  <c r="T64" i="5" s="1"/>
  <c r="P45" i="5"/>
  <c r="Q43" i="5" s="1"/>
  <c r="Q44" i="5" s="1"/>
  <c r="Q38" i="5"/>
  <c r="Q41" i="5" s="1"/>
  <c r="T189" i="5"/>
  <c r="T192" i="5" s="1"/>
  <c r="S195" i="5"/>
  <c r="T193" i="5" s="1"/>
  <c r="T194" i="5" s="1"/>
  <c r="Q55" i="5"/>
  <c r="R53" i="5" s="1"/>
  <c r="R54" i="5" s="1"/>
  <c r="R48" i="5"/>
  <c r="R51" i="5" s="1"/>
  <c r="M25" i="5"/>
  <c r="M204" i="5" s="1"/>
  <c r="M207" i="5" s="1"/>
  <c r="M9" i="2" s="1"/>
  <c r="N24" i="5"/>
  <c r="M203" i="5"/>
  <c r="R158" i="5"/>
  <c r="S156" i="5" s="1"/>
  <c r="S157" i="5" s="1"/>
  <c r="S152" i="5"/>
  <c r="S155" i="5" s="1"/>
  <c r="T152" i="5" s="1"/>
  <c r="T155" i="5" s="1"/>
  <c r="P19" i="5"/>
  <c r="P22" i="5" s="1"/>
  <c r="O23" i="5"/>
  <c r="O201" i="5" s="1"/>
  <c r="O16" i="1" s="1"/>
  <c r="E9" i="11" s="1"/>
  <c r="R171" i="5"/>
  <c r="R174" i="5" s="1"/>
  <c r="O103" i="5"/>
  <c r="P101" i="5" s="1"/>
  <c r="P102" i="5" s="1"/>
  <c r="R93" i="5"/>
  <c r="S91" i="5" s="1"/>
  <c r="S92" i="5" s="1"/>
  <c r="S86" i="5"/>
  <c r="S89" i="5" s="1"/>
  <c r="S28" i="5"/>
  <c r="S31" i="5" s="1"/>
  <c r="R35" i="5"/>
  <c r="S33" i="5" s="1"/>
  <c r="S34" i="5" s="1"/>
  <c r="O112" i="5"/>
  <c r="P110" i="5" s="1"/>
  <c r="P111" i="5" s="1"/>
  <c r="O200" i="5"/>
  <c r="Q9" i="5"/>
  <c r="Q12" i="5" s="1"/>
  <c r="P16" i="5"/>
  <c r="S96" i="5"/>
  <c r="S99" i="5" s="1"/>
  <c r="T125" i="5"/>
  <c r="T128" i="5" s="1"/>
  <c r="S131" i="5"/>
  <c r="T129" i="5" s="1"/>
  <c r="T130" i="5" s="1"/>
  <c r="P76" i="5"/>
  <c r="P79" i="5" s="1"/>
  <c r="O83" i="5"/>
  <c r="P81" i="5" s="1"/>
  <c r="P82" i="5" s="1"/>
  <c r="O72" i="5"/>
  <c r="N102" i="1"/>
  <c r="N17" i="1" s="1"/>
  <c r="O14" i="1"/>
  <c r="Q37" i="7"/>
  <c r="P71" i="1"/>
  <c r="P13" i="1" s="1"/>
  <c r="Q35" i="7"/>
  <c r="P59" i="1"/>
  <c r="P42" i="7"/>
  <c r="P43" i="7" s="1"/>
  <c r="P48" i="7"/>
  <c r="P49" i="7" s="1"/>
  <c r="P101" i="1" s="1"/>
  <c r="I55" i="2"/>
  <c r="I56" i="2" s="1"/>
  <c r="F13" i="10"/>
  <c r="H55" i="2"/>
  <c r="H56" i="2" s="1"/>
  <c r="E13" i="10"/>
  <c r="N61" i="2" l="1"/>
  <c r="E18" i="14"/>
  <c r="E27" i="14" s="1"/>
  <c r="M60" i="2"/>
  <c r="D16" i="14"/>
  <c r="P23" i="2"/>
  <c r="G17" i="14"/>
  <c r="T131" i="5"/>
  <c r="Q30" i="7"/>
  <c r="Q8" i="1" s="1"/>
  <c r="Q9" i="1" s="1"/>
  <c r="Q36" i="7"/>
  <c r="Q73" i="1" s="1"/>
  <c r="Q75" i="7" s="1"/>
  <c r="R27" i="7"/>
  <c r="R49" i="1" s="1"/>
  <c r="R74" i="7" s="1"/>
  <c r="S25" i="7"/>
  <c r="T25" i="7" s="1"/>
  <c r="P99" i="1"/>
  <c r="P51" i="7"/>
  <c r="P200" i="5"/>
  <c r="R29" i="7"/>
  <c r="N65" i="7"/>
  <c r="N20" i="2"/>
  <c r="K6" i="6"/>
  <c r="K22" i="6" s="1"/>
  <c r="K23" i="6" s="1"/>
  <c r="S116" i="2"/>
  <c r="T81" i="7"/>
  <c r="T116" i="2" s="1"/>
  <c r="R78" i="7"/>
  <c r="R86" i="7" s="1"/>
  <c r="Q77" i="7"/>
  <c r="Q123" i="2" s="1"/>
  <c r="Q26" i="2" s="1"/>
  <c r="J9" i="3"/>
  <c r="I9" i="6"/>
  <c r="I13" i="6" s="1"/>
  <c r="Q10" i="2"/>
  <c r="L32" i="3" s="1"/>
  <c r="R176" i="5"/>
  <c r="R177" i="5" s="1"/>
  <c r="S175" i="5" s="1"/>
  <c r="S176" i="5" s="1"/>
  <c r="Q216" i="5"/>
  <c r="R211" i="5"/>
  <c r="R213" i="5" s="1"/>
  <c r="K32" i="3"/>
  <c r="M17" i="2"/>
  <c r="H38" i="3"/>
  <c r="T203" i="2"/>
  <c r="T204" i="2" s="1"/>
  <c r="T52" i="2" s="1"/>
  <c r="S204" i="2"/>
  <c r="S52" i="2" s="1"/>
  <c r="N25" i="3" s="1"/>
  <c r="O80" i="7"/>
  <c r="O22" i="2" s="1"/>
  <c r="O83" i="7"/>
  <c r="O172" i="2" s="1"/>
  <c r="O49" i="2" s="1"/>
  <c r="O47" i="2" s="1"/>
  <c r="M62" i="2"/>
  <c r="J55" i="2"/>
  <c r="J56" i="2" s="1"/>
  <c r="G13" i="10"/>
  <c r="S158" i="5"/>
  <c r="T156" i="5" s="1"/>
  <c r="T157" i="5" s="1"/>
  <c r="T158" i="5" s="1"/>
  <c r="P103" i="5"/>
  <c r="Q101" i="5" s="1"/>
  <c r="Q102" i="5" s="1"/>
  <c r="Q140" i="5"/>
  <c r="R138" i="5" s="1"/>
  <c r="R139" i="5" s="1"/>
  <c r="P112" i="5"/>
  <c r="Q110" i="5" s="1"/>
  <c r="Q111" i="5" s="1"/>
  <c r="T86" i="5"/>
  <c r="T89" i="5" s="1"/>
  <c r="S93" i="5"/>
  <c r="T91" i="5" s="1"/>
  <c r="T92" i="5" s="1"/>
  <c r="Q19" i="5"/>
  <c r="Q22" i="5" s="1"/>
  <c r="P23" i="5"/>
  <c r="T195" i="5"/>
  <c r="R9" i="5"/>
  <c r="R12" i="5" s="1"/>
  <c r="Q16" i="5"/>
  <c r="Q45" i="5"/>
  <c r="R43" i="5" s="1"/>
  <c r="R44" i="5" s="1"/>
  <c r="R38" i="5"/>
  <c r="R41" i="5" s="1"/>
  <c r="T28" i="5"/>
  <c r="T31" i="5" s="1"/>
  <c r="S35" i="5"/>
  <c r="T33" i="5" s="1"/>
  <c r="T34" i="5" s="1"/>
  <c r="O24" i="5"/>
  <c r="O203" i="5" s="1"/>
  <c r="N203" i="5"/>
  <c r="N25" i="5"/>
  <c r="N204" i="5" s="1"/>
  <c r="N207" i="5" s="1"/>
  <c r="N9" i="2" s="1"/>
  <c r="T96" i="5"/>
  <c r="T99" i="5" s="1"/>
  <c r="S171" i="5"/>
  <c r="S174" i="5" s="1"/>
  <c r="P83" i="5"/>
  <c r="Q81" i="5" s="1"/>
  <c r="Q82" i="5" s="1"/>
  <c r="Q76" i="5"/>
  <c r="Q79" i="5" s="1"/>
  <c r="S48" i="5"/>
  <c r="S51" i="5" s="1"/>
  <c r="R55" i="5"/>
  <c r="S53" i="5" s="1"/>
  <c r="S54" i="5" s="1"/>
  <c r="O73" i="5"/>
  <c r="R37" i="7"/>
  <c r="Q71" i="1"/>
  <c r="Q13" i="1" s="1"/>
  <c r="Q42" i="7"/>
  <c r="Q43" i="7" s="1"/>
  <c r="R35" i="7"/>
  <c r="Q59" i="1"/>
  <c r="Q48" i="7"/>
  <c r="Q49" i="7" s="1"/>
  <c r="Q101" i="1" s="1"/>
  <c r="P14" i="1"/>
  <c r="O102" i="1"/>
  <c r="O17" i="1" s="1"/>
  <c r="O61" i="2" l="1"/>
  <c r="F18" i="14"/>
  <c r="F27" i="14" s="1"/>
  <c r="N60" i="2"/>
  <c r="N62" i="2" s="1"/>
  <c r="E16" i="14"/>
  <c r="E25" i="14" s="1"/>
  <c r="D25" i="14"/>
  <c r="G26" i="14"/>
  <c r="Q23" i="2"/>
  <c r="H17" i="14"/>
  <c r="H26" i="14" s="1"/>
  <c r="R36" i="7"/>
  <c r="R73" i="1" s="1"/>
  <c r="R75" i="7" s="1"/>
  <c r="R30" i="7"/>
  <c r="R8" i="1" s="1"/>
  <c r="R9" i="1" s="1"/>
  <c r="S27" i="7"/>
  <c r="S49" i="1" s="1"/>
  <c r="S74" i="7" s="1"/>
  <c r="T27" i="7"/>
  <c r="T49" i="1" s="1"/>
  <c r="T74" i="7" s="1"/>
  <c r="Q99" i="1"/>
  <c r="Q51" i="7"/>
  <c r="Q200" i="5"/>
  <c r="S29" i="7"/>
  <c r="O65" i="7"/>
  <c r="O20" i="2"/>
  <c r="M63" i="2"/>
  <c r="H16" i="3" s="1"/>
  <c r="L6" i="6"/>
  <c r="L22" i="6" s="1"/>
  <c r="L23" i="6" s="1"/>
  <c r="O25" i="3"/>
  <c r="S78" i="7"/>
  <c r="S86" i="7" s="1"/>
  <c r="R77" i="7"/>
  <c r="R123" i="2" s="1"/>
  <c r="R26" i="2" s="1"/>
  <c r="T93" i="5"/>
  <c r="S211" i="5"/>
  <c r="S213" i="5" s="1"/>
  <c r="R216" i="5"/>
  <c r="R10" i="2"/>
  <c r="M32" i="3" s="1"/>
  <c r="N17" i="2"/>
  <c r="I38" i="3"/>
  <c r="Q80" i="7"/>
  <c r="Q22" i="2" s="1"/>
  <c r="P80" i="7"/>
  <c r="P22" i="2" s="1"/>
  <c r="P83" i="7"/>
  <c r="P172" i="2" s="1"/>
  <c r="P49" i="2" s="1"/>
  <c r="P47" i="2" s="1"/>
  <c r="T35" i="5"/>
  <c r="R140" i="5"/>
  <c r="S138" i="5" s="1"/>
  <c r="S139" i="5" s="1"/>
  <c r="Q112" i="5"/>
  <c r="R110" i="5" s="1"/>
  <c r="R111" i="5" s="1"/>
  <c r="R112" i="5" s="1"/>
  <c r="S110" i="5" s="1"/>
  <c r="S111" i="5" s="1"/>
  <c r="Q103" i="5"/>
  <c r="R101" i="5" s="1"/>
  <c r="R102" i="5" s="1"/>
  <c r="T171" i="5"/>
  <c r="T174" i="5" s="1"/>
  <c r="S177" i="5"/>
  <c r="T175" i="5" s="1"/>
  <c r="T176" i="5" s="1"/>
  <c r="S38" i="5"/>
  <c r="S41" i="5" s="1"/>
  <c r="R45" i="5"/>
  <c r="S43" i="5" s="1"/>
  <c r="S44" i="5" s="1"/>
  <c r="R19" i="5"/>
  <c r="R22" i="5" s="1"/>
  <c r="Q23" i="5"/>
  <c r="T48" i="5"/>
  <c r="T51" i="5" s="1"/>
  <c r="S55" i="5"/>
  <c r="T53" i="5" s="1"/>
  <c r="T54" i="5" s="1"/>
  <c r="S9" i="5"/>
  <c r="S12" i="5" s="1"/>
  <c r="R16" i="5"/>
  <c r="Q83" i="5"/>
  <c r="R81" i="5" s="1"/>
  <c r="R82" i="5" s="1"/>
  <c r="R76" i="5"/>
  <c r="R79" i="5" s="1"/>
  <c r="P24" i="5"/>
  <c r="O25" i="5"/>
  <c r="O204" i="5" s="1"/>
  <c r="O207" i="5" s="1"/>
  <c r="O9" i="2" s="1"/>
  <c r="P71" i="5"/>
  <c r="P102" i="1"/>
  <c r="P17" i="1" s="1"/>
  <c r="S35" i="7"/>
  <c r="R59" i="1"/>
  <c r="R42" i="7"/>
  <c r="R43" i="7" s="1"/>
  <c r="S37" i="7"/>
  <c r="R71" i="1"/>
  <c r="R13" i="1" s="1"/>
  <c r="Q14" i="1"/>
  <c r="R48" i="7"/>
  <c r="R49" i="7" s="1"/>
  <c r="R101" i="1" s="1"/>
  <c r="O60" i="2" l="1"/>
  <c r="F16" i="14"/>
  <c r="P61" i="2"/>
  <c r="G18" i="14"/>
  <c r="G27" i="14" s="1"/>
  <c r="R23" i="2"/>
  <c r="I17" i="14"/>
  <c r="I26" i="14" s="1"/>
  <c r="S30" i="7"/>
  <c r="S8" i="1" s="1"/>
  <c r="S9" i="1" s="1"/>
  <c r="S36" i="7"/>
  <c r="S73" i="1" s="1"/>
  <c r="S75" i="7" s="1"/>
  <c r="R99" i="1"/>
  <c r="R51" i="7"/>
  <c r="T29" i="7"/>
  <c r="T30" i="7" s="1"/>
  <c r="T8" i="1" s="1"/>
  <c r="T9" i="1" s="1"/>
  <c r="P65" i="7"/>
  <c r="P20" i="2"/>
  <c r="Q65" i="7"/>
  <c r="Q20" i="2"/>
  <c r="G14" i="6"/>
  <c r="N63" i="2"/>
  <c r="I16" i="3" s="1"/>
  <c r="M6" i="6"/>
  <c r="M22" i="6" s="1"/>
  <c r="M23" i="6" s="1"/>
  <c r="T78" i="7"/>
  <c r="S77" i="7"/>
  <c r="S123" i="2" s="1"/>
  <c r="S26" i="2" s="1"/>
  <c r="R200" i="5"/>
  <c r="S10" i="2"/>
  <c r="T211" i="5"/>
  <c r="T213" i="5" s="1"/>
  <c r="T216" i="5" s="1"/>
  <c r="S216" i="5"/>
  <c r="O17" i="2"/>
  <c r="J38" i="3"/>
  <c r="Q83" i="7"/>
  <c r="Q172" i="2" s="1"/>
  <c r="Q49" i="2" s="1"/>
  <c r="Q47" i="2" s="1"/>
  <c r="R83" i="7"/>
  <c r="R172" i="2" s="1"/>
  <c r="R49" i="2" s="1"/>
  <c r="R47" i="2" s="1"/>
  <c r="O62" i="2"/>
  <c r="R103" i="5"/>
  <c r="S101" i="5" s="1"/>
  <c r="S102" i="5" s="1"/>
  <c r="S112" i="5"/>
  <c r="T110" i="5" s="1"/>
  <c r="T111" i="5" s="1"/>
  <c r="T112" i="5" s="1"/>
  <c r="S140" i="5"/>
  <c r="T138" i="5" s="1"/>
  <c r="T139" i="5" s="1"/>
  <c r="T140" i="5" s="1"/>
  <c r="Q24" i="5"/>
  <c r="P25" i="5"/>
  <c r="T38" i="5"/>
  <c r="T41" i="5" s="1"/>
  <c r="S45" i="5"/>
  <c r="T43" i="5" s="1"/>
  <c r="T44" i="5" s="1"/>
  <c r="S19" i="5"/>
  <c r="S22" i="5" s="1"/>
  <c r="R23" i="5"/>
  <c r="S76" i="5"/>
  <c r="S79" i="5" s="1"/>
  <c r="R83" i="5"/>
  <c r="S81" i="5" s="1"/>
  <c r="S82" i="5" s="1"/>
  <c r="T9" i="5"/>
  <c r="T12" i="5" s="1"/>
  <c r="S16" i="5"/>
  <c r="T55" i="5"/>
  <c r="T177" i="5"/>
  <c r="P201" i="5"/>
  <c r="P16" i="1" s="1"/>
  <c r="F9" i="11" s="1"/>
  <c r="P72" i="5"/>
  <c r="S48" i="7"/>
  <c r="S49" i="7" s="1"/>
  <c r="S101" i="1" s="1"/>
  <c r="T37" i="7"/>
  <c r="T71" i="1" s="1"/>
  <c r="T13" i="1" s="1"/>
  <c r="S71" i="1"/>
  <c r="S13" i="1" s="1"/>
  <c r="Q102" i="1"/>
  <c r="Q17" i="1" s="1"/>
  <c r="S42" i="7"/>
  <c r="S43" i="7" s="1"/>
  <c r="R14" i="1"/>
  <c r="T35" i="7"/>
  <c r="S59" i="1"/>
  <c r="Q61" i="2" l="1"/>
  <c r="H18" i="14"/>
  <c r="H27" i="14" s="1"/>
  <c r="P60" i="2"/>
  <c r="P62" i="2" s="1"/>
  <c r="G16" i="14"/>
  <c r="G25" i="14" s="1"/>
  <c r="F25" i="14"/>
  <c r="Q60" i="2"/>
  <c r="H16" i="14"/>
  <c r="R61" i="2"/>
  <c r="I18" i="14"/>
  <c r="I27" i="14" s="1"/>
  <c r="S23" i="2"/>
  <c r="J17" i="14"/>
  <c r="J26" i="14" s="1"/>
  <c r="S99" i="1"/>
  <c r="S51" i="7"/>
  <c r="T59" i="1"/>
  <c r="T36" i="7"/>
  <c r="T73" i="1" s="1"/>
  <c r="T75" i="7" s="1"/>
  <c r="T83" i="7" s="1"/>
  <c r="T172" i="2" s="1"/>
  <c r="T49" i="2" s="1"/>
  <c r="T47" i="2" s="1"/>
  <c r="K18" i="14" s="1"/>
  <c r="N32" i="3"/>
  <c r="H14" i="6"/>
  <c r="O63" i="2"/>
  <c r="T77" i="7"/>
  <c r="T123" i="2" s="1"/>
  <c r="T26" i="2" s="1"/>
  <c r="T86" i="7"/>
  <c r="N6" i="6"/>
  <c r="N22" i="6" s="1"/>
  <c r="N23" i="6" s="1"/>
  <c r="J9" i="6"/>
  <c r="J13" i="6" s="1"/>
  <c r="K9" i="3"/>
  <c r="T10" i="2"/>
  <c r="F39" i="6" s="1"/>
  <c r="H39" i="6" s="1"/>
  <c r="R80" i="7"/>
  <c r="R22" i="2" s="1"/>
  <c r="R20" i="2" s="1"/>
  <c r="S80" i="7"/>
  <c r="S22" i="2" s="1"/>
  <c r="S20" i="2" s="1"/>
  <c r="S103" i="5"/>
  <c r="T101" i="5" s="1"/>
  <c r="T102" i="5" s="1"/>
  <c r="T103" i="5" s="1"/>
  <c r="R24" i="5"/>
  <c r="Q25" i="5"/>
  <c r="T76" i="5"/>
  <c r="T79" i="5" s="1"/>
  <c r="S83" i="5"/>
  <c r="T81" i="5" s="1"/>
  <c r="T82" i="5" s="1"/>
  <c r="T45" i="5"/>
  <c r="T19" i="5"/>
  <c r="T22" i="5" s="1"/>
  <c r="T23" i="5" s="1"/>
  <c r="S23" i="5"/>
  <c r="S200" i="5"/>
  <c r="T16" i="5"/>
  <c r="P203" i="5"/>
  <c r="P73" i="5"/>
  <c r="R102" i="1"/>
  <c r="R17" i="1" s="1"/>
  <c r="T14" i="1"/>
  <c r="S14" i="1"/>
  <c r="T42" i="7"/>
  <c r="T43" i="7" s="1"/>
  <c r="T48" i="7"/>
  <c r="T49" i="7" s="1"/>
  <c r="T101" i="1" s="1"/>
  <c r="S60" i="2" l="1"/>
  <c r="J16" i="14"/>
  <c r="R60" i="2"/>
  <c r="I16" i="14"/>
  <c r="H25" i="14"/>
  <c r="T23" i="2"/>
  <c r="F42" i="6" s="1"/>
  <c r="H42" i="6" s="1"/>
  <c r="K17" i="14"/>
  <c r="K26" i="14" s="1"/>
  <c r="N26" i="14"/>
  <c r="T99" i="1"/>
  <c r="T102" i="1" s="1"/>
  <c r="T17" i="1" s="1"/>
  <c r="T51" i="7"/>
  <c r="O32" i="3"/>
  <c r="T61" i="2"/>
  <c r="F43" i="6"/>
  <c r="H43" i="6" s="1"/>
  <c r="I14" i="6"/>
  <c r="J16" i="3"/>
  <c r="Q62" i="2"/>
  <c r="P63" i="2"/>
  <c r="K16" i="3" s="1"/>
  <c r="S65" i="7"/>
  <c r="R65" i="7"/>
  <c r="T83" i="5"/>
  <c r="S83" i="7"/>
  <c r="S172" i="2" s="1"/>
  <c r="S49" i="2" s="1"/>
  <c r="T80" i="7"/>
  <c r="T22" i="2" s="1"/>
  <c r="T20" i="2" s="1"/>
  <c r="K16" i="14" s="1"/>
  <c r="T200" i="5"/>
  <c r="S24" i="5"/>
  <c r="R25" i="5"/>
  <c r="Q71" i="5"/>
  <c r="P204" i="5"/>
  <c r="P207" i="5" s="1"/>
  <c r="P9" i="2" s="1"/>
  <c r="S102" i="1"/>
  <c r="S17" i="1" s="1"/>
  <c r="K25" i="14" l="1"/>
  <c r="J25" i="14"/>
  <c r="I25" i="14"/>
  <c r="L26" i="14"/>
  <c r="M26" i="14"/>
  <c r="J14" i="6"/>
  <c r="T60" i="2"/>
  <c r="F41" i="6"/>
  <c r="H41" i="6" s="1"/>
  <c r="S47" i="2"/>
  <c r="R62" i="2"/>
  <c r="Q63" i="2"/>
  <c r="T65" i="7"/>
  <c r="P17" i="2"/>
  <c r="K38" i="3"/>
  <c r="T24" i="5"/>
  <c r="T25" i="5" s="1"/>
  <c r="S25" i="5"/>
  <c r="Q201" i="5"/>
  <c r="Q16" i="1" s="1"/>
  <c r="G9" i="11" s="1"/>
  <c r="Q72" i="5"/>
  <c r="N25" i="14" l="1"/>
  <c r="S61" i="2"/>
  <c r="S62" i="2" s="1"/>
  <c r="J18" i="14"/>
  <c r="L25" i="14"/>
  <c r="M25" i="14"/>
  <c r="K14" i="6"/>
  <c r="L16" i="3"/>
  <c r="R63" i="2"/>
  <c r="M16" i="3" s="1"/>
  <c r="T62" i="2"/>
  <c r="L9" i="3"/>
  <c r="K9" i="6"/>
  <c r="K13" i="6" s="1"/>
  <c r="Q203" i="5"/>
  <c r="Q73" i="5"/>
  <c r="J27" i="14" l="1"/>
  <c r="K27" i="14"/>
  <c r="T63" i="2"/>
  <c r="O16" i="3" s="1"/>
  <c r="S63" i="2"/>
  <c r="N16" i="3" s="1"/>
  <c r="L14" i="6"/>
  <c r="R71" i="5"/>
  <c r="Q204" i="5"/>
  <c r="Q207" i="5" s="1"/>
  <c r="Q9" i="2" s="1"/>
  <c r="L27" i="14" l="1"/>
  <c r="M27" i="14"/>
  <c r="N27" i="14"/>
  <c r="N14" i="6"/>
  <c r="M14" i="6"/>
  <c r="Q17" i="2"/>
  <c r="L38" i="3"/>
  <c r="R201" i="5"/>
  <c r="R16" i="1" s="1"/>
  <c r="H9" i="11" s="1"/>
  <c r="R72" i="5"/>
  <c r="L9" i="6" l="1"/>
  <c r="L13" i="6" s="1"/>
  <c r="M9" i="3"/>
  <c r="R203" i="5"/>
  <c r="R73" i="5"/>
  <c r="S71" i="5" l="1"/>
  <c r="R204" i="5"/>
  <c r="R207" i="5" s="1"/>
  <c r="R9" i="2" s="1"/>
  <c r="R17" i="2" l="1"/>
  <c r="M38" i="3"/>
  <c r="S201" i="5"/>
  <c r="S16" i="1" s="1"/>
  <c r="I9" i="11" s="1"/>
  <c r="S72" i="5"/>
  <c r="M9" i="6" l="1"/>
  <c r="M13" i="6" s="1"/>
  <c r="N9" i="3"/>
  <c r="S203" i="5"/>
  <c r="S73" i="5"/>
  <c r="T71" i="5" l="1"/>
  <c r="S204" i="5"/>
  <c r="S207" i="5" s="1"/>
  <c r="S9" i="2" s="1"/>
  <c r="S17" i="2" l="1"/>
  <c r="N38" i="3"/>
  <c r="T201" i="5"/>
  <c r="T16" i="1" s="1"/>
  <c r="J9" i="11" s="1"/>
  <c r="T72" i="5"/>
  <c r="N9" i="6" l="1"/>
  <c r="N13" i="6" s="1"/>
  <c r="O9" i="3"/>
  <c r="T203" i="5"/>
  <c r="T73" i="5"/>
  <c r="T204" i="5" s="1"/>
  <c r="T207" i="5" s="1"/>
  <c r="T9" i="2" s="1"/>
  <c r="F38" i="6" s="1"/>
  <c r="H38" i="6" s="1"/>
  <c r="H44" i="6" s="1"/>
  <c r="N17" i="6" s="1"/>
  <c r="T17" i="2" l="1"/>
  <c r="O38" i="3"/>
  <c r="T46" i="2" l="1"/>
  <c r="T53" i="2" s="1"/>
  <c r="K10" i="14" s="1"/>
  <c r="T66" i="7" l="1"/>
  <c r="T67" i="7" s="1"/>
  <c r="T70" i="7" s="1"/>
  <c r="T72" i="7" s="1"/>
  <c r="G10" i="3"/>
  <c r="F13" i="3" l="1"/>
  <c r="F26" i="3"/>
  <c r="K20" i="1"/>
  <c r="E94" i="7" l="1"/>
  <c r="K25" i="1" s="1"/>
  <c r="F12" i="3" l="1"/>
  <c r="K22" i="1"/>
  <c r="K27" i="1" s="1"/>
  <c r="K30" i="1" l="1"/>
  <c r="K29" i="1" s="1"/>
  <c r="K33" i="1" s="1"/>
  <c r="K59" i="7"/>
  <c r="K73" i="2" l="1"/>
  <c r="K74" i="2" s="1"/>
  <c r="K37" i="1"/>
  <c r="K39" i="1" l="1"/>
  <c r="F8" i="3"/>
  <c r="F14" i="3" s="1"/>
  <c r="F17" i="3" s="1"/>
  <c r="K41" i="1"/>
  <c r="K40" i="1"/>
  <c r="K78" i="2"/>
  <c r="K97" i="2" s="1"/>
  <c r="K36" i="2" l="1"/>
  <c r="K37" i="2" s="1"/>
  <c r="L71" i="2"/>
  <c r="E99" i="7"/>
  <c r="K114" i="7" s="1"/>
  <c r="R115" i="7" l="1"/>
  <c r="P115" i="7"/>
  <c r="N115" i="7"/>
  <c r="L115" i="7"/>
  <c r="K115" i="7"/>
  <c r="K141" i="7" s="1"/>
  <c r="Q115" i="7"/>
  <c r="O115" i="7"/>
  <c r="M115" i="7"/>
  <c r="T115" i="7"/>
  <c r="S115" i="7"/>
  <c r="K140" i="7"/>
  <c r="K139" i="7" l="1"/>
  <c r="K107" i="7"/>
  <c r="L108" i="7" s="1"/>
  <c r="K116" i="7"/>
  <c r="K148" i="7" l="1"/>
  <c r="K158" i="2" s="1"/>
  <c r="L113" i="7"/>
  <c r="L104" i="7"/>
  <c r="L90" i="1"/>
  <c r="L116" i="7" l="1"/>
  <c r="S153" i="7"/>
  <c r="S165" i="2" s="1"/>
  <c r="T140" i="7"/>
  <c r="P140" i="7"/>
  <c r="O153" i="7"/>
  <c r="O165" i="2" s="1"/>
  <c r="N141" i="7"/>
  <c r="M154" i="7"/>
  <c r="M166" i="2" s="1"/>
  <c r="K153" i="7"/>
  <c r="K165" i="2" s="1"/>
  <c r="L140" i="7"/>
  <c r="R153" i="7"/>
  <c r="R165" i="2" s="1"/>
  <c r="S140" i="7"/>
  <c r="L154" i="7"/>
  <c r="L166" i="2" s="1"/>
  <c r="M141" i="7"/>
  <c r="K147" i="7"/>
  <c r="R140" i="7"/>
  <c r="Q153" i="7"/>
  <c r="Q165" i="2" s="1"/>
  <c r="Q141" i="7"/>
  <c r="P154" i="7"/>
  <c r="P166" i="2" s="1"/>
  <c r="Q140" i="7"/>
  <c r="P153" i="7"/>
  <c r="P165" i="2" s="1"/>
  <c r="Q154" i="7"/>
  <c r="Q166" i="2" s="1"/>
  <c r="R141" i="7"/>
  <c r="O140" i="7"/>
  <c r="N153" i="7"/>
  <c r="N165" i="2" s="1"/>
  <c r="T141" i="7"/>
  <c r="S154" i="7"/>
  <c r="S166" i="2" s="1"/>
  <c r="N140" i="7"/>
  <c r="M153" i="7"/>
  <c r="M165" i="2" s="1"/>
  <c r="L141" i="7"/>
  <c r="K154" i="7"/>
  <c r="K166" i="2" s="1"/>
  <c r="L107" i="7"/>
  <c r="M108" i="7" s="1"/>
  <c r="O154" i="7"/>
  <c r="O166" i="2" s="1"/>
  <c r="P141" i="7"/>
  <c r="R154" i="7"/>
  <c r="R166" i="2" s="1"/>
  <c r="S141" i="7"/>
  <c r="M140" i="7"/>
  <c r="L153" i="7"/>
  <c r="L165" i="2" s="1"/>
  <c r="O141" i="7"/>
  <c r="N154" i="7"/>
  <c r="N166" i="2" s="1"/>
  <c r="M113" i="7" l="1"/>
  <c r="M116" i="7" s="1"/>
  <c r="M117" i="7" s="1"/>
  <c r="M91" i="1" s="1"/>
  <c r="L117" i="7"/>
  <c r="L91" i="1" s="1"/>
  <c r="L148" i="7"/>
  <c r="L158" i="2" s="1"/>
  <c r="K157" i="2"/>
  <c r="M104" i="7"/>
  <c r="M107" i="7" s="1"/>
  <c r="N108" i="7" s="1"/>
  <c r="M90" i="1"/>
  <c r="L147" i="7"/>
  <c r="L157" i="2" s="1"/>
  <c r="M148" i="7" l="1"/>
  <c r="M158" i="2" s="1"/>
  <c r="N113" i="7"/>
  <c r="N116" i="7" s="1"/>
  <c r="N117" i="7" s="1"/>
  <c r="N91" i="1" s="1"/>
  <c r="L160" i="2"/>
  <c r="N104" i="7"/>
  <c r="N107" i="7" s="1"/>
  <c r="O108" i="7" s="1"/>
  <c r="M147" i="7"/>
  <c r="M157" i="2" s="1"/>
  <c r="N90" i="1"/>
  <c r="N148" i="7" l="1"/>
  <c r="N158" i="2" s="1"/>
  <c r="O113" i="7"/>
  <c r="O116" i="7" s="1"/>
  <c r="O148" i="7" s="1"/>
  <c r="O158" i="2" s="1"/>
  <c r="O90" i="1"/>
  <c r="N147" i="7"/>
  <c r="N157" i="2" s="1"/>
  <c r="O104" i="7"/>
  <c r="O107" i="7" s="1"/>
  <c r="P108" i="7" s="1"/>
  <c r="O117" i="7" l="1"/>
  <c r="O91" i="1" s="1"/>
  <c r="P113" i="7"/>
  <c r="P116" i="7" s="1"/>
  <c r="P117" i="7" s="1"/>
  <c r="P91" i="1" s="1"/>
  <c r="P90" i="1"/>
  <c r="O147" i="7"/>
  <c r="O157" i="2" s="1"/>
  <c r="P104" i="7"/>
  <c r="P107" i="7" s="1"/>
  <c r="Q108" i="7" s="1"/>
  <c r="Q113" i="7" l="1"/>
  <c r="Q116" i="7" s="1"/>
  <c r="Q117" i="7" s="1"/>
  <c r="Q91" i="1" s="1"/>
  <c r="P148" i="7"/>
  <c r="P158" i="2" s="1"/>
  <c r="P147" i="7"/>
  <c r="P157" i="2" s="1"/>
  <c r="Q90" i="1"/>
  <c r="Q104" i="7"/>
  <c r="Q107" i="7" s="1"/>
  <c r="R108" i="7" s="1"/>
  <c r="R113" i="7" l="1"/>
  <c r="R116" i="7" s="1"/>
  <c r="R117" i="7" s="1"/>
  <c r="R91" i="1" s="1"/>
  <c r="Q148" i="7"/>
  <c r="Q158" i="2" s="1"/>
  <c r="Q147" i="7"/>
  <c r="Q157" i="2" s="1"/>
  <c r="R104" i="7"/>
  <c r="R107" i="7" s="1"/>
  <c r="S108" i="7" s="1"/>
  <c r="R90" i="1"/>
  <c r="R148" i="7" l="1"/>
  <c r="R158" i="2" s="1"/>
  <c r="S113" i="7"/>
  <c r="S116" i="7" s="1"/>
  <c r="S117" i="7" s="1"/>
  <c r="S91" i="1" s="1"/>
  <c r="R147" i="7"/>
  <c r="R157" i="2" s="1"/>
  <c r="S104" i="7"/>
  <c r="S107" i="7" s="1"/>
  <c r="T108" i="7" s="1"/>
  <c r="S90" i="1"/>
  <c r="S148" i="7" l="1"/>
  <c r="S158" i="2" s="1"/>
  <c r="T113" i="7"/>
  <c r="T116" i="7" s="1"/>
  <c r="T148" i="7" s="1"/>
  <c r="T158" i="2" s="1"/>
  <c r="T90" i="1"/>
  <c r="S147" i="7"/>
  <c r="S157" i="2" s="1"/>
  <c r="T104" i="7"/>
  <c r="T107" i="7" s="1"/>
  <c r="T147" i="7" s="1"/>
  <c r="T157" i="2" s="1"/>
  <c r="T117" i="7" l="1"/>
  <c r="T91" i="1" s="1"/>
  <c r="L135" i="7"/>
  <c r="M132" i="7" l="1"/>
  <c r="M135" i="7" s="1"/>
  <c r="M136" i="7" s="1"/>
  <c r="M93" i="1" s="1"/>
  <c r="L150" i="7"/>
  <c r="L156" i="2" s="1"/>
  <c r="L136" i="7"/>
  <c r="L93" i="1" s="1"/>
  <c r="N132" i="7" l="1"/>
  <c r="N135" i="7" s="1"/>
  <c r="M150" i="7"/>
  <c r="M156" i="2" s="1"/>
  <c r="N150" i="7" l="1"/>
  <c r="N156" i="2" s="1"/>
  <c r="N136" i="7"/>
  <c r="N93" i="1" s="1"/>
  <c r="O132" i="7"/>
  <c r="O135" i="7" s="1"/>
  <c r="O136" i="7" l="1"/>
  <c r="O93" i="1" s="1"/>
  <c r="O150" i="7"/>
  <c r="O156" i="2" s="1"/>
  <c r="P132" i="7"/>
  <c r="P135" i="7" s="1"/>
  <c r="P150" i="7" l="1"/>
  <c r="P156" i="2" s="1"/>
  <c r="Q132" i="7"/>
  <c r="Q135" i="7" s="1"/>
  <c r="Q136" i="7" s="1"/>
  <c r="Q93" i="1" s="1"/>
  <c r="P136" i="7"/>
  <c r="P93" i="1" s="1"/>
  <c r="Q150" i="7" l="1"/>
  <c r="Q156" i="2" s="1"/>
  <c r="R132" i="7"/>
  <c r="R135" i="7" s="1"/>
  <c r="R136" i="7" l="1"/>
  <c r="R93" i="1" s="1"/>
  <c r="R150" i="7"/>
  <c r="R156" i="2" s="1"/>
  <c r="S132" i="7"/>
  <c r="S135" i="7" s="1"/>
  <c r="S136" i="7" s="1"/>
  <c r="S93" i="1" s="1"/>
  <c r="S150" i="7" l="1"/>
  <c r="S156" i="2" s="1"/>
  <c r="T132" i="7"/>
  <c r="T135" i="7" s="1"/>
  <c r="T136" i="7" l="1"/>
  <c r="T93" i="1" s="1"/>
  <c r="T150" i="7"/>
  <c r="T156" i="2" s="1"/>
  <c r="F44" i="6"/>
  <c r="N25" i="6" l="1"/>
  <c r="F31" i="6" l="1"/>
  <c r="L8" i="7"/>
  <c r="M8" i="7"/>
  <c r="N8" i="7"/>
  <c r="O8" i="7"/>
  <c r="P8" i="7"/>
  <c r="Q8" i="7"/>
  <c r="R8" i="7"/>
  <c r="S8" i="7"/>
  <c r="T8" i="7"/>
  <c r="K9" i="7"/>
  <c r="L10" i="7"/>
  <c r="M10" i="7"/>
  <c r="N10" i="7"/>
  <c r="O10" i="7"/>
  <c r="P10" i="7"/>
  <c r="Q10" i="7"/>
  <c r="R10" i="7"/>
  <c r="S10" i="7"/>
  <c r="T10" i="7"/>
  <c r="L11" i="7"/>
  <c r="M11" i="7"/>
  <c r="N11" i="7"/>
  <c r="O11" i="7"/>
  <c r="P11" i="7"/>
  <c r="Q11" i="7"/>
  <c r="R11" i="7"/>
  <c r="S11" i="7"/>
  <c r="T11" i="7"/>
  <c r="K12" i="7"/>
  <c r="L12" i="7"/>
  <c r="M12" i="7"/>
  <c r="N12" i="7"/>
  <c r="O12" i="7"/>
  <c r="P12" i="7"/>
  <c r="Q12" i="7"/>
  <c r="R12" i="7"/>
  <c r="S12" i="7"/>
  <c r="T12" i="7"/>
  <c r="L59" i="7"/>
  <c r="M59" i="7"/>
  <c r="N59" i="7"/>
  <c r="O59" i="7"/>
  <c r="P59" i="7"/>
  <c r="Q59" i="7"/>
  <c r="R59" i="7"/>
  <c r="S59" i="7"/>
  <c r="T59" i="7"/>
  <c r="K66" i="7"/>
  <c r="L66" i="7"/>
  <c r="M66" i="7"/>
  <c r="N66" i="7"/>
  <c r="O66" i="7"/>
  <c r="P66" i="7"/>
  <c r="Q66" i="7"/>
  <c r="R66" i="7"/>
  <c r="S66" i="7"/>
  <c r="K67" i="7"/>
  <c r="L67" i="7"/>
  <c r="M67" i="7"/>
  <c r="N67" i="7"/>
  <c r="O67" i="7"/>
  <c r="P67" i="7"/>
  <c r="Q67" i="7"/>
  <c r="R67" i="7"/>
  <c r="S67" i="7"/>
  <c r="L69" i="7"/>
  <c r="L70" i="7"/>
  <c r="M70" i="7"/>
  <c r="N70" i="7"/>
  <c r="O70" i="7"/>
  <c r="P70" i="7"/>
  <c r="Q70" i="7"/>
  <c r="R70" i="7"/>
  <c r="S70" i="7"/>
  <c r="L72" i="7"/>
  <c r="M72" i="7"/>
  <c r="N72" i="7"/>
  <c r="O72" i="7"/>
  <c r="P72" i="7"/>
  <c r="Q72" i="7"/>
  <c r="R72" i="7"/>
  <c r="S72" i="7"/>
  <c r="G93" i="7"/>
  <c r="H93" i="7"/>
  <c r="G94" i="7"/>
  <c r="H94" i="7"/>
  <c r="M123" i="7"/>
  <c r="N123" i="7"/>
  <c r="O123" i="7"/>
  <c r="P123" i="7"/>
  <c r="Q123" i="7"/>
  <c r="R123" i="7"/>
  <c r="S123" i="7"/>
  <c r="T123" i="7"/>
  <c r="L124" i="7"/>
  <c r="L125" i="7"/>
  <c r="M125" i="7"/>
  <c r="N125" i="7"/>
  <c r="O125" i="7"/>
  <c r="P125" i="7"/>
  <c r="Q125" i="7"/>
  <c r="R125" i="7"/>
  <c r="S125" i="7"/>
  <c r="T125" i="7"/>
  <c r="L126" i="7"/>
  <c r="M126" i="7"/>
  <c r="N126" i="7"/>
  <c r="O126" i="7"/>
  <c r="P126" i="7"/>
  <c r="Q126" i="7"/>
  <c r="R126" i="7"/>
  <c r="S126" i="7"/>
  <c r="T126" i="7"/>
  <c r="L127" i="7"/>
  <c r="M127" i="7"/>
  <c r="N127" i="7"/>
  <c r="O127" i="7"/>
  <c r="P127" i="7"/>
  <c r="Q127" i="7"/>
  <c r="R127" i="7"/>
  <c r="S127" i="7"/>
  <c r="T127" i="7"/>
  <c r="L139" i="7"/>
  <c r="M139" i="7"/>
  <c r="N139" i="7"/>
  <c r="O139" i="7"/>
  <c r="P139" i="7"/>
  <c r="Q139" i="7"/>
  <c r="R139" i="7"/>
  <c r="S139" i="7"/>
  <c r="T139" i="7"/>
  <c r="L142" i="7"/>
  <c r="M142" i="7"/>
  <c r="N142" i="7"/>
  <c r="O142" i="7"/>
  <c r="P142" i="7"/>
  <c r="Q142" i="7"/>
  <c r="R142" i="7"/>
  <c r="S142" i="7"/>
  <c r="T142" i="7"/>
  <c r="K146" i="7"/>
  <c r="L146" i="7"/>
  <c r="M146" i="7"/>
  <c r="N146" i="7"/>
  <c r="O146" i="7"/>
  <c r="P146" i="7"/>
  <c r="Q146" i="7"/>
  <c r="R146" i="7"/>
  <c r="S146" i="7"/>
  <c r="T146" i="7"/>
  <c r="K149" i="7"/>
  <c r="L149" i="7"/>
  <c r="M149" i="7"/>
  <c r="N149" i="7"/>
  <c r="O149" i="7"/>
  <c r="P149" i="7"/>
  <c r="Q149" i="7"/>
  <c r="R149" i="7"/>
  <c r="S149" i="7"/>
  <c r="T149" i="7"/>
  <c r="K152" i="7"/>
  <c r="L152" i="7"/>
  <c r="M152" i="7"/>
  <c r="N152" i="7"/>
  <c r="O152" i="7"/>
  <c r="P152" i="7"/>
  <c r="Q152" i="7"/>
  <c r="R152" i="7"/>
  <c r="S152" i="7"/>
  <c r="K155" i="7"/>
  <c r="L155" i="7"/>
  <c r="M155" i="7"/>
  <c r="N155" i="7"/>
  <c r="O155" i="7"/>
  <c r="P155" i="7"/>
  <c r="Q155" i="7"/>
  <c r="R155" i="7"/>
  <c r="S155" i="7"/>
  <c r="K27" i="2"/>
  <c r="L27" i="2"/>
  <c r="M27" i="2"/>
  <c r="N27" i="2"/>
  <c r="O27" i="2"/>
  <c r="P27" i="2"/>
  <c r="Q27" i="2"/>
  <c r="R27" i="2"/>
  <c r="S27" i="2"/>
  <c r="T27" i="2"/>
  <c r="K30" i="2"/>
  <c r="L30" i="2"/>
  <c r="M30" i="2"/>
  <c r="N30" i="2"/>
  <c r="O30" i="2"/>
  <c r="P30" i="2"/>
  <c r="Q30" i="2"/>
  <c r="R30" i="2"/>
  <c r="S30" i="2"/>
  <c r="T30" i="2"/>
  <c r="K32" i="2"/>
  <c r="L32" i="2"/>
  <c r="M32" i="2"/>
  <c r="N32" i="2"/>
  <c r="O32" i="2"/>
  <c r="P32" i="2"/>
  <c r="Q32" i="2"/>
  <c r="R32" i="2"/>
  <c r="S32" i="2"/>
  <c r="T32" i="2"/>
  <c r="L36" i="2"/>
  <c r="M36" i="2"/>
  <c r="N36" i="2"/>
  <c r="O36" i="2"/>
  <c r="P36" i="2"/>
  <c r="Q36" i="2"/>
  <c r="R36" i="2"/>
  <c r="S36" i="2"/>
  <c r="T36" i="2"/>
  <c r="L37" i="2"/>
  <c r="M37" i="2"/>
  <c r="N37" i="2"/>
  <c r="O37" i="2"/>
  <c r="P37" i="2"/>
  <c r="Q37" i="2"/>
  <c r="R37" i="2"/>
  <c r="S37" i="2"/>
  <c r="T37" i="2"/>
  <c r="K41" i="2"/>
  <c r="L41" i="2"/>
  <c r="M41" i="2"/>
  <c r="N41" i="2"/>
  <c r="O41" i="2"/>
  <c r="P41" i="2"/>
  <c r="Q41" i="2"/>
  <c r="R41" i="2"/>
  <c r="S41" i="2"/>
  <c r="T41" i="2"/>
  <c r="K43" i="2"/>
  <c r="L43" i="2"/>
  <c r="M43" i="2"/>
  <c r="N43" i="2"/>
  <c r="O43" i="2"/>
  <c r="P43" i="2"/>
  <c r="Q43" i="2"/>
  <c r="R43" i="2"/>
  <c r="S43" i="2"/>
  <c r="T43" i="2"/>
  <c r="K46" i="2"/>
  <c r="L46" i="2"/>
  <c r="M46" i="2"/>
  <c r="N46" i="2"/>
  <c r="O46" i="2"/>
  <c r="P46" i="2"/>
  <c r="Q46" i="2"/>
  <c r="R46" i="2"/>
  <c r="S46" i="2"/>
  <c r="K53" i="2"/>
  <c r="L53" i="2"/>
  <c r="M53" i="2"/>
  <c r="N53" i="2"/>
  <c r="O53" i="2"/>
  <c r="P53" i="2"/>
  <c r="Q53" i="2"/>
  <c r="R53" i="2"/>
  <c r="S53" i="2"/>
  <c r="K55" i="2"/>
  <c r="L55" i="2"/>
  <c r="M55" i="2"/>
  <c r="N55" i="2"/>
  <c r="O55" i="2"/>
  <c r="P55" i="2"/>
  <c r="Q55" i="2"/>
  <c r="R55" i="2"/>
  <c r="S55" i="2"/>
  <c r="T55" i="2"/>
  <c r="K56" i="2"/>
  <c r="L56" i="2"/>
  <c r="M56" i="2"/>
  <c r="N56" i="2"/>
  <c r="O56" i="2"/>
  <c r="P56" i="2"/>
  <c r="Q56" i="2"/>
  <c r="R56" i="2"/>
  <c r="S56" i="2"/>
  <c r="T56" i="2"/>
  <c r="M71" i="2"/>
  <c r="N71" i="2"/>
  <c r="O71" i="2"/>
  <c r="P71" i="2"/>
  <c r="Q71" i="2"/>
  <c r="R71" i="2"/>
  <c r="S71" i="2"/>
  <c r="T71" i="2"/>
  <c r="L73" i="2"/>
  <c r="M73" i="2"/>
  <c r="N73" i="2"/>
  <c r="O73" i="2"/>
  <c r="P73" i="2"/>
  <c r="Q73" i="2"/>
  <c r="R73" i="2"/>
  <c r="S73" i="2"/>
  <c r="T73" i="2"/>
  <c r="L74" i="2"/>
  <c r="M74" i="2"/>
  <c r="N74" i="2"/>
  <c r="O74" i="2"/>
  <c r="P74" i="2"/>
  <c r="Q74" i="2"/>
  <c r="R74" i="2"/>
  <c r="S74" i="2"/>
  <c r="T74" i="2"/>
  <c r="L78" i="2"/>
  <c r="M78" i="2"/>
  <c r="N78" i="2"/>
  <c r="O78" i="2"/>
  <c r="P78" i="2"/>
  <c r="Q78" i="2"/>
  <c r="R78" i="2"/>
  <c r="S78" i="2"/>
  <c r="T78" i="2"/>
  <c r="L97" i="2"/>
  <c r="M97" i="2"/>
  <c r="N97" i="2"/>
  <c r="O97" i="2"/>
  <c r="P97" i="2"/>
  <c r="Q97" i="2"/>
  <c r="R97" i="2"/>
  <c r="S97" i="2"/>
  <c r="T97" i="2"/>
  <c r="K130" i="2"/>
  <c r="L130" i="2"/>
  <c r="M130" i="2"/>
  <c r="N130" i="2"/>
  <c r="O130" i="2"/>
  <c r="P130" i="2"/>
  <c r="Q130" i="2"/>
  <c r="R130" i="2"/>
  <c r="S130" i="2"/>
  <c r="T130" i="2"/>
  <c r="K155" i="2"/>
  <c r="L155" i="2"/>
  <c r="M155" i="2"/>
  <c r="N155" i="2"/>
  <c r="O155" i="2"/>
  <c r="P155" i="2"/>
  <c r="Q155" i="2"/>
  <c r="R155" i="2"/>
  <c r="S155" i="2"/>
  <c r="T155" i="2"/>
  <c r="K159" i="2"/>
  <c r="L159" i="2"/>
  <c r="M159" i="2"/>
  <c r="N159" i="2"/>
  <c r="O159" i="2"/>
  <c r="P159" i="2"/>
  <c r="Q159" i="2"/>
  <c r="R159" i="2"/>
  <c r="S159" i="2"/>
  <c r="T159" i="2"/>
  <c r="K163" i="2"/>
  <c r="L163" i="2"/>
  <c r="M163" i="2"/>
  <c r="N163" i="2"/>
  <c r="O163" i="2"/>
  <c r="P163" i="2"/>
  <c r="Q163" i="2"/>
  <c r="R163" i="2"/>
  <c r="S163" i="2"/>
  <c r="K167" i="2"/>
  <c r="L167" i="2"/>
  <c r="M167" i="2"/>
  <c r="N167" i="2"/>
  <c r="O167" i="2"/>
  <c r="P167" i="2"/>
  <c r="Q167" i="2"/>
  <c r="R167" i="2"/>
  <c r="S167" i="2"/>
  <c r="G8" i="3"/>
  <c r="H8" i="3"/>
  <c r="I8" i="3"/>
  <c r="J8" i="3"/>
  <c r="K8" i="3"/>
  <c r="L8" i="3"/>
  <c r="M8" i="3"/>
  <c r="N8" i="3"/>
  <c r="O8" i="3"/>
  <c r="G13" i="3"/>
  <c r="H13" i="3"/>
  <c r="I13" i="3"/>
  <c r="J13" i="3"/>
  <c r="K13" i="3"/>
  <c r="L13" i="3"/>
  <c r="M13" i="3"/>
  <c r="N13" i="3"/>
  <c r="O13" i="3"/>
  <c r="G14" i="3"/>
  <c r="H14" i="3"/>
  <c r="I14" i="3"/>
  <c r="J14" i="3"/>
  <c r="K14" i="3"/>
  <c r="L14" i="3"/>
  <c r="M14" i="3"/>
  <c r="N14" i="3"/>
  <c r="O14" i="3"/>
  <c r="G17" i="3"/>
  <c r="H17" i="3"/>
  <c r="I17" i="3"/>
  <c r="J17" i="3"/>
  <c r="K17" i="3"/>
  <c r="L17" i="3"/>
  <c r="M17" i="3"/>
  <c r="N17" i="3"/>
  <c r="O17" i="3"/>
  <c r="F21" i="3"/>
  <c r="G21" i="3"/>
  <c r="H21" i="3"/>
  <c r="I21" i="3"/>
  <c r="J21" i="3"/>
  <c r="K21" i="3"/>
  <c r="L21" i="3"/>
  <c r="M21" i="3"/>
  <c r="N21" i="3"/>
  <c r="O21" i="3"/>
  <c r="F23" i="3"/>
  <c r="G23" i="3"/>
  <c r="H23" i="3"/>
  <c r="I23" i="3"/>
  <c r="J23" i="3"/>
  <c r="K23" i="3"/>
  <c r="L23" i="3"/>
  <c r="M23" i="3"/>
  <c r="N23" i="3"/>
  <c r="O23" i="3"/>
  <c r="G26" i="3"/>
  <c r="H26" i="3"/>
  <c r="I26" i="3"/>
  <c r="J26" i="3"/>
  <c r="K26" i="3"/>
  <c r="L26" i="3"/>
  <c r="M26" i="3"/>
  <c r="N26" i="3"/>
  <c r="O26" i="3"/>
  <c r="F27" i="3"/>
  <c r="G27" i="3"/>
  <c r="H27" i="3"/>
  <c r="I27" i="3"/>
  <c r="J27" i="3"/>
  <c r="K27" i="3"/>
  <c r="L27" i="3"/>
  <c r="M27" i="3"/>
  <c r="N27" i="3"/>
  <c r="O27" i="3"/>
  <c r="F40" i="3"/>
  <c r="G40" i="3"/>
  <c r="H40" i="3"/>
  <c r="I40" i="3"/>
  <c r="J40" i="3"/>
  <c r="K40" i="3"/>
  <c r="L40" i="3"/>
  <c r="M40" i="3"/>
  <c r="N40" i="3"/>
  <c r="O40" i="3"/>
  <c r="G43" i="3"/>
  <c r="H43" i="3"/>
  <c r="I43" i="3"/>
  <c r="J43" i="3"/>
  <c r="K43" i="3"/>
  <c r="L43" i="3"/>
  <c r="M43" i="3"/>
  <c r="N43" i="3"/>
  <c r="O43" i="3"/>
  <c r="F44" i="3"/>
  <c r="G44" i="3"/>
  <c r="H44" i="3"/>
  <c r="I44" i="3"/>
  <c r="J44" i="3"/>
  <c r="K44" i="3"/>
  <c r="L44" i="3"/>
  <c r="M44" i="3"/>
  <c r="N44" i="3"/>
  <c r="O44" i="3"/>
  <c r="F45" i="3"/>
  <c r="G45" i="3"/>
  <c r="H45" i="3"/>
  <c r="I45" i="3"/>
  <c r="J45" i="3"/>
  <c r="K45" i="3"/>
  <c r="L45" i="3"/>
  <c r="M45" i="3"/>
  <c r="N45" i="3"/>
  <c r="O45" i="3"/>
  <c r="B8" i="11"/>
  <c r="C8" i="11"/>
  <c r="D8" i="11"/>
  <c r="E8" i="11"/>
  <c r="F8" i="11"/>
  <c r="G8" i="11"/>
  <c r="H8" i="11"/>
  <c r="I8" i="11"/>
  <c r="J8" i="11"/>
  <c r="K8" i="11"/>
  <c r="B10" i="11"/>
  <c r="C10" i="11"/>
  <c r="D10" i="11"/>
  <c r="E10" i="11"/>
  <c r="F10" i="11"/>
  <c r="G10" i="11"/>
  <c r="H10" i="11"/>
  <c r="I10" i="11"/>
  <c r="J10" i="11"/>
  <c r="K10" i="11"/>
  <c r="B11" i="11"/>
  <c r="C11" i="11"/>
  <c r="D11" i="11"/>
  <c r="E11" i="11"/>
  <c r="F11" i="11"/>
  <c r="G11" i="11"/>
  <c r="H11" i="11"/>
  <c r="I11" i="11"/>
  <c r="J11" i="11"/>
  <c r="K11" i="11"/>
  <c r="B13" i="11"/>
  <c r="C13" i="11"/>
  <c r="D13" i="11"/>
  <c r="E13" i="11"/>
  <c r="F13" i="11"/>
  <c r="G13" i="11"/>
  <c r="H13" i="11"/>
  <c r="I13" i="11"/>
  <c r="J13" i="11"/>
  <c r="K13" i="11"/>
  <c r="B14" i="11"/>
  <c r="C14" i="11"/>
  <c r="D14" i="11"/>
  <c r="E14" i="11"/>
  <c r="F14" i="11"/>
  <c r="G14" i="11"/>
  <c r="H14" i="11"/>
  <c r="I14" i="11"/>
  <c r="J14" i="11"/>
  <c r="K14" i="11"/>
  <c r="B15" i="11"/>
  <c r="C15" i="11"/>
  <c r="D15" i="11"/>
  <c r="E15" i="11"/>
  <c r="F15" i="11"/>
  <c r="G15" i="11"/>
  <c r="H15" i="11"/>
  <c r="I15" i="11"/>
  <c r="J15" i="11"/>
  <c r="K15" i="11"/>
  <c r="B17" i="11"/>
  <c r="C17" i="11"/>
  <c r="D17" i="11"/>
  <c r="E17" i="11"/>
  <c r="F17" i="11"/>
  <c r="G17" i="11"/>
  <c r="H17" i="11"/>
  <c r="I17" i="11"/>
  <c r="J17" i="11"/>
  <c r="K17" i="11"/>
  <c r="B18" i="11"/>
  <c r="B19" i="11"/>
  <c r="B20" i="11"/>
  <c r="F8" i="6"/>
  <c r="G8" i="6"/>
  <c r="H8" i="6"/>
  <c r="I8" i="6"/>
  <c r="J8" i="6"/>
  <c r="K8" i="6"/>
  <c r="L8" i="6"/>
  <c r="M8" i="6"/>
  <c r="N8" i="6"/>
  <c r="F10" i="6"/>
  <c r="G10" i="6"/>
  <c r="H10" i="6"/>
  <c r="I10" i="6"/>
  <c r="J10" i="6"/>
  <c r="K10" i="6"/>
  <c r="L10" i="6"/>
  <c r="M10" i="6"/>
  <c r="N10" i="6"/>
  <c r="F11" i="6"/>
  <c r="G11" i="6"/>
  <c r="H11" i="6"/>
  <c r="I11" i="6"/>
  <c r="J11" i="6"/>
  <c r="K11" i="6"/>
  <c r="L11" i="6"/>
  <c r="M11" i="6"/>
  <c r="N11" i="6"/>
  <c r="F12" i="6"/>
  <c r="G12" i="6"/>
  <c r="H12" i="6"/>
  <c r="I12" i="6"/>
  <c r="J12" i="6"/>
  <c r="K12" i="6"/>
  <c r="L12" i="6"/>
  <c r="M12" i="6"/>
  <c r="N12" i="6"/>
  <c r="F16" i="6"/>
  <c r="G16" i="6"/>
  <c r="H16" i="6"/>
  <c r="I16" i="6"/>
  <c r="J16" i="6"/>
  <c r="K16" i="6"/>
  <c r="L16" i="6"/>
  <c r="M16" i="6"/>
  <c r="N16" i="6"/>
  <c r="F24" i="6"/>
  <c r="G24" i="6"/>
  <c r="H24" i="6"/>
  <c r="I24" i="6"/>
  <c r="J24" i="6"/>
  <c r="K24" i="6"/>
  <c r="L24" i="6"/>
  <c r="M24" i="6"/>
  <c r="N24" i="6"/>
  <c r="F26" i="6"/>
  <c r="G26" i="6"/>
  <c r="H26" i="6"/>
  <c r="I26" i="6"/>
  <c r="J26" i="6"/>
  <c r="K26" i="6"/>
  <c r="L26" i="6"/>
  <c r="M26" i="6"/>
  <c r="N26" i="6"/>
  <c r="F30" i="6"/>
  <c r="F32" i="6"/>
  <c r="L15" i="1"/>
  <c r="M15" i="1"/>
  <c r="N15" i="1"/>
  <c r="O15" i="1"/>
  <c r="P15" i="1"/>
  <c r="Q15" i="1"/>
  <c r="R15" i="1"/>
  <c r="S15" i="1"/>
  <c r="T15" i="1"/>
  <c r="L18" i="1"/>
  <c r="M18" i="1"/>
  <c r="N18" i="1"/>
  <c r="O18" i="1"/>
  <c r="P18" i="1"/>
  <c r="Q18" i="1"/>
  <c r="R18" i="1"/>
  <c r="S18" i="1"/>
  <c r="T18" i="1"/>
  <c r="L20" i="1"/>
  <c r="M20" i="1"/>
  <c r="N20" i="1"/>
  <c r="O20" i="1"/>
  <c r="P20" i="1"/>
  <c r="Q20" i="1"/>
  <c r="R20" i="1"/>
  <c r="S20" i="1"/>
  <c r="T20" i="1"/>
  <c r="L27" i="1"/>
  <c r="M27" i="1"/>
  <c r="N27" i="1"/>
  <c r="O27" i="1"/>
  <c r="P27" i="1"/>
  <c r="Q27" i="1"/>
  <c r="R27" i="1"/>
  <c r="S27" i="1"/>
  <c r="T27" i="1"/>
  <c r="L29" i="1"/>
  <c r="M29" i="1"/>
  <c r="N29" i="1"/>
  <c r="O29" i="1"/>
  <c r="P29" i="1"/>
  <c r="Q29" i="1"/>
  <c r="R29" i="1"/>
  <c r="S29" i="1"/>
  <c r="T29" i="1"/>
  <c r="L30" i="1"/>
  <c r="M30" i="1"/>
  <c r="N30" i="1"/>
  <c r="O30" i="1"/>
  <c r="P30" i="1"/>
  <c r="Q30" i="1"/>
  <c r="R30" i="1"/>
  <c r="S30" i="1"/>
  <c r="T30" i="1"/>
  <c r="L33" i="1"/>
  <c r="M33" i="1"/>
  <c r="N33" i="1"/>
  <c r="O33" i="1"/>
  <c r="P33" i="1"/>
  <c r="Q33" i="1"/>
  <c r="R33" i="1"/>
  <c r="S33" i="1"/>
  <c r="T33" i="1"/>
  <c r="L37" i="1"/>
  <c r="M37" i="1"/>
  <c r="N37" i="1"/>
  <c r="O37" i="1"/>
  <c r="P37" i="1"/>
  <c r="Q37" i="1"/>
  <c r="R37" i="1"/>
  <c r="S37" i="1"/>
  <c r="T37" i="1"/>
  <c r="L39" i="1"/>
  <c r="M39" i="1"/>
  <c r="N39" i="1"/>
  <c r="O39" i="1"/>
  <c r="P39" i="1"/>
  <c r="Q39" i="1"/>
  <c r="R39" i="1"/>
  <c r="S39" i="1"/>
  <c r="T39" i="1"/>
  <c r="L40" i="1"/>
  <c r="M40" i="1"/>
  <c r="N40" i="1"/>
  <c r="O40" i="1"/>
  <c r="P40" i="1"/>
  <c r="Q40" i="1"/>
  <c r="R40" i="1"/>
  <c r="S40" i="1"/>
  <c r="T40" i="1"/>
  <c r="L41" i="1"/>
  <c r="M41" i="1"/>
  <c r="N41" i="1"/>
  <c r="O41" i="1"/>
  <c r="P41" i="1"/>
  <c r="Q41" i="1"/>
  <c r="R41" i="1"/>
  <c r="S41" i="1"/>
  <c r="T41" i="1"/>
  <c r="L92" i="1"/>
  <c r="M92" i="1"/>
  <c r="N92" i="1"/>
  <c r="O92" i="1"/>
  <c r="P92" i="1"/>
  <c r="Q92" i="1"/>
  <c r="R92" i="1"/>
  <c r="S92" i="1"/>
  <c r="T92" i="1"/>
  <c r="L94" i="1"/>
  <c r="M94" i="1"/>
  <c r="N94" i="1"/>
  <c r="O94" i="1"/>
  <c r="P94" i="1"/>
  <c r="Q94" i="1"/>
  <c r="R94" i="1"/>
  <c r="S94" i="1"/>
  <c r="T94" i="1"/>
  <c r="L96" i="1"/>
  <c r="M96" i="1"/>
  <c r="N96" i="1"/>
  <c r="O96" i="1"/>
  <c r="P96" i="1"/>
  <c r="Q96" i="1"/>
  <c r="R96" i="1"/>
  <c r="S96" i="1"/>
  <c r="T96" i="1"/>
  <c r="C9" i="14"/>
  <c r="D9" i="14"/>
  <c r="E9" i="14"/>
  <c r="F9" i="14"/>
  <c r="G9" i="14"/>
  <c r="H9" i="14"/>
  <c r="I9" i="14"/>
  <c r="J9" i="14"/>
  <c r="K9" i="14"/>
  <c r="C10" i="14"/>
  <c r="D10" i="14"/>
  <c r="E10" i="14"/>
  <c r="F10" i="14"/>
  <c r="G10" i="14"/>
  <c r="H10" i="14"/>
  <c r="I10" i="14"/>
  <c r="J10" i="14"/>
  <c r="C11" i="14"/>
  <c r="D11" i="14"/>
  <c r="E11" i="14"/>
  <c r="F11" i="14"/>
  <c r="G11" i="14"/>
  <c r="H11" i="14"/>
  <c r="I11" i="14"/>
  <c r="J11" i="14"/>
  <c r="K11" i="14"/>
  <c r="C12" i="14"/>
  <c r="D12" i="14"/>
  <c r="E12" i="14"/>
  <c r="F12" i="14"/>
  <c r="G12" i="14"/>
  <c r="H12" i="14"/>
  <c r="I12" i="14"/>
  <c r="J12" i="14"/>
  <c r="K12" i="14"/>
  <c r="C13" i="14"/>
  <c r="D13" i="14"/>
  <c r="E13" i="14"/>
  <c r="F13" i="14"/>
  <c r="G13" i="14"/>
  <c r="H13" i="14"/>
  <c r="I13" i="14"/>
  <c r="J13" i="14"/>
  <c r="K13" i="14"/>
  <c r="C14" i="14"/>
  <c r="D14" i="14"/>
  <c r="E14" i="14"/>
  <c r="F14" i="14"/>
  <c r="G14" i="14"/>
  <c r="H14" i="14"/>
  <c r="I14" i="14"/>
  <c r="J14" i="14"/>
  <c r="K14" i="14"/>
  <c r="C15" i="14"/>
  <c r="D15" i="14"/>
  <c r="E15" i="14"/>
  <c r="F15" i="14"/>
  <c r="G15" i="14"/>
  <c r="H15" i="14"/>
  <c r="I15" i="14"/>
  <c r="J15" i="14"/>
  <c r="K15" i="14"/>
  <c r="C19" i="14"/>
  <c r="D19" i="14"/>
  <c r="E19" i="14"/>
  <c r="F19" i="14"/>
  <c r="G19" i="14"/>
  <c r="H19" i="14"/>
  <c r="I19" i="14"/>
  <c r="J19" i="14"/>
  <c r="K19" i="14"/>
  <c r="C24" i="14"/>
  <c r="D24" i="14"/>
  <c r="E24" i="14"/>
  <c r="F24" i="14"/>
  <c r="G24" i="14"/>
  <c r="H24" i="14"/>
  <c r="I24" i="14"/>
  <c r="J24" i="14"/>
  <c r="K24" i="14"/>
  <c r="L24" i="14"/>
  <c r="M24" i="14"/>
  <c r="N24" i="14"/>
  <c r="C28" i="14"/>
  <c r="D28" i="14"/>
  <c r="E28" i="14"/>
  <c r="F28" i="14"/>
  <c r="G28" i="14"/>
  <c r="H28" i="14"/>
  <c r="I28" i="14"/>
  <c r="J28" i="14"/>
  <c r="K28" i="14"/>
  <c r="L28" i="14"/>
  <c r="M28" i="14"/>
  <c r="N28" i="14"/>
  <c r="C29" i="14"/>
  <c r="D29" i="14"/>
  <c r="E29" i="14"/>
  <c r="F29" i="14"/>
  <c r="G29" i="14"/>
  <c r="H29" i="14"/>
  <c r="I29" i="14"/>
  <c r="J29" i="14"/>
  <c r="K29" i="14"/>
  <c r="L29" i="14"/>
  <c r="M29" i="14"/>
  <c r="N29" i="14"/>
  <c r="C30" i="14"/>
  <c r="D30" i="14"/>
  <c r="E30" i="14"/>
  <c r="F30" i="14"/>
  <c r="G30" i="14"/>
  <c r="H30" i="14"/>
  <c r="I30" i="14"/>
  <c r="J30" i="14"/>
  <c r="K30" i="14"/>
  <c r="L30" i="14"/>
  <c r="M30" i="14"/>
  <c r="N30" i="14"/>
  <c r="C31" i="14"/>
  <c r="D31" i="14"/>
  <c r="E31" i="14"/>
  <c r="F31" i="14"/>
  <c r="G31" i="14"/>
  <c r="H31" i="14"/>
  <c r="I31" i="14"/>
  <c r="J31" i="14"/>
  <c r="K31" i="14"/>
  <c r="L31" i="14"/>
  <c r="M31" i="14"/>
  <c r="N31" i="14"/>
  <c r="C32" i="14"/>
  <c r="D32" i="14"/>
  <c r="E32" i="14"/>
  <c r="F32" i="14"/>
  <c r="G32" i="14"/>
  <c r="H32" i="14"/>
  <c r="I32" i="14"/>
  <c r="J32" i="14"/>
  <c r="K32" i="14"/>
  <c r="L32" i="14"/>
  <c r="M32" i="14"/>
  <c r="N32" i="14"/>
  <c r="C33" i="14"/>
  <c r="D33" i="14"/>
  <c r="E33" i="14"/>
  <c r="F33" i="14"/>
  <c r="G33" i="14"/>
  <c r="H33" i="14"/>
  <c r="I33" i="14"/>
  <c r="J33" i="14"/>
  <c r="K33" i="14"/>
  <c r="L33" i="14"/>
  <c r="M33" i="14"/>
  <c r="N33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Niket Thakkar</author>
  </authors>
  <commentList>
    <comment ref="L17" authorId="0" shapeId="0" xr:uid="{5A489BFA-1869-4082-998A-3579E9F9F555}">
      <text>
        <r>
          <rPr>
            <sz val="9"/>
            <color indexed="81"/>
            <rFont val="Tahoma"/>
            <family val="2"/>
          </rPr>
          <t>Chennai Plant (10,000 MTPA) is closed</t>
        </r>
      </text>
    </comment>
    <comment ref="K27" authorId="0" shapeId="0" xr:uid="{12EF2B80-6CD7-429E-A5F0-E92DF1E8E287}">
      <text>
        <r>
          <rPr>
            <sz val="9"/>
            <color indexed="81"/>
            <rFont val="Tahoma"/>
            <family val="2"/>
          </rPr>
          <t>Chennai Plant is closed</t>
        </r>
      </text>
    </comment>
    <comment ref="L55" authorId="0" shapeId="0" xr:uid="{69849169-3623-429A-909B-8384856B1C9D}">
      <text>
        <r>
          <rPr>
            <b/>
            <sz val="9"/>
            <color indexed="81"/>
            <rFont val="Tahoma"/>
            <family val="2"/>
          </rPr>
          <t>Niket Thakkar:</t>
        </r>
        <r>
          <rPr>
            <sz val="9"/>
            <color indexed="81"/>
            <rFont val="Tahoma"/>
            <family val="2"/>
          </rPr>
          <t xml:space="preserve">
Subject to confirmation from TEV</t>
        </r>
      </text>
    </comment>
    <comment ref="L124" authorId="0" shapeId="0" xr:uid="{BA328A46-3941-4F3B-A0A6-4EBA78D9F378}">
      <text>
        <r>
          <rPr>
            <b/>
            <sz val="9"/>
            <color indexed="81"/>
            <rFont val="Tahoma"/>
            <family val="2"/>
          </rPr>
          <t>Niket Thakkar:</t>
        </r>
        <r>
          <rPr>
            <sz val="9"/>
            <color indexed="81"/>
            <rFont val="Tahoma"/>
            <family val="2"/>
          </rPr>
          <t xml:space="preserve">
Assumed to be availed by 01.01.2025</t>
        </r>
      </text>
    </comment>
    <comment ref="L133" authorId="0" shapeId="0" xr:uid="{41E1A51E-2EF3-4E89-9076-4EFFEC5CEC9A}">
      <text>
        <r>
          <rPr>
            <b/>
            <sz val="9"/>
            <color indexed="81"/>
            <rFont val="Tahoma"/>
            <family val="2"/>
          </rPr>
          <t>Niket Thakkar:</t>
        </r>
        <r>
          <rPr>
            <sz val="9"/>
            <color indexed="81"/>
            <rFont val="Tahoma"/>
            <family val="2"/>
          </rPr>
          <t xml:space="preserve">
Assumed to be availed by 01.01.2025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Rishi Shah</author>
    <author>Niket Thakkar</author>
  </authors>
  <commentList>
    <comment ref="J7" authorId="0" shapeId="0" xr:uid="{749B2AAA-6E61-4C3A-B6BA-9CD7387399B6}">
      <text>
        <r>
          <rPr>
            <b/>
            <sz val="9"/>
            <color indexed="81"/>
            <rFont val="Tahoma"/>
            <family val="2"/>
          </rPr>
          <t>Rishi Shah:</t>
        </r>
        <r>
          <rPr>
            <sz val="9"/>
            <color indexed="81"/>
            <rFont val="Tahoma"/>
            <family val="2"/>
          </rPr>
          <t xml:space="preserve">
breakup of product sale and sale on service not provided</t>
        </r>
      </text>
    </comment>
    <comment ref="K23" authorId="1" shapeId="0" xr:uid="{AD8FFB2C-AEBE-4F93-97A3-AE9EF591147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The figure pertains to Fixed Assets Depreciation Sch, where Op Bal of some assets are not equal to closing bal of previous year.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Niket Thakkar</author>
    <author>Sagar Bhadra</author>
    <author>Rishi Shah</author>
  </authors>
  <commentList>
    <comment ref="K9" authorId="0" shapeId="0" xr:uid="{1EC0DE11-5481-4E7C-8C9A-0A7B077998AB}">
      <text>
        <r>
          <rPr>
            <b/>
            <sz val="9"/>
            <color indexed="81"/>
            <rFont val="Tahoma"/>
            <family val="2"/>
          </rPr>
          <t>Niket Thakkar:</t>
        </r>
        <r>
          <rPr>
            <sz val="9"/>
            <color indexed="81"/>
            <rFont val="Tahoma"/>
            <family val="2"/>
          </rPr>
          <t xml:space="preserve">
Post adjusment of balancing figure when compared with Provisional BS</t>
        </r>
      </text>
    </comment>
    <comment ref="C10" authorId="1" shapeId="0" xr:uid="{7EECF925-3AFA-4CBE-96C1-90F52E1CA54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11" authorId="1" shapeId="0" xr:uid="{CE3CC804-C49A-4C17-BA41-04F1479131AA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12" authorId="1" shapeId="0" xr:uid="{787DF550-B95C-4F71-B330-D55626BB5C2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14" authorId="1" shapeId="0" xr:uid="{50AAE5A6-4B92-4022-86CC-57FC01EF323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15" authorId="1" shapeId="0" xr:uid="{5FB2AF03-D2AD-47FE-A9C9-9B52A45D36A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16" authorId="1" shapeId="0" xr:uid="{8592CFA3-AA7C-4EC1-9B20-50C5912BCE3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20" authorId="1" shapeId="0" xr:uid="{9BC8326C-24B9-4D2C-847A-98220CDA69F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CFO</t>
        </r>
      </text>
    </comment>
    <comment ref="C23" authorId="1" shapeId="0" xr:uid="{5013D71D-C8A0-4734-8438-843660472E05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CFO</t>
        </r>
      </text>
    </comment>
    <comment ref="C28" authorId="1" shapeId="0" xr:uid="{B8C35637-1D4D-4FC0-A75C-6AADE60772C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29" authorId="1" shapeId="0" xr:uid="{82E5041D-3C43-4BBC-B40B-FC6339AA35C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CFI</t>
        </r>
      </text>
    </comment>
    <comment ref="C41" authorId="1" shapeId="0" xr:uid="{ADEC04AE-7FF9-4089-941E-1D6776DCCC5B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CFF</t>
        </r>
      </text>
    </comment>
    <comment ref="C42" authorId="1" shapeId="0" xr:uid="{FC14848A-B653-4C6B-B0F1-71D47046D228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CFF</t>
        </r>
      </text>
    </comment>
    <comment ref="C46" authorId="1" shapeId="0" xr:uid="{D126EBA9-2E25-43AD-92BA-35DB99337527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CFF</t>
        </r>
      </text>
    </comment>
    <comment ref="C47" authorId="1" shapeId="0" xr:uid="{08908679-9771-410F-87AA-2CC24FE0F383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CFO</t>
        </r>
      </text>
    </comment>
    <comment ref="C50" authorId="1" shapeId="0" xr:uid="{87064F83-A9C0-4F1C-9F9F-E2CB979048A6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CFO</t>
        </r>
      </text>
    </comment>
    <comment ref="C51" authorId="1" shapeId="0" xr:uid="{A25FE3B2-F4F0-4955-B65C-A701F2435F5D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CFF</t>
        </r>
      </text>
    </comment>
    <comment ref="C52" authorId="1" shapeId="0" xr:uid="{384A0448-97F2-47BA-AA44-E1380B40FFBE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CFF</t>
        </r>
      </text>
    </comment>
    <comment ref="J152" authorId="2" shapeId="0" xr:uid="{1CEC0D2B-2F0F-4F83-98A4-E7FAAA527E06}">
      <text>
        <r>
          <rPr>
            <b/>
            <sz val="9"/>
            <color indexed="81"/>
            <rFont val="Tahoma"/>
            <family val="2"/>
          </rPr>
          <t>Rishi Shah:</t>
        </r>
        <r>
          <rPr>
            <sz val="9"/>
            <color indexed="81"/>
            <rFont val="Tahoma"/>
            <family val="2"/>
          </rPr>
          <t xml:space="preserve">
not clear to which bank the loan is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Sagar Bhadra</author>
  </authors>
  <commentList>
    <comment ref="B19" authorId="0" shapeId="0" xr:uid="{32E096E5-EA22-4782-862F-7703C1E592DE}">
      <text>
        <r>
          <rPr>
            <b/>
            <sz val="9"/>
            <color indexed="81"/>
            <rFont val="Tahoma"/>
            <family val="2"/>
          </rPr>
          <t xml:space="preserve">Author:
</t>
        </r>
        <r>
          <rPr>
            <sz val="9"/>
            <color indexed="81"/>
            <rFont val="Tahoma"/>
            <family val="2"/>
          </rPr>
          <t>CY - LY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Niket Thakkar</author>
  </authors>
  <commentList>
    <comment ref="E134" authorId="0" shapeId="0" xr:uid="{21A6C93D-BABE-46F3-8B68-4BE600B96E6A}">
      <text>
        <r>
          <rPr>
            <b/>
            <sz val="9"/>
            <color indexed="81"/>
            <rFont val="Tahoma"/>
            <family val="2"/>
          </rPr>
          <t>Niket Thakkar:</t>
        </r>
        <r>
          <rPr>
            <sz val="9"/>
            <color indexed="81"/>
            <rFont val="Tahoma"/>
            <family val="2"/>
          </rPr>
          <t xml:space="preserve">
Not given,
Assumed to be 25.89%</t>
        </r>
      </text>
    </comment>
  </commentList>
</comments>
</file>

<file path=xl/sharedStrings.xml><?xml version="1.0" encoding="utf-8"?>
<sst xmlns="http://schemas.openxmlformats.org/spreadsheetml/2006/main" count="1106" uniqueCount="510">
  <si>
    <t>Particulars</t>
  </si>
  <si>
    <t>Cost of Materials Consumed</t>
  </si>
  <si>
    <t>Employee Cost</t>
  </si>
  <si>
    <t>Revenue from Operations</t>
  </si>
  <si>
    <t>Other Income</t>
  </si>
  <si>
    <t>Expenses</t>
  </si>
  <si>
    <t>Other Expenses</t>
  </si>
  <si>
    <t>Depreciation</t>
  </si>
  <si>
    <t>Tax Expense</t>
  </si>
  <si>
    <t>EBITDA Margin</t>
  </si>
  <si>
    <t>Net Profit Margin</t>
  </si>
  <si>
    <t>Revenue Growth Rate</t>
  </si>
  <si>
    <t>Non Current Assets</t>
  </si>
  <si>
    <t>Property, Plant &amp; Equipment</t>
  </si>
  <si>
    <t>Investments</t>
  </si>
  <si>
    <t>Current Assets</t>
  </si>
  <si>
    <t>Inventories</t>
  </si>
  <si>
    <t>Trade Receivables</t>
  </si>
  <si>
    <t>Cash &amp; Cash Equivalents</t>
  </si>
  <si>
    <t>Total Current Assets</t>
  </si>
  <si>
    <t>Total Assets</t>
  </si>
  <si>
    <t>Equity</t>
  </si>
  <si>
    <t>Equity Share Capital</t>
  </si>
  <si>
    <t>Reserves &amp; Surplus</t>
  </si>
  <si>
    <t>Total Equity</t>
  </si>
  <si>
    <t>Liabilities</t>
  </si>
  <si>
    <t>Non-Current Liabilities</t>
  </si>
  <si>
    <t>Others</t>
  </si>
  <si>
    <t>Total Non-Current Liabilities</t>
  </si>
  <si>
    <t>Current Liabilities</t>
  </si>
  <si>
    <t>Trade Payables</t>
  </si>
  <si>
    <t>Other Current Liabilities</t>
  </si>
  <si>
    <t>Total Current Liabilities</t>
  </si>
  <si>
    <t>Total Equity and Liabilities</t>
  </si>
  <si>
    <t>Core Current Assets</t>
  </si>
  <si>
    <t>Core Current Liabilities</t>
  </si>
  <si>
    <t>Core WC</t>
  </si>
  <si>
    <t>Changes in Core WC</t>
  </si>
  <si>
    <t>Cash Flow from Operating Activities</t>
  </si>
  <si>
    <t>Net Income</t>
  </si>
  <si>
    <t>Interest and finance charges</t>
  </si>
  <si>
    <t>Cash flow before WC changes</t>
  </si>
  <si>
    <t>Total Cash Flow from Operating activities (A)</t>
  </si>
  <si>
    <t>Total Cash Flow from Financing activities (B)</t>
  </si>
  <si>
    <t>Cash Flow from Investing Activities (LY-CY)</t>
  </si>
  <si>
    <t>Increase/ decrease in:</t>
  </si>
  <si>
    <t>Total Cash Flow from Investing activities (C)</t>
  </si>
  <si>
    <t>Closing Cash or Bank Balance</t>
  </si>
  <si>
    <t>Changes in Inventories</t>
  </si>
  <si>
    <t>Finance Costs</t>
  </si>
  <si>
    <t>Total Expenses</t>
  </si>
  <si>
    <t>Current Tax</t>
  </si>
  <si>
    <t>Deferred Tax</t>
  </si>
  <si>
    <t>Other Comprehensive Income</t>
  </si>
  <si>
    <t>Total Comprehensive Income</t>
  </si>
  <si>
    <t>Capital WIP</t>
  </si>
  <si>
    <t>Revenue From Operations</t>
  </si>
  <si>
    <t>Cost of Raw Materials Consumed</t>
  </si>
  <si>
    <t>Employees Benefit Expenses</t>
  </si>
  <si>
    <t>Sale of Product</t>
  </si>
  <si>
    <t>Sale of Services</t>
  </si>
  <si>
    <t>Opening Stock of Raw Materials</t>
  </si>
  <si>
    <t>Purchase of Stock in Trade</t>
  </si>
  <si>
    <t>Total Income</t>
  </si>
  <si>
    <t>WIP</t>
  </si>
  <si>
    <t>FG</t>
  </si>
  <si>
    <t>Closing Stock</t>
  </si>
  <si>
    <t>Opening Stock</t>
  </si>
  <si>
    <t>ESI Contribution</t>
  </si>
  <si>
    <t>PF ER Contribution</t>
  </si>
  <si>
    <t>Salary to Staff</t>
  </si>
  <si>
    <t>Wages</t>
  </si>
  <si>
    <t>Staff &amp; Workers Welfare</t>
  </si>
  <si>
    <t>Bonus</t>
  </si>
  <si>
    <t>Professional tax</t>
  </si>
  <si>
    <t>Gartuity Expenses</t>
  </si>
  <si>
    <t>Finance Cost</t>
  </si>
  <si>
    <t>Interest Expenses</t>
  </si>
  <si>
    <t>Bank Charges</t>
  </si>
  <si>
    <t>Operation and Other Expenses</t>
  </si>
  <si>
    <t>Manufacturing Expenses</t>
  </si>
  <si>
    <t>Administrative Expenses</t>
  </si>
  <si>
    <t>Selling &amp; Distribution Expenses</t>
  </si>
  <si>
    <t>Beginning Block</t>
  </si>
  <si>
    <t>Additions during the year</t>
  </si>
  <si>
    <t>Gross Block</t>
  </si>
  <si>
    <t>Accumulated Depreciation</t>
  </si>
  <si>
    <t>Net Block</t>
  </si>
  <si>
    <t>Plant &amp; Machinery</t>
  </si>
  <si>
    <t>Furniture &amp; Fixtures</t>
  </si>
  <si>
    <t>Dep</t>
  </si>
  <si>
    <t>Accumulated Dep</t>
  </si>
  <si>
    <t>Additions in FA</t>
  </si>
  <si>
    <t>Rate</t>
  </si>
  <si>
    <t>Land</t>
  </si>
  <si>
    <t>Other Auxulliary Equipment</t>
  </si>
  <si>
    <t>Fork Lift</t>
  </si>
  <si>
    <t>AC</t>
  </si>
  <si>
    <t>Computer</t>
  </si>
  <si>
    <t>Office Building &amp; Stores</t>
  </si>
  <si>
    <t>Vehicles</t>
  </si>
  <si>
    <t>Standalone Profit &amp; Loss Statement</t>
  </si>
  <si>
    <t>Sold during the year</t>
  </si>
  <si>
    <t>Freehold Land</t>
  </si>
  <si>
    <t>Leasehold Land</t>
  </si>
  <si>
    <t>Building &amp; Factory Shed</t>
  </si>
  <si>
    <t>Office Equipment</t>
  </si>
  <si>
    <t>Electrical installation</t>
  </si>
  <si>
    <t>Summary</t>
  </si>
  <si>
    <t>Freehold land</t>
  </si>
  <si>
    <t>Leasehold land</t>
  </si>
  <si>
    <t>Plant &amp; machinery</t>
  </si>
  <si>
    <t>Other Auxilliary</t>
  </si>
  <si>
    <t>Furniture and Fixtured</t>
  </si>
  <si>
    <t>Electrical Installation</t>
  </si>
  <si>
    <t>Telephone</t>
  </si>
  <si>
    <t>Other Auxulliary</t>
  </si>
  <si>
    <t>Furniture &amp; Fixture</t>
  </si>
  <si>
    <t>Laboratory Equipment</t>
  </si>
  <si>
    <t>Motor Cycle</t>
  </si>
  <si>
    <t>Motor Car</t>
  </si>
  <si>
    <t>Type writer</t>
  </si>
  <si>
    <t>Generator</t>
  </si>
  <si>
    <t>Truck</t>
  </si>
  <si>
    <t>Tractor</t>
  </si>
  <si>
    <t>Weigh Bridge</t>
  </si>
  <si>
    <t>Office Building &amp; Stores + Building &amp; Factory Shed</t>
  </si>
  <si>
    <t>Other Auxulliary Equipment + Lab + Generator + Weigh</t>
  </si>
  <si>
    <t>Fixed Asset</t>
  </si>
  <si>
    <t>Financial Assets</t>
  </si>
  <si>
    <t>Short Term Loans and Advances</t>
  </si>
  <si>
    <t>Other Sundry Creditors</t>
  </si>
  <si>
    <t>Long Term Borrowings</t>
  </si>
  <si>
    <t>Secured Loans</t>
  </si>
  <si>
    <t>ICICI Bank Ltd</t>
  </si>
  <si>
    <t>HDFC Bank</t>
  </si>
  <si>
    <t>Unsecured Loans</t>
  </si>
  <si>
    <t>Short Term Borrowings</t>
  </si>
  <si>
    <t>Secured Borrowings under consortium arrangement against hypothecation of stocks and book debts</t>
  </si>
  <si>
    <t>MSME</t>
  </si>
  <si>
    <t>Current maturities of Long term Debt</t>
  </si>
  <si>
    <t>Term Loan</t>
  </si>
  <si>
    <t>ICICI Bank</t>
  </si>
  <si>
    <t>Indusind</t>
  </si>
  <si>
    <t>HDFC</t>
  </si>
  <si>
    <t>Secured Loans against hypothecation of vehicles</t>
  </si>
  <si>
    <t>Axis Bank</t>
  </si>
  <si>
    <t>Toyota Finance</t>
  </si>
  <si>
    <t>Canara Bank</t>
  </si>
  <si>
    <t>Other Payables</t>
  </si>
  <si>
    <t>Audit Fees Payable</t>
  </si>
  <si>
    <t>GST Payable</t>
  </si>
  <si>
    <t>TDS Payable</t>
  </si>
  <si>
    <t>TCS Payable</t>
  </si>
  <si>
    <t>Professional Tax payable</t>
  </si>
  <si>
    <t>Short Term Provisions</t>
  </si>
  <si>
    <t>ESIC Payable</t>
  </si>
  <si>
    <t>Provident Fund Payable</t>
  </si>
  <si>
    <t>Provision for Income Tax</t>
  </si>
  <si>
    <t>(-) Income Tax paid</t>
  </si>
  <si>
    <t>Income Tax Payable</t>
  </si>
  <si>
    <t>Long Term Loans and Advances</t>
  </si>
  <si>
    <t>Security Deposits-Unsecured and considered good</t>
  </si>
  <si>
    <t>Non-Current Investments</t>
  </si>
  <si>
    <t>Investment in Govt Securities</t>
  </si>
  <si>
    <t>Investment in quoted shares &amp; MFs</t>
  </si>
  <si>
    <t>Investments in Gold</t>
  </si>
  <si>
    <t>Consumables, Spares and Packing Materials</t>
  </si>
  <si>
    <t>Raw Materials</t>
  </si>
  <si>
    <t>Stock in transit</t>
  </si>
  <si>
    <t>More than 6 months</t>
  </si>
  <si>
    <t>Cash in Hand</t>
  </si>
  <si>
    <t>Balances with Banks</t>
  </si>
  <si>
    <t>Margin Money</t>
  </si>
  <si>
    <t>Current A/c</t>
  </si>
  <si>
    <t>Advances recoverable in cash or kind or for value to be received</t>
  </si>
  <si>
    <t>Total</t>
  </si>
  <si>
    <t>Other Auxilliary Equipment</t>
  </si>
  <si>
    <t>Type writer &amp; Office equipment</t>
  </si>
  <si>
    <t>Sold During the year</t>
  </si>
  <si>
    <t>Intangible Assets</t>
  </si>
  <si>
    <t>Computer Software</t>
  </si>
  <si>
    <t>Additions</t>
  </si>
  <si>
    <t>(-) Accumulated Depreciation</t>
  </si>
  <si>
    <t>Ending Gross Block</t>
  </si>
  <si>
    <t>Managerial Remuneration</t>
  </si>
  <si>
    <t>Other Employee related expenses</t>
  </si>
  <si>
    <t>EBITDA</t>
  </si>
  <si>
    <t>EBIT</t>
  </si>
  <si>
    <t>Less: Taxes</t>
  </si>
  <si>
    <t>NOPAT</t>
  </si>
  <si>
    <t>Unlevered Free Cash Flow (UFCF)/ FCFF</t>
  </si>
  <si>
    <t>Valuation Date</t>
  </si>
  <si>
    <t>Period</t>
  </si>
  <si>
    <t>Discount Factor</t>
  </si>
  <si>
    <t>Terminal Value</t>
  </si>
  <si>
    <t>PV of FCFF</t>
  </si>
  <si>
    <t>PV of Terminal Value</t>
  </si>
  <si>
    <t>PV of FCFF + PV of TV</t>
  </si>
  <si>
    <t>PV of CF</t>
  </si>
  <si>
    <t>Gupta Power Infrastructure Limited</t>
  </si>
  <si>
    <t>Check</t>
  </si>
  <si>
    <t>Covid Emergency Credit Line</t>
  </si>
  <si>
    <t>HDFC Bank Ltd</t>
  </si>
  <si>
    <t>Axis Bank Ltd</t>
  </si>
  <si>
    <t>Indian Bank (Erstwhile Allhabad)</t>
  </si>
  <si>
    <t>Uco Bank</t>
  </si>
  <si>
    <t>Bank of Baroda</t>
  </si>
  <si>
    <t>Bank of India</t>
  </si>
  <si>
    <t>Punjab National Bank</t>
  </si>
  <si>
    <t>66 Yrs</t>
  </si>
  <si>
    <t>Telephone EPABX</t>
  </si>
  <si>
    <t>Revaluation during the year</t>
  </si>
  <si>
    <t>Revaluation</t>
  </si>
  <si>
    <t>Investment in JV</t>
  </si>
  <si>
    <t>Other Current Assets</t>
  </si>
  <si>
    <t>Authorised Share Capital</t>
  </si>
  <si>
    <t>Issued, Subscribed and Paid up Capital</t>
  </si>
  <si>
    <t>Other Equity</t>
  </si>
  <si>
    <t>Securities Premium Account</t>
  </si>
  <si>
    <t>Surplus in Statement of P&amp;L</t>
  </si>
  <si>
    <t>Less: Dividend</t>
  </si>
  <si>
    <t>Less: Dividend distribution tax</t>
  </si>
  <si>
    <t>Less: Income tax earlier adjusted</t>
  </si>
  <si>
    <t>Balance carried to Balance Sheet</t>
  </si>
  <si>
    <t>Opening Balance</t>
  </si>
  <si>
    <t>Deletions / Transfer</t>
  </si>
  <si>
    <t>Closing Balance</t>
  </si>
  <si>
    <t>Add/(Less): Other Comprehensive Income</t>
  </si>
  <si>
    <t>Add/(Loss): Profit/(Loss) for the year</t>
  </si>
  <si>
    <t>Revaluation Reserve</t>
  </si>
  <si>
    <t>Audited</t>
  </si>
  <si>
    <t>Provisional</t>
  </si>
  <si>
    <t>Depreciation &amp; Amortization</t>
  </si>
  <si>
    <t>Total Sales</t>
  </si>
  <si>
    <t>Sr. No.</t>
  </si>
  <si>
    <t>Name</t>
  </si>
  <si>
    <t>No. of Shares</t>
  </si>
  <si>
    <t>Holding %</t>
  </si>
  <si>
    <t>Kiran Devi Gupta</t>
  </si>
  <si>
    <t>Mahendra Kumar Gupta</t>
  </si>
  <si>
    <t>Padma Devi Gupta</t>
  </si>
  <si>
    <t>Jitendra Mohan Gupta</t>
  </si>
  <si>
    <t>Abhishek Gupta</t>
  </si>
  <si>
    <t>Mahendra Kumar Gupta (HUF)</t>
  </si>
  <si>
    <t>Ritu Gupta</t>
  </si>
  <si>
    <t>Pooja Gupta</t>
  </si>
  <si>
    <t>Adi Narayan Gupta (HUF)</t>
  </si>
  <si>
    <t>Kunj Gupta</t>
  </si>
  <si>
    <t>Sunita Gupta</t>
  </si>
  <si>
    <t>Adi Narayan Gupta</t>
  </si>
  <si>
    <t>Promoter Shareholding Pattern</t>
  </si>
  <si>
    <t>Paid Up Capital Shares  &gt;&gt;</t>
  </si>
  <si>
    <t>Sub Total</t>
  </si>
  <si>
    <t>Vehicles loans</t>
  </si>
  <si>
    <t>Other</t>
  </si>
  <si>
    <t>PPE</t>
  </si>
  <si>
    <t xml:space="preserve">Intangible </t>
  </si>
  <si>
    <t>Diff</t>
  </si>
  <si>
    <t>Inventory Days</t>
  </si>
  <si>
    <t>P&amp;L Indicators</t>
  </si>
  <si>
    <t>Balance Sheet Indicators</t>
  </si>
  <si>
    <t>Total Borrowings</t>
  </si>
  <si>
    <t>TOL</t>
  </si>
  <si>
    <t>Net Fixed Assets</t>
  </si>
  <si>
    <t>Ratios</t>
  </si>
  <si>
    <t>TOL/TNW</t>
  </si>
  <si>
    <t>Total Secured Debt/ Equity</t>
  </si>
  <si>
    <t>DSCR</t>
  </si>
  <si>
    <t>PAT</t>
  </si>
  <si>
    <t>Add: Finance Cost</t>
  </si>
  <si>
    <t>Total (A)</t>
  </si>
  <si>
    <t>Debt Serice/ Obligation</t>
  </si>
  <si>
    <t>Interest</t>
  </si>
  <si>
    <t>Total (B)</t>
  </si>
  <si>
    <t>DSCR (A/B)</t>
  </si>
  <si>
    <t>Add: Depreciation</t>
  </si>
  <si>
    <t>Loan Repayment</t>
  </si>
  <si>
    <t>Sale of Product % to Total Sales</t>
  </si>
  <si>
    <t>Capex Assumptions</t>
  </si>
  <si>
    <t>Debt Assumptions</t>
  </si>
  <si>
    <t>Rate of Interest (p.a.)</t>
  </si>
  <si>
    <t>%</t>
  </si>
  <si>
    <t>Repayment Schedule</t>
  </si>
  <si>
    <t>Taxation Assumptions</t>
  </si>
  <si>
    <t>Direct Tax</t>
  </si>
  <si>
    <t>MAT</t>
  </si>
  <si>
    <t>% of Revenue</t>
  </si>
  <si>
    <t>Capex (Plant &amp; Machinery)</t>
  </si>
  <si>
    <t>WC Assessment</t>
  </si>
  <si>
    <t>Working Capital Gap</t>
  </si>
  <si>
    <t xml:space="preserve">WCTL </t>
  </si>
  <si>
    <t>Adjustments for Provisional</t>
  </si>
  <si>
    <t>Net Block as appearing in Provisional</t>
  </si>
  <si>
    <t>Net Block Post Adjustment</t>
  </si>
  <si>
    <t>Revenue</t>
  </si>
  <si>
    <t>Sustainable Debt</t>
  </si>
  <si>
    <t>Schedule to Link below Figures in Balance Sheet</t>
  </si>
  <si>
    <t>OCD/NCD</t>
  </si>
  <si>
    <t>Increase/Decrease:</t>
  </si>
  <si>
    <t>WCTL</t>
  </si>
  <si>
    <t>Deletions</t>
  </si>
  <si>
    <t>Rationale:</t>
  </si>
  <si>
    <t>WCTL Interest</t>
  </si>
  <si>
    <t>Projected</t>
  </si>
  <si>
    <t>Extra Ordinary Item</t>
  </si>
  <si>
    <t>Exceptional Items/Prior Period Item</t>
  </si>
  <si>
    <t>Repayment</t>
  </si>
  <si>
    <t>Redemption Schedule</t>
  </si>
  <si>
    <t>Redemption</t>
  </si>
  <si>
    <t>Interest Payment</t>
  </si>
  <si>
    <t>Coupon Payment</t>
  </si>
  <si>
    <t>Debt O/s as on 31st March 2024</t>
  </si>
  <si>
    <t>As per Company</t>
  </si>
  <si>
    <t>As per Canara Bank's PIM</t>
  </si>
  <si>
    <t>Diff. to be charged to P&amp;L</t>
  </si>
  <si>
    <t>Sustainable Debt - WCL</t>
  </si>
  <si>
    <t>Unsustainable Debt - OCD/NCD</t>
  </si>
  <si>
    <t>Repayments during the year</t>
  </si>
  <si>
    <t>Profit Before Tax</t>
  </si>
  <si>
    <t>Profit Before Tax and Exceptional Items</t>
  </si>
  <si>
    <t>Extra Ordinary Item - Debt</t>
  </si>
  <si>
    <t>LT</t>
  </si>
  <si>
    <t>ST</t>
  </si>
  <si>
    <t>WCTL Loan to be raised</t>
  </si>
  <si>
    <t>FY 33</t>
  </si>
  <si>
    <t>Margin</t>
  </si>
  <si>
    <t>WC Gap post Margin money</t>
  </si>
  <si>
    <t>Growth Rate</t>
  </si>
  <si>
    <t>CAPEX Loan</t>
  </si>
  <si>
    <t>CAPEX Interest</t>
  </si>
  <si>
    <t>OCD /NCD</t>
  </si>
  <si>
    <t>Op Bal</t>
  </si>
  <si>
    <t>Closing Bal</t>
  </si>
  <si>
    <t>Total of Interest Expenses</t>
  </si>
  <si>
    <t>Bifurcation of Existing debt into sustainable/unsustainable portion</t>
  </si>
  <si>
    <t>Trade Receivables (Fresh)</t>
  </si>
  <si>
    <t>Trade Receivables (old &amp; considered good)</t>
  </si>
  <si>
    <t>Inventories (Fresh)</t>
  </si>
  <si>
    <t>Inventories (Old)</t>
  </si>
  <si>
    <t>Trade Receivables (Old)</t>
  </si>
  <si>
    <t>Extra Ordinary Item - WC</t>
  </si>
  <si>
    <t>Rs. Crore</t>
  </si>
  <si>
    <t>Salvage %</t>
  </si>
  <si>
    <t>FIRM VALUE</t>
  </si>
  <si>
    <t>Units</t>
  </si>
  <si>
    <t>Revenue Assumptions</t>
  </si>
  <si>
    <t>Standalone Balance Sheet</t>
  </si>
  <si>
    <t>Cost Assumptions</t>
  </si>
  <si>
    <t>Working Capital changes</t>
  </si>
  <si>
    <t>Amount</t>
  </si>
  <si>
    <t>(Unless otherwise specified, all financials are in INR Crore)</t>
  </si>
  <si>
    <t>WC Assumptions</t>
  </si>
  <si>
    <t>Total Current Liabilities (Excl ST Borrowings)</t>
  </si>
  <si>
    <t>Total Current Assets (Excl Cash)</t>
  </si>
  <si>
    <t># days</t>
  </si>
  <si>
    <t>Coupon Rate</t>
  </si>
  <si>
    <t>Unsustainable Debt [OCD/NCD]</t>
  </si>
  <si>
    <t>Sustainable Debt [WC Limits]</t>
  </si>
  <si>
    <t>Fresh Funding</t>
  </si>
  <si>
    <t>Existing Debt</t>
  </si>
  <si>
    <t>Closing Balances</t>
  </si>
  <si>
    <t>DPO  [Refer Crisil dt. 03-Jan-2020]</t>
  </si>
  <si>
    <t>DIO  [Refer Crisil dt. 03-Jan-2020]</t>
  </si>
  <si>
    <t>DSO  [Refer Crisil dt. 03-Jan-2020]</t>
  </si>
  <si>
    <t>Working Capital</t>
  </si>
  <si>
    <t>Total Cash Flow Available for Debt Service</t>
  </si>
  <si>
    <t>Total Outflow</t>
  </si>
  <si>
    <t>Min DSCR</t>
  </si>
  <si>
    <t>Avg DSCR</t>
  </si>
  <si>
    <t>Calculation of Debt Service Coverage Ratio (DSCR)</t>
  </si>
  <si>
    <t>Debt Repayment</t>
  </si>
  <si>
    <t>&lt;- Average of last 4 historical years (FY19 to FY22)</t>
  </si>
  <si>
    <t>&lt;- 5% Y-o-Y increase from FY27 onwards</t>
  </si>
  <si>
    <t>&lt;- Rs.40 Cr, Rs.40 Cr and Rs.50 Cr for FY24, FY25 and FY26 respectively</t>
  </si>
  <si>
    <t>&lt;- Rs.400 Cr, Rs.300 Cr and Rs.1,500 Cr for FY24, FY25 and FY26 respectively</t>
  </si>
  <si>
    <t>Less: Closing Stock of Raw Material</t>
  </si>
  <si>
    <t>Less: Quantity Discount Received</t>
  </si>
  <si>
    <t>Total Non Current Assets</t>
  </si>
  <si>
    <t>Deferred Tax Liabilities</t>
  </si>
  <si>
    <t>Short Term Loans &amp; Advances</t>
  </si>
  <si>
    <t>Long Term Loans &amp; Advances</t>
  </si>
  <si>
    <t>Deferred Tax Assets</t>
  </si>
  <si>
    <t>Intangible Assets under development</t>
  </si>
  <si>
    <t>Less than 6 months</t>
  </si>
  <si>
    <t>Write-off of Trade Receivables, Inventories &amp; Trade Payables</t>
  </si>
  <si>
    <t>Diff. in o/s Debt as on 31st March 2024 as per CB's PIM</t>
  </si>
  <si>
    <t>Profit After Tax from Continuing Operations</t>
  </si>
  <si>
    <t>Schedules to P&amp;L</t>
  </si>
  <si>
    <t>Schedules to BS</t>
  </si>
  <si>
    <t>WCL</t>
  </si>
  <si>
    <t>Cash Flow from Financing Activities</t>
  </si>
  <si>
    <t>Net Cashflow</t>
  </si>
  <si>
    <t>Cash Balance</t>
  </si>
  <si>
    <t>Opening Cash or Bank Balance</t>
  </si>
  <si>
    <t>(Unless otherwise specified, all financials are in INR Lakhs)</t>
  </si>
  <si>
    <t>Adjustments</t>
  </si>
  <si>
    <t>Total Tangible Assets</t>
  </si>
  <si>
    <t>TANGIBLE ASSETS</t>
  </si>
  <si>
    <t>INTANGIBLE ASSETS</t>
  </si>
  <si>
    <t>Less: Depreciation</t>
  </si>
  <si>
    <t>Discount Rate (WACC)</t>
  </si>
  <si>
    <t>DCF Valuation using Free Cash Flow to Firm (FCFF)</t>
  </si>
  <si>
    <t>Add/(Less): Change in WC</t>
  </si>
  <si>
    <t>Less: Capex</t>
  </si>
  <si>
    <t>Enterprise Value</t>
  </si>
  <si>
    <t>Total (Rs. Crore)</t>
  </si>
  <si>
    <t>Total Loan O/s as on 31.03.2024</t>
  </si>
  <si>
    <t>Net COGS</t>
  </si>
  <si>
    <t>&lt;- Rs.15 Cr each for FY24 and FY25 respectively and Rs.26 Cr for FY 26</t>
  </si>
  <si>
    <t>India Power Corporation Ltd</t>
  </si>
  <si>
    <t>Tirupati Conductors Pvt Ltd</t>
  </si>
  <si>
    <t>Kunj Alloys Pvt Ltd</t>
  </si>
  <si>
    <t>Gupta Power Technologies Pvt Ltd</t>
  </si>
  <si>
    <t>Opening Debtors as on Mar'23 (P)</t>
  </si>
  <si>
    <t>Probability of Realisation</t>
  </si>
  <si>
    <t>Net</t>
  </si>
  <si>
    <t>Net Realisable Debtors</t>
  </si>
  <si>
    <t>Debtors Assumptions</t>
  </si>
  <si>
    <t>Sub-total</t>
  </si>
  <si>
    <t>Less: Debtors considered as misleading/overstated as per Forensic Audit Report:</t>
  </si>
  <si>
    <t>Less:Debtors more than 6 months old</t>
  </si>
  <si>
    <t>Capacity Assumptions</t>
  </si>
  <si>
    <t>Installed Capacity</t>
  </si>
  <si>
    <t>Wire Rod, Conductors, and Cables, (Alumininum + Alloy + Copper)</t>
  </si>
  <si>
    <t>Capacity Utilisation</t>
  </si>
  <si>
    <t>MTPA</t>
  </si>
  <si>
    <t>Growth Rate in Avg SP</t>
  </si>
  <si>
    <t>Rs.</t>
  </si>
  <si>
    <t>Average SP Per MT</t>
  </si>
  <si>
    <t>CFS</t>
  </si>
  <si>
    <t>EV</t>
  </si>
  <si>
    <t xml:space="preserve">EBITDA </t>
  </si>
  <si>
    <t>Net Cash generated during the year</t>
  </si>
  <si>
    <t>FCFF</t>
  </si>
  <si>
    <t>Revenue for FY2024 basis</t>
  </si>
  <si>
    <t>working capital days basis</t>
  </si>
  <si>
    <t>2 step interest rate</t>
  </si>
  <si>
    <t>Discount Rate basis</t>
  </si>
  <si>
    <t>Estimated</t>
  </si>
  <si>
    <t>Polycab</t>
  </si>
  <si>
    <t>Debtor</t>
  </si>
  <si>
    <t xml:space="preserve">Inventory </t>
  </si>
  <si>
    <t>Payables</t>
  </si>
  <si>
    <t>WC Days</t>
  </si>
  <si>
    <t>KEI</t>
  </si>
  <si>
    <t>RR Kabel</t>
  </si>
  <si>
    <t>FY2023</t>
  </si>
  <si>
    <t>GPIL</t>
  </si>
  <si>
    <t>03.01.2020</t>
  </si>
  <si>
    <t>31.12.2018</t>
  </si>
  <si>
    <t>Crisil Rating Dated</t>
  </si>
  <si>
    <t>PBT</t>
  </si>
  <si>
    <t>Profit before Tax &amp; Exceptional Items</t>
  </si>
  <si>
    <t>Capex Calculation</t>
  </si>
  <si>
    <t>Khurda</t>
  </si>
  <si>
    <t>Kashipur</t>
  </si>
  <si>
    <t>Chennai</t>
  </si>
  <si>
    <t>FMV</t>
  </si>
  <si>
    <t>Capex Required</t>
  </si>
  <si>
    <t>No Assessment Possible</t>
  </si>
  <si>
    <t>No Capex Required as the plant was running</t>
  </si>
  <si>
    <t>-</t>
  </si>
  <si>
    <t>Total Capex Required</t>
  </si>
  <si>
    <t>Approx</t>
  </si>
  <si>
    <t>Average</t>
  </si>
  <si>
    <t>EBIT Margin</t>
  </si>
  <si>
    <t>Revenue Growth</t>
  </si>
  <si>
    <t>Max DSCR</t>
  </si>
  <si>
    <t>RATIO ANALYSIS</t>
  </si>
  <si>
    <t>Cost of Sales</t>
  </si>
  <si>
    <t>Inventory</t>
  </si>
  <si>
    <t>Total Receivables</t>
  </si>
  <si>
    <t>Total Payables</t>
  </si>
  <si>
    <t>Capital Employed</t>
  </si>
  <si>
    <t>Maximum</t>
  </si>
  <si>
    <t>Minimum</t>
  </si>
  <si>
    <t>Current Ratio</t>
  </si>
  <si>
    <t>Inventory Turnover Ratio</t>
  </si>
  <si>
    <t>Receivables Turnover Ratio</t>
  </si>
  <si>
    <t>Payables Turnover Ratio</t>
  </si>
  <si>
    <t>Total Assets Turnover Ratio</t>
  </si>
  <si>
    <t xml:space="preserve">ROCE </t>
  </si>
  <si>
    <t>Interest Coverage Ratio</t>
  </si>
  <si>
    <t>PAT Margin</t>
  </si>
  <si>
    <t>Misc Fixed Asset</t>
  </si>
  <si>
    <t>Year</t>
  </si>
  <si>
    <t>Capacity Utilization %</t>
  </si>
  <si>
    <t>Annual Production (MTPA)</t>
  </si>
  <si>
    <t>Installed Capacity (MTPA)</t>
  </si>
  <si>
    <r>
      <rPr>
        <b/>
        <sz val="11"/>
        <color theme="1"/>
        <rFont val="Calibri"/>
        <family val="2"/>
        <scheme val="minor"/>
      </rPr>
      <t>Less:</t>
    </r>
    <r>
      <rPr>
        <sz val="11"/>
        <color theme="1"/>
        <rFont val="Calibri"/>
        <family val="2"/>
        <scheme val="minor"/>
      </rPr>
      <t xml:space="preserve"> Debtors considered as misleading/overstated as per Forensic Audit Report:</t>
    </r>
  </si>
  <si>
    <r>
      <rPr>
        <b/>
        <sz val="11"/>
        <color theme="1"/>
        <rFont val="Calibri"/>
        <family val="2"/>
        <scheme val="minor"/>
      </rPr>
      <t>Less:</t>
    </r>
    <r>
      <rPr>
        <sz val="11"/>
        <color theme="1"/>
        <rFont val="Calibri"/>
        <family val="2"/>
        <scheme val="minor"/>
      </rPr>
      <t xml:space="preserve"> Debtors more than 6 months old</t>
    </r>
  </si>
  <si>
    <t>Amount in INR Cr.</t>
  </si>
  <si>
    <t>Name of the Creditor</t>
  </si>
  <si>
    <t xml:space="preserve">NATIONAL ALUMINIUM COMPANY LTD. </t>
  </si>
  <si>
    <t>HINDALCO INDUSTRIES</t>
  </si>
  <si>
    <t xml:space="preserve">BHARAT ALUMINIUM COMPANY LTD. </t>
  </si>
  <si>
    <t>KKALPANA INDUSTRIES INDIA LTD.</t>
  </si>
  <si>
    <t xml:space="preserve">VEDANTA LIMITED </t>
  </si>
  <si>
    <t>KRITIKA WIRES LIMITED</t>
  </si>
  <si>
    <t>YASH POLY INDUSTRIES</t>
  </si>
  <si>
    <t xml:space="preserve">RASHTRIYA METAL INDUSTRIES </t>
  </si>
  <si>
    <t>S. No.</t>
  </si>
  <si>
    <t>Products Offered</t>
  </si>
  <si>
    <t>PVC Compound, PVC Master batches,PP Fibrillated Yarns and PVC Fillers</t>
  </si>
  <si>
    <t>Aluminium Wire Rods and Ingots</t>
  </si>
  <si>
    <t>LDPE, HDPE, PP Granules</t>
  </si>
  <si>
    <t>Aluminium &amp; Copper</t>
  </si>
  <si>
    <t>Steel Wire and Galvanized Wire</t>
  </si>
  <si>
    <t>Aluminium Products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</si>
</sst>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 * #,##0.00_ ;_ * \-#,##0.00_ ;_ * &quot;-&quot;??_ ;_ @_ "/>
    <numFmt numFmtId="164" formatCode="_-* #,##0.00_-;\-* #,##0.00_-;_-* &quot;-&quot;??_-;_-@_-"/>
    <numFmt numFmtId="165" formatCode="[$-409]dd\-mmm\-yy;@"/>
    <numFmt numFmtId="166" formatCode="0.00_);\(0.00\)"/>
    <numFmt numFmtId="167" formatCode="0.00_)"/>
    <numFmt numFmtId="168" formatCode="_(* #,##0_);_(* \(#,##0\);_(* &quot;&quot;_);_(@_)"/>
    <numFmt numFmtId="169" formatCode="_([$€]* #,##0.00_);_([$€]* \(#,##0.00\);_([$€]* &quot;-&quot;??_);_(@_)"/>
    <numFmt numFmtId="170" formatCode="0.0%"/>
    <numFmt numFmtId="171" formatCode="_ &quot;Rs.&quot;\ * #,##0.00_ ;_ &quot;Rs.&quot;\ * \-#,##0.00_ ;_ &quot;Rs.&quot;\ * &quot;-&quot;??_ ;_ @_ "/>
    <numFmt numFmtId="172" formatCode="_(* #,##0.000_);_(* \(#,##0.000\);_(* &quot;-&quot;??_);_(@_)"/>
    <numFmt numFmtId="173" formatCode="_(* #,##0.0_);_(* \(#,##0.0\);_(* &quot;-&quot;?_);_(@_)"/>
    <numFmt numFmtId="174" formatCode="#,##0.00;\ \(#,##0.00\)"/>
    <numFmt numFmtId="175" formatCode="_ * #,##0_ ;_ * \-#,##0_ ;_ * &quot;-&quot;??_ ;_ @_ "/>
    <numFmt numFmtId="176" formatCode="[$-409]d\-mmm\-yy;@"/>
    <numFmt numFmtId="177" formatCode="[$-409]dd/mmm/yy;@"/>
    <numFmt numFmtId="178" formatCode="0.0"/>
    <numFmt numFmtId="179" formatCode="&quot;FY&quot;\ 0\ &quot;E&quot;"/>
  </numFmts>
  <fonts count="9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u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2"/>
      <name val="Tms Rmn"/>
    </font>
    <font>
      <b/>
      <sz val="10"/>
      <name val="Times New Roman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Courier New"/>
      <family val="3"/>
    </font>
    <font>
      <sz val="8"/>
      <name val="Verdana"/>
      <family val="2"/>
    </font>
    <font>
      <sz val="10"/>
      <name val="Verdan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name val="MS Sans Serif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2"/>
      <name val="Helv"/>
    </font>
    <font>
      <sz val="12"/>
      <name val="Courier"/>
      <family val="3"/>
    </font>
    <font>
      <b/>
      <sz val="11"/>
      <color indexed="63"/>
      <name val="Calibri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Times New Roman"/>
      <family val="1"/>
    </font>
    <font>
      <sz val="10"/>
      <color indexed="0"/>
      <name val="Arial"/>
      <family val="2"/>
    </font>
    <font>
      <b/>
      <sz val="10"/>
      <color indexed="17"/>
      <name val="Times New Roman"/>
      <family val="1"/>
    </font>
    <font>
      <sz val="18"/>
      <color indexed="8"/>
      <name val="Courier"/>
      <family val="3"/>
    </font>
    <font>
      <sz val="8"/>
      <color indexed="8"/>
      <name val="Courier"/>
      <family val="3"/>
    </font>
    <font>
      <i/>
      <sz val="12"/>
      <color indexed="8"/>
      <name val="Courier"/>
      <family val="3"/>
    </font>
    <font>
      <sz val="12"/>
      <color indexed="8"/>
      <name val="Courier"/>
      <family val="3"/>
    </font>
    <font>
      <b/>
      <sz val="8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sz val="10"/>
      <name val="Courier"/>
      <family val="3"/>
    </font>
    <font>
      <sz val="6"/>
      <name val="Courier"/>
      <family val="3"/>
    </font>
    <font>
      <sz val="8"/>
      <color indexed="17"/>
      <name val="Times New Roman"/>
      <family val="1"/>
    </font>
    <font>
      <sz val="8"/>
      <color indexed="12"/>
      <name val="Times New Roman"/>
      <family val="1"/>
    </font>
    <font>
      <sz val="10"/>
      <name val="Times New Roman"/>
      <family val="1"/>
    </font>
    <font>
      <b/>
      <i/>
      <sz val="10"/>
      <name val="Arial Narrow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2"/>
    </font>
    <font>
      <i/>
      <sz val="1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i/>
      <sz val="1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314">
    <xf numFmtId="0" fontId="0" fillId="0" borderId="0"/>
    <xf numFmtId="0" fontId="4" fillId="0" borderId="0"/>
    <xf numFmtId="16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43" fontId="1" fillId="0" borderId="0" applyFont="0" applyFill="0" applyBorder="0" applyAlignment="0" applyProtection="0"/>
    <xf numFmtId="165" fontId="19" fillId="5" borderId="0" applyNumberFormat="0" applyBorder="0" applyAlignment="0" applyProtection="0"/>
    <xf numFmtId="165" fontId="19" fillId="6" borderId="0" applyNumberFormat="0" applyBorder="0" applyAlignment="0" applyProtection="0"/>
    <xf numFmtId="165" fontId="19" fillId="7" borderId="0" applyNumberFormat="0" applyBorder="0" applyAlignment="0" applyProtection="0"/>
    <xf numFmtId="165" fontId="19" fillId="8" borderId="0" applyNumberFormat="0" applyBorder="0" applyAlignment="0" applyProtection="0"/>
    <xf numFmtId="165" fontId="19" fillId="9" borderId="0" applyNumberFormat="0" applyBorder="0" applyAlignment="0" applyProtection="0"/>
    <xf numFmtId="165" fontId="19" fillId="10" borderId="0" applyNumberFormat="0" applyBorder="0" applyAlignment="0" applyProtection="0"/>
    <xf numFmtId="165" fontId="19" fillId="11" borderId="0" applyNumberFormat="0" applyBorder="0" applyAlignment="0" applyProtection="0"/>
    <xf numFmtId="165" fontId="19" fillId="12" borderId="0" applyNumberFormat="0" applyBorder="0" applyAlignment="0" applyProtection="0"/>
    <xf numFmtId="165" fontId="19" fillId="13" borderId="0" applyNumberFormat="0" applyBorder="0" applyAlignment="0" applyProtection="0"/>
    <xf numFmtId="165" fontId="19" fillId="8" borderId="0" applyNumberFormat="0" applyBorder="0" applyAlignment="0" applyProtection="0"/>
    <xf numFmtId="165" fontId="19" fillId="11" borderId="0" applyNumberFormat="0" applyBorder="0" applyAlignment="0" applyProtection="0"/>
    <xf numFmtId="165" fontId="19" fillId="14" borderId="0" applyNumberFormat="0" applyBorder="0" applyAlignment="0" applyProtection="0"/>
    <xf numFmtId="165" fontId="21" fillId="15" borderId="0" applyNumberFormat="0" applyBorder="0" applyAlignment="0" applyProtection="0"/>
    <xf numFmtId="165" fontId="21" fillId="12" borderId="0" applyNumberFormat="0" applyBorder="0" applyAlignment="0" applyProtection="0"/>
    <xf numFmtId="165" fontId="21" fillId="13" borderId="0" applyNumberFormat="0" applyBorder="0" applyAlignment="0" applyProtection="0"/>
    <xf numFmtId="165" fontId="21" fillId="16" borderId="0" applyNumberFormat="0" applyBorder="0" applyAlignment="0" applyProtection="0"/>
    <xf numFmtId="165" fontId="21" fillId="17" borderId="0" applyNumberFormat="0" applyBorder="0" applyAlignment="0" applyProtection="0"/>
    <xf numFmtId="165" fontId="21" fillId="18" borderId="0" applyNumberFormat="0" applyBorder="0" applyAlignment="0" applyProtection="0"/>
    <xf numFmtId="165" fontId="21" fillId="19" borderId="0" applyNumberFormat="0" applyBorder="0" applyAlignment="0" applyProtection="0"/>
    <xf numFmtId="165" fontId="21" fillId="20" borderId="0" applyNumberFormat="0" applyBorder="0" applyAlignment="0" applyProtection="0"/>
    <xf numFmtId="165" fontId="21" fillId="21" borderId="0" applyNumberFormat="0" applyBorder="0" applyAlignment="0" applyProtection="0"/>
    <xf numFmtId="165" fontId="21" fillId="16" borderId="0" applyNumberFormat="0" applyBorder="0" applyAlignment="0" applyProtection="0"/>
    <xf numFmtId="165" fontId="21" fillId="17" borderId="0" applyNumberFormat="0" applyBorder="0" applyAlignment="0" applyProtection="0"/>
    <xf numFmtId="165" fontId="21" fillId="22" borderId="0" applyNumberFormat="0" applyBorder="0" applyAlignment="0" applyProtection="0"/>
    <xf numFmtId="165" fontId="22" fillId="6" borderId="0" applyNumberFormat="0" applyBorder="0" applyAlignment="0" applyProtection="0"/>
    <xf numFmtId="168" fontId="4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>
      <alignment horizontal="center"/>
    </xf>
    <xf numFmtId="165" fontId="25" fillId="23" borderId="4" applyNumberFormat="0" applyAlignment="0" applyProtection="0"/>
    <xf numFmtId="165" fontId="26" fillId="24" borderId="5" applyNumberFormat="0" applyAlignment="0" applyProtection="0"/>
    <xf numFmtId="166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8" fontId="48" fillId="0" borderId="0"/>
    <xf numFmtId="15" fontId="50" fillId="0" borderId="0" applyFont="0" applyFill="0" applyBorder="0" applyAlignment="0" applyProtection="0"/>
    <xf numFmtId="169" fontId="48" fillId="0" borderId="0" applyFont="0" applyFill="0" applyBorder="0" applyAlignment="0" applyProtection="0"/>
    <xf numFmtId="165" fontId="30" fillId="0" borderId="0" applyNumberFormat="0" applyFill="0" applyBorder="0" applyAlignment="0" applyProtection="0"/>
    <xf numFmtId="0" fontId="51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4" fillId="0" borderId="0">
      <protection locked="0"/>
    </xf>
    <xf numFmtId="0" fontId="51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165" fontId="31" fillId="7" borderId="0" applyNumberFormat="0" applyBorder="0" applyAlignment="0" applyProtection="0"/>
    <xf numFmtId="0" fontId="32" fillId="0" borderId="6" applyNumberFormat="0" applyAlignment="0" applyProtection="0">
      <alignment horizontal="left" vertical="center"/>
    </xf>
    <xf numFmtId="0" fontId="32" fillId="0" borderId="3">
      <alignment horizontal="left" vertical="center"/>
    </xf>
    <xf numFmtId="165" fontId="33" fillId="0" borderId="7" applyNumberFormat="0" applyFill="0" applyAlignment="0" applyProtection="0"/>
    <xf numFmtId="165" fontId="34" fillId="0" borderId="8" applyNumberFormat="0" applyFill="0" applyAlignment="0" applyProtection="0"/>
    <xf numFmtId="165" fontId="35" fillId="0" borderId="9" applyNumberFormat="0" applyFill="0" applyAlignment="0" applyProtection="0"/>
    <xf numFmtId="165" fontId="35" fillId="0" borderId="0" applyNumberFormat="0" applyFill="0" applyBorder="0" applyAlignment="0" applyProtection="0"/>
    <xf numFmtId="165" fontId="36" fillId="10" borderId="4" applyNumberFormat="0" applyAlignment="0" applyProtection="0"/>
    <xf numFmtId="0" fontId="37" fillId="0" borderId="0">
      <alignment horizontal="fill"/>
    </xf>
    <xf numFmtId="165" fontId="38" fillId="0" borderId="10" applyNumberFormat="0" applyFill="0" applyAlignment="0" applyProtection="0"/>
    <xf numFmtId="170" fontId="55" fillId="0" borderId="0"/>
    <xf numFmtId="170" fontId="55" fillId="0" borderId="0"/>
    <xf numFmtId="170" fontId="55" fillId="0" borderId="0"/>
    <xf numFmtId="165" fontId="39" fillId="25" borderId="0" applyNumberFormat="0" applyBorder="0" applyAlignment="0" applyProtection="0"/>
    <xf numFmtId="37" fontId="40" fillId="0" borderId="0"/>
    <xf numFmtId="165" fontId="41" fillId="0" borderId="0"/>
    <xf numFmtId="165" fontId="41" fillId="0" borderId="0"/>
    <xf numFmtId="165" fontId="41" fillId="0" borderId="0"/>
    <xf numFmtId="165" fontId="41" fillId="0" borderId="0"/>
    <xf numFmtId="165" fontId="41" fillId="0" borderId="0"/>
    <xf numFmtId="165" fontId="41" fillId="0" borderId="0"/>
    <xf numFmtId="165" fontId="41" fillId="0" borderId="0"/>
    <xf numFmtId="165" fontId="41" fillId="0" borderId="0"/>
    <xf numFmtId="165" fontId="27" fillId="0" borderId="0"/>
    <xf numFmtId="165" fontId="1" fillId="0" borderId="0"/>
    <xf numFmtId="165" fontId="27" fillId="0" borderId="0"/>
    <xf numFmtId="165" fontId="1" fillId="0" borderId="0"/>
    <xf numFmtId="167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" fillId="0" borderId="0"/>
    <xf numFmtId="165" fontId="13" fillId="0" borderId="0"/>
    <xf numFmtId="0" fontId="13" fillId="0" borderId="0"/>
    <xf numFmtId="165" fontId="1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3" fillId="0" borderId="0"/>
    <xf numFmtId="165" fontId="13" fillId="0" borderId="0"/>
    <xf numFmtId="0" fontId="13" fillId="0" borderId="0"/>
    <xf numFmtId="165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5" fontId="1" fillId="0" borderId="0"/>
    <xf numFmtId="0" fontId="16" fillId="0" borderId="0"/>
    <xf numFmtId="165" fontId="13" fillId="0" borderId="0"/>
    <xf numFmtId="0" fontId="13" fillId="0" borderId="0"/>
    <xf numFmtId="165" fontId="28" fillId="0" borderId="0"/>
    <xf numFmtId="165" fontId="29" fillId="0" borderId="0"/>
    <xf numFmtId="165" fontId="29" fillId="0" borderId="0"/>
    <xf numFmtId="165" fontId="42" fillId="0" borderId="0"/>
    <xf numFmtId="165" fontId="42" fillId="0" borderId="0"/>
    <xf numFmtId="165" fontId="13" fillId="0" borderId="0"/>
    <xf numFmtId="165" fontId="13" fillId="26" borderId="11" applyNumberFormat="0" applyFont="0" applyAlignment="0" applyProtection="0"/>
    <xf numFmtId="165" fontId="43" fillId="23" borderId="12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13" fillId="0" borderId="0"/>
    <xf numFmtId="39" fontId="44" fillId="0" borderId="0" applyNumberFormat="0" applyFill="0" applyBorder="0" applyProtection="0">
      <alignment horizontal="left" vertical="center"/>
    </xf>
    <xf numFmtId="165" fontId="45" fillId="0" borderId="0" applyNumberFormat="0" applyFill="0" applyBorder="0" applyAlignment="0" applyProtection="0"/>
    <xf numFmtId="165" fontId="46" fillId="0" borderId="13" applyNumberFormat="0" applyFill="0" applyAlignment="0" applyProtection="0"/>
    <xf numFmtId="165" fontId="47" fillId="0" borderId="0" applyNumberFormat="0" applyFill="0" applyBorder="0" applyAlignment="0" applyProtection="0"/>
    <xf numFmtId="167" fontId="56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167" fontId="5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13" fillId="0" borderId="0"/>
    <xf numFmtId="167" fontId="56" fillId="0" borderId="0"/>
    <xf numFmtId="172" fontId="59" fillId="0" borderId="0"/>
    <xf numFmtId="167" fontId="56" fillId="0" borderId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19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2" borderId="0" applyNumberFormat="0" applyBorder="0" applyAlignment="0" applyProtection="0"/>
    <xf numFmtId="0" fontId="22" fillId="6" borderId="0" applyNumberFormat="0" applyBorder="0" applyAlignment="0" applyProtection="0"/>
    <xf numFmtId="0" fontId="25" fillId="23" borderId="4" applyNumberFormat="0" applyAlignment="0" applyProtection="0"/>
    <xf numFmtId="0" fontId="26" fillId="24" borderId="5" applyNumberFormat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7" borderId="0" applyNumberFormat="0" applyBorder="0" applyAlignment="0" applyProtection="0"/>
    <xf numFmtId="0" fontId="33" fillId="0" borderId="7" applyNumberFormat="0" applyFill="0" applyAlignment="0" applyProtection="0"/>
    <xf numFmtId="0" fontId="34" fillId="0" borderId="8" applyNumberForma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37" fontId="60" fillId="0" borderId="0" applyFill="0" applyBorder="0" applyAlignment="0" applyProtection="0"/>
    <xf numFmtId="0" fontId="38" fillId="0" borderId="10" applyNumberFormat="0" applyFill="0" applyAlignment="0" applyProtection="0"/>
    <xf numFmtId="170" fontId="55" fillId="0" borderId="0"/>
    <xf numFmtId="170" fontId="55" fillId="0" borderId="0"/>
    <xf numFmtId="0" fontId="39" fillId="25" borderId="0" applyNumberFormat="0" applyBorder="0" applyAlignment="0" applyProtection="0"/>
    <xf numFmtId="0" fontId="13" fillId="0" borderId="0"/>
    <xf numFmtId="0" fontId="49" fillId="0" borderId="0"/>
    <xf numFmtId="0" fontId="49" fillId="0" borderId="0"/>
    <xf numFmtId="0" fontId="13" fillId="26" borderId="11" applyNumberFormat="0" applyFont="0" applyAlignment="0" applyProtection="0"/>
    <xf numFmtId="0" fontId="13" fillId="26" borderId="11" applyNumberFormat="0" applyFont="0" applyAlignment="0" applyProtection="0"/>
    <xf numFmtId="37" fontId="61" fillId="0" borderId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13" applyNumberFormat="0" applyFill="0" applyAlignment="0" applyProtection="0"/>
    <xf numFmtId="0" fontId="47" fillId="0" borderId="0" applyNumberForma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171" fontId="56" fillId="0" borderId="0"/>
    <xf numFmtId="173" fontId="56" fillId="0" borderId="0"/>
    <xf numFmtId="0" fontId="13" fillId="0" borderId="0"/>
    <xf numFmtId="0" fontId="62" fillId="0" borderId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56" fillId="0" borderId="0"/>
    <xf numFmtId="173" fontId="56" fillId="0" borderId="0"/>
    <xf numFmtId="43" fontId="56" fillId="0" borderId="0" applyFont="0" applyFill="0" applyBorder="0" applyAlignment="0" applyProtection="0"/>
    <xf numFmtId="172" fontId="59" fillId="0" borderId="0"/>
    <xf numFmtId="9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71" fontId="56" fillId="0" borderId="0"/>
    <xf numFmtId="173" fontId="56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71" fontId="56" fillId="0" borderId="0"/>
    <xf numFmtId="172" fontId="59" fillId="0" borderId="0"/>
    <xf numFmtId="169" fontId="13" fillId="0" borderId="0"/>
    <xf numFmtId="169" fontId="13" fillId="0" borderId="0"/>
    <xf numFmtId="172" fontId="59" fillId="0" borderId="0"/>
    <xf numFmtId="169" fontId="13" fillId="0" borderId="0"/>
    <xf numFmtId="169" fontId="13" fillId="0" borderId="0"/>
    <xf numFmtId="169" fontId="13" fillId="0" borderId="0"/>
    <xf numFmtId="169" fontId="49" fillId="0" borderId="0"/>
    <xf numFmtId="169" fontId="13" fillId="0" borderId="0"/>
    <xf numFmtId="169" fontId="13" fillId="0" borderId="0"/>
    <xf numFmtId="169" fontId="13" fillId="0" borderId="0"/>
    <xf numFmtId="169" fontId="13" fillId="0" borderId="0"/>
    <xf numFmtId="169" fontId="49" fillId="0" borderId="0"/>
    <xf numFmtId="169" fontId="1" fillId="0" borderId="0"/>
    <xf numFmtId="169" fontId="19" fillId="0" borderId="0"/>
    <xf numFmtId="169" fontId="19" fillId="0" borderId="0"/>
    <xf numFmtId="169" fontId="1" fillId="0" borderId="0"/>
    <xf numFmtId="9" fontId="13" fillId="0" borderId="0" applyFont="0" applyFill="0" applyBorder="0" applyAlignment="0" applyProtection="0"/>
    <xf numFmtId="167" fontId="58" fillId="0" borderId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5" borderId="0" applyNumberFormat="0" applyBorder="0" applyAlignment="0" applyProtection="0"/>
    <xf numFmtId="165" fontId="19" fillId="6" borderId="0" applyNumberFormat="0" applyBorder="0" applyAlignment="0" applyProtection="0"/>
    <xf numFmtId="165" fontId="19" fillId="7" borderId="0" applyNumberFormat="0" applyBorder="0" applyAlignment="0" applyProtection="0"/>
    <xf numFmtId="165" fontId="19" fillId="8" borderId="0" applyNumberFormat="0" applyBorder="0" applyAlignment="0" applyProtection="0"/>
    <xf numFmtId="165" fontId="19" fillId="9" borderId="0" applyNumberFormat="0" applyBorder="0" applyAlignment="0" applyProtection="0"/>
    <xf numFmtId="165" fontId="19" fillId="10" borderId="0" applyNumberFormat="0" applyBorder="0" applyAlignment="0" applyProtection="0"/>
    <xf numFmtId="165" fontId="19" fillId="11" borderId="0" applyNumberFormat="0" applyBorder="0" applyAlignment="0" applyProtection="0"/>
    <xf numFmtId="165" fontId="19" fillId="12" borderId="0" applyNumberFormat="0" applyBorder="0" applyAlignment="0" applyProtection="0"/>
    <xf numFmtId="165" fontId="19" fillId="13" borderId="0" applyNumberFormat="0" applyBorder="0" applyAlignment="0" applyProtection="0"/>
    <xf numFmtId="165" fontId="19" fillId="8" borderId="0" applyNumberFormat="0" applyBorder="0" applyAlignment="0" applyProtection="0"/>
    <xf numFmtId="165" fontId="19" fillId="11" borderId="0" applyNumberFormat="0" applyBorder="0" applyAlignment="0" applyProtection="0"/>
    <xf numFmtId="165" fontId="19" fillId="14" borderId="0" applyNumberFormat="0" applyBorder="0" applyAlignment="0" applyProtection="0"/>
    <xf numFmtId="165" fontId="21" fillId="15" borderId="0" applyNumberFormat="0" applyBorder="0" applyAlignment="0" applyProtection="0"/>
    <xf numFmtId="165" fontId="21" fillId="12" borderId="0" applyNumberFormat="0" applyBorder="0" applyAlignment="0" applyProtection="0"/>
    <xf numFmtId="165" fontId="21" fillId="13" borderId="0" applyNumberFormat="0" applyBorder="0" applyAlignment="0" applyProtection="0"/>
    <xf numFmtId="165" fontId="21" fillId="16" borderId="0" applyNumberFormat="0" applyBorder="0" applyAlignment="0" applyProtection="0"/>
    <xf numFmtId="165" fontId="21" fillId="17" borderId="0" applyNumberFormat="0" applyBorder="0" applyAlignment="0" applyProtection="0"/>
    <xf numFmtId="165" fontId="21" fillId="18" borderId="0" applyNumberFormat="0" applyBorder="0" applyAlignment="0" applyProtection="0"/>
    <xf numFmtId="165" fontId="21" fillId="19" borderId="0" applyNumberFormat="0" applyBorder="0" applyAlignment="0" applyProtection="0"/>
    <xf numFmtId="165" fontId="21" fillId="20" borderId="0" applyNumberFormat="0" applyBorder="0" applyAlignment="0" applyProtection="0"/>
    <xf numFmtId="165" fontId="21" fillId="21" borderId="0" applyNumberFormat="0" applyBorder="0" applyAlignment="0" applyProtection="0"/>
    <xf numFmtId="165" fontId="21" fillId="16" borderId="0" applyNumberFormat="0" applyBorder="0" applyAlignment="0" applyProtection="0"/>
    <xf numFmtId="165" fontId="21" fillId="17" borderId="0" applyNumberFormat="0" applyBorder="0" applyAlignment="0" applyProtection="0"/>
    <xf numFmtId="165" fontId="21" fillId="22" borderId="0" applyNumberFormat="0" applyBorder="0" applyAlignment="0" applyProtection="0"/>
    <xf numFmtId="165" fontId="22" fillId="6" borderId="0" applyNumberFormat="0" applyBorder="0" applyAlignment="0" applyProtection="0"/>
    <xf numFmtId="165" fontId="25" fillId="23" borderId="4" applyNumberFormat="0" applyAlignment="0" applyProtection="0"/>
    <xf numFmtId="165" fontId="26" fillId="24" borderId="5" applyNumberFormat="0" applyAlignment="0" applyProtection="0"/>
    <xf numFmtId="166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0" fillId="0" borderId="0" applyNumberFormat="0" applyFill="0" applyBorder="0" applyAlignment="0" applyProtection="0"/>
    <xf numFmtId="165" fontId="31" fillId="7" borderId="0" applyNumberFormat="0" applyBorder="0" applyAlignment="0" applyProtection="0"/>
    <xf numFmtId="165" fontId="33" fillId="0" borderId="7" applyNumberFormat="0" applyFill="0" applyAlignment="0" applyProtection="0"/>
    <xf numFmtId="165" fontId="34" fillId="0" borderId="8" applyNumberFormat="0" applyFill="0" applyAlignment="0" applyProtection="0"/>
    <xf numFmtId="165" fontId="35" fillId="0" borderId="9" applyNumberFormat="0" applyFill="0" applyAlignment="0" applyProtection="0"/>
    <xf numFmtId="165" fontId="35" fillId="0" borderId="0" applyNumberFormat="0" applyFill="0" applyBorder="0" applyAlignment="0" applyProtection="0"/>
    <xf numFmtId="165" fontId="36" fillId="10" borderId="4" applyNumberFormat="0" applyAlignment="0" applyProtection="0"/>
    <xf numFmtId="165" fontId="38" fillId="0" borderId="10" applyNumberFormat="0" applyFill="0" applyAlignment="0" applyProtection="0"/>
    <xf numFmtId="165" fontId="39" fillId="25" borderId="0" applyNumberFormat="0" applyBorder="0" applyAlignment="0" applyProtection="0"/>
    <xf numFmtId="165" fontId="1" fillId="0" borderId="0"/>
    <xf numFmtId="165" fontId="13" fillId="0" borderId="0"/>
    <xf numFmtId="0" fontId="13" fillId="0" borderId="0"/>
    <xf numFmtId="165" fontId="13" fillId="0" borderId="0"/>
    <xf numFmtId="165" fontId="13" fillId="0" borderId="0"/>
    <xf numFmtId="165" fontId="13" fillId="0" borderId="0"/>
    <xf numFmtId="0" fontId="13" fillId="0" borderId="0"/>
    <xf numFmtId="165" fontId="28" fillId="0" borderId="0"/>
    <xf numFmtId="165" fontId="29" fillId="0" borderId="0"/>
    <xf numFmtId="165" fontId="29" fillId="0" borderId="0"/>
    <xf numFmtId="165" fontId="42" fillId="0" borderId="0"/>
    <xf numFmtId="165" fontId="13" fillId="0" borderId="0"/>
    <xf numFmtId="165" fontId="13" fillId="26" borderId="11" applyNumberFormat="0" applyFont="0" applyAlignment="0" applyProtection="0"/>
    <xf numFmtId="165" fontId="43" fillId="23" borderId="12" applyNumberFormat="0" applyAlignment="0" applyProtection="0"/>
    <xf numFmtId="9" fontId="20" fillId="0" borderId="0" applyFont="0" applyFill="0" applyBorder="0" applyAlignment="0" applyProtection="0"/>
    <xf numFmtId="9" fontId="27" fillId="0" borderId="0" applyFont="0" applyFill="0" applyBorder="0" applyAlignment="0" applyProtection="0"/>
    <xf numFmtId="165" fontId="13" fillId="0" borderId="0"/>
    <xf numFmtId="165" fontId="45" fillId="0" borderId="0" applyNumberFormat="0" applyFill="0" applyBorder="0" applyAlignment="0" applyProtection="0"/>
    <xf numFmtId="165" fontId="46" fillId="0" borderId="13" applyNumberFormat="0" applyFill="0" applyAlignment="0" applyProtection="0"/>
    <xf numFmtId="165" fontId="47" fillId="0" borderId="0" applyNumberForma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13" fillId="0" borderId="0"/>
    <xf numFmtId="165" fontId="25" fillId="23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3">
      <alignment horizontal="left" vertical="center"/>
    </xf>
    <xf numFmtId="165" fontId="36" fillId="10" borderId="4" applyNumberFormat="0" applyAlignment="0" applyProtection="0"/>
    <xf numFmtId="165" fontId="13" fillId="26" borderId="11" applyNumberFormat="0" applyFont="0" applyAlignment="0" applyProtection="0"/>
    <xf numFmtId="165" fontId="43" fillId="23" borderId="12" applyNumberFormat="0" applyAlignment="0" applyProtection="0"/>
    <xf numFmtId="165" fontId="46" fillId="0" borderId="13" applyNumberFormat="0" applyFill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5" fillId="23" borderId="4" applyNumberFormat="0" applyAlignment="0" applyProtection="0"/>
    <xf numFmtId="43" fontId="13" fillId="0" borderId="0" applyFont="0" applyFill="0" applyBorder="0" applyAlignment="0" applyProtection="0"/>
    <xf numFmtId="0" fontId="13" fillId="26" borderId="11" applyNumberFormat="0" applyFont="0" applyAlignment="0" applyProtection="0"/>
    <xf numFmtId="0" fontId="13" fillId="26" borderId="11" applyNumberFormat="0" applyFont="0" applyAlignment="0" applyProtection="0"/>
    <xf numFmtId="0" fontId="46" fillId="0" borderId="13" applyNumberFormat="0" applyFill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23" borderId="4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6" fillId="10" borderId="4" applyNumberFormat="0" applyAlignment="0" applyProtection="0"/>
    <xf numFmtId="165" fontId="13" fillId="26" borderId="11" applyNumberFormat="0" applyFont="0" applyAlignment="0" applyProtection="0"/>
    <xf numFmtId="165" fontId="43" fillId="23" borderId="12" applyNumberFormat="0" applyAlignment="0" applyProtection="0"/>
    <xf numFmtId="165" fontId="46" fillId="0" borderId="13" applyNumberFormat="0" applyFill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5" fontId="25" fillId="23" borderId="4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2" fillId="0" borderId="3">
      <alignment horizontal="left" vertical="center"/>
    </xf>
    <xf numFmtId="165" fontId="36" fillId="10" borderId="4" applyNumberFormat="0" applyAlignment="0" applyProtection="0"/>
    <xf numFmtId="165" fontId="43" fillId="23" borderId="12" applyNumberFormat="0" applyAlignment="0" applyProtection="0"/>
    <xf numFmtId="165" fontId="46" fillId="0" borderId="13" applyNumberFormat="0" applyFill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0" fontId="25" fillId="23" borderId="4" applyNumberFormat="0" applyAlignment="0" applyProtection="0"/>
    <xf numFmtId="43" fontId="13" fillId="0" borderId="0" applyFont="0" applyFill="0" applyBorder="0" applyAlignment="0" applyProtection="0"/>
    <xf numFmtId="0" fontId="46" fillId="0" borderId="13" applyNumberFormat="0" applyFill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5" fillId="23" borderId="4" applyNumberFormat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6" fillId="10" borderId="4" applyNumberFormat="0" applyAlignment="0" applyProtection="0"/>
    <xf numFmtId="165" fontId="43" fillId="23" borderId="12" applyNumberFormat="0" applyAlignment="0" applyProtection="0"/>
    <xf numFmtId="165" fontId="46" fillId="0" borderId="13" applyNumberFormat="0" applyFill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4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12" fillId="0" borderId="0"/>
    <xf numFmtId="0" fontId="1" fillId="0" borderId="0"/>
    <xf numFmtId="177" fontId="1" fillId="0" borderId="0"/>
    <xf numFmtId="177" fontId="1" fillId="0" borderId="0"/>
    <xf numFmtId="43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17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/>
    <xf numFmtId="0" fontId="69" fillId="0" borderId="0"/>
    <xf numFmtId="0" fontId="4" fillId="0" borderId="0"/>
    <xf numFmtId="0" fontId="4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3">
    <xf numFmtId="0" fontId="0" fillId="0" borderId="0" xfId="0"/>
    <xf numFmtId="0" fontId="6" fillId="2" borderId="0" xfId="1" applyFont="1" applyFill="1" applyAlignment="1">
      <alignment vertical="center"/>
    </xf>
    <xf numFmtId="0" fontId="2" fillId="3" borderId="0" xfId="1" applyFont="1" applyFill="1" applyAlignment="1">
      <alignment vertical="center"/>
    </xf>
    <xf numFmtId="0" fontId="11" fillId="0" borderId="0" xfId="4" applyFont="1" applyAlignment="1">
      <alignment vertical="center" wrapText="1"/>
    </xf>
    <xf numFmtId="0" fontId="0" fillId="0" borderId="0" xfId="0" applyAlignment="1">
      <alignment wrapText="1"/>
    </xf>
    <xf numFmtId="0" fontId="8" fillId="0" borderId="0" xfId="4" applyFont="1" applyAlignment="1">
      <alignment horizontal="left" vertical="center" wrapText="1"/>
    </xf>
    <xf numFmtId="0" fontId="11" fillId="0" borderId="2" xfId="4" applyFont="1" applyBorder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8" fillId="0" borderId="0" xfId="4" applyFont="1" applyAlignment="1">
      <alignment vertical="center" wrapText="1"/>
    </xf>
    <xf numFmtId="0" fontId="14" fillId="0" borderId="0" xfId="4" applyFont="1" applyAlignment="1">
      <alignment vertical="center" wrapText="1"/>
    </xf>
    <xf numFmtId="0" fontId="3" fillId="0" borderId="0" xfId="0" applyFont="1"/>
    <xf numFmtId="167" fontId="57" fillId="0" borderId="0" xfId="553" applyNumberFormat="1" applyFont="1"/>
    <xf numFmtId="167" fontId="57" fillId="0" borderId="0" xfId="553" applyNumberFormat="1" applyFont="1" applyAlignment="1">
      <alignment horizontal="center"/>
    </xf>
    <xf numFmtId="165" fontId="57" fillId="0" borderId="0" xfId="553" applyFont="1"/>
    <xf numFmtId="0" fontId="8" fillId="0" borderId="0" xfId="0" applyFont="1"/>
    <xf numFmtId="17" fontId="57" fillId="0" borderId="0" xfId="553" applyNumberFormat="1" applyFont="1" applyAlignment="1">
      <alignment horizontal="center"/>
    </xf>
    <xf numFmtId="10" fontId="57" fillId="0" borderId="0" xfId="553" applyNumberFormat="1" applyFont="1"/>
    <xf numFmtId="167" fontId="63" fillId="0" borderId="0" xfId="553" applyNumberFormat="1" applyFont="1"/>
    <xf numFmtId="2" fontId="8" fillId="0" borderId="0" xfId="0" applyNumberFormat="1" applyFont="1"/>
    <xf numFmtId="0" fontId="8" fillId="27" borderId="0" xfId="0" applyFont="1" applyFill="1"/>
    <xf numFmtId="167" fontId="64" fillId="0" borderId="0" xfId="553" applyNumberFormat="1" applyFont="1" applyAlignment="1">
      <alignment horizontal="center"/>
    </xf>
    <xf numFmtId="167" fontId="65" fillId="0" borderId="0" xfId="553" applyNumberFormat="1" applyFont="1"/>
    <xf numFmtId="167" fontId="64" fillId="0" borderId="0" xfId="553" applyNumberFormat="1" applyFont="1"/>
    <xf numFmtId="165" fontId="65" fillId="0" borderId="0" xfId="553" applyFont="1"/>
    <xf numFmtId="165" fontId="64" fillId="0" borderId="0" xfId="553" applyFont="1"/>
    <xf numFmtId="167" fontId="66" fillId="0" borderId="0" xfId="553" applyNumberFormat="1" applyFont="1"/>
    <xf numFmtId="0" fontId="8" fillId="0" borderId="0" xfId="0" applyFont="1" applyAlignment="1">
      <alignment wrapText="1"/>
    </xf>
    <xf numFmtId="167" fontId="56" fillId="0" borderId="0" xfId="553" applyNumberFormat="1" applyFont="1" applyAlignment="1">
      <alignment wrapText="1"/>
    </xf>
    <xf numFmtId="165" fontId="56" fillId="0" borderId="0" xfId="553" applyFont="1" applyAlignment="1">
      <alignment wrapText="1"/>
    </xf>
    <xf numFmtId="0" fontId="2" fillId="3" borderId="0" xfId="8" applyFont="1" applyFill="1" applyAlignment="1">
      <alignment vertical="center"/>
    </xf>
    <xf numFmtId="0" fontId="2" fillId="3" borderId="0" xfId="8" applyFont="1" applyFill="1"/>
    <xf numFmtId="43" fontId="0" fillId="0" borderId="0" xfId="472" applyFont="1"/>
    <xf numFmtId="43" fontId="3" fillId="0" borderId="0" xfId="472" applyFont="1"/>
    <xf numFmtId="43" fontId="4" fillId="0" borderId="0" xfId="472" applyFont="1"/>
    <xf numFmtId="17" fontId="2" fillId="3" borderId="0" xfId="0" applyNumberFormat="1" applyFont="1" applyFill="1" applyAlignment="1">
      <alignment horizontal="center" vertical="center"/>
    </xf>
    <xf numFmtId="0" fontId="5" fillId="0" borderId="0" xfId="1" applyFont="1"/>
    <xf numFmtId="43" fontId="0" fillId="0" borderId="0" xfId="0" applyNumberFormat="1"/>
    <xf numFmtId="43" fontId="9" fillId="0" borderId="0" xfId="472" applyFont="1" applyAlignment="1">
      <alignment horizontal="right" vertical="center"/>
    </xf>
    <xf numFmtId="43" fontId="9" fillId="0" borderId="0" xfId="472" applyFont="1" applyAlignment="1">
      <alignment horizontal="center" vertical="center"/>
    </xf>
    <xf numFmtId="10" fontId="0" fillId="0" borderId="0" xfId="2014" applyNumberFormat="1" applyFont="1"/>
    <xf numFmtId="10" fontId="0" fillId="0" borderId="0" xfId="0" applyNumberFormat="1"/>
    <xf numFmtId="175" fontId="0" fillId="0" borderId="0" xfId="0" applyNumberFormat="1"/>
    <xf numFmtId="175" fontId="0" fillId="0" borderId="0" xfId="472" applyNumberFormat="1" applyFont="1" applyFill="1"/>
    <xf numFmtId="10" fontId="0" fillId="0" borderId="0" xfId="2014" applyNumberFormat="1" applyFont="1" applyFill="1"/>
    <xf numFmtId="175" fontId="3" fillId="0" borderId="0" xfId="472" applyNumberFormat="1" applyFont="1"/>
    <xf numFmtId="175" fontId="3" fillId="0" borderId="0" xfId="0" applyNumberFormat="1" applyFont="1"/>
    <xf numFmtId="10" fontId="3" fillId="0" borderId="0" xfId="0" applyNumberFormat="1" applyFont="1"/>
    <xf numFmtId="43" fontId="3" fillId="0" borderId="0" xfId="0" applyNumberFormat="1" applyFont="1"/>
    <xf numFmtId="0" fontId="0" fillId="0" borderId="14" xfId="0" applyBorder="1"/>
    <xf numFmtId="43" fontId="5" fillId="0" borderId="0" xfId="472" applyFont="1" applyAlignment="1">
      <alignment horizontal="right"/>
    </xf>
    <xf numFmtId="43" fontId="10" fillId="0" borderId="0" xfId="472" applyFont="1" applyAlignment="1">
      <alignment horizontal="center" vertical="center"/>
    </xf>
    <xf numFmtId="43" fontId="10" fillId="0" borderId="2" xfId="472" applyFont="1" applyBorder="1" applyAlignment="1">
      <alignment horizontal="center" vertical="center"/>
    </xf>
    <xf numFmtId="43" fontId="5" fillId="0" borderId="0" xfId="472" applyFont="1"/>
    <xf numFmtId="17" fontId="3" fillId="0" borderId="0" xfId="0" applyNumberFormat="1" applyFont="1"/>
    <xf numFmtId="0" fontId="6" fillId="0" borderId="0" xfId="1" applyFont="1" applyAlignment="1">
      <alignment vertical="center"/>
    </xf>
    <xf numFmtId="0" fontId="7" fillId="29" borderId="0" xfId="1" applyFont="1" applyFill="1" applyAlignment="1">
      <alignment horizontal="center"/>
    </xf>
    <xf numFmtId="0" fontId="2" fillId="0" borderId="0" xfId="1" applyFont="1" applyAlignment="1">
      <alignment vertical="center"/>
    </xf>
    <xf numFmtId="0" fontId="70" fillId="0" borderId="0" xfId="1" applyFont="1" applyAlignment="1">
      <alignment vertical="center"/>
    </xf>
    <xf numFmtId="0" fontId="6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17" fontId="7" fillId="3" borderId="0" xfId="0" applyNumberFormat="1" applyFont="1" applyFill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71" fillId="30" borderId="0" xfId="0" applyFont="1" applyFill="1"/>
    <xf numFmtId="0" fontId="71" fillId="0" borderId="0" xfId="0" applyFont="1"/>
    <xf numFmtId="0" fontId="72" fillId="0" borderId="0" xfId="0" applyFont="1"/>
    <xf numFmtId="43" fontId="72" fillId="0" borderId="0" xfId="472" applyFont="1"/>
    <xf numFmtId="43" fontId="72" fillId="0" borderId="0" xfId="472" applyFont="1" applyBorder="1"/>
    <xf numFmtId="10" fontId="5" fillId="0" borderId="0" xfId="2014" applyNumberFormat="1" applyFont="1" applyFill="1" applyBorder="1" applyAlignment="1">
      <alignment horizontal="right" vertical="center"/>
    </xf>
    <xf numFmtId="10" fontId="72" fillId="0" borderId="0" xfId="2014" applyNumberFormat="1" applyFont="1"/>
    <xf numFmtId="10" fontId="72" fillId="0" borderId="0" xfId="2014" applyNumberFormat="1" applyFont="1" applyFill="1"/>
    <xf numFmtId="43" fontId="72" fillId="0" borderId="0" xfId="472" applyFont="1" applyFill="1"/>
    <xf numFmtId="43" fontId="72" fillId="0" borderId="0" xfId="0" applyNumberFormat="1" applyFont="1"/>
    <xf numFmtId="10" fontId="72" fillId="0" borderId="0" xfId="2014" applyNumberFormat="1" applyFont="1" applyFill="1" applyBorder="1"/>
    <xf numFmtId="43" fontId="72" fillId="0" borderId="0" xfId="2014" applyNumberFormat="1" applyFont="1"/>
    <xf numFmtId="43" fontId="72" fillId="0" borderId="0" xfId="2014" applyNumberFormat="1" applyFont="1" applyFill="1" applyBorder="1"/>
    <xf numFmtId="175" fontId="72" fillId="0" borderId="0" xfId="472" applyNumberFormat="1" applyFont="1"/>
    <xf numFmtId="0" fontId="72" fillId="0" borderId="0" xfId="0" applyFont="1" applyAlignment="1">
      <alignment horizontal="center"/>
    </xf>
    <xf numFmtId="43" fontId="73" fillId="0" borderId="0" xfId="0" applyNumberFormat="1" applyFont="1"/>
    <xf numFmtId="43" fontId="73" fillId="0" borderId="0" xfId="472" applyFont="1"/>
    <xf numFmtId="0" fontId="14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11" fillId="0" borderId="0" xfId="4" applyFont="1" applyAlignment="1">
      <alignment vertical="center"/>
    </xf>
    <xf numFmtId="0" fontId="8" fillId="0" borderId="0" xfId="4" applyFont="1" applyAlignment="1">
      <alignment horizontal="left" vertical="center"/>
    </xf>
    <xf numFmtId="0" fontId="11" fillId="0" borderId="2" xfId="4" applyFont="1" applyBorder="1" applyAlignment="1">
      <alignment vertical="center"/>
    </xf>
    <xf numFmtId="0" fontId="11" fillId="0" borderId="1" xfId="4" applyFont="1" applyBorder="1" applyAlignment="1">
      <alignment vertical="center"/>
    </xf>
    <xf numFmtId="0" fontId="11" fillId="0" borderId="1" xfId="4" applyFont="1" applyBorder="1" applyAlignment="1">
      <alignment vertical="center" wrapText="1"/>
    </xf>
    <xf numFmtId="43" fontId="65" fillId="0" borderId="0" xfId="472" applyFont="1"/>
    <xf numFmtId="43" fontId="74" fillId="0" borderId="0" xfId="472" applyFont="1"/>
    <xf numFmtId="43" fontId="65" fillId="27" borderId="0" xfId="472" applyFont="1" applyFill="1"/>
    <xf numFmtId="43" fontId="5" fillId="27" borderId="0" xfId="472" applyFont="1" applyFill="1" applyAlignment="1">
      <alignment horizontal="right" vertical="center"/>
    </xf>
    <xf numFmtId="0" fontId="65" fillId="0" borderId="0" xfId="0" applyFont="1"/>
    <xf numFmtId="43" fontId="7" fillId="0" borderId="0" xfId="472" applyFont="1" applyFill="1" applyAlignment="1">
      <alignment horizontal="center" vertical="center"/>
    </xf>
    <xf numFmtId="43" fontId="64" fillId="0" borderId="0" xfId="472" applyFont="1" applyAlignment="1">
      <alignment horizontal="left"/>
    </xf>
    <xf numFmtId="43" fontId="65" fillId="0" borderId="0" xfId="472" applyFont="1" applyFill="1" applyBorder="1" applyAlignment="1">
      <alignment horizontal="right"/>
    </xf>
    <xf numFmtId="43" fontId="65" fillId="0" borderId="0" xfId="472" applyFont="1" applyAlignment="1">
      <alignment horizontal="right"/>
    </xf>
    <xf numFmtId="43" fontId="64" fillId="0" borderId="0" xfId="472" applyFont="1" applyAlignment="1">
      <alignment horizontal="right"/>
    </xf>
    <xf numFmtId="43" fontId="64" fillId="0" borderId="0" xfId="472" applyFont="1" applyFill="1" applyBorder="1" applyAlignment="1">
      <alignment horizontal="right"/>
    </xf>
    <xf numFmtId="43" fontId="66" fillId="0" borderId="0" xfId="472" applyFont="1" applyAlignment="1">
      <alignment horizontal="left" indent="1"/>
    </xf>
    <xf numFmtId="43" fontId="75" fillId="0" borderId="0" xfId="472" applyFont="1"/>
    <xf numFmtId="43" fontId="65" fillId="0" borderId="0" xfId="472" applyFont="1" applyAlignment="1">
      <alignment horizontal="left" indent="1"/>
    </xf>
    <xf numFmtId="43" fontId="65" fillId="0" borderId="0" xfId="472" applyFont="1" applyAlignment="1">
      <alignment horizontal="left"/>
    </xf>
    <xf numFmtId="43" fontId="76" fillId="0" borderId="0" xfId="472" applyFont="1"/>
    <xf numFmtId="43" fontId="65" fillId="0" borderId="0" xfId="472" applyFont="1" applyFill="1" applyAlignment="1">
      <alignment horizontal="right"/>
    </xf>
    <xf numFmtId="43" fontId="66" fillId="0" borderId="0" xfId="472" applyFont="1" applyAlignment="1">
      <alignment horizontal="right"/>
    </xf>
    <xf numFmtId="43" fontId="73" fillId="0" borderId="2" xfId="472" applyFont="1" applyBorder="1"/>
    <xf numFmtId="43" fontId="65" fillId="27" borderId="0" xfId="472" applyFont="1" applyFill="1" applyBorder="1" applyAlignment="1">
      <alignment horizontal="right"/>
    </xf>
    <xf numFmtId="43" fontId="5" fillId="0" borderId="0" xfId="472" applyFont="1" applyFill="1" applyAlignment="1">
      <alignment horizontal="right" vertical="center"/>
    </xf>
    <xf numFmtId="43" fontId="5" fillId="0" borderId="0" xfId="472" applyFont="1" applyAlignment="1">
      <alignment horizontal="right" vertical="center"/>
    </xf>
    <xf numFmtId="43" fontId="5" fillId="0" borderId="0" xfId="472" applyFont="1" applyAlignment="1">
      <alignment horizontal="center" vertical="center"/>
    </xf>
    <xf numFmtId="43" fontId="76" fillId="0" borderId="0" xfId="472" applyFont="1" applyFill="1" applyAlignment="1">
      <alignment horizontal="right" vertical="center"/>
    </xf>
    <xf numFmtId="43" fontId="76" fillId="0" borderId="0" xfId="472" applyFont="1" applyAlignment="1">
      <alignment horizontal="right" vertical="center"/>
    </xf>
    <xf numFmtId="43" fontId="65" fillId="0" borderId="0" xfId="472" applyFont="1" applyAlignment="1">
      <alignment horizontal="right" wrapText="1"/>
    </xf>
    <xf numFmtId="174" fontId="72" fillId="0" borderId="0" xfId="472" applyNumberFormat="1" applyFont="1" applyAlignment="1">
      <alignment horizontal="right"/>
    </xf>
    <xf numFmtId="174" fontId="72" fillId="0" borderId="0" xfId="472" applyNumberFormat="1" applyFont="1"/>
    <xf numFmtId="43" fontId="72" fillId="0" borderId="2" xfId="472" applyFont="1" applyBorder="1"/>
    <xf numFmtId="43" fontId="73" fillId="0" borderId="14" xfId="0" applyNumberFormat="1" applyFont="1" applyBorder="1"/>
    <xf numFmtId="0" fontId="73" fillId="0" borderId="14" xfId="0" applyFont="1" applyBorder="1"/>
    <xf numFmtId="43" fontId="72" fillId="0" borderId="14" xfId="2180" applyFont="1" applyFill="1" applyBorder="1"/>
    <xf numFmtId="0" fontId="72" fillId="0" borderId="14" xfId="0" applyFont="1" applyBorder="1"/>
    <xf numFmtId="0" fontId="2" fillId="0" borderId="0" xfId="8" applyFont="1" applyAlignment="1">
      <alignment vertical="center"/>
    </xf>
    <xf numFmtId="17" fontId="2" fillId="3" borderId="14" xfId="2015" applyNumberFormat="1" applyFont="1" applyFill="1" applyBorder="1" applyAlignment="1">
      <alignment horizontal="center" vertical="center"/>
    </xf>
    <xf numFmtId="43" fontId="73" fillId="0" borderId="14" xfId="2180" applyFont="1" applyFill="1" applyBorder="1"/>
    <xf numFmtId="0" fontId="2" fillId="0" borderId="0" xfId="8" applyFont="1"/>
    <xf numFmtId="43" fontId="72" fillId="0" borderId="14" xfId="0" applyNumberFormat="1" applyFont="1" applyBorder="1"/>
    <xf numFmtId="0" fontId="64" fillId="0" borderId="14" xfId="0" applyFont="1" applyBorder="1"/>
    <xf numFmtId="0" fontId="2" fillId="3" borderId="14" xfId="2015" applyFont="1" applyFill="1" applyBorder="1" applyAlignment="1">
      <alignment vertical="center"/>
    </xf>
    <xf numFmtId="0" fontId="77" fillId="3" borderId="0" xfId="1" applyFont="1" applyFill="1"/>
    <xf numFmtId="174" fontId="77" fillId="3" borderId="0" xfId="472" applyNumberFormat="1" applyFont="1" applyFill="1" applyAlignment="1">
      <alignment horizontal="right"/>
    </xf>
    <xf numFmtId="0" fontId="77" fillId="3" borderId="0" xfId="0" applyFont="1" applyFill="1"/>
    <xf numFmtId="0" fontId="7" fillId="3" borderId="0" xfId="1" applyFont="1" applyFill="1" applyAlignment="1">
      <alignment vertical="center"/>
    </xf>
    <xf numFmtId="0" fontId="65" fillId="0" borderId="0" xfId="1" applyFont="1"/>
    <xf numFmtId="0" fontId="64" fillId="0" borderId="0" xfId="1" applyFont="1"/>
    <xf numFmtId="0" fontId="65" fillId="0" borderId="0" xfId="1" applyFont="1" applyAlignment="1">
      <alignment horizontal="left"/>
    </xf>
    <xf numFmtId="0" fontId="65" fillId="0" borderId="0" xfId="1" applyFont="1" applyAlignment="1">
      <alignment horizontal="left" indent="1"/>
    </xf>
    <xf numFmtId="43" fontId="76" fillId="0" borderId="0" xfId="472" applyFont="1" applyFill="1" applyAlignment="1">
      <alignment horizontal="center" vertical="center"/>
    </xf>
    <xf numFmtId="0" fontId="64" fillId="0" borderId="0" xfId="1" applyFont="1" applyAlignment="1">
      <alignment wrapText="1"/>
    </xf>
    <xf numFmtId="0" fontId="73" fillId="0" borderId="0" xfId="0" applyFont="1"/>
    <xf numFmtId="0" fontId="65" fillId="0" borderId="0" xfId="1" applyFont="1" applyAlignment="1">
      <alignment horizontal="left" wrapText="1" indent="1"/>
    </xf>
    <xf numFmtId="0" fontId="65" fillId="0" borderId="0" xfId="1" applyFont="1" applyAlignment="1">
      <alignment wrapText="1"/>
    </xf>
    <xf numFmtId="0" fontId="7" fillId="3" borderId="0" xfId="1" applyFont="1" applyFill="1"/>
    <xf numFmtId="174" fontId="77" fillId="3" borderId="0" xfId="472" applyNumberFormat="1" applyFont="1" applyFill="1"/>
    <xf numFmtId="0" fontId="76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left" indent="1"/>
    </xf>
    <xf numFmtId="0" fontId="72" fillId="0" borderId="0" xfId="0" applyFont="1" applyAlignment="1">
      <alignment horizontal="left"/>
    </xf>
    <xf numFmtId="0" fontId="72" fillId="0" borderId="0" xfId="0" applyFont="1" applyAlignment="1">
      <alignment horizontal="left" indent="1"/>
    </xf>
    <xf numFmtId="0" fontId="72" fillId="0" borderId="0" xfId="0" applyFont="1" applyAlignment="1">
      <alignment horizontal="left" indent="2"/>
    </xf>
    <xf numFmtId="0" fontId="72" fillId="0" borderId="2" xfId="0" applyFont="1" applyBorder="1"/>
    <xf numFmtId="0" fontId="73" fillId="0" borderId="0" xfId="0" applyFont="1" applyAlignment="1">
      <alignment horizontal="left"/>
    </xf>
    <xf numFmtId="0" fontId="72" fillId="0" borderId="0" xfId="28" applyFont="1" applyAlignment="1">
      <alignment horizontal="left"/>
    </xf>
    <xf numFmtId="0" fontId="72" fillId="0" borderId="0" xfId="28" applyFont="1" applyAlignment="1">
      <alignment horizontal="left" indent="2"/>
    </xf>
    <xf numFmtId="0" fontId="78" fillId="0" borderId="0" xfId="2032" applyFont="1" applyAlignment="1">
      <alignment horizontal="left"/>
    </xf>
    <xf numFmtId="10" fontId="79" fillId="0" borderId="0" xfId="2014" applyNumberFormat="1" applyFont="1" applyFill="1" applyBorder="1"/>
    <xf numFmtId="0" fontId="79" fillId="0" borderId="0" xfId="0" applyFont="1"/>
    <xf numFmtId="43" fontId="79" fillId="0" borderId="0" xfId="472" applyFont="1" applyFill="1" applyBorder="1"/>
    <xf numFmtId="10" fontId="79" fillId="0" borderId="0" xfId="2014" applyNumberFormat="1" applyFont="1" applyFill="1" applyBorder="1" applyAlignment="1">
      <alignment horizontal="right"/>
    </xf>
    <xf numFmtId="10" fontId="5" fillId="0" borderId="0" xfId="2014" applyNumberFormat="1" applyFont="1" applyFill="1" applyBorder="1" applyAlignment="1">
      <alignment horizontal="right"/>
    </xf>
    <xf numFmtId="10" fontId="72" fillId="0" borderId="0" xfId="0" applyNumberFormat="1" applyFont="1"/>
    <xf numFmtId="0" fontId="65" fillId="0" borderId="0" xfId="0" applyFont="1" applyAlignment="1">
      <alignment horizontal="left"/>
    </xf>
    <xf numFmtId="0" fontId="65" fillId="0" borderId="0" xfId="0" applyFont="1" applyAlignment="1">
      <alignment horizontal="left" indent="2"/>
    </xf>
    <xf numFmtId="10" fontId="79" fillId="0" borderId="0" xfId="0" applyNumberFormat="1" applyFont="1"/>
    <xf numFmtId="43" fontId="79" fillId="0" borderId="0" xfId="0" applyNumberFormat="1" applyFont="1"/>
    <xf numFmtId="0" fontId="64" fillId="0" borderId="0" xfId="0" applyFont="1"/>
    <xf numFmtId="0" fontId="65" fillId="0" borderId="0" xfId="0" applyFont="1" applyAlignment="1">
      <alignment horizontal="left" wrapText="1"/>
    </xf>
    <xf numFmtId="10" fontId="65" fillId="0" borderId="0" xfId="0" applyNumberFormat="1" applyFont="1"/>
    <xf numFmtId="43" fontId="79" fillId="0" borderId="0" xfId="2014" applyNumberFormat="1" applyFont="1" applyFill="1" applyBorder="1"/>
    <xf numFmtId="43" fontId="72" fillId="0" borderId="0" xfId="472" applyFont="1" applyFill="1" applyBorder="1"/>
    <xf numFmtId="0" fontId="65" fillId="0" borderId="0" xfId="0" applyFont="1" applyAlignment="1">
      <alignment horizontal="left" vertical="top"/>
    </xf>
    <xf numFmtId="0" fontId="64" fillId="0" borderId="0" xfId="0" applyFont="1" applyAlignment="1">
      <alignment horizontal="left" vertical="top" wrapText="1"/>
    </xf>
    <xf numFmtId="0" fontId="80" fillId="0" borderId="0" xfId="0" applyFont="1"/>
    <xf numFmtId="176" fontId="65" fillId="0" borderId="0" xfId="2032" applyNumberFormat="1" applyFont="1" applyAlignment="1">
      <alignment horizontal="left" vertical="center"/>
    </xf>
    <xf numFmtId="176" fontId="78" fillId="0" borderId="0" xfId="2032" applyNumberFormat="1" applyFont="1" applyAlignment="1">
      <alignment horizontal="left" vertical="center"/>
    </xf>
    <xf numFmtId="10" fontId="79" fillId="0" borderId="0" xfId="2032" applyNumberFormat="1" applyFont="1" applyAlignment="1">
      <alignment horizontal="right" vertical="center"/>
    </xf>
    <xf numFmtId="10" fontId="65" fillId="0" borderId="0" xfId="2032" applyNumberFormat="1" applyFont="1" applyAlignment="1">
      <alignment horizontal="right" vertical="center"/>
    </xf>
    <xf numFmtId="9" fontId="79" fillId="0" borderId="0" xfId="0" applyNumberFormat="1" applyFont="1"/>
    <xf numFmtId="9" fontId="65" fillId="0" borderId="0" xfId="0" applyNumberFormat="1" applyFont="1"/>
    <xf numFmtId="9" fontId="72" fillId="0" borderId="0" xfId="0" applyNumberFormat="1" applyFont="1"/>
    <xf numFmtId="175" fontId="81" fillId="0" borderId="0" xfId="472" applyNumberFormat="1" applyFont="1" applyFill="1" applyBorder="1"/>
    <xf numFmtId="175" fontId="72" fillId="0" borderId="0" xfId="472" applyNumberFormat="1" applyFont="1" applyFill="1" applyBorder="1"/>
    <xf numFmtId="0" fontId="82" fillId="0" borderId="0" xfId="0" applyFont="1" applyAlignment="1">
      <alignment horizontal="left"/>
    </xf>
    <xf numFmtId="43" fontId="64" fillId="0" borderId="0" xfId="0" applyNumberFormat="1" applyFont="1"/>
    <xf numFmtId="0" fontId="82" fillId="0" borderId="0" xfId="0" applyFont="1"/>
    <xf numFmtId="0" fontId="72" fillId="0" borderId="0" xfId="5" applyFont="1"/>
    <xf numFmtId="43" fontId="72" fillId="0" borderId="0" xfId="5" applyNumberFormat="1" applyFont="1"/>
    <xf numFmtId="43" fontId="81" fillId="0" borderId="0" xfId="5" applyNumberFormat="1" applyFont="1"/>
    <xf numFmtId="0" fontId="73" fillId="0" borderId="0" xfId="5" applyFont="1"/>
    <xf numFmtId="10" fontId="79" fillId="0" borderId="0" xfId="5" applyNumberFormat="1" applyFont="1"/>
    <xf numFmtId="0" fontId="72" fillId="0" borderId="0" xfId="5" applyFont="1" applyAlignment="1">
      <alignment horizontal="left"/>
    </xf>
    <xf numFmtId="0" fontId="73" fillId="0" borderId="0" xfId="0" applyFont="1" applyAlignment="1">
      <alignment horizontal="left" indent="1"/>
    </xf>
    <xf numFmtId="0" fontId="82" fillId="0" borderId="0" xfId="0" applyFont="1" applyAlignment="1">
      <alignment horizontal="left" indent="1"/>
    </xf>
    <xf numFmtId="0" fontId="73" fillId="0" borderId="0" xfId="28" applyFont="1"/>
    <xf numFmtId="43" fontId="73" fillId="0" borderId="0" xfId="472" applyFont="1" applyBorder="1"/>
    <xf numFmtId="0" fontId="72" fillId="0" borderId="0" xfId="28" applyFont="1" applyAlignment="1">
      <alignment horizontal="left" indent="1"/>
    </xf>
    <xf numFmtId="0" fontId="83" fillId="0" borderId="0" xfId="28" applyFont="1"/>
    <xf numFmtId="0" fontId="72" fillId="0" borderId="0" xfId="28" applyFont="1"/>
    <xf numFmtId="0" fontId="64" fillId="0" borderId="0" xfId="1" applyFont="1" applyAlignment="1">
      <alignment horizontal="left"/>
    </xf>
    <xf numFmtId="43" fontId="72" fillId="28" borderId="0" xfId="472" applyFont="1" applyFill="1"/>
    <xf numFmtId="43" fontId="72" fillId="28" borderId="0" xfId="472" applyFont="1" applyFill="1" applyBorder="1"/>
    <xf numFmtId="43" fontId="73" fillId="0" borderId="0" xfId="472" applyFont="1" applyFill="1" applyBorder="1"/>
    <xf numFmtId="43" fontId="65" fillId="28" borderId="0" xfId="472" applyFont="1" applyFill="1" applyAlignment="1">
      <alignment horizontal="right"/>
    </xf>
    <xf numFmtId="43" fontId="65" fillId="28" borderId="0" xfId="472" applyFont="1" applyFill="1" applyBorder="1" applyAlignment="1">
      <alignment horizontal="right"/>
    </xf>
    <xf numFmtId="0" fontId="75" fillId="0" borderId="0" xfId="0" applyFont="1"/>
    <xf numFmtId="0" fontId="66" fillId="0" borderId="0" xfId="1" applyFont="1" applyAlignment="1">
      <alignment horizontal="left" indent="1"/>
    </xf>
    <xf numFmtId="43" fontId="84" fillId="28" borderId="0" xfId="472" applyFont="1" applyFill="1" applyAlignment="1">
      <alignment horizontal="right"/>
    </xf>
    <xf numFmtId="43" fontId="66" fillId="28" borderId="0" xfId="472" applyFont="1" applyFill="1" applyAlignment="1">
      <alignment horizontal="right"/>
    </xf>
    <xf numFmtId="43" fontId="66" fillId="28" borderId="0" xfId="472" applyFont="1" applyFill="1" applyAlignment="1">
      <alignment horizontal="left" indent="1"/>
    </xf>
    <xf numFmtId="43" fontId="65" fillId="28" borderId="0" xfId="472" applyFont="1" applyFill="1" applyAlignment="1">
      <alignment horizontal="left" indent="1"/>
    </xf>
    <xf numFmtId="0" fontId="72" fillId="0" borderId="3" xfId="0" applyFont="1" applyBorder="1"/>
    <xf numFmtId="0" fontId="72" fillId="0" borderId="0" xfId="0" applyFont="1" applyAlignment="1">
      <alignment horizontal="left" wrapText="1" indent="1"/>
    </xf>
    <xf numFmtId="0" fontId="64" fillId="0" borderId="0" xfId="1" applyFont="1" applyAlignment="1">
      <alignment horizontal="left" indent="1"/>
    </xf>
    <xf numFmtId="0" fontId="65" fillId="0" borderId="0" xfId="1" applyFont="1" applyAlignment="1">
      <alignment horizontal="left" indent="2"/>
    </xf>
    <xf numFmtId="0" fontId="73" fillId="0" borderId="0" xfId="0" applyFont="1" applyAlignment="1">
      <alignment wrapText="1"/>
    </xf>
    <xf numFmtId="0" fontId="72" fillId="0" borderId="0" xfId="0" applyFont="1" applyAlignment="1">
      <alignment wrapText="1"/>
    </xf>
    <xf numFmtId="0" fontId="73" fillId="0" borderId="0" xfId="0" applyFont="1" applyAlignment="1">
      <alignment horizontal="left" wrapText="1" indent="1"/>
    </xf>
    <xf numFmtId="0" fontId="83" fillId="0" borderId="0" xfId="0" applyFont="1"/>
    <xf numFmtId="0" fontId="83" fillId="0" borderId="0" xfId="0" applyFont="1" applyAlignment="1">
      <alignment horizontal="left"/>
    </xf>
    <xf numFmtId="0" fontId="83" fillId="0" borderId="0" xfId="0" applyFont="1" applyAlignment="1">
      <alignment horizontal="left" wrapText="1"/>
    </xf>
    <xf numFmtId="0" fontId="64" fillId="0" borderId="2" xfId="1" applyFont="1" applyBorder="1" applyAlignment="1">
      <alignment horizontal="left"/>
    </xf>
    <xf numFmtId="0" fontId="66" fillId="0" borderId="0" xfId="1" applyFont="1" applyAlignment="1">
      <alignment horizontal="left"/>
    </xf>
    <xf numFmtId="0" fontId="64" fillId="4" borderId="2" xfId="1" applyFont="1" applyFill="1" applyBorder="1" applyAlignment="1">
      <alignment horizontal="left"/>
    </xf>
    <xf numFmtId="43" fontId="64" fillId="4" borderId="2" xfId="472" applyFont="1" applyFill="1" applyBorder="1" applyAlignment="1">
      <alignment horizontal="right"/>
    </xf>
    <xf numFmtId="43" fontId="64" fillId="4" borderId="2" xfId="472" applyFont="1" applyFill="1" applyBorder="1" applyAlignment="1">
      <alignment horizontal="left"/>
    </xf>
    <xf numFmtId="0" fontId="64" fillId="31" borderId="15" xfId="1" applyFont="1" applyFill="1" applyBorder="1" applyAlignment="1">
      <alignment horizontal="left"/>
    </xf>
    <xf numFmtId="43" fontId="64" fillId="31" borderId="15" xfId="472" applyFont="1" applyFill="1" applyBorder="1" applyAlignment="1">
      <alignment horizontal="left"/>
    </xf>
    <xf numFmtId="0" fontId="7" fillId="0" borderId="0" xfId="1" applyFont="1"/>
    <xf numFmtId="0" fontId="77" fillId="0" borderId="0" xfId="1" applyFont="1"/>
    <xf numFmtId="174" fontId="77" fillId="0" borderId="0" xfId="472" applyNumberFormat="1" applyFont="1" applyFill="1" applyAlignment="1">
      <alignment horizontal="right"/>
    </xf>
    <xf numFmtId="0" fontId="77" fillId="0" borderId="0" xfId="0" applyFont="1"/>
    <xf numFmtId="174" fontId="77" fillId="0" borderId="0" xfId="472" applyNumberFormat="1" applyFont="1" applyFill="1"/>
    <xf numFmtId="0" fontId="64" fillId="4" borderId="2" xfId="1" applyFont="1" applyFill="1" applyBorder="1"/>
    <xf numFmtId="43" fontId="76" fillId="4" borderId="2" xfId="472" applyFont="1" applyFill="1" applyBorder="1" applyAlignment="1">
      <alignment horizontal="right" vertical="center"/>
    </xf>
    <xf numFmtId="0" fontId="64" fillId="4" borderId="2" xfId="1" applyFont="1" applyFill="1" applyBorder="1" applyAlignment="1">
      <alignment wrapText="1"/>
    </xf>
    <xf numFmtId="43" fontId="5" fillId="0" borderId="0" xfId="472" quotePrefix="1" applyFont="1" applyFill="1" applyAlignment="1">
      <alignment horizontal="right" vertical="center"/>
    </xf>
    <xf numFmtId="0" fontId="64" fillId="4" borderId="15" xfId="1" applyFont="1" applyFill="1" applyBorder="1"/>
    <xf numFmtId="0" fontId="64" fillId="4" borderId="15" xfId="1" applyFont="1" applyFill="1" applyBorder="1" applyAlignment="1">
      <alignment wrapText="1"/>
    </xf>
    <xf numFmtId="43" fontId="64" fillId="4" borderId="15" xfId="472" applyFont="1" applyFill="1" applyBorder="1" applyAlignment="1">
      <alignment horizontal="right" wrapText="1"/>
    </xf>
    <xf numFmtId="10" fontId="5" fillId="0" borderId="0" xfId="2014" applyNumberFormat="1" applyFont="1" applyFill="1" applyAlignment="1">
      <alignment horizontal="right" vertical="center"/>
    </xf>
    <xf numFmtId="0" fontId="73" fillId="0" borderId="2" xfId="0" applyFont="1" applyBorder="1" applyAlignment="1">
      <alignment horizontal="left"/>
    </xf>
    <xf numFmtId="0" fontId="73" fillId="0" borderId="2" xfId="0" applyFont="1" applyBorder="1" applyAlignment="1">
      <alignment horizontal="left" indent="2"/>
    </xf>
    <xf numFmtId="0" fontId="64" fillId="0" borderId="2" xfId="1" applyFont="1" applyBorder="1" applyAlignment="1">
      <alignment horizontal="left" wrapText="1" indent="1"/>
    </xf>
    <xf numFmtId="43" fontId="64" fillId="0" borderId="2" xfId="472" applyFont="1" applyFill="1" applyBorder="1" applyAlignment="1">
      <alignment horizontal="right"/>
    </xf>
    <xf numFmtId="0" fontId="11" fillId="0" borderId="3" xfId="4" applyFont="1" applyBorder="1" applyAlignment="1">
      <alignment vertical="center"/>
    </xf>
    <xf numFmtId="0" fontId="11" fillId="0" borderId="3" xfId="4" applyFont="1" applyBorder="1" applyAlignment="1">
      <alignment vertical="center" wrapText="1"/>
    </xf>
    <xf numFmtId="43" fontId="10" fillId="0" borderId="3" xfId="472" applyFont="1" applyBorder="1" applyAlignment="1">
      <alignment horizontal="center" vertical="center"/>
    </xf>
    <xf numFmtId="0" fontId="11" fillId="0" borderId="15" xfId="4" applyFont="1" applyBorder="1" applyAlignment="1">
      <alignment vertical="center"/>
    </xf>
    <xf numFmtId="0" fontId="11" fillId="0" borderId="15" xfId="4" applyFont="1" applyBorder="1" applyAlignment="1">
      <alignment vertical="center" wrapText="1"/>
    </xf>
    <xf numFmtId="43" fontId="10" fillId="0" borderId="15" xfId="472" applyFont="1" applyBorder="1" applyAlignment="1">
      <alignment horizontal="center" vertical="center"/>
    </xf>
    <xf numFmtId="43" fontId="64" fillId="0" borderId="0" xfId="472" applyFont="1"/>
    <xf numFmtId="0" fontId="66" fillId="0" borderId="0" xfId="2014" applyNumberFormat="1" applyFont="1" applyAlignment="1">
      <alignment horizontal="left" vertical="center"/>
    </xf>
    <xf numFmtId="0" fontId="65" fillId="0" borderId="0" xfId="2014" applyNumberFormat="1" applyFont="1" applyAlignment="1">
      <alignment horizontal="left"/>
    </xf>
    <xf numFmtId="167" fontId="64" fillId="0" borderId="0" xfId="553" applyNumberFormat="1" applyFont="1" applyAlignment="1">
      <alignment horizontal="left"/>
    </xf>
    <xf numFmtId="0" fontId="64" fillId="0" borderId="0" xfId="2014" applyNumberFormat="1" applyFont="1" applyAlignment="1">
      <alignment horizontal="left"/>
    </xf>
    <xf numFmtId="17" fontId="64" fillId="0" borderId="0" xfId="553" applyNumberFormat="1" applyFont="1" applyAlignment="1">
      <alignment horizontal="center"/>
    </xf>
    <xf numFmtId="10" fontId="64" fillId="0" borderId="0" xfId="2014" applyNumberFormat="1" applyFont="1" applyAlignment="1">
      <alignment horizontal="left"/>
    </xf>
    <xf numFmtId="167" fontId="64" fillId="27" borderId="0" xfId="553" applyNumberFormat="1" applyFont="1" applyFill="1"/>
    <xf numFmtId="17" fontId="64" fillId="0" borderId="0" xfId="0" applyNumberFormat="1" applyFont="1"/>
    <xf numFmtId="167" fontId="65" fillId="27" borderId="0" xfId="0" applyNumberFormat="1" applyFont="1" applyFill="1"/>
    <xf numFmtId="43" fontId="65" fillId="0" borderId="0" xfId="0" applyNumberFormat="1" applyFont="1"/>
    <xf numFmtId="165" fontId="65" fillId="0" borderId="0" xfId="0" applyNumberFormat="1" applyFont="1"/>
    <xf numFmtId="2" fontId="65" fillId="0" borderId="0" xfId="0" applyNumberFormat="1" applyFont="1"/>
    <xf numFmtId="167" fontId="65" fillId="0" borderId="0" xfId="0" applyNumberFormat="1" applyFont="1"/>
    <xf numFmtId="165" fontId="64" fillId="0" borderId="0" xfId="0" applyNumberFormat="1" applyFont="1"/>
    <xf numFmtId="165" fontId="65" fillId="27" borderId="0" xfId="0" applyNumberFormat="1" applyFont="1" applyFill="1"/>
    <xf numFmtId="165" fontId="64" fillId="27" borderId="0" xfId="553" applyFont="1" applyFill="1"/>
    <xf numFmtId="10" fontId="65" fillId="0" borderId="0" xfId="2014" applyNumberFormat="1" applyFont="1" applyAlignment="1">
      <alignment horizontal="left"/>
    </xf>
    <xf numFmtId="10" fontId="65" fillId="0" borderId="0" xfId="2014" applyNumberFormat="1" applyFont="1" applyAlignment="1">
      <alignment horizontal="left" wrapText="1"/>
    </xf>
    <xf numFmtId="0" fontId="64" fillId="27" borderId="0" xfId="0" applyFont="1" applyFill="1"/>
    <xf numFmtId="0" fontId="65" fillId="0" borderId="0" xfId="0" applyFont="1" applyAlignment="1">
      <alignment wrapText="1"/>
    </xf>
    <xf numFmtId="0" fontId="65" fillId="27" borderId="0" xfId="0" applyFont="1" applyFill="1"/>
    <xf numFmtId="10" fontId="65" fillId="27" borderId="0" xfId="2014" applyNumberFormat="1" applyFont="1" applyFill="1" applyAlignment="1">
      <alignment horizontal="left"/>
    </xf>
    <xf numFmtId="0" fontId="85" fillId="0" borderId="0" xfId="0" applyFont="1"/>
    <xf numFmtId="0" fontId="7" fillId="3" borderId="0" xfId="8" applyFont="1" applyFill="1" applyAlignment="1">
      <alignment vertical="center"/>
    </xf>
    <xf numFmtId="0" fontId="7" fillId="3" borderId="0" xfId="2015" applyFont="1" applyFill="1" applyAlignment="1">
      <alignment vertical="center"/>
    </xf>
    <xf numFmtId="17" fontId="7" fillId="3" borderId="0" xfId="2015" applyNumberFormat="1" applyFont="1" applyFill="1" applyAlignment="1">
      <alignment horizontal="center" vertical="center"/>
    </xf>
    <xf numFmtId="9" fontId="72" fillId="0" borderId="14" xfId="0" applyNumberFormat="1" applyFont="1" applyBorder="1"/>
    <xf numFmtId="43" fontId="72" fillId="0" borderId="14" xfId="472" applyFont="1" applyBorder="1"/>
    <xf numFmtId="43" fontId="73" fillId="0" borderId="14" xfId="472" applyFont="1" applyBorder="1"/>
    <xf numFmtId="0" fontId="7" fillId="0" borderId="0" xfId="8" applyFont="1"/>
    <xf numFmtId="0" fontId="73" fillId="0" borderId="14" xfId="0" applyFont="1" applyBorder="1" applyAlignment="1">
      <alignment horizontal="center"/>
    </xf>
    <xf numFmtId="0" fontId="65" fillId="0" borderId="0" xfId="8" applyFont="1"/>
    <xf numFmtId="43" fontId="65" fillId="0" borderId="0" xfId="472" applyFont="1" applyAlignment="1">
      <alignment horizontal="center"/>
    </xf>
    <xf numFmtId="0" fontId="64" fillId="0" borderId="0" xfId="8" applyFont="1"/>
    <xf numFmtId="9" fontId="65" fillId="0" borderId="0" xfId="2014" applyFont="1"/>
    <xf numFmtId="14" fontId="79" fillId="0" borderId="0" xfId="8" applyNumberFormat="1" applyFont="1" applyAlignment="1">
      <alignment horizontal="left" vertical="center"/>
    </xf>
    <xf numFmtId="0" fontId="5" fillId="0" borderId="0" xfId="2015" applyFont="1"/>
    <xf numFmtId="43" fontId="65" fillId="0" borderId="0" xfId="472" applyFont="1" applyAlignment="1">
      <alignment horizontal="center" vertical="center"/>
    </xf>
    <xf numFmtId="43" fontId="64" fillId="0" borderId="0" xfId="472" applyFont="1" applyAlignment="1">
      <alignment horizontal="center"/>
    </xf>
    <xf numFmtId="0" fontId="73" fillId="0" borderId="0" xfId="8" applyFont="1" applyAlignment="1">
      <alignment horizontal="left"/>
    </xf>
    <xf numFmtId="0" fontId="73" fillId="0" borderId="0" xfId="8" applyFont="1" applyAlignment="1">
      <alignment horizontal="center"/>
    </xf>
    <xf numFmtId="40" fontId="65" fillId="0" borderId="0" xfId="8" applyNumberFormat="1" applyFont="1" applyAlignment="1">
      <alignment horizontal="center"/>
    </xf>
    <xf numFmtId="43" fontId="73" fillId="0" borderId="0" xfId="472" applyFont="1" applyAlignment="1"/>
    <xf numFmtId="40" fontId="73" fillId="0" borderId="0" xfId="8" applyNumberFormat="1" applyFont="1"/>
    <xf numFmtId="0" fontId="73" fillId="0" borderId="0" xfId="8" applyFont="1"/>
    <xf numFmtId="0" fontId="7" fillId="0" borderId="0" xfId="2015" applyFont="1" applyAlignment="1">
      <alignment vertical="center"/>
    </xf>
    <xf numFmtId="17" fontId="7" fillId="0" borderId="0" xfId="2015" applyNumberFormat="1" applyFont="1" applyAlignment="1">
      <alignment horizontal="center" vertical="center"/>
    </xf>
    <xf numFmtId="0" fontId="64" fillId="0" borderId="2" xfId="8" applyFont="1" applyBorder="1"/>
    <xf numFmtId="43" fontId="64" fillId="0" borderId="2" xfId="472" applyFont="1" applyBorder="1" applyAlignment="1">
      <alignment horizontal="center"/>
    </xf>
    <xf numFmtId="10" fontId="79" fillId="0" borderId="0" xfId="9" applyNumberFormat="1" applyFont="1" applyFill="1" applyAlignment="1">
      <alignment horizontal="left"/>
    </xf>
    <xf numFmtId="0" fontId="72" fillId="0" borderId="16" xfId="0" applyFont="1" applyBorder="1"/>
    <xf numFmtId="0" fontId="73" fillId="0" borderId="14" xfId="0" applyFont="1" applyBorder="1" applyAlignment="1">
      <alignment horizontal="center" wrapText="1"/>
    </xf>
    <xf numFmtId="0" fontId="73" fillId="0" borderId="2" xfId="0" applyFont="1" applyBorder="1"/>
    <xf numFmtId="174" fontId="73" fillId="0" borderId="2" xfId="472" applyNumberFormat="1" applyFont="1" applyBorder="1" applyAlignment="1">
      <alignment horizontal="right"/>
    </xf>
    <xf numFmtId="43" fontId="73" fillId="0" borderId="2" xfId="472" applyFont="1" applyBorder="1" applyAlignment="1">
      <alignment horizontal="right"/>
    </xf>
    <xf numFmtId="43" fontId="72" fillId="0" borderId="0" xfId="472" quotePrefix="1" applyFont="1"/>
    <xf numFmtId="174" fontId="73" fillId="0" borderId="0" xfId="472" applyNumberFormat="1" applyFont="1"/>
    <xf numFmtId="0" fontId="64" fillId="0" borderId="0" xfId="1" applyFont="1" applyAlignment="1">
      <alignment vertical="center"/>
    </xf>
    <xf numFmtId="2" fontId="64" fillId="0" borderId="0" xfId="1" applyNumberFormat="1" applyFont="1" applyAlignment="1">
      <alignment vertical="center"/>
    </xf>
    <xf numFmtId="0" fontId="86" fillId="0" borderId="0" xfId="0" applyFont="1"/>
    <xf numFmtId="0" fontId="0" fillId="0" borderId="0" xfId="0" applyAlignment="1">
      <alignment horizontal="left"/>
    </xf>
    <xf numFmtId="17" fontId="64" fillId="0" borderId="0" xfId="0" applyNumberFormat="1" applyFont="1" applyAlignment="1">
      <alignment horizontal="center" vertical="center"/>
    </xf>
    <xf numFmtId="0" fontId="87" fillId="0" borderId="0" xfId="0" applyFont="1" applyAlignment="1">
      <alignment vertical="center" wrapText="1"/>
    </xf>
    <xf numFmtId="175" fontId="64" fillId="0" borderId="0" xfId="472" applyNumberFormat="1" applyFont="1" applyAlignment="1">
      <alignment horizontal="center" vertical="center"/>
    </xf>
    <xf numFmtId="0" fontId="65" fillId="0" borderId="0" xfId="0" applyFont="1" applyAlignment="1">
      <alignment vertical="center"/>
    </xf>
    <xf numFmtId="175" fontId="65" fillId="0" borderId="0" xfId="472" applyNumberFormat="1" applyFont="1" applyAlignment="1">
      <alignment vertical="center"/>
    </xf>
    <xf numFmtId="0" fontId="72" fillId="0" borderId="0" xfId="0" applyFont="1" applyAlignment="1">
      <alignment vertical="center"/>
    </xf>
    <xf numFmtId="0" fontId="78" fillId="0" borderId="0" xfId="2032" applyFont="1" applyAlignment="1">
      <alignment horizontal="left" vertical="center"/>
    </xf>
    <xf numFmtId="175" fontId="64" fillId="0" borderId="0" xfId="472" applyNumberFormat="1" applyFont="1" applyAlignment="1">
      <alignment vertical="center"/>
    </xf>
    <xf numFmtId="0" fontId="3" fillId="0" borderId="2" xfId="0" applyFont="1" applyBorder="1" applyAlignment="1">
      <alignment horizontal="left"/>
    </xf>
    <xf numFmtId="43" fontId="3" fillId="0" borderId="2" xfId="472" applyFont="1" applyBorder="1"/>
    <xf numFmtId="43" fontId="0" fillId="0" borderId="0" xfId="472" applyFont="1" applyBorder="1"/>
    <xf numFmtId="43" fontId="88" fillId="0" borderId="0" xfId="472" applyFont="1"/>
    <xf numFmtId="43" fontId="8" fillId="0" borderId="0" xfId="472" applyFont="1"/>
    <xf numFmtId="10" fontId="88" fillId="0" borderId="0" xfId="0" applyNumberFormat="1" applyFont="1"/>
    <xf numFmtId="0" fontId="3" fillId="0" borderId="3" xfId="0" applyFont="1" applyBorder="1" applyAlignment="1">
      <alignment horizontal="left"/>
    </xf>
    <xf numFmtId="43" fontId="3" fillId="0" borderId="3" xfId="0" applyNumberFormat="1" applyFont="1" applyBorder="1"/>
    <xf numFmtId="43" fontId="65" fillId="0" borderId="0" xfId="472" applyFont="1" applyFill="1"/>
    <xf numFmtId="9" fontId="64" fillId="0" borderId="0" xfId="2014" applyFont="1" applyAlignment="1">
      <alignment horizontal="center" vertical="center"/>
    </xf>
    <xf numFmtId="10" fontId="79" fillId="0" borderId="0" xfId="2014" applyNumberFormat="1" applyFont="1"/>
    <xf numFmtId="43" fontId="65" fillId="0" borderId="0" xfId="472" applyFont="1" applyFill="1" applyBorder="1"/>
    <xf numFmtId="175" fontId="81" fillId="0" borderId="0" xfId="472" applyNumberFormat="1" applyFont="1" applyAlignment="1">
      <alignment vertical="center"/>
    </xf>
    <xf numFmtId="43" fontId="64" fillId="0" borderId="0" xfId="1" applyNumberFormat="1" applyFont="1" applyAlignment="1">
      <alignment vertical="center"/>
    </xf>
    <xf numFmtId="43" fontId="64" fillId="0" borderId="0" xfId="0" applyNumberFormat="1" applyFont="1" applyAlignment="1">
      <alignment horizontal="center" vertical="center"/>
    </xf>
    <xf numFmtId="10" fontId="64" fillId="0" borderId="0" xfId="0" applyNumberFormat="1" applyFont="1" applyAlignment="1">
      <alignment horizontal="right" vertical="center"/>
    </xf>
    <xf numFmtId="43" fontId="64" fillId="0" borderId="0" xfId="0" applyNumberFormat="1" applyFont="1" applyAlignment="1">
      <alignment horizontal="right" vertical="center"/>
    </xf>
    <xf numFmtId="0" fontId="65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2" borderId="0" xfId="1" applyFont="1" applyFill="1" applyAlignment="1">
      <alignment vertical="center"/>
    </xf>
    <xf numFmtId="0" fontId="73" fillId="4" borderId="0" xfId="1" applyFont="1" applyFill="1" applyAlignment="1">
      <alignment horizontal="center"/>
    </xf>
    <xf numFmtId="0" fontId="3" fillId="4" borderId="0" xfId="1" applyFont="1" applyFill="1" applyAlignment="1">
      <alignment horizontal="center"/>
    </xf>
    <xf numFmtId="43" fontId="7" fillId="2" borderId="0" xfId="1" applyNumberFormat="1" applyFont="1" applyFill="1" applyAlignment="1">
      <alignment vertical="center"/>
    </xf>
    <xf numFmtId="0" fontId="7" fillId="2" borderId="0" xfId="2014" applyNumberFormat="1" applyFont="1" applyFill="1" applyAlignment="1">
      <alignment horizontal="left" vertical="center"/>
    </xf>
    <xf numFmtId="0" fontId="2" fillId="2" borderId="0" xfId="1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43" fontId="3" fillId="0" borderId="0" xfId="472" applyFon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73" fillId="0" borderId="0" xfId="472" applyFont="1" applyAlignment="1">
      <alignment horizontal="right" vertical="center"/>
    </xf>
    <xf numFmtId="2" fontId="73" fillId="0" borderId="0" xfId="0" applyNumberFormat="1" applyFont="1" applyAlignment="1">
      <alignment horizontal="right" vertical="center"/>
    </xf>
    <xf numFmtId="0" fontId="72" fillId="0" borderId="0" xfId="0" applyFont="1" applyAlignment="1">
      <alignment horizontal="right" vertical="center"/>
    </xf>
    <xf numFmtId="0" fontId="3" fillId="0" borderId="3" xfId="0" applyFont="1" applyBorder="1"/>
    <xf numFmtId="2" fontId="0" fillId="0" borderId="0" xfId="0" applyNumberFormat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43" fontId="64" fillId="4" borderId="2" xfId="472" applyFont="1" applyFill="1" applyBorder="1"/>
    <xf numFmtId="170" fontId="79" fillId="0" borderId="0" xfId="0" applyNumberFormat="1" applyFont="1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89" fillId="32" borderId="0" xfId="8" applyFont="1" applyFill="1" applyAlignment="1">
      <alignment vertical="center"/>
    </xf>
    <xf numFmtId="0" fontId="2" fillId="3" borderId="0" xfId="8" applyFont="1" applyFill="1" applyAlignment="1">
      <alignment horizontal="left" vertical="center"/>
    </xf>
    <xf numFmtId="0" fontId="90" fillId="3" borderId="0" xfId="8" applyFont="1" applyFill="1" applyAlignment="1">
      <alignment horizontal="center" vertical="center"/>
    </xf>
    <xf numFmtId="0" fontId="2" fillId="32" borderId="0" xfId="8" applyFont="1" applyFill="1" applyAlignment="1">
      <alignment horizontal="center" vertical="center"/>
    </xf>
    <xf numFmtId="0" fontId="1" fillId="32" borderId="0" xfId="8" applyFill="1"/>
    <xf numFmtId="179" fontId="2" fillId="3" borderId="14" xfId="8" applyNumberFormat="1" applyFont="1" applyFill="1" applyBorder="1" applyAlignment="1">
      <alignment horizontal="center" vertical="center"/>
    </xf>
    <xf numFmtId="0" fontId="1" fillId="0" borderId="0" xfId="8"/>
    <xf numFmtId="0" fontId="1" fillId="0" borderId="14" xfId="8" applyBorder="1"/>
    <xf numFmtId="2" fontId="1" fillId="0" borderId="14" xfId="8" applyNumberFormat="1" applyBorder="1" applyAlignment="1">
      <alignment horizontal="center" vertical="center"/>
    </xf>
    <xf numFmtId="2" fontId="1" fillId="0" borderId="0" xfId="8" applyNumberFormat="1" applyAlignment="1">
      <alignment horizontal="center" vertical="center"/>
    </xf>
    <xf numFmtId="0" fontId="1" fillId="0" borderId="0" xfId="8" applyAlignment="1">
      <alignment horizontal="center" vertical="center"/>
    </xf>
    <xf numFmtId="179" fontId="2" fillId="3" borderId="14" xfId="8" applyNumberFormat="1" applyFont="1" applyFill="1" applyBorder="1" applyAlignment="1">
      <alignment horizontal="left" vertical="center"/>
    </xf>
    <xf numFmtId="0" fontId="1" fillId="33" borderId="17" xfId="8" applyFill="1" applyBorder="1" applyAlignment="1">
      <alignment vertical="center"/>
    </xf>
    <xf numFmtId="2" fontId="1" fillId="0" borderId="17" xfId="8" applyNumberFormat="1" applyBorder="1" applyAlignment="1">
      <alignment horizontal="center" vertical="center"/>
    </xf>
    <xf numFmtId="2" fontId="1" fillId="34" borderId="17" xfId="8" applyNumberFormat="1" applyFill="1" applyBorder="1" applyAlignment="1">
      <alignment horizontal="center" vertical="center"/>
    </xf>
    <xf numFmtId="10" fontId="1" fillId="0" borderId="17" xfId="8" applyNumberFormat="1" applyBorder="1" applyAlignment="1">
      <alignment horizontal="center" vertical="center"/>
    </xf>
    <xf numFmtId="10" fontId="1" fillId="34" borderId="17" xfId="3" applyNumberFormat="1" applyFont="1" applyFill="1" applyBorder="1" applyAlignment="1">
      <alignment horizontal="center" vertical="center"/>
    </xf>
    <xf numFmtId="0" fontId="1" fillId="33" borderId="14" xfId="8" applyFill="1" applyBorder="1" applyAlignment="1">
      <alignment vertical="center"/>
    </xf>
    <xf numFmtId="10" fontId="1" fillId="34" borderId="17" xfId="2014" applyNumberFormat="1" applyFill="1" applyBorder="1" applyAlignment="1">
      <alignment horizontal="center" vertical="center"/>
    </xf>
    <xf numFmtId="43" fontId="1" fillId="0" borderId="17" xfId="8" applyNumberFormat="1" applyBorder="1" applyAlignment="1">
      <alignment horizontal="center" vertical="center"/>
    </xf>
    <xf numFmtId="0" fontId="73" fillId="0" borderId="0" xfId="8" applyFont="1" applyAlignment="1"/>
    <xf numFmtId="175" fontId="3" fillId="0" borderId="14" xfId="6153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9" fontId="0" fillId="0" borderId="0" xfId="2014" applyFont="1" applyAlignment="1">
      <alignment horizontal="center" vertical="center"/>
    </xf>
    <xf numFmtId="17" fontId="73" fillId="4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3" borderId="14" xfId="0" applyFont="1" applyFill="1" applyBorder="1"/>
    <xf numFmtId="0" fontId="3" fillId="0" borderId="14" xfId="0" applyFont="1" applyBorder="1"/>
    <xf numFmtId="43" fontId="3" fillId="0" borderId="14" xfId="472" applyFont="1" applyBorder="1"/>
    <xf numFmtId="43" fontId="0" fillId="0" borderId="14" xfId="472" applyFont="1" applyBorder="1"/>
    <xf numFmtId="0" fontId="0" fillId="0" borderId="14" xfId="0" applyBorder="1" applyAlignment="1">
      <alignment horizontal="left" indent="4"/>
    </xf>
    <xf numFmtId="9" fontId="0" fillId="0" borderId="14" xfId="2014" applyFont="1" applyBorder="1"/>
    <xf numFmtId="0" fontId="3" fillId="4" borderId="14" xfId="0" applyFont="1" applyFill="1" applyBorder="1"/>
    <xf numFmtId="43" fontId="3" fillId="4" borderId="14" xfId="472" applyFont="1" applyFill="1" applyBorder="1"/>
    <xf numFmtId="0" fontId="0" fillId="0" borderId="14" xfId="0" applyBorder="1" applyAlignment="1">
      <alignment vertical="center"/>
    </xf>
    <xf numFmtId="43" fontId="0" fillId="0" borderId="14" xfId="472" applyFont="1" applyBorder="1" applyAlignment="1">
      <alignment horizontal="center" vertical="center"/>
    </xf>
    <xf numFmtId="9" fontId="0" fillId="0" borderId="14" xfId="2014" applyFont="1" applyBorder="1" applyAlignment="1">
      <alignment horizontal="center" vertical="center"/>
    </xf>
    <xf numFmtId="0" fontId="3" fillId="4" borderId="14" xfId="0" applyFont="1" applyFill="1" applyBorder="1" applyAlignment="1">
      <alignment vertical="center"/>
    </xf>
    <xf numFmtId="43" fontId="3" fillId="4" borderId="14" xfId="472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3" fontId="16" fillId="0" borderId="0" xfId="0" applyNumberFormat="1" applyFo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43" fontId="64" fillId="0" borderId="14" xfId="0" applyNumberFormat="1" applyFont="1" applyBorder="1" applyAlignment="1">
      <alignment vertical="center"/>
    </xf>
    <xf numFmtId="43" fontId="73" fillId="0" borderId="14" xfId="0" applyNumberFormat="1" applyFont="1" applyBorder="1" applyAlignment="1">
      <alignment horizontal="center"/>
    </xf>
    <xf numFmtId="0" fontId="73" fillId="0" borderId="14" xfId="0" applyFont="1" applyBorder="1" applyAlignment="1">
      <alignment horizontal="center"/>
    </xf>
    <xf numFmtId="43" fontId="64" fillId="0" borderId="14" xfId="218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1314">
    <cellStyle name="20% - Accent1 2" xfId="473" xr:uid="{DC075371-E18B-4390-9DB2-D2094E429967}"/>
    <cellStyle name="20% - Accent1 2 2" xfId="817" xr:uid="{2CCD8358-B575-4FBC-B4EB-C78C42C4F841}"/>
    <cellStyle name="20% - Accent1 2 3" xfId="660" xr:uid="{17089DDB-2F07-43DF-A107-3C8D1F14D177}"/>
    <cellStyle name="20% - Accent2 2" xfId="474" xr:uid="{D1CE9D86-87DC-44FA-806F-B6E195F8CA69}"/>
    <cellStyle name="20% - Accent2 2 2" xfId="818" xr:uid="{B75A9699-4E1D-4B09-B1A6-0E667D7EF8F9}"/>
    <cellStyle name="20% - Accent2 2 3" xfId="661" xr:uid="{3807C192-F8E1-499A-A9B3-D8A3B1D8B989}"/>
    <cellStyle name="20% - Accent3 2" xfId="475" xr:uid="{72FA7442-C7C7-4A8A-A524-37E218E3682C}"/>
    <cellStyle name="20% - Accent3 2 2" xfId="819" xr:uid="{F024EA1E-0F13-4C4D-B77A-B2D8000302C1}"/>
    <cellStyle name="20% - Accent3 2 3" xfId="662" xr:uid="{1AD3FE3D-539B-49F2-A75D-39988E6EB9F3}"/>
    <cellStyle name="20% - Accent4 2" xfId="476" xr:uid="{B940EEA0-EAD2-4518-84C4-9380DAC88A29}"/>
    <cellStyle name="20% - Accent4 2 2" xfId="820" xr:uid="{3A557419-A40F-416F-8EA0-871148C82974}"/>
    <cellStyle name="20% - Accent4 2 3" xfId="663" xr:uid="{DD68AEEF-C560-43DF-B190-63E7CD495E0C}"/>
    <cellStyle name="20% - Accent5 2" xfId="477" xr:uid="{B85E4190-B818-481D-8D44-11E6D2A5462F}"/>
    <cellStyle name="20% - Accent5 2 2" xfId="821" xr:uid="{A8AD051A-4A44-4B4C-BB2A-211B738CD0B4}"/>
    <cellStyle name="20% - Accent5 2 3" xfId="664" xr:uid="{A6D5430A-921F-44E1-8566-F2B73EDEBFF8}"/>
    <cellStyle name="20% - Accent6 2" xfId="478" xr:uid="{001A5300-18BC-4844-B1CE-3151DB1DEBE0}"/>
    <cellStyle name="20% - Accent6 2 2" xfId="822" xr:uid="{700F8DD7-0EFD-434B-BCD3-A50041B18C57}"/>
    <cellStyle name="20% - Accent6 2 3" xfId="665" xr:uid="{0433EA8E-6D04-4E67-B809-F18CA283D66C}"/>
    <cellStyle name="40% - Accent1 2" xfId="479" xr:uid="{C2F5F289-88D7-42B8-80B3-79BD5EF4BA2E}"/>
    <cellStyle name="40% - Accent1 2 2" xfId="823" xr:uid="{675CD690-37DB-4F30-AC57-A65022C23A31}"/>
    <cellStyle name="40% - Accent1 2 3" xfId="666" xr:uid="{0DC1791E-3037-4EDC-B66E-ED99D18DCC10}"/>
    <cellStyle name="40% - Accent2 2" xfId="480" xr:uid="{B8F078C7-1607-4E93-A81B-33EC1B0B3F74}"/>
    <cellStyle name="40% - Accent2 2 2" xfId="824" xr:uid="{220B38DA-528B-4826-BF57-185B3D9657F4}"/>
    <cellStyle name="40% - Accent2 2 3" xfId="667" xr:uid="{5D823C4B-33A6-42A4-8D16-AB03A98052AA}"/>
    <cellStyle name="40% - Accent3 2" xfId="481" xr:uid="{BDAB8EF8-0FF2-488B-BB11-35990DDA8504}"/>
    <cellStyle name="40% - Accent3 2 2" xfId="825" xr:uid="{DE891666-B942-4BBB-9845-FCCAC47C406B}"/>
    <cellStyle name="40% - Accent3 2 3" xfId="668" xr:uid="{C24BEC4E-DADE-4330-84A5-303867BE0E76}"/>
    <cellStyle name="40% - Accent4 2" xfId="482" xr:uid="{7EB5EC22-B880-4215-B452-FAF2FA3E8233}"/>
    <cellStyle name="40% - Accent4 2 2" xfId="826" xr:uid="{EBF94806-195C-482F-9E7D-9B0DD68EB229}"/>
    <cellStyle name="40% - Accent4 2 3" xfId="669" xr:uid="{0E2B5332-C9F7-42DD-96F1-521558F83DBF}"/>
    <cellStyle name="40% - Accent5 2" xfId="483" xr:uid="{C2993A0E-46D7-403D-AFEF-543EECFF4DAA}"/>
    <cellStyle name="40% - Accent5 2 2" xfId="827" xr:uid="{399B1973-8874-46FD-938F-C06006E3B1AC}"/>
    <cellStyle name="40% - Accent5 2 3" xfId="670" xr:uid="{12FCA5D6-9A60-488E-873B-B7574881AAE3}"/>
    <cellStyle name="40% - Accent6 2" xfId="484" xr:uid="{08B683D7-0852-4A45-BB82-476F8E2EC127}"/>
    <cellStyle name="40% - Accent6 2 2" xfId="828" xr:uid="{63768CB4-3ACD-402E-AF94-14C2A0136EA8}"/>
    <cellStyle name="40% - Accent6 2 3" xfId="671" xr:uid="{C44274CF-DEE4-4C3F-B527-124CCAEB121F}"/>
    <cellStyle name="60% - Accent1 2" xfId="485" xr:uid="{C554A21D-B1E8-4A8C-895A-BA63E22C1730}"/>
    <cellStyle name="60% - Accent1 2 2" xfId="829" xr:uid="{6573091F-A27A-4160-AE65-F80491F2C90F}"/>
    <cellStyle name="60% - Accent1 2 3" xfId="672" xr:uid="{371E66DA-B0D3-4365-861C-7855A481BE2D}"/>
    <cellStyle name="60% - Accent2 2" xfId="486" xr:uid="{D66DB568-6557-43A1-85D5-F4C30132FE12}"/>
    <cellStyle name="60% - Accent2 2 2" xfId="830" xr:uid="{3BF71EEF-82E2-4698-9A0C-F7F1CA8892F3}"/>
    <cellStyle name="60% - Accent2 2 3" xfId="673" xr:uid="{3551CBBA-9E5E-4D6A-8DEA-69E22D708BD2}"/>
    <cellStyle name="60% - Accent3 2" xfId="487" xr:uid="{D6661AE8-2FCB-44DD-871D-8594A16124A1}"/>
    <cellStyle name="60% - Accent3 2 2" xfId="831" xr:uid="{9C694233-9A3F-46B4-8BDE-17217B6EEE58}"/>
    <cellStyle name="60% - Accent3 2 3" xfId="674" xr:uid="{01080D4C-6261-4E0E-B1A6-7AFD9568E39A}"/>
    <cellStyle name="60% - Accent4 2" xfId="488" xr:uid="{EE4B3FFB-0421-480E-B917-727623D57F4C}"/>
    <cellStyle name="60% - Accent4 2 2" xfId="832" xr:uid="{39C8B231-8FA3-4A3E-AA18-1DDEF5FDCE16}"/>
    <cellStyle name="60% - Accent4 2 3" xfId="675" xr:uid="{313D39CB-36D8-441A-9DD8-0959E4D04FD5}"/>
    <cellStyle name="60% - Accent5 2" xfId="489" xr:uid="{4E52FFF9-928A-44D5-A869-1E013C73A130}"/>
    <cellStyle name="60% - Accent5 2 2" xfId="833" xr:uid="{69CCF406-1ABB-4C40-8394-0C7C8AC361D8}"/>
    <cellStyle name="60% - Accent5 2 3" xfId="676" xr:uid="{97C436B5-8833-48AE-8791-E7DB68750132}"/>
    <cellStyle name="60% - Accent6 2" xfId="490" xr:uid="{74DCDE55-D0B5-435A-8E1A-3EE62BD2F49A}"/>
    <cellStyle name="60% - Accent6 2 2" xfId="834" xr:uid="{EDE805DE-FFC7-4DB5-9A4B-172455477E07}"/>
    <cellStyle name="60% - Accent6 2 3" xfId="677" xr:uid="{FC682E39-10BB-4A4E-9662-5799FABBF761}"/>
    <cellStyle name="Accent1 2" xfId="491" xr:uid="{E25DD8DE-BF10-42A3-83BD-20570CDCC000}"/>
    <cellStyle name="Accent1 2 2" xfId="835" xr:uid="{D5ACFF8E-5B42-4924-8353-887391F96850}"/>
    <cellStyle name="Accent1 2 3" xfId="678" xr:uid="{B25E3E58-0442-45D7-8D06-230E84367479}"/>
    <cellStyle name="Accent2 2" xfId="492" xr:uid="{03495B73-64C7-479C-A2B4-5325C9077C65}"/>
    <cellStyle name="Accent2 2 2" xfId="836" xr:uid="{DB736C14-0F72-4FD2-8D40-AAC669205694}"/>
    <cellStyle name="Accent2 2 3" xfId="679" xr:uid="{5B11C37E-4507-4163-BF01-CFFF1ED768E4}"/>
    <cellStyle name="Accent3 2" xfId="493" xr:uid="{7F6E2D78-0415-49B8-BA3D-4B3E65216F63}"/>
    <cellStyle name="Accent3 2 2" xfId="837" xr:uid="{BC71A485-0AB5-495D-89B4-E2DC282F0F0F}"/>
    <cellStyle name="Accent3 2 3" xfId="680" xr:uid="{8B2F961E-3592-48D0-AC8E-889080E137F6}"/>
    <cellStyle name="Accent4 2" xfId="494" xr:uid="{803DBDC5-8098-4F18-976C-44EC84D026BC}"/>
    <cellStyle name="Accent4 2 2" xfId="838" xr:uid="{3CB21E23-314A-4298-B32F-69C8C95B8DAB}"/>
    <cellStyle name="Accent4 2 3" xfId="681" xr:uid="{C6706B85-C7DB-4870-B661-3B6F14A78658}"/>
    <cellStyle name="Accent5 2" xfId="495" xr:uid="{09644F04-CAC4-4A5C-B040-8F802D8A9602}"/>
    <cellStyle name="Accent5 2 2" xfId="839" xr:uid="{1B468643-A450-4BC1-AA19-13E187CDBC27}"/>
    <cellStyle name="Accent5 2 3" xfId="682" xr:uid="{765D9787-C954-4D8F-9891-1E19557C9F68}"/>
    <cellStyle name="Accent6 2" xfId="496" xr:uid="{59A2BFAB-0E76-4389-A200-C1B6E33B7DD6}"/>
    <cellStyle name="Accent6 2 2" xfId="840" xr:uid="{774EAFDA-DDE1-4720-9FEC-D380483649B5}"/>
    <cellStyle name="Accent6 2 3" xfId="683" xr:uid="{06FA2F2C-149A-4383-8BC6-7AC52E00F4B6}"/>
    <cellStyle name="Bad 2" xfId="497" xr:uid="{30F38D1E-50BC-40FB-9778-92A420FFC285}"/>
    <cellStyle name="Bad 2 2" xfId="841" xr:uid="{96EE245A-6369-4CAB-B17D-3AEF8B3AED05}"/>
    <cellStyle name="Bad 2 3" xfId="684" xr:uid="{B5DEB339-603A-4A1E-BA1C-67A64EE43D71}"/>
    <cellStyle name="Blank" xfId="498" xr:uid="{F307A824-0B0F-4B42-90F2-FC74A1E3D08A}"/>
    <cellStyle name="Body" xfId="499" xr:uid="{B6EFAF9C-3838-45F6-B377-4201D7E08276}"/>
    <cellStyle name="boldcent" xfId="500" xr:uid="{CA355602-7BCC-4AF9-8548-3A3C6B7B112A}"/>
    <cellStyle name="Calculation 2" xfId="501" xr:uid="{33EE6AB5-CB3D-4F6E-BCEE-F8F9556940F6}"/>
    <cellStyle name="Calculation 2 2" xfId="842" xr:uid="{58F672D8-4206-4BDB-817A-7EEC67E81C5B}"/>
    <cellStyle name="Calculation 2 2 2" xfId="1178" xr:uid="{807C8D82-0D01-45A0-BCF0-E0D1A711AA0D}"/>
    <cellStyle name="Calculation 2 2 3" xfId="1034" xr:uid="{F5B3BBE4-49F6-4F7C-A9A7-45DFB4BF0E88}"/>
    <cellStyle name="Calculation 2 3" xfId="685" xr:uid="{EA551287-2270-4CB4-86CF-4FBCE1B48972}"/>
    <cellStyle name="Calculation 2 3 2" xfId="1130" xr:uid="{ABE39936-F28C-4146-9891-54BDD3AA5991}"/>
    <cellStyle name="Calculation 2 3 3" xfId="984" xr:uid="{BFBE7ED1-EFAC-48AB-85FA-F25CF2D380DF}"/>
    <cellStyle name="Calculation 2 4" xfId="1079" xr:uid="{0EB896A1-FA09-48BD-AC3D-6ACDFF771FD8}"/>
    <cellStyle name="Calculation 2 5" xfId="932" xr:uid="{D1C954A9-F757-45BD-8575-70A0374A3857}"/>
    <cellStyle name="Check Cell 2" xfId="502" xr:uid="{5920EF18-5BE6-4AAE-8A9C-10D25F810723}"/>
    <cellStyle name="Check Cell 2 2" xfId="843" xr:uid="{BDB82A40-1353-4528-9768-F5A3E9466398}"/>
    <cellStyle name="Check Cell 2 3" xfId="686" xr:uid="{03C4EA34-FA8B-49A7-BF9B-8956904281E8}"/>
    <cellStyle name="Comma" xfId="472" builtinId="3"/>
    <cellStyle name="Comma 10" xfId="230" xr:uid="{BECFA10F-D0BA-4962-8887-DC84C7EAFF8A}"/>
    <cellStyle name="Comma 10 2" xfId="234" xr:uid="{6B131F80-28E2-41FB-83C9-82DC255336A1}"/>
    <cellStyle name="Comma 10 2 2" xfId="465" xr:uid="{74D28FC9-7D7F-4C5B-A0B7-00967EB4FF15}"/>
    <cellStyle name="Comma 10 2 2 2" xfId="1689" xr:uid="{E8599776-48F6-4CC7-8DE6-82399177CDAD}"/>
    <cellStyle name="Comma 10 2 2 2 2" xfId="3029" xr:uid="{3EAB9D75-157E-4B52-848A-DBCDDEEDCF81}"/>
    <cellStyle name="Comma 10 2 2 2 2 2" xfId="5678" xr:uid="{4C1BBFFC-DE2D-41E8-9E35-BC5477182A2E}"/>
    <cellStyle name="Comma 10 2 2 2 2 2 2" xfId="10975" xr:uid="{52295FC4-D8E3-44B3-A9FC-1860F0619325}"/>
    <cellStyle name="Comma 10 2 2 2 2 3" xfId="8326" xr:uid="{23433458-97E7-47E9-B0F6-D81C49644F4E}"/>
    <cellStyle name="Comma 10 2 2 2 3" xfId="4354" xr:uid="{3DBD1931-9D48-419A-A101-F6D141818484}"/>
    <cellStyle name="Comma 10 2 2 2 3 2" xfId="9651" xr:uid="{89E22A29-7180-4B18-96BD-625BA7256E7A}"/>
    <cellStyle name="Comma 10 2 2 2 4" xfId="7002" xr:uid="{F212646D-1726-4011-B223-634048B5AD60}"/>
    <cellStyle name="Comma 10 2 2 3" xfId="1157" xr:uid="{0BD5A293-673B-447A-B9C8-FF5631282020}"/>
    <cellStyle name="Comma 10 2 2 3 2" xfId="2501" xr:uid="{65E383CD-0C00-4FE5-9D2F-3A59253834DF}"/>
    <cellStyle name="Comma 10 2 2 3 2 2" xfId="5150" xr:uid="{4591829A-117F-4376-BDBB-8321B9299510}"/>
    <cellStyle name="Comma 10 2 2 3 2 2 2" xfId="10447" xr:uid="{E66BF65D-BFF9-4FF3-ABB0-8BAE015614FB}"/>
    <cellStyle name="Comma 10 2 2 3 2 3" xfId="7798" xr:uid="{39FCDBE5-E832-4608-A3B0-CE32B71FC46E}"/>
    <cellStyle name="Comma 10 2 2 3 3" xfId="3826" xr:uid="{A639E190-EE17-4698-9922-D64020A3DFC9}"/>
    <cellStyle name="Comma 10 2 2 3 3 2" xfId="9123" xr:uid="{DCA6D6D1-53F6-4076-8ED0-4EFA840F5F0A}"/>
    <cellStyle name="Comma 10 2 2 3 4" xfId="6474" xr:uid="{D147F49A-4781-43EF-9537-268719EFA888}"/>
    <cellStyle name="Comma 10 2 2 4" xfId="2177" xr:uid="{EF5C7685-538F-4429-B821-2D56D3EA0C03}"/>
    <cellStyle name="Comma 10 2 2 4 2" xfId="4826" xr:uid="{954ECE4E-23A3-4DEB-968F-1C619B034642}"/>
    <cellStyle name="Comma 10 2 2 4 2 2" xfId="10123" xr:uid="{BC34870C-40E8-49EB-9CEF-C07C3EB63C58}"/>
    <cellStyle name="Comma 10 2 2 4 3" xfId="7474" xr:uid="{823BFBCE-2683-442F-A708-F01F20CB8F16}"/>
    <cellStyle name="Comma 10 2 2 5" xfId="3502" xr:uid="{73DB01BD-6EED-412E-98AD-85390B577075}"/>
    <cellStyle name="Comma 10 2 2 5 2" xfId="8799" xr:uid="{9D5EA091-22B6-4F82-885D-D1413CE06802}"/>
    <cellStyle name="Comma 10 2 2 6" xfId="6150" xr:uid="{8285AFEF-CD24-4A3D-8B4E-18269F9D55B5}"/>
    <cellStyle name="Comma 10 2 3" xfId="1013" xr:uid="{723A913E-351E-413D-8205-A61376127387}"/>
    <cellStyle name="Comma 10 2 3 2" xfId="1557" xr:uid="{6B2C3197-22A8-4CD1-8ABE-1E150D8207CD}"/>
    <cellStyle name="Comma 10 2 3 2 2" xfId="2897" xr:uid="{F9A04A56-48F5-4CEC-AE49-4B1489D30FA2}"/>
    <cellStyle name="Comma 10 2 3 2 2 2" xfId="5546" xr:uid="{687A4D45-4286-47BC-B606-101E1F190A1E}"/>
    <cellStyle name="Comma 10 2 3 2 2 2 2" xfId="10843" xr:uid="{09480EFC-E326-47B2-AF3A-09A69DEED609}"/>
    <cellStyle name="Comma 10 2 3 2 2 3" xfId="8194" xr:uid="{20DF5D2B-92B4-4D14-9375-5A4BEF5DD12C}"/>
    <cellStyle name="Comma 10 2 3 2 3" xfId="4222" xr:uid="{E1F0B4C5-3E51-445D-B047-22A2B48B2A23}"/>
    <cellStyle name="Comma 10 2 3 2 3 2" xfId="9519" xr:uid="{B14D0769-CF35-4C3C-910C-1CCFF86320A3}"/>
    <cellStyle name="Comma 10 2 3 2 4" xfId="6870" xr:uid="{C7B34BE1-CDFA-416C-8AF3-321F85F01371}"/>
    <cellStyle name="Comma 10 2 3 3" xfId="2369" xr:uid="{F6683947-8B23-417C-9F75-821D667503BC}"/>
    <cellStyle name="Comma 10 2 3 3 2" xfId="5018" xr:uid="{616AB486-DDE4-4B8E-94E6-3F8FFD14F63D}"/>
    <cellStyle name="Comma 10 2 3 3 2 2" xfId="10315" xr:uid="{42F02EA9-FA91-45AF-9E60-CEE37CC9D750}"/>
    <cellStyle name="Comma 10 2 3 3 3" xfId="7666" xr:uid="{B2F3BCCF-4301-40F5-B2E4-3C0524A69681}"/>
    <cellStyle name="Comma 10 2 3 4" xfId="3694" xr:uid="{670C9659-1DF9-41A9-8BE0-A9EC77462401}"/>
    <cellStyle name="Comma 10 2 3 4 2" xfId="8991" xr:uid="{21252B22-3870-4371-AA80-AF4E215C1B6E}"/>
    <cellStyle name="Comma 10 2 3 5" xfId="6342" xr:uid="{49DD526A-0285-4AE1-B207-3D7C3C228CA9}"/>
    <cellStyle name="Comma 10 2 4" xfId="1293" xr:uid="{ADC8C050-67B9-43DB-807B-7813F9245763}"/>
    <cellStyle name="Comma 10 2 4 2" xfId="1821" xr:uid="{52D10F11-79D3-4211-B6CC-DE131D261E45}"/>
    <cellStyle name="Comma 10 2 4 2 2" xfId="3161" xr:uid="{1D7E6219-4317-4AF4-A2CD-7E21E49E5876}"/>
    <cellStyle name="Comma 10 2 4 2 2 2" xfId="5810" xr:uid="{B66FCD03-D8D8-46C3-9DDB-D4E221B14ED6}"/>
    <cellStyle name="Comma 10 2 4 2 2 2 2" xfId="11107" xr:uid="{87FF9454-8E48-4832-BCBA-ECE2A34708AC}"/>
    <cellStyle name="Comma 10 2 4 2 2 3" xfId="8458" xr:uid="{447B901B-35AE-4A6B-827D-AAF9CA4A8506}"/>
    <cellStyle name="Comma 10 2 4 2 3" xfId="4486" xr:uid="{75481E62-7EE2-48FD-BF37-5C9D9F86D977}"/>
    <cellStyle name="Comma 10 2 4 2 3 2" xfId="9783" xr:uid="{715A4AD5-5D3E-4D2E-8AF0-303AE87045E7}"/>
    <cellStyle name="Comma 10 2 4 2 4" xfId="7134" xr:uid="{199FF024-F15F-4729-B47E-EBD75457540B}"/>
    <cellStyle name="Comma 10 2 4 3" xfId="2633" xr:uid="{41334C74-BC8B-4B57-98EA-9733AD67CFA2}"/>
    <cellStyle name="Comma 10 2 4 3 2" xfId="5282" xr:uid="{E46AADAC-E542-4948-821F-8DE6C5CCB992}"/>
    <cellStyle name="Comma 10 2 4 3 2 2" xfId="10579" xr:uid="{BCBE3D87-9E67-44A5-B1E6-8D235B21703F}"/>
    <cellStyle name="Comma 10 2 4 3 3" xfId="7930" xr:uid="{BA3942DF-A688-4319-8CC7-84A657A67179}"/>
    <cellStyle name="Comma 10 2 4 4" xfId="3958" xr:uid="{9066DAAD-301A-4BFF-87A9-82CE27704F28}"/>
    <cellStyle name="Comma 10 2 4 4 2" xfId="9255" xr:uid="{F6741D29-2D43-4504-87DF-E321B039E43C}"/>
    <cellStyle name="Comma 10 2 4 5" xfId="6606" xr:uid="{FF46DACF-1746-45C2-8231-F1B7FAA7421A}"/>
    <cellStyle name="Comma 10 2 5" xfId="1425" xr:uid="{7F731A99-52C2-43CD-B677-0DDA1916A79D}"/>
    <cellStyle name="Comma 10 2 5 2" xfId="1953" xr:uid="{B1B6228C-8E95-440E-B1B6-25EC2C42C4DD}"/>
    <cellStyle name="Comma 10 2 5 2 2" xfId="3293" xr:uid="{C0A64981-965E-4C36-ADF2-8DC2D5AA7E82}"/>
    <cellStyle name="Comma 10 2 5 2 2 2" xfId="5942" xr:uid="{AD39FAB1-C73A-4598-BBB5-840430A5ACC3}"/>
    <cellStyle name="Comma 10 2 5 2 2 2 2" xfId="11239" xr:uid="{4C6587A1-2498-46B4-B9D9-C2229082519B}"/>
    <cellStyle name="Comma 10 2 5 2 2 3" xfId="8590" xr:uid="{83E7D63E-000A-424B-BCBB-2A0425B44CF0}"/>
    <cellStyle name="Comma 10 2 5 2 3" xfId="4618" xr:uid="{DD0B2800-41E0-45CC-9536-39D848660C42}"/>
    <cellStyle name="Comma 10 2 5 2 3 2" xfId="9915" xr:uid="{A97D89BE-4652-4277-925F-462BCB2FA80F}"/>
    <cellStyle name="Comma 10 2 5 2 4" xfId="7266" xr:uid="{F9342A99-D0CA-4024-B051-E58BBC4AC4F2}"/>
    <cellStyle name="Comma 10 2 5 3" xfId="2765" xr:uid="{B5210AF4-7035-4D2F-B485-217B05BDB163}"/>
    <cellStyle name="Comma 10 2 5 3 2" xfId="5414" xr:uid="{60148C8D-568E-4A20-B65D-1F864A1CFDF6}"/>
    <cellStyle name="Comma 10 2 5 3 2 2" xfId="10711" xr:uid="{94A49E62-BF77-475D-A60F-F543E607AD7A}"/>
    <cellStyle name="Comma 10 2 5 3 3" xfId="8062" xr:uid="{BD5D8A33-81D2-4AB8-9C3F-C60E98C1F9E1}"/>
    <cellStyle name="Comma 10 2 5 4" xfId="4090" xr:uid="{FFADF2DD-39C6-44F4-AE13-D62CD5B555AF}"/>
    <cellStyle name="Comma 10 2 5 4 2" xfId="9387" xr:uid="{BD724F4A-ED67-4B3D-B0F9-113CF2DEF04F}"/>
    <cellStyle name="Comma 10 2 5 5" xfId="6738" xr:uid="{40CA75AE-66B5-4CCF-AA13-924D37397333}"/>
    <cellStyle name="Comma 10 2 6" xfId="796" xr:uid="{884107C2-0DB2-4A11-A024-D9707C625159}"/>
    <cellStyle name="Comma 10 2 6 2" xfId="2241" xr:uid="{7C7B7549-FA35-40F4-9633-D4ADD534A40F}"/>
    <cellStyle name="Comma 10 2 6 2 2" xfId="4890" xr:uid="{9E9FEABE-D381-4BE0-9CDE-587BF0BB284A}"/>
    <cellStyle name="Comma 10 2 6 2 2 2" xfId="10187" xr:uid="{EB3026C9-D3A4-494C-B80F-59EB1AEDD638}"/>
    <cellStyle name="Comma 10 2 6 2 3" xfId="7538" xr:uid="{47AA4EFE-55A6-446A-A56C-D2718834205D}"/>
    <cellStyle name="Comma 10 2 6 3" xfId="3566" xr:uid="{E4D1B00A-76E3-45C6-A386-55E613B20ED1}"/>
    <cellStyle name="Comma 10 2 6 3 2" xfId="8863" xr:uid="{7233745D-17AC-4620-AA17-FB2CC4D6C0E9}"/>
    <cellStyle name="Comma 10 2 6 4" xfId="6214" xr:uid="{9804CB11-C98C-436A-A144-3CB270050B39}"/>
    <cellStyle name="Comma 10 2 7" xfId="2110" xr:uid="{6DB7DE38-906F-46BE-9ECE-50229949A2DE}"/>
    <cellStyle name="Comma 10 2 7 2" xfId="4759" xr:uid="{947F1BC8-9BA1-4470-9CFC-6C0CA3A2F885}"/>
    <cellStyle name="Comma 10 2 7 2 2" xfId="10056" xr:uid="{8A3F6200-2B2F-4934-AEAA-1F757544F538}"/>
    <cellStyle name="Comma 10 2 7 3" xfId="7407" xr:uid="{5ECA9897-4001-40D1-8DFB-2CE1B5CB80D7}"/>
    <cellStyle name="Comma 10 2 8" xfId="3435" xr:uid="{8CC57810-4D14-47F7-B785-15CB50F1A3DF}"/>
    <cellStyle name="Comma 10 2 8 2" xfId="8732" xr:uid="{C64EF297-29C4-46AA-AB5E-9510A270D819}"/>
    <cellStyle name="Comma 10 2 9" xfId="6083" xr:uid="{A684B354-BC72-4B9A-8FCE-0E32C8EDB423}"/>
    <cellStyle name="Comma 10 3" xfId="462" xr:uid="{178A5044-99D0-4C2D-814B-170D16C70FF5}"/>
    <cellStyle name="Comma 10 3 2" xfId="844" xr:uid="{CB0A9EE7-EC8E-4CB6-B7DC-46EAC3AEEE87}"/>
    <cellStyle name="Comma 10 3 3" xfId="2174" xr:uid="{31411EEE-4C17-4921-829C-1A0627FC4A4C}"/>
    <cellStyle name="Comma 10 3 3 2" xfId="4823" xr:uid="{EE0DA547-75D7-4045-89A7-0901B9E72E29}"/>
    <cellStyle name="Comma 10 3 3 2 2" xfId="10120" xr:uid="{084E7665-EFA9-455A-9B7A-EF63196C0E29}"/>
    <cellStyle name="Comma 10 3 3 3" xfId="7471" xr:uid="{1C910C44-119C-451F-960C-81E17B074EED}"/>
    <cellStyle name="Comma 10 3 4" xfId="3499" xr:uid="{60CFE546-BB35-4FE9-9A30-C130282CA45F}"/>
    <cellStyle name="Comma 10 3 4 2" xfId="8796" xr:uid="{A50B5462-8CFA-451D-990B-36D3A0540959}"/>
    <cellStyle name="Comma 10 3 5" xfId="6147" xr:uid="{C8CCB962-798E-42D8-980A-D9B313F7BE6B}"/>
    <cellStyle name="Comma 10 4" xfId="712" xr:uid="{3F456678-EEC9-4108-9905-4E9F459496AE}"/>
    <cellStyle name="Comma 10 4 2" xfId="1133" xr:uid="{E21E817F-4A93-491F-9496-DC90E0C14828}"/>
    <cellStyle name="Comma 10 4 2 2" xfId="1665" xr:uid="{16321C7C-4503-48AB-A0D6-66CEB3B0DE6F}"/>
    <cellStyle name="Comma 10 4 2 2 2" xfId="3005" xr:uid="{972D6A14-58EF-4E53-A18C-479F94FD561D}"/>
    <cellStyle name="Comma 10 4 2 2 2 2" xfId="5654" xr:uid="{003DFB72-3D80-4726-B50D-EA6D770CA09B}"/>
    <cellStyle name="Comma 10 4 2 2 2 2 2" xfId="10951" xr:uid="{173FEE2A-7936-4EE4-9711-C8D1F5A5D5DC}"/>
    <cellStyle name="Comma 10 4 2 2 2 3" xfId="8302" xr:uid="{2F44AF53-F243-4550-9957-148DB675C2E7}"/>
    <cellStyle name="Comma 10 4 2 2 3" xfId="4330" xr:uid="{CCECB77A-AFDE-4D21-8C4F-1D4D0AA6EA28}"/>
    <cellStyle name="Comma 10 4 2 2 3 2" xfId="9627" xr:uid="{147CA412-483E-4525-B48E-D2B01C272E96}"/>
    <cellStyle name="Comma 10 4 2 2 4" xfId="6978" xr:uid="{051B83E3-AB4C-40E5-A306-39AB7575E555}"/>
    <cellStyle name="Comma 10 4 2 3" xfId="2477" xr:uid="{1C784BCA-26DA-4AD5-B0AD-AEED30E7C038}"/>
    <cellStyle name="Comma 10 4 2 3 2" xfId="5126" xr:uid="{274B3EC0-77B6-4D5C-B288-63D4B606C1F0}"/>
    <cellStyle name="Comma 10 4 2 3 2 2" xfId="10423" xr:uid="{D06CCD0F-84C1-4B6F-A797-AA08195DB1CA}"/>
    <cellStyle name="Comma 10 4 2 3 3" xfId="7774" xr:uid="{A0849FED-F595-47CE-917C-4FB80ECC345C}"/>
    <cellStyle name="Comma 10 4 2 4" xfId="3802" xr:uid="{0E8E4969-EAB8-41B1-A456-85C459112573}"/>
    <cellStyle name="Comma 10 4 2 4 2" xfId="9099" xr:uid="{7E35F3D6-C555-42BA-B046-9C726A028976}"/>
    <cellStyle name="Comma 10 4 2 5" xfId="6450" xr:uid="{1A1F1656-05DA-43F8-B762-DF147DC10F27}"/>
    <cellStyle name="Comma 10 4 3" xfId="989" xr:uid="{B9D15766-69F0-4B83-BA5B-15B1C5086434}"/>
    <cellStyle name="Comma 10 4 3 2" xfId="1533" xr:uid="{D5BFF9DC-8DF6-4714-B7C1-BECF523BE51C}"/>
    <cellStyle name="Comma 10 4 3 2 2" xfId="2873" xr:uid="{3E3B9A5A-E473-42AE-B17B-2CD65B38C148}"/>
    <cellStyle name="Comma 10 4 3 2 2 2" xfId="5522" xr:uid="{BDEEA520-3137-4563-A8CC-15C6057E7A38}"/>
    <cellStyle name="Comma 10 4 3 2 2 2 2" xfId="10819" xr:uid="{A428685F-2036-4C7F-A955-DC7A54D84107}"/>
    <cellStyle name="Comma 10 4 3 2 2 3" xfId="8170" xr:uid="{CD7AA12A-760F-44CA-9132-DBE9B1096CC0}"/>
    <cellStyle name="Comma 10 4 3 2 3" xfId="4198" xr:uid="{06E0B65B-FE52-4E44-BF23-5972B5859E55}"/>
    <cellStyle name="Comma 10 4 3 2 3 2" xfId="9495" xr:uid="{ED7051BF-A2CE-4312-AC1C-2DE99CDA150E}"/>
    <cellStyle name="Comma 10 4 3 2 4" xfId="6846" xr:uid="{1D7CA877-2D15-452D-9305-5CCD60120D52}"/>
    <cellStyle name="Comma 10 4 3 3" xfId="2345" xr:uid="{A641FE0A-1090-4678-B7ED-A75CB9F744A0}"/>
    <cellStyle name="Comma 10 4 3 3 2" xfId="4994" xr:uid="{926B9608-E4DC-4DE7-AEE3-65E83268E796}"/>
    <cellStyle name="Comma 10 4 3 3 2 2" xfId="10291" xr:uid="{F967C984-FD79-435E-8258-097F0ED4410F}"/>
    <cellStyle name="Comma 10 4 3 3 3" xfId="7642" xr:uid="{2397AEB4-C379-4D80-83C6-CFB02DB1EFFC}"/>
    <cellStyle name="Comma 10 4 3 4" xfId="3670" xr:uid="{31FCCAAC-C1D2-4A7E-9E9E-A22DA0445995}"/>
    <cellStyle name="Comma 10 4 3 4 2" xfId="8967" xr:uid="{5DBF0B79-DF1F-4764-B454-AD8A52E5F834}"/>
    <cellStyle name="Comma 10 4 3 5" xfId="6318" xr:uid="{B9C78A39-8776-49FA-9763-F49EA7015F4B}"/>
    <cellStyle name="Comma 10 4 4" xfId="1269" xr:uid="{43C350FE-A235-40CC-BD9F-9EBC23C6593C}"/>
    <cellStyle name="Comma 10 4 4 2" xfId="1797" xr:uid="{33771F09-01A9-4EF4-9EE3-88392DB37FAD}"/>
    <cellStyle name="Comma 10 4 4 2 2" xfId="3137" xr:uid="{B6BED3A9-5CEB-42FC-A336-119EF34C5264}"/>
    <cellStyle name="Comma 10 4 4 2 2 2" xfId="5786" xr:uid="{110F4ACC-5CF5-4CEB-9CA7-B037A6798A78}"/>
    <cellStyle name="Comma 10 4 4 2 2 2 2" xfId="11083" xr:uid="{BD658083-0F46-4C40-968A-D716ACEFA505}"/>
    <cellStyle name="Comma 10 4 4 2 2 3" xfId="8434" xr:uid="{A3693FDB-540F-48C5-92DB-E16012C69D13}"/>
    <cellStyle name="Comma 10 4 4 2 3" xfId="4462" xr:uid="{5525E7A7-E9AB-4879-9155-134E427AB944}"/>
    <cellStyle name="Comma 10 4 4 2 3 2" xfId="9759" xr:uid="{6B6E5BF9-5216-40AB-8570-5AD70F3C3C8C}"/>
    <cellStyle name="Comma 10 4 4 2 4" xfId="7110" xr:uid="{98A5A194-D120-4D80-AAD4-5D9669C17C68}"/>
    <cellStyle name="Comma 10 4 4 3" xfId="2609" xr:uid="{69617EEC-2601-494B-A05E-046C496C4EDF}"/>
    <cellStyle name="Comma 10 4 4 3 2" xfId="5258" xr:uid="{374C95F4-8720-4CC9-9026-B007B255DD6D}"/>
    <cellStyle name="Comma 10 4 4 3 2 2" xfId="10555" xr:uid="{CE33D0AC-5D24-45D8-9058-BA31A244F3ED}"/>
    <cellStyle name="Comma 10 4 4 3 3" xfId="7906" xr:uid="{E69F8F15-3C09-4801-AAE9-B814D7B313E3}"/>
    <cellStyle name="Comma 10 4 4 4" xfId="3934" xr:uid="{33E83A4C-0C4F-463E-95BD-3FF8BA4CBE78}"/>
    <cellStyle name="Comma 10 4 4 4 2" xfId="9231" xr:uid="{96DC0420-7281-4CE4-BA61-FD1D85D43741}"/>
    <cellStyle name="Comma 10 4 4 5" xfId="6582" xr:uid="{FA1B3FCE-92B6-4250-89E3-4E5E776BFD2A}"/>
    <cellStyle name="Comma 10 4 5" xfId="1401" xr:uid="{947A2515-0B88-4171-B416-C9C6B7507D81}"/>
    <cellStyle name="Comma 10 4 5 2" xfId="1929" xr:uid="{7CA87E11-D72E-4516-9BAC-E2B88FBFC686}"/>
    <cellStyle name="Comma 10 4 5 2 2" xfId="3269" xr:uid="{A74731E3-738C-4871-A02B-9B5D323FBF2B}"/>
    <cellStyle name="Comma 10 4 5 2 2 2" xfId="5918" xr:uid="{23E85179-08AE-4596-9A82-AAAA91FAF6B6}"/>
    <cellStyle name="Comma 10 4 5 2 2 2 2" xfId="11215" xr:uid="{F93E765A-107C-43FC-8F2D-A1AFCD5DD66C}"/>
    <cellStyle name="Comma 10 4 5 2 2 3" xfId="8566" xr:uid="{70617195-1FC4-4AB6-9E38-592CA7E0A425}"/>
    <cellStyle name="Comma 10 4 5 2 3" xfId="4594" xr:uid="{A958ABD0-30BC-4A9E-997F-EE653E590E74}"/>
    <cellStyle name="Comma 10 4 5 2 3 2" xfId="9891" xr:uid="{77D95A7B-1B3E-4B57-88E8-50255E8CB264}"/>
    <cellStyle name="Comma 10 4 5 2 4" xfId="7242" xr:uid="{E3146F72-9891-4D5D-82AB-DF1722D77E04}"/>
    <cellStyle name="Comma 10 4 5 3" xfId="2741" xr:uid="{AB9702C7-D2A0-4234-B6EA-8F77210C25C3}"/>
    <cellStyle name="Comma 10 4 5 3 2" xfId="5390" xr:uid="{D8F01477-EEBD-4769-8510-464AC6D6C7CD}"/>
    <cellStyle name="Comma 10 4 5 3 2 2" xfId="10687" xr:uid="{7596A1EE-BCD9-4EB8-8572-80993E8677CF}"/>
    <cellStyle name="Comma 10 4 5 3 3" xfId="8038" xr:uid="{F2B90913-A402-404E-9E45-4C6D7318BE6A}"/>
    <cellStyle name="Comma 10 4 5 4" xfId="4066" xr:uid="{01CA01E8-AF23-4491-801F-3F7A11CC52AB}"/>
    <cellStyle name="Comma 10 4 5 4 2" xfId="9363" xr:uid="{9F55BCB7-7E6E-4E99-BC5E-D3D61795E423}"/>
    <cellStyle name="Comma 10 4 5 5" xfId="6714" xr:uid="{B5E8789B-F0D9-41DF-A4B9-174567527708}"/>
    <cellStyle name="Comma 10 4 6" xfId="2217" xr:uid="{BFDDA6D2-BC6C-46EE-9351-F000B27A627C}"/>
    <cellStyle name="Comma 10 4 6 2" xfId="4866" xr:uid="{912B080B-EF86-4CF5-ADD5-1A625739F69D}"/>
    <cellStyle name="Comma 10 4 6 2 2" xfId="10163" xr:uid="{719D0CA1-B753-415F-82BD-7870B3A4F126}"/>
    <cellStyle name="Comma 10 4 6 3" xfId="7514" xr:uid="{80CDAA76-9DFF-4D68-9D4E-3302FD61B1B0}"/>
    <cellStyle name="Comma 10 4 7" xfId="3542" xr:uid="{210F5781-3847-45E3-AA8C-AEEAD87EC48B}"/>
    <cellStyle name="Comma 10 4 7 2" xfId="8839" xr:uid="{B80C19AF-978E-4A5D-B134-9AA36308B024}"/>
    <cellStyle name="Comma 10 4 8" xfId="6190" xr:uid="{8E93859D-C1B1-48DD-ACD8-ED08D0FFD0F0}"/>
    <cellStyle name="Comma 10 5" xfId="503" xr:uid="{DBFA669C-0F78-4212-8695-636E317971C2}"/>
    <cellStyle name="Comma 10 6" xfId="2039" xr:uid="{D08F7386-11A8-4157-A49B-6785E23D23C4}"/>
    <cellStyle name="Comma 10 6 2" xfId="3367" xr:uid="{7494F8FD-F862-4A61-BC60-421DF332A5E4}"/>
    <cellStyle name="Comma 10 6 2 2" xfId="6016" xr:uid="{D33FFD77-6F61-451D-8EC6-EF7461BBB4E9}"/>
    <cellStyle name="Comma 10 6 2 2 2" xfId="11313" xr:uid="{E2A0B257-3B71-4589-8A52-BBC3A5A3F169}"/>
    <cellStyle name="Comma 10 6 2 3" xfId="8664" xr:uid="{CDF03C86-358C-4728-90A1-8AF62B1E9095}"/>
    <cellStyle name="Comma 10 6 3" xfId="4692" xr:uid="{10C7368C-E241-434A-B183-0DD811B53B35}"/>
    <cellStyle name="Comma 10 6 3 2" xfId="9989" xr:uid="{009D0931-DE0D-4DB4-95EE-7935C7FF530A}"/>
    <cellStyle name="Comma 10 6 4" xfId="7340" xr:uid="{61492E42-9A22-4C4E-B2EB-A24A285AE47A}"/>
    <cellStyle name="Comma 10 7" xfId="2107" xr:uid="{66D9A5D4-590A-476F-875B-9C2B763D08F3}"/>
    <cellStyle name="Comma 10 7 2" xfId="4756" xr:uid="{CDBD180E-34D1-4C2C-B6EC-651BC6C354BF}"/>
    <cellStyle name="Comma 10 7 2 2" xfId="10053" xr:uid="{EB7B4855-ABA3-482F-BD2E-F2487FF2C9AB}"/>
    <cellStyle name="Comma 10 7 3" xfId="7404" xr:uid="{35329762-B523-4F8B-8D50-7A182E0DC289}"/>
    <cellStyle name="Comma 10 8" xfId="3432" xr:uid="{4D9DFF31-AF12-46B4-8928-1E125AE5102E}"/>
    <cellStyle name="Comma 10 8 2" xfId="8729" xr:uid="{62A22790-8995-4280-814B-754979B82100}"/>
    <cellStyle name="Comma 10 9" xfId="6080" xr:uid="{FA8D0843-A4FD-44AE-8CC3-52F233DF84AF}"/>
    <cellStyle name="Comma 11" xfId="237" xr:uid="{A9A57020-35CA-4BE5-9527-2B7612FA0A1A}"/>
    <cellStyle name="Comma 11 2" xfId="638" xr:uid="{BEC5533B-B51B-4FA6-B631-B8DCF6A5EA5B}"/>
    <cellStyle name="Comma 11 2 10" xfId="6171" xr:uid="{6FDF64CF-5170-4754-91EE-2E8936B6CBAB}"/>
    <cellStyle name="Comma 11 2 2" xfId="911" xr:uid="{597786DC-9EE2-4413-8E0D-4C6EF11E6973}"/>
    <cellStyle name="Comma 11 2 2 2" xfId="1200" xr:uid="{0B87BB29-5CB7-45CB-9334-8E89BE6DD72F}"/>
    <cellStyle name="Comma 11 2 2 2 2" xfId="1728" xr:uid="{2FD4B749-F02A-4190-AF31-DA52CE334CA4}"/>
    <cellStyle name="Comma 11 2 2 2 2 2" xfId="3068" xr:uid="{15BAD622-259B-4EDE-B589-94E879817F1A}"/>
    <cellStyle name="Comma 11 2 2 2 2 2 2" xfId="5717" xr:uid="{E5B9D0EA-1E2B-4C67-9355-E33025BCEF86}"/>
    <cellStyle name="Comma 11 2 2 2 2 2 2 2" xfId="11014" xr:uid="{C44EFA4F-5558-4702-9D0D-7D374D021D56}"/>
    <cellStyle name="Comma 11 2 2 2 2 2 3" xfId="8365" xr:uid="{187495D9-5837-4532-B6E1-2DB121A0CD22}"/>
    <cellStyle name="Comma 11 2 2 2 2 3" xfId="4393" xr:uid="{296CEC6D-EFFE-444E-9A53-C6A30AFE41A7}"/>
    <cellStyle name="Comma 11 2 2 2 2 3 2" xfId="9690" xr:uid="{0DCEC756-B2DB-4925-8466-DACB22EC1B9B}"/>
    <cellStyle name="Comma 11 2 2 2 2 4" xfId="7041" xr:uid="{AFCD0DC4-9D5C-4416-8B13-35BE032BC69B}"/>
    <cellStyle name="Comma 11 2 2 2 3" xfId="2540" xr:uid="{6AB5DE13-BC8A-40ED-970C-511242BB54CC}"/>
    <cellStyle name="Comma 11 2 2 2 3 2" xfId="5189" xr:uid="{8CBEB186-B762-430C-8EA3-63A2E75B5224}"/>
    <cellStyle name="Comma 11 2 2 2 3 2 2" xfId="10486" xr:uid="{8655314D-9F1F-420D-B2EE-B5D026A145CB}"/>
    <cellStyle name="Comma 11 2 2 2 3 3" xfId="7837" xr:uid="{4EBE321D-CB7C-4D0C-A110-D57BB886FE7B}"/>
    <cellStyle name="Comma 11 2 2 2 4" xfId="3865" xr:uid="{5B0538AC-9C71-4405-975D-97EFD2EFB800}"/>
    <cellStyle name="Comma 11 2 2 2 4 2" xfId="9162" xr:uid="{23E3415C-EEB9-4AC9-9D7B-E2F83D5AF43A}"/>
    <cellStyle name="Comma 11 2 2 2 5" xfId="6513" xr:uid="{54E36933-E9CA-4B86-A489-9F43E675AB2B}"/>
    <cellStyle name="Comma 11 2 2 3" xfId="1057" xr:uid="{3A7032CE-0EC6-41C7-BAAD-439023CD3C75}"/>
    <cellStyle name="Comma 11 2 2 3 2" xfId="1596" xr:uid="{D815FA31-B3AE-4055-A911-3E9C08891FC6}"/>
    <cellStyle name="Comma 11 2 2 3 2 2" xfId="2936" xr:uid="{31A92457-BDFD-4E4E-842C-78A195191AF0}"/>
    <cellStyle name="Comma 11 2 2 3 2 2 2" xfId="5585" xr:uid="{181DD7A6-B177-4BE8-9B48-A179B24A9CD7}"/>
    <cellStyle name="Comma 11 2 2 3 2 2 2 2" xfId="10882" xr:uid="{E482FCBA-2CD0-493E-BD98-C230DA1D375D}"/>
    <cellStyle name="Comma 11 2 2 3 2 2 3" xfId="8233" xr:uid="{FA00FC5A-432E-41BB-B28C-E7EE7959B13B}"/>
    <cellStyle name="Comma 11 2 2 3 2 3" xfId="4261" xr:uid="{9FDFB7F6-CB23-4E0A-9D33-2BE726E6D3AF}"/>
    <cellStyle name="Comma 11 2 2 3 2 3 2" xfId="9558" xr:uid="{11D2E698-C554-4CDD-A075-1E3398BD96C3}"/>
    <cellStyle name="Comma 11 2 2 3 2 4" xfId="6909" xr:uid="{352FE5A4-5C6B-4A51-9AB4-62A5FB767C12}"/>
    <cellStyle name="Comma 11 2 2 3 3" xfId="2408" xr:uid="{CE1D8D37-0507-4736-B3C5-C5735EB2440D}"/>
    <cellStyle name="Comma 11 2 2 3 3 2" xfId="5057" xr:uid="{C62AE2BF-77B0-4C40-B36A-1E0B7BAAD34E}"/>
    <cellStyle name="Comma 11 2 2 3 3 2 2" xfId="10354" xr:uid="{F97C3C5B-E389-4226-92A5-E64C47E1932E}"/>
    <cellStyle name="Comma 11 2 2 3 3 3" xfId="7705" xr:uid="{6CDEBFA8-7100-487F-9A15-999A3B393263}"/>
    <cellStyle name="Comma 11 2 2 3 4" xfId="3733" xr:uid="{F1011190-64BC-4F09-8FDA-B9E5035AB165}"/>
    <cellStyle name="Comma 11 2 2 3 4 2" xfId="9030" xr:uid="{15B6B8D0-EAC9-440C-99FE-6554DCE9BD1E}"/>
    <cellStyle name="Comma 11 2 2 3 5" xfId="6381" xr:uid="{4D57D9DE-2A94-499F-86F2-9B26275FEC76}"/>
    <cellStyle name="Comma 11 2 2 4" xfId="1332" xr:uid="{2D25A5C2-CCEB-4F9F-A3FF-F2782A6787DA}"/>
    <cellStyle name="Comma 11 2 2 4 2" xfId="1860" xr:uid="{CFE23CDE-D777-44C8-A75B-F75EB392A5A3}"/>
    <cellStyle name="Comma 11 2 2 4 2 2" xfId="3200" xr:uid="{B753A5FB-59C0-4AF0-B23F-E74824B3AE27}"/>
    <cellStyle name="Comma 11 2 2 4 2 2 2" xfId="5849" xr:uid="{E2F4A6A3-E014-41D8-A40F-CF204AC2C8F2}"/>
    <cellStyle name="Comma 11 2 2 4 2 2 2 2" xfId="11146" xr:uid="{4912592A-F670-46F9-A861-27AEA4A23836}"/>
    <cellStyle name="Comma 11 2 2 4 2 2 3" xfId="8497" xr:uid="{02466563-F96C-4775-AA2D-7B64F34AB3A5}"/>
    <cellStyle name="Comma 11 2 2 4 2 3" xfId="4525" xr:uid="{4088C499-1823-4F73-B808-95C5A77E0361}"/>
    <cellStyle name="Comma 11 2 2 4 2 3 2" xfId="9822" xr:uid="{E744A946-4A1D-4983-A909-3F79593334B4}"/>
    <cellStyle name="Comma 11 2 2 4 2 4" xfId="7173" xr:uid="{95FFD02D-AD06-4D59-A431-78801AEBD21E}"/>
    <cellStyle name="Comma 11 2 2 4 3" xfId="2672" xr:uid="{635CF3C2-9F55-4F29-9A43-DC4AB5838C98}"/>
    <cellStyle name="Comma 11 2 2 4 3 2" xfId="5321" xr:uid="{E6299D5D-8553-40E4-BC26-9E729DE20017}"/>
    <cellStyle name="Comma 11 2 2 4 3 2 2" xfId="10618" xr:uid="{1A911A7D-EBE5-40CF-9095-89ED6D4DC220}"/>
    <cellStyle name="Comma 11 2 2 4 3 3" xfId="7969" xr:uid="{AE54800B-CC1C-4BEC-9502-340FA7B79453}"/>
    <cellStyle name="Comma 11 2 2 4 4" xfId="3997" xr:uid="{C7FFCF08-9F02-4197-B6C4-4291C9E41362}"/>
    <cellStyle name="Comma 11 2 2 4 4 2" xfId="9294" xr:uid="{6BD317E4-A652-4605-8BAF-2A1A8C1387BF}"/>
    <cellStyle name="Comma 11 2 2 4 5" xfId="6645" xr:uid="{9BDA3629-58C1-4D0E-B7BA-FCB67E839DED}"/>
    <cellStyle name="Comma 11 2 2 5" xfId="1464" xr:uid="{F3F04973-6217-41D6-B67E-475AE18DEE12}"/>
    <cellStyle name="Comma 11 2 2 5 2" xfId="1992" xr:uid="{19DBB7D6-DB36-4464-BC07-F4E05D3D29CE}"/>
    <cellStyle name="Comma 11 2 2 5 2 2" xfId="3332" xr:uid="{64CFBEF3-3B8D-4F1E-841B-E868D90723B6}"/>
    <cellStyle name="Comma 11 2 2 5 2 2 2" xfId="5981" xr:uid="{E0D869E9-B73B-4B35-97A8-5AB9A41BF595}"/>
    <cellStyle name="Comma 11 2 2 5 2 2 2 2" xfId="11278" xr:uid="{65DF16FB-1751-4645-9DB4-41B52806E3DA}"/>
    <cellStyle name="Comma 11 2 2 5 2 2 3" xfId="8629" xr:uid="{AEDF8528-CCAE-4A97-AA1A-F062D02781B3}"/>
    <cellStyle name="Comma 11 2 2 5 2 3" xfId="4657" xr:uid="{FA0F9A3A-6680-4C73-AF76-46905D9B15BC}"/>
    <cellStyle name="Comma 11 2 2 5 2 3 2" xfId="9954" xr:uid="{EAC2E24F-8577-4107-8941-5CFBFAA4081F}"/>
    <cellStyle name="Comma 11 2 2 5 2 4" xfId="7305" xr:uid="{0F2AD1AC-39AC-49D1-928A-B9495FBC691D}"/>
    <cellStyle name="Comma 11 2 2 5 3" xfId="2804" xr:uid="{6E4CB910-65C9-46BC-8EA3-11B25BC74AAA}"/>
    <cellStyle name="Comma 11 2 2 5 3 2" xfId="5453" xr:uid="{8215C482-FF9A-41DC-9F17-1EC34657DE2A}"/>
    <cellStyle name="Comma 11 2 2 5 3 2 2" xfId="10750" xr:uid="{2BED89A2-EBA5-42FD-AF76-5CF24735B053}"/>
    <cellStyle name="Comma 11 2 2 5 3 3" xfId="8101" xr:uid="{9EA98E1C-C181-40AF-AFC7-81378CE59EE8}"/>
    <cellStyle name="Comma 11 2 2 5 4" xfId="4129" xr:uid="{0685F6D9-9BFA-4871-A879-376E8ACE9EF7}"/>
    <cellStyle name="Comma 11 2 2 5 4 2" xfId="9426" xr:uid="{ED7AF9DE-C0FF-40E3-A3D2-8FD477DF2F9A}"/>
    <cellStyle name="Comma 11 2 2 5 5" xfId="6777" xr:uid="{AE37D9CB-023E-41DC-AA98-23F36AAAC5EC}"/>
    <cellStyle name="Comma 11 2 2 6" xfId="2278" xr:uid="{3BC85F8E-332C-451C-9B9E-E79BD0DAEF71}"/>
    <cellStyle name="Comma 11 2 2 6 2" xfId="4927" xr:uid="{E9B2501F-02F6-4152-AFCD-7B3C03EFA53B}"/>
    <cellStyle name="Comma 11 2 2 6 2 2" xfId="10224" xr:uid="{53AE9129-27B8-4865-BDF7-350392B8A1D0}"/>
    <cellStyle name="Comma 11 2 2 6 3" xfId="7575" xr:uid="{11FF07F0-9A06-44A2-A4AF-A07F282A1CB9}"/>
    <cellStyle name="Comma 11 2 2 7" xfId="3603" xr:uid="{36F01C50-7388-40F8-A863-77A0935E53DB}"/>
    <cellStyle name="Comma 11 2 2 7 2" xfId="8900" xr:uid="{AC23B37C-C1B3-4DC5-8D1D-BF3B7B3115C7}"/>
    <cellStyle name="Comma 11 2 2 8" xfId="6251" xr:uid="{82BE5B98-C56D-41CC-B25A-CF9987D2A9D5}"/>
    <cellStyle name="Comma 11 2 3" xfId="808" xr:uid="{53E0FA5F-A692-46F4-90DE-27B68CEE864A}"/>
    <cellStyle name="Comma 11 2 3 2" xfId="1169" xr:uid="{FBA19978-F595-4BD5-AD55-6624F512416B}"/>
    <cellStyle name="Comma 11 2 3 2 2" xfId="1701" xr:uid="{E189D1EA-DC52-48BB-AA78-46957F177CA2}"/>
    <cellStyle name="Comma 11 2 3 2 2 2" xfId="3041" xr:uid="{1ADDD6D7-2DAE-46EF-B19F-24E55D46D6B3}"/>
    <cellStyle name="Comma 11 2 3 2 2 2 2" xfId="5690" xr:uid="{8C13611D-771F-48A2-B47B-0EBBDA024297}"/>
    <cellStyle name="Comma 11 2 3 2 2 2 2 2" xfId="10987" xr:uid="{2D80B608-D09F-40FF-9EE1-AD3967574184}"/>
    <cellStyle name="Comma 11 2 3 2 2 2 3" xfId="8338" xr:uid="{2115E793-51B9-46D4-B7F0-A3E9EDB59CC6}"/>
    <cellStyle name="Comma 11 2 3 2 2 3" xfId="4366" xr:uid="{B18ED19F-DE43-4030-ACF5-7581233BEBF2}"/>
    <cellStyle name="Comma 11 2 3 2 2 3 2" xfId="9663" xr:uid="{E3C48BCD-84F2-4394-928B-C5BA570B5D7F}"/>
    <cellStyle name="Comma 11 2 3 2 2 4" xfId="7014" xr:uid="{31AAC75B-C58F-4DD7-BCB3-27EC60BB68AF}"/>
    <cellStyle name="Comma 11 2 3 2 3" xfId="2513" xr:uid="{F2F143E8-13AD-433C-8873-FA977F882A3C}"/>
    <cellStyle name="Comma 11 2 3 2 3 2" xfId="5162" xr:uid="{687E03FA-528E-4304-9CA7-CB996BBC433A}"/>
    <cellStyle name="Comma 11 2 3 2 3 2 2" xfId="10459" xr:uid="{F230C7F8-DEC5-404C-8DCC-BC9F405CBCB9}"/>
    <cellStyle name="Comma 11 2 3 2 3 3" xfId="7810" xr:uid="{56631880-51E2-4A5E-A4B0-9FC2029BF308}"/>
    <cellStyle name="Comma 11 2 3 2 4" xfId="3838" xr:uid="{A6D31C52-EDC1-4BD9-9942-F578C12CB9C9}"/>
    <cellStyle name="Comma 11 2 3 2 4 2" xfId="9135" xr:uid="{E4E644C1-7E24-4CF3-8883-FC04E1C4BDBC}"/>
    <cellStyle name="Comma 11 2 3 2 5" xfId="6486" xr:uid="{C6A2DEF8-AD30-4ADE-95F4-AADFD47CE0C1}"/>
    <cellStyle name="Comma 11 2 3 3" xfId="1025" xr:uid="{22516092-62D6-4018-83FD-28A26D5252A0}"/>
    <cellStyle name="Comma 11 2 3 3 2" xfId="1569" xr:uid="{C91070F5-9C11-4CF0-9AB9-0152EB832C83}"/>
    <cellStyle name="Comma 11 2 3 3 2 2" xfId="2909" xr:uid="{9F5494FB-CF5F-45E8-AFB2-15AACB8F530B}"/>
    <cellStyle name="Comma 11 2 3 3 2 2 2" xfId="5558" xr:uid="{1F443C37-A87D-4E7F-9CC1-969878BEDC98}"/>
    <cellStyle name="Comma 11 2 3 3 2 2 2 2" xfId="10855" xr:uid="{0834576A-CBC1-44E7-8E17-B4078CDEFDA4}"/>
    <cellStyle name="Comma 11 2 3 3 2 2 3" xfId="8206" xr:uid="{154D0552-05B5-40C1-A4B6-330F9D1B6987}"/>
    <cellStyle name="Comma 11 2 3 3 2 3" xfId="4234" xr:uid="{3285B98E-0E22-4824-9146-F17FEE458A07}"/>
    <cellStyle name="Comma 11 2 3 3 2 3 2" xfId="9531" xr:uid="{D12B2AB3-0F88-4E84-935A-8B198D3859C8}"/>
    <cellStyle name="Comma 11 2 3 3 2 4" xfId="6882" xr:uid="{28F681FA-EE30-4089-BE8C-E9484473C4B3}"/>
    <cellStyle name="Comma 11 2 3 3 3" xfId="2381" xr:uid="{D3F5C117-E93A-4D10-AFBC-3415AE9497AA}"/>
    <cellStyle name="Comma 11 2 3 3 3 2" xfId="5030" xr:uid="{A68B8150-FAD7-43C1-8968-81C8AB426D37}"/>
    <cellStyle name="Comma 11 2 3 3 3 2 2" xfId="10327" xr:uid="{085AEACC-8661-4A51-8A74-B7A0132C8248}"/>
    <cellStyle name="Comma 11 2 3 3 3 3" xfId="7678" xr:uid="{3DAE12A1-8840-4D43-9AC8-03B485C877FC}"/>
    <cellStyle name="Comma 11 2 3 3 4" xfId="3706" xr:uid="{3995CCDB-C941-4156-A6E1-86C81E6706FB}"/>
    <cellStyle name="Comma 11 2 3 3 4 2" xfId="9003" xr:uid="{BBD45AFD-EFA8-4248-B6DA-243747F59C68}"/>
    <cellStyle name="Comma 11 2 3 3 5" xfId="6354" xr:uid="{36D1DAC7-7774-4025-A888-D7B5BD5A8703}"/>
    <cellStyle name="Comma 11 2 3 4" xfId="1305" xr:uid="{9220E6A3-F952-4056-9EE1-63604153F6AC}"/>
    <cellStyle name="Comma 11 2 3 4 2" xfId="1833" xr:uid="{75DA4636-D69C-4CD4-B2BE-CFA7869C8E8B}"/>
    <cellStyle name="Comma 11 2 3 4 2 2" xfId="3173" xr:uid="{68C0E098-2FD3-4903-B8D5-4313A4BD6FF4}"/>
    <cellStyle name="Comma 11 2 3 4 2 2 2" xfId="5822" xr:uid="{4FAAF4AA-1F23-4081-B168-B7B56676662B}"/>
    <cellStyle name="Comma 11 2 3 4 2 2 2 2" xfId="11119" xr:uid="{D085B435-CA2C-4D03-91E4-636FDEAB5E13}"/>
    <cellStyle name="Comma 11 2 3 4 2 2 3" xfId="8470" xr:uid="{988A39E4-C303-42A1-BB62-ED99C7F8010E}"/>
    <cellStyle name="Comma 11 2 3 4 2 3" xfId="4498" xr:uid="{EF29B711-F698-4E35-BB84-4E3384FD5F15}"/>
    <cellStyle name="Comma 11 2 3 4 2 3 2" xfId="9795" xr:uid="{0AD34BED-F6C3-42E9-982C-D3B3EF35BE71}"/>
    <cellStyle name="Comma 11 2 3 4 2 4" xfId="7146" xr:uid="{147CC628-2EFC-4E36-B223-F229201E7AB2}"/>
    <cellStyle name="Comma 11 2 3 4 3" xfId="2645" xr:uid="{51726801-7649-4017-B8C0-195301DCA5CC}"/>
    <cellStyle name="Comma 11 2 3 4 3 2" xfId="5294" xr:uid="{DED104B8-9795-4950-92A3-9D102C4AF258}"/>
    <cellStyle name="Comma 11 2 3 4 3 2 2" xfId="10591" xr:uid="{255E4F6E-8CF4-4F5E-AAAD-1E6A6E99DC5C}"/>
    <cellStyle name="Comma 11 2 3 4 3 3" xfId="7942" xr:uid="{64D8699B-6E99-4AA5-8826-5A9C76D0426B}"/>
    <cellStyle name="Comma 11 2 3 4 4" xfId="3970" xr:uid="{4C9F56AF-C35A-474E-9120-44E5C911B357}"/>
    <cellStyle name="Comma 11 2 3 4 4 2" xfId="9267" xr:uid="{FC315BC7-09D0-46EB-BDB9-BE3FE25BE578}"/>
    <cellStyle name="Comma 11 2 3 4 5" xfId="6618" xr:uid="{B83469FD-377A-45DD-AFFC-96513C19B13A}"/>
    <cellStyle name="Comma 11 2 3 5" xfId="1437" xr:uid="{F283F32C-E035-4EA8-A23A-F38D49AA01AD}"/>
    <cellStyle name="Comma 11 2 3 5 2" xfId="1965" xr:uid="{9531475C-DBF3-4222-AA71-569BE4D306EB}"/>
    <cellStyle name="Comma 11 2 3 5 2 2" xfId="3305" xr:uid="{DCABA95F-911C-46F7-8F27-837305DF9386}"/>
    <cellStyle name="Comma 11 2 3 5 2 2 2" xfId="5954" xr:uid="{567D47E1-1BAE-445C-B1F1-BE8BA081D2B9}"/>
    <cellStyle name="Comma 11 2 3 5 2 2 2 2" xfId="11251" xr:uid="{901D0B70-DA8F-440D-9338-B5C3C22CF9ED}"/>
    <cellStyle name="Comma 11 2 3 5 2 2 3" xfId="8602" xr:uid="{93711EA5-2E4D-4BDE-8472-B804CC6CCFDF}"/>
    <cellStyle name="Comma 11 2 3 5 2 3" xfId="4630" xr:uid="{88A849C1-63B4-4080-AEA9-A765DF2BDEB3}"/>
    <cellStyle name="Comma 11 2 3 5 2 3 2" xfId="9927" xr:uid="{6BD2C09C-AD09-4F99-99DA-A4ABA7ED4644}"/>
    <cellStyle name="Comma 11 2 3 5 2 4" xfId="7278" xr:uid="{C0CCA306-9035-4ACC-B8A8-BF9714EB35DE}"/>
    <cellStyle name="Comma 11 2 3 5 3" xfId="2777" xr:uid="{1AAB3E4B-5BE0-4796-867C-260C2ED278B5}"/>
    <cellStyle name="Comma 11 2 3 5 3 2" xfId="5426" xr:uid="{F9CD73F0-A568-42D1-A70D-96DA0814BD7C}"/>
    <cellStyle name="Comma 11 2 3 5 3 2 2" xfId="10723" xr:uid="{95DB2C3E-5801-4FBD-BBB2-A42A10589D2C}"/>
    <cellStyle name="Comma 11 2 3 5 3 3" xfId="8074" xr:uid="{5140CBFA-8FC7-4CEC-A889-8E6083C1D2D1}"/>
    <cellStyle name="Comma 11 2 3 5 4" xfId="4102" xr:uid="{302BBE8D-0536-433E-B4FF-35B7B479C07F}"/>
    <cellStyle name="Comma 11 2 3 5 4 2" xfId="9399" xr:uid="{F8DED91B-2E14-44EA-8465-D20D04C1F88B}"/>
    <cellStyle name="Comma 11 2 3 5 5" xfId="6750" xr:uid="{F96FD43D-9887-4086-B4BE-83215978EF83}"/>
    <cellStyle name="Comma 11 2 3 6" xfId="2253" xr:uid="{77FC54D4-2424-4EB4-96EC-A99183FACCDC}"/>
    <cellStyle name="Comma 11 2 3 6 2" xfId="4902" xr:uid="{6FA0C135-9052-44DC-95D6-2194F1D6F4B2}"/>
    <cellStyle name="Comma 11 2 3 6 2 2" xfId="10199" xr:uid="{E81C735D-17D2-43F4-A899-6FCA1D423FF4}"/>
    <cellStyle name="Comma 11 2 3 6 3" xfId="7550" xr:uid="{CAA0A4CF-32DE-40AE-ABD5-4DDBB625B7A1}"/>
    <cellStyle name="Comma 11 2 3 7" xfId="3578" xr:uid="{762CB514-357A-4285-A7BE-CE761D2F5610}"/>
    <cellStyle name="Comma 11 2 3 7 2" xfId="8875" xr:uid="{5AF351D4-B3E5-4541-8EFD-1B0D421B931A}"/>
    <cellStyle name="Comma 11 2 3 8" xfId="6226" xr:uid="{8D06B5A1-910C-491A-86B1-443AF23C4561}"/>
    <cellStyle name="Comma 11 2 4" xfId="1108" xr:uid="{802D55A3-1BE0-4823-AADF-66D46A8EBB5B}"/>
    <cellStyle name="Comma 11 2 4 2" xfId="1642" xr:uid="{8941A3BA-B70F-4BB5-B310-4EDD7DF9A3AB}"/>
    <cellStyle name="Comma 11 2 4 2 2" xfId="2982" xr:uid="{28459FF9-B001-4CC3-9118-72619733C94A}"/>
    <cellStyle name="Comma 11 2 4 2 2 2" xfId="5631" xr:uid="{366DA7ED-C3F2-43FA-9971-DDC51FB92322}"/>
    <cellStyle name="Comma 11 2 4 2 2 2 2" xfId="10928" xr:uid="{1E082490-6A2E-46AE-B78C-799A43CAA273}"/>
    <cellStyle name="Comma 11 2 4 2 2 3" xfId="8279" xr:uid="{0618B1C0-3F3C-4CE1-A52F-A5FB82FFEAEF}"/>
    <cellStyle name="Comma 11 2 4 2 3" xfId="4307" xr:uid="{2B2CD293-6EAB-415E-8715-1E1CEE9C4D7D}"/>
    <cellStyle name="Comma 11 2 4 2 3 2" xfId="9604" xr:uid="{B5C95365-4377-4C85-AE52-01DFBE1C099C}"/>
    <cellStyle name="Comma 11 2 4 2 4" xfId="6955" xr:uid="{C6AB1A9D-7FC0-43B4-ACC9-7C156C6AADAF}"/>
    <cellStyle name="Comma 11 2 4 3" xfId="2454" xr:uid="{99548A95-C265-4CC3-8FC6-1B8247E31801}"/>
    <cellStyle name="Comma 11 2 4 3 2" xfId="5103" xr:uid="{CD990EC3-6473-47E0-A85C-E1109F2E1DF3}"/>
    <cellStyle name="Comma 11 2 4 3 2 2" xfId="10400" xr:uid="{D571C25B-4C15-4C27-A6A7-84EA4AB603CA}"/>
    <cellStyle name="Comma 11 2 4 3 3" xfId="7751" xr:uid="{0FD352A3-376C-4934-AFD7-BDE8CA9856E0}"/>
    <cellStyle name="Comma 11 2 4 4" xfId="3779" xr:uid="{61492653-E891-4326-ACC9-10D28C5B94C3}"/>
    <cellStyle name="Comma 11 2 4 4 2" xfId="9076" xr:uid="{99690222-785F-4F99-B70D-241F6B828437}"/>
    <cellStyle name="Comma 11 2 4 5" xfId="6427" xr:uid="{E3528545-0DDB-47ED-B660-BFEC729F7F54}"/>
    <cellStyle name="Comma 11 2 5" xfId="962" xr:uid="{B30C8C7B-4888-4472-989B-A564A7AFCD88}"/>
    <cellStyle name="Comma 11 2 5 2" xfId="1510" xr:uid="{9E1AB1A6-B98A-41CD-9DF5-761592F4D24B}"/>
    <cellStyle name="Comma 11 2 5 2 2" xfId="2850" xr:uid="{81D07C23-3C36-46A1-B9AD-65640F9240B6}"/>
    <cellStyle name="Comma 11 2 5 2 2 2" xfId="5499" xr:uid="{4466CE3A-E9C1-4C77-A745-340862EB56B4}"/>
    <cellStyle name="Comma 11 2 5 2 2 2 2" xfId="10796" xr:uid="{8E203DD7-96C1-49F3-AB8A-1B5E91225BDF}"/>
    <cellStyle name="Comma 11 2 5 2 2 3" xfId="8147" xr:uid="{A64EE310-8308-4043-AA59-3BB294410701}"/>
    <cellStyle name="Comma 11 2 5 2 3" xfId="4175" xr:uid="{1F557BD4-DAF3-4FB5-8623-16770B7245E5}"/>
    <cellStyle name="Comma 11 2 5 2 3 2" xfId="9472" xr:uid="{970322BD-502B-429E-BD37-18FC37F0AC0A}"/>
    <cellStyle name="Comma 11 2 5 2 4" xfId="6823" xr:uid="{0C471B65-0548-4869-B147-395C9E1A23DA}"/>
    <cellStyle name="Comma 11 2 5 3" xfId="2322" xr:uid="{725EC03B-1A36-447E-8ADB-D5C79FC0D89D}"/>
    <cellStyle name="Comma 11 2 5 3 2" xfId="4971" xr:uid="{2269E4ED-7DBB-485C-9FA5-68EF689567C1}"/>
    <cellStyle name="Comma 11 2 5 3 2 2" xfId="10268" xr:uid="{7807FBB8-C829-4B49-A8E4-78A6C61C072C}"/>
    <cellStyle name="Comma 11 2 5 3 3" xfId="7619" xr:uid="{2EECD040-59EE-4BF8-B463-A19FF5D54469}"/>
    <cellStyle name="Comma 11 2 5 4" xfId="3647" xr:uid="{A9830EFA-0043-467D-938C-56156C6798E5}"/>
    <cellStyle name="Comma 11 2 5 4 2" xfId="8944" xr:uid="{FE1732BA-B0C7-4405-B70A-E4D3E743303E}"/>
    <cellStyle name="Comma 11 2 5 5" xfId="6295" xr:uid="{A6379D60-5566-4534-97AC-8074BFCEAB11}"/>
    <cellStyle name="Comma 11 2 6" xfId="1246" xr:uid="{AB8CF80C-B6ED-4B12-906C-343C49DB44DB}"/>
    <cellStyle name="Comma 11 2 6 2" xfId="1774" xr:uid="{6097143D-8F41-4436-A8C3-5EF7EB45E66F}"/>
    <cellStyle name="Comma 11 2 6 2 2" xfId="3114" xr:uid="{DDD28929-EC25-4FD8-BB48-69F3593D3637}"/>
    <cellStyle name="Comma 11 2 6 2 2 2" xfId="5763" xr:uid="{B6E3019B-0CEA-471A-86EE-B7B0EB5C3FBD}"/>
    <cellStyle name="Comma 11 2 6 2 2 2 2" xfId="11060" xr:uid="{E25E3E5F-72EF-4BDC-BBE6-A977A1DBF053}"/>
    <cellStyle name="Comma 11 2 6 2 2 3" xfId="8411" xr:uid="{B527291F-2F65-4C88-A96C-007DC608142B}"/>
    <cellStyle name="Comma 11 2 6 2 3" xfId="4439" xr:uid="{EC39E9F9-B5B6-457D-A14E-7B9F04D965FC}"/>
    <cellStyle name="Comma 11 2 6 2 3 2" xfId="9736" xr:uid="{1A5F43BD-C9FA-47BC-A221-9801AE8276E2}"/>
    <cellStyle name="Comma 11 2 6 2 4" xfId="7087" xr:uid="{9F2921C6-047B-4AE7-BE6A-C26EA95D8CEB}"/>
    <cellStyle name="Comma 11 2 6 3" xfId="2586" xr:uid="{6A2F5027-2608-4C2B-AC28-F7939F5238B9}"/>
    <cellStyle name="Comma 11 2 6 3 2" xfId="5235" xr:uid="{26DC3D31-E00B-439A-8EFC-3B943ED1F3AE}"/>
    <cellStyle name="Comma 11 2 6 3 2 2" xfId="10532" xr:uid="{1E499BAD-7617-462F-B904-CDB20D7EC5FB}"/>
    <cellStyle name="Comma 11 2 6 3 3" xfId="7883" xr:uid="{B62BB08D-02A0-48CF-938E-D111B68A71D7}"/>
    <cellStyle name="Comma 11 2 6 4" xfId="3911" xr:uid="{C4CA4188-740A-4759-9672-4AA6CDE02DC7}"/>
    <cellStyle name="Comma 11 2 6 4 2" xfId="9208" xr:uid="{FAB316F7-458E-4070-AB60-A70FAB9A091E}"/>
    <cellStyle name="Comma 11 2 6 5" xfId="6559" xr:uid="{F26147C3-6FF4-4BFD-92D0-F3B079808DCB}"/>
    <cellStyle name="Comma 11 2 7" xfId="1378" xr:uid="{989127AC-B0F9-4BCD-9754-E0E6B74F6BB8}"/>
    <cellStyle name="Comma 11 2 7 2" xfId="1906" xr:uid="{B6ECCF69-A54A-43CA-A551-3313BF6B43CA}"/>
    <cellStyle name="Comma 11 2 7 2 2" xfId="3246" xr:uid="{0D2E0EFC-6FD4-48FF-9AB8-9AB1FB127577}"/>
    <cellStyle name="Comma 11 2 7 2 2 2" xfId="5895" xr:uid="{6E4DDB75-1FB8-4F6E-A50A-6CED7D5C9749}"/>
    <cellStyle name="Comma 11 2 7 2 2 2 2" xfId="11192" xr:uid="{1361AAFA-1185-4B19-90DB-808C4DB2F88C}"/>
    <cellStyle name="Comma 11 2 7 2 2 3" xfId="8543" xr:uid="{277C54C8-AFAE-497D-B0A6-296F901B24B7}"/>
    <cellStyle name="Comma 11 2 7 2 3" xfId="4571" xr:uid="{47B9579D-62F4-498C-8683-1D7199849D98}"/>
    <cellStyle name="Comma 11 2 7 2 3 2" xfId="9868" xr:uid="{F9790985-F078-497F-84AA-908B744327F2}"/>
    <cellStyle name="Comma 11 2 7 2 4" xfId="7219" xr:uid="{CDED7E1E-627B-4FF2-B213-C0F03E1D3986}"/>
    <cellStyle name="Comma 11 2 7 3" xfId="2718" xr:uid="{0C245AA2-2FD7-46C9-BB4F-DFAE5461782B}"/>
    <cellStyle name="Comma 11 2 7 3 2" xfId="5367" xr:uid="{FECD0018-612F-4AF3-8117-3B205C6153F8}"/>
    <cellStyle name="Comma 11 2 7 3 2 2" xfId="10664" xr:uid="{EFC02388-0044-44DA-8104-41AB89D45D3B}"/>
    <cellStyle name="Comma 11 2 7 3 3" xfId="8015" xr:uid="{7A377E92-0EE2-4FCF-942D-CC11478FCEB3}"/>
    <cellStyle name="Comma 11 2 7 4" xfId="4043" xr:uid="{FDA75ED8-5B03-44E5-BAD9-09759F341122}"/>
    <cellStyle name="Comma 11 2 7 4 2" xfId="9340" xr:uid="{39894509-E2AF-4903-AB83-BB7D45F62A28}"/>
    <cellStyle name="Comma 11 2 7 5" xfId="6691" xr:uid="{9222429E-AD53-44CE-9BFD-B5375ECBB01B}"/>
    <cellStyle name="Comma 11 2 8" xfId="2198" xr:uid="{F4607485-17AA-4683-BE92-90C6208651C2}"/>
    <cellStyle name="Comma 11 2 8 2" xfId="4847" xr:uid="{481BA737-E64A-47F6-BDC2-0259426F01CC}"/>
    <cellStyle name="Comma 11 2 8 2 2" xfId="10144" xr:uid="{432C7C88-0A3A-44BF-BBE4-C91574579190}"/>
    <cellStyle name="Comma 11 2 8 3" xfId="7495" xr:uid="{9A05EC72-EB40-49CF-BAB7-7B54FEC343BA}"/>
    <cellStyle name="Comma 11 2 9" xfId="3523" xr:uid="{1CCBCEB9-D97A-4BB3-A0BF-B68F814FDE9C}"/>
    <cellStyle name="Comma 11 2 9 2" xfId="8820" xr:uid="{2204FFC8-82CE-4FCC-80FA-0BD5E3F00788}"/>
    <cellStyle name="Comma 11 3" xfId="1081" xr:uid="{1410BF99-424E-4128-B4BE-CD23D82FE037}"/>
    <cellStyle name="Comma 11 3 2" xfId="1619" xr:uid="{455FA47F-A2C2-4D28-93E8-DBDB3C86DF32}"/>
    <cellStyle name="Comma 11 3 2 2" xfId="2959" xr:uid="{6AA5D794-98DD-4F02-9CD3-34BF9DCD5A71}"/>
    <cellStyle name="Comma 11 3 2 2 2" xfId="5608" xr:uid="{F3828B93-C053-4634-B152-247193C6C8F2}"/>
    <cellStyle name="Comma 11 3 2 2 2 2" xfId="10905" xr:uid="{06557371-E5F5-44B5-BFEA-7AED56E889D0}"/>
    <cellStyle name="Comma 11 3 2 2 3" xfId="8256" xr:uid="{3035280E-911C-4C8B-8B99-CCB572728879}"/>
    <cellStyle name="Comma 11 3 2 3" xfId="4284" xr:uid="{3040C99C-E429-48D9-A822-3F20C3A15A73}"/>
    <cellStyle name="Comma 11 3 2 3 2" xfId="9581" xr:uid="{2960C7C4-80C8-4214-B8A3-93E7AAD33FFC}"/>
    <cellStyle name="Comma 11 3 2 4" xfId="6932" xr:uid="{5BCEB159-74A6-4A48-872F-E2D19E5C6102}"/>
    <cellStyle name="Comma 11 3 3" xfId="2431" xr:uid="{778CF79A-821C-4EF4-8BD5-A749675A84A4}"/>
    <cellStyle name="Comma 11 3 3 2" xfId="5080" xr:uid="{538BE244-CE69-423A-B234-F053F49353F8}"/>
    <cellStyle name="Comma 11 3 3 2 2" xfId="10377" xr:uid="{22445EDE-4F68-4A76-93F9-849E7F694CEC}"/>
    <cellStyle name="Comma 11 3 3 3" xfId="7728" xr:uid="{97052751-C902-4BDE-B73E-3199B0A0370D}"/>
    <cellStyle name="Comma 11 3 4" xfId="3756" xr:uid="{AD396E59-C12B-4CFA-A03D-A14E55D68C94}"/>
    <cellStyle name="Comma 11 3 4 2" xfId="9053" xr:uid="{55427C17-C2B9-4D8E-BBC2-247C8E0A9B36}"/>
    <cellStyle name="Comma 11 3 5" xfId="6404" xr:uid="{A1A55E4A-B5C3-4B22-AF8F-F55FAAABBA5E}"/>
    <cellStyle name="Comma 11 4" xfId="934" xr:uid="{13037E43-9E9C-4CC0-BC0E-727D110FF348}"/>
    <cellStyle name="Comma 11 4 2" xfId="1487" xr:uid="{E5F005CD-7808-41FB-A349-91F842479995}"/>
    <cellStyle name="Comma 11 4 2 2" xfId="2827" xr:uid="{46FD6B0A-502D-4BB5-98F9-EFEFB7257D45}"/>
    <cellStyle name="Comma 11 4 2 2 2" xfId="5476" xr:uid="{62DADEF3-C496-447A-B869-2C5F87E47FF1}"/>
    <cellStyle name="Comma 11 4 2 2 2 2" xfId="10773" xr:uid="{41E62C60-6EE6-4CD7-B8D6-B6A6EE5DB55D}"/>
    <cellStyle name="Comma 11 4 2 2 3" xfId="8124" xr:uid="{6C527FA3-73FA-4B46-9ACE-75894AAA47A9}"/>
    <cellStyle name="Comma 11 4 2 3" xfId="4152" xr:uid="{F91B232A-4635-411C-8B66-7E3C30BBC6DE}"/>
    <cellStyle name="Comma 11 4 2 3 2" xfId="9449" xr:uid="{26D26476-3C40-47E5-9CE9-781E4F5FDCA2}"/>
    <cellStyle name="Comma 11 4 2 4" xfId="6800" xr:uid="{83B8DBC7-856B-4437-A474-EF18A5F7D2E1}"/>
    <cellStyle name="Comma 11 4 3" xfId="2299" xr:uid="{E0D80E67-91F6-4102-AAEA-A050D1358321}"/>
    <cellStyle name="Comma 11 4 3 2" xfId="4948" xr:uid="{781A976B-92C1-42C1-BB06-4E01FCC57783}"/>
    <cellStyle name="Comma 11 4 3 2 2" xfId="10245" xr:uid="{36670CA1-3B24-453F-890D-0B5EE7C1DD9C}"/>
    <cellStyle name="Comma 11 4 3 3" xfId="7596" xr:uid="{A6EDCAD6-B76C-44B0-922E-EB46D43566EA}"/>
    <cellStyle name="Comma 11 4 4" xfId="3624" xr:uid="{76009294-876D-4F82-BD3A-AE7BE6AFC37C}"/>
    <cellStyle name="Comma 11 4 4 2" xfId="8921" xr:uid="{1D75D761-5FD4-439C-8EE1-37A7709782E5}"/>
    <cellStyle name="Comma 11 4 5" xfId="6272" xr:uid="{B693E25A-C810-493F-927E-594D3D443686}"/>
    <cellStyle name="Comma 11 5" xfId="1223" xr:uid="{4D5EE9B7-539D-4B30-B639-25D4DED3A03E}"/>
    <cellStyle name="Comma 11 5 2" xfId="1751" xr:uid="{DFAA8A37-2D85-4F6F-B5F7-D511AA2758FD}"/>
    <cellStyle name="Comma 11 5 2 2" xfId="3091" xr:uid="{7A2AE89A-38D3-4028-A902-BA69A55ED121}"/>
    <cellStyle name="Comma 11 5 2 2 2" xfId="5740" xr:uid="{C82A6736-5EDF-4283-A568-CD1BB7232A81}"/>
    <cellStyle name="Comma 11 5 2 2 2 2" xfId="11037" xr:uid="{A020E59B-A85B-4BA9-A7B1-E40EF6CA5D98}"/>
    <cellStyle name="Comma 11 5 2 2 3" xfId="8388" xr:uid="{0576E5CD-4ADA-4F21-8C8D-F3FD064AB518}"/>
    <cellStyle name="Comma 11 5 2 3" xfId="4416" xr:uid="{B27476F3-BE7D-4FC6-91B4-19BFBAB9304C}"/>
    <cellStyle name="Comma 11 5 2 3 2" xfId="9713" xr:uid="{4CED3A86-74C9-4B10-A2FA-CA4BDA86FBF2}"/>
    <cellStyle name="Comma 11 5 2 4" xfId="7064" xr:uid="{EFD4246C-D5C2-404B-B185-EF5F9482A20A}"/>
    <cellStyle name="Comma 11 5 3" xfId="2563" xr:uid="{A21B3881-17D6-45F5-9862-47F6D0FC0F1A}"/>
    <cellStyle name="Comma 11 5 3 2" xfId="5212" xr:uid="{1E13559D-0382-494F-82BB-7AF6F4E7FC06}"/>
    <cellStyle name="Comma 11 5 3 2 2" xfId="10509" xr:uid="{A6C312B1-F61A-48C4-AD5B-395AFB40A55A}"/>
    <cellStyle name="Comma 11 5 3 3" xfId="7860" xr:uid="{8DFB0CB9-BFF7-4C9F-A2E0-77CDFB93E81C}"/>
    <cellStyle name="Comma 11 5 4" xfId="3888" xr:uid="{028C1D26-1106-4414-8A06-3D333CE1DFB8}"/>
    <cellStyle name="Comma 11 5 4 2" xfId="9185" xr:uid="{5376636B-49A4-4BA7-936B-086B1B8B6C3D}"/>
    <cellStyle name="Comma 11 5 5" xfId="6536" xr:uid="{6D3A0736-EA22-4E49-A155-D0D8B61AA0F2}"/>
    <cellStyle name="Comma 11 6" xfId="1355" xr:uid="{EB59DD37-6BD5-418B-A2CF-2F7635D7012C}"/>
    <cellStyle name="Comma 11 6 2" xfId="1883" xr:uid="{A1509FE8-99D8-4A9A-B086-D658AF40B60D}"/>
    <cellStyle name="Comma 11 6 2 2" xfId="3223" xr:uid="{83A0C6CB-8F1C-4E71-A9EC-3F09B78292B5}"/>
    <cellStyle name="Comma 11 6 2 2 2" xfId="5872" xr:uid="{4B128AEF-9AAA-4844-B580-18E6CECEB6AD}"/>
    <cellStyle name="Comma 11 6 2 2 2 2" xfId="11169" xr:uid="{1F6EF7CD-AE1F-46D6-885B-595110D473FE}"/>
    <cellStyle name="Comma 11 6 2 2 3" xfId="8520" xr:uid="{682EF6E5-4739-48B2-A2D0-DA0417036477}"/>
    <cellStyle name="Comma 11 6 2 3" xfId="4548" xr:uid="{AE839EEC-B679-47FD-8376-0518C7118576}"/>
    <cellStyle name="Comma 11 6 2 3 2" xfId="9845" xr:uid="{F3ED3116-027E-4493-8D3A-6DE7ED83F5CD}"/>
    <cellStyle name="Comma 11 6 2 4" xfId="7196" xr:uid="{7D287344-01EE-43B9-9101-93353337BB1D}"/>
    <cellStyle name="Comma 11 6 3" xfId="2695" xr:uid="{1BA47B6D-ABC2-4446-97C3-1AA568BE0D47}"/>
    <cellStyle name="Comma 11 6 3 2" xfId="5344" xr:uid="{07E51EF1-ED9B-4049-84FA-DE8863B138CF}"/>
    <cellStyle name="Comma 11 6 3 2 2" xfId="10641" xr:uid="{F812195D-481A-44F7-86C1-4CF49ABDF352}"/>
    <cellStyle name="Comma 11 6 3 3" xfId="7992" xr:uid="{0A5C35D2-FDBB-4A60-B4FF-6EA233516BB9}"/>
    <cellStyle name="Comma 11 6 4" xfId="4020" xr:uid="{0FA1FF29-CDC6-4649-AC11-ACC50E15FA99}"/>
    <cellStyle name="Comma 11 6 4 2" xfId="9317" xr:uid="{5B1507A8-90EA-4B2E-BC4E-E42CF523C1D3}"/>
    <cellStyle name="Comma 11 6 5" xfId="6668" xr:uid="{C96F26EC-156E-47C0-AEA2-BBF3E4219084}"/>
    <cellStyle name="Comma 11 7" xfId="2111" xr:uid="{15452682-E026-4088-9D52-45453891F1CE}"/>
    <cellStyle name="Comma 11 7 2" xfId="4760" xr:uid="{41B52607-CC3E-405C-BF1F-BDDBB4F7B178}"/>
    <cellStyle name="Comma 11 7 2 2" xfId="10057" xr:uid="{EB2937A5-4D7E-44EC-84F4-7DB1E422B14D}"/>
    <cellStyle name="Comma 11 7 3" xfId="7408" xr:uid="{59B778C0-8127-48F4-BB43-A65E7E8E0584}"/>
    <cellStyle name="Comma 11 8" xfId="3436" xr:uid="{BD9DE6F2-14B2-4DC5-A967-2A4558E02D82}"/>
    <cellStyle name="Comma 11 8 2" xfId="8733" xr:uid="{02598A0C-ACEA-4E0C-8B8C-7973A6F8AA5F}"/>
    <cellStyle name="Comma 11 9" xfId="6084" xr:uid="{C08B3937-F07E-402A-8C02-B3A3F401F58D}"/>
    <cellStyle name="Comma 12" xfId="469" xr:uid="{EF6B088F-EDA3-47D7-B61D-B2F4607CF7AC}"/>
    <cellStyle name="Comma 12 2" xfId="639" xr:uid="{4FE785A6-F37F-483E-9130-C8DD4C4D7DAF}"/>
    <cellStyle name="Comma 12 2 10" xfId="6172" xr:uid="{C313714F-B321-473F-9584-C856237B7BCB}"/>
    <cellStyle name="Comma 12 2 2" xfId="912" xr:uid="{204057CD-AB7E-4C5D-ACF3-C303C8438706}"/>
    <cellStyle name="Comma 12 2 2 2" xfId="1201" xr:uid="{CEF30357-B3A7-49BC-A9EB-40E5C2BBB6C3}"/>
    <cellStyle name="Comma 12 2 2 2 2" xfId="1729" xr:uid="{F4695085-9DD6-422D-BF0C-82667D27DC07}"/>
    <cellStyle name="Comma 12 2 2 2 2 2" xfId="3069" xr:uid="{2B3747A9-97C0-4AEA-9F5B-56097A6DD443}"/>
    <cellStyle name="Comma 12 2 2 2 2 2 2" xfId="5718" xr:uid="{EC159D0E-DD79-4528-8920-D195B7CDF1B4}"/>
    <cellStyle name="Comma 12 2 2 2 2 2 2 2" xfId="11015" xr:uid="{F15195FB-BCB1-4D9F-8100-564CE9ED45A4}"/>
    <cellStyle name="Comma 12 2 2 2 2 2 3" xfId="8366" xr:uid="{F6B7A22C-1465-4368-B383-60275607C030}"/>
    <cellStyle name="Comma 12 2 2 2 2 3" xfId="4394" xr:uid="{6E7824DD-550B-4BB6-8E9D-22B31682D26E}"/>
    <cellStyle name="Comma 12 2 2 2 2 3 2" xfId="9691" xr:uid="{EB415385-B092-44F7-8DA9-117D1D737E3D}"/>
    <cellStyle name="Comma 12 2 2 2 2 4" xfId="7042" xr:uid="{DE3B088A-FA64-4B6D-8470-E819722D009D}"/>
    <cellStyle name="Comma 12 2 2 2 3" xfId="2541" xr:uid="{A88CA762-D065-4539-99EA-43EBCB4A7272}"/>
    <cellStyle name="Comma 12 2 2 2 3 2" xfId="5190" xr:uid="{D7358598-8230-4D78-9F21-3D4490615EBB}"/>
    <cellStyle name="Comma 12 2 2 2 3 2 2" xfId="10487" xr:uid="{A58DC0CF-2178-4D85-8A90-68BD85A8B5B3}"/>
    <cellStyle name="Comma 12 2 2 2 3 3" xfId="7838" xr:uid="{D532561F-BA55-4084-B5BA-E3FAA8F84545}"/>
    <cellStyle name="Comma 12 2 2 2 4" xfId="3866" xr:uid="{C5CA6705-9C87-452F-85EF-97BEDDA7F1FC}"/>
    <cellStyle name="Comma 12 2 2 2 4 2" xfId="9163" xr:uid="{321ABEAB-7D5A-4F7B-ACC8-39B70581249F}"/>
    <cellStyle name="Comma 12 2 2 2 5" xfId="6514" xr:uid="{B4E40C37-636D-4FB8-A934-7E6841F3EADB}"/>
    <cellStyle name="Comma 12 2 2 3" xfId="1058" xr:uid="{453EDB54-100F-46B5-A08E-F2D7B56D89E1}"/>
    <cellStyle name="Comma 12 2 2 3 2" xfId="1597" xr:uid="{FB9E1B22-3C60-45FB-A89A-5A24DBDFC997}"/>
    <cellStyle name="Comma 12 2 2 3 2 2" xfId="2937" xr:uid="{B8DAE6F4-D9EB-4054-B757-AD3430B9659A}"/>
    <cellStyle name="Comma 12 2 2 3 2 2 2" xfId="5586" xr:uid="{CD68AA7E-704E-446F-93BF-6A974E7263E2}"/>
    <cellStyle name="Comma 12 2 2 3 2 2 2 2" xfId="10883" xr:uid="{031529D9-38DB-4055-934B-579F792CD0F3}"/>
    <cellStyle name="Comma 12 2 2 3 2 2 3" xfId="8234" xr:uid="{6781A083-D30E-4540-9BDE-37C22E349082}"/>
    <cellStyle name="Comma 12 2 2 3 2 3" xfId="4262" xr:uid="{509D67DD-0E5B-4CE7-AFEB-A5B440D25570}"/>
    <cellStyle name="Comma 12 2 2 3 2 3 2" xfId="9559" xr:uid="{5C31126E-C8BF-47D6-8B4E-32642FC77D40}"/>
    <cellStyle name="Comma 12 2 2 3 2 4" xfId="6910" xr:uid="{7C31D7EA-C520-4FD4-B37D-8B30E39776DE}"/>
    <cellStyle name="Comma 12 2 2 3 3" xfId="2409" xr:uid="{AC4D10E4-1ACB-4471-B7C8-0B39C08579F7}"/>
    <cellStyle name="Comma 12 2 2 3 3 2" xfId="5058" xr:uid="{5D903F43-5385-4E72-A2A7-25D56B29CFB0}"/>
    <cellStyle name="Comma 12 2 2 3 3 2 2" xfId="10355" xr:uid="{F4EFB0D0-A49A-402D-890A-80A9171A55D8}"/>
    <cellStyle name="Comma 12 2 2 3 3 3" xfId="7706" xr:uid="{838D39F4-FBB5-49BF-B088-B7D9E6FCB3B1}"/>
    <cellStyle name="Comma 12 2 2 3 4" xfId="3734" xr:uid="{340B5FD5-1365-44D2-9F7F-CE914287AA39}"/>
    <cellStyle name="Comma 12 2 2 3 4 2" xfId="9031" xr:uid="{C760BEE8-286B-47F2-89D9-139606CC6B59}"/>
    <cellStyle name="Comma 12 2 2 3 5" xfId="6382" xr:uid="{F6FBB380-D498-45ED-ACCA-C269AE37BA6D}"/>
    <cellStyle name="Comma 12 2 2 4" xfId="1333" xr:uid="{02A6F0FA-9F32-4813-9E76-D2BBD5DE4365}"/>
    <cellStyle name="Comma 12 2 2 4 2" xfId="1861" xr:uid="{D6EE4EFC-2B3A-44EC-A83A-51F7F16201A2}"/>
    <cellStyle name="Comma 12 2 2 4 2 2" xfId="3201" xr:uid="{D7A52F07-2876-4E53-92D2-15FFBF3B842E}"/>
    <cellStyle name="Comma 12 2 2 4 2 2 2" xfId="5850" xr:uid="{F8254ACD-E584-42E9-817B-39A77B4D2D7F}"/>
    <cellStyle name="Comma 12 2 2 4 2 2 2 2" xfId="11147" xr:uid="{7D3C969C-F8A6-4C41-ABB9-269178ED9377}"/>
    <cellStyle name="Comma 12 2 2 4 2 2 3" xfId="8498" xr:uid="{10E367E6-95FB-485A-86BD-E921F5600231}"/>
    <cellStyle name="Comma 12 2 2 4 2 3" xfId="4526" xr:uid="{E1C4DA3C-D796-45F1-8764-82226473D27D}"/>
    <cellStyle name="Comma 12 2 2 4 2 3 2" xfId="9823" xr:uid="{B2CD80E9-886E-4FD8-BC95-AA21754E529F}"/>
    <cellStyle name="Comma 12 2 2 4 2 4" xfId="7174" xr:uid="{7F1AA07A-44B8-4E2C-80FC-B548D46C6C3C}"/>
    <cellStyle name="Comma 12 2 2 4 3" xfId="2673" xr:uid="{FE007506-7AEB-4E4D-B7DA-5B9360762621}"/>
    <cellStyle name="Comma 12 2 2 4 3 2" xfId="5322" xr:uid="{77AF408A-1E59-4F8D-B8F8-D1835CE799C2}"/>
    <cellStyle name="Comma 12 2 2 4 3 2 2" xfId="10619" xr:uid="{9DAB160C-A886-40F8-8959-2ACDEC20AA71}"/>
    <cellStyle name="Comma 12 2 2 4 3 3" xfId="7970" xr:uid="{107E2A10-2A92-4C66-B8B4-E99C2C5F2C47}"/>
    <cellStyle name="Comma 12 2 2 4 4" xfId="3998" xr:uid="{D5BE93F4-9ADC-4ACA-9142-76A719E4A2B8}"/>
    <cellStyle name="Comma 12 2 2 4 4 2" xfId="9295" xr:uid="{89D55AB2-0529-4507-8E33-F11DA91C03FA}"/>
    <cellStyle name="Comma 12 2 2 4 5" xfId="6646" xr:uid="{6CBB676B-905F-40EC-A740-B9A4DDCFC43D}"/>
    <cellStyle name="Comma 12 2 2 5" xfId="1465" xr:uid="{09B99150-9D65-4C04-8FD5-0C1AC629F65D}"/>
    <cellStyle name="Comma 12 2 2 5 2" xfId="1993" xr:uid="{18533C11-2E1E-40E7-BC3E-010CBDC00C44}"/>
    <cellStyle name="Comma 12 2 2 5 2 2" xfId="3333" xr:uid="{52C81CCE-0696-4642-AD13-2E32075C35B6}"/>
    <cellStyle name="Comma 12 2 2 5 2 2 2" xfId="5982" xr:uid="{065A627C-C9AE-4077-9E04-BC90373DAF58}"/>
    <cellStyle name="Comma 12 2 2 5 2 2 2 2" xfId="11279" xr:uid="{247ECE83-EE65-493F-ADCD-A4AF02601977}"/>
    <cellStyle name="Comma 12 2 2 5 2 2 3" xfId="8630" xr:uid="{B8B85EAF-C7E3-472C-BBB5-6F69E389DBE1}"/>
    <cellStyle name="Comma 12 2 2 5 2 3" xfId="4658" xr:uid="{E31A8331-0279-4FD1-9835-8E55BCBB18FE}"/>
    <cellStyle name="Comma 12 2 2 5 2 3 2" xfId="9955" xr:uid="{0FB2DDC3-D9A7-47C2-B0C5-0DAA4FF52C82}"/>
    <cellStyle name="Comma 12 2 2 5 2 4" xfId="7306" xr:uid="{21B4CB6E-A330-48FC-A684-E554E074BEF3}"/>
    <cellStyle name="Comma 12 2 2 5 3" xfId="2805" xr:uid="{8D95F159-5898-4FAD-BCD5-D0A91D3D628E}"/>
    <cellStyle name="Comma 12 2 2 5 3 2" xfId="5454" xr:uid="{1971E25E-32C2-4D9A-B0AE-614574BE0C9C}"/>
    <cellStyle name="Comma 12 2 2 5 3 2 2" xfId="10751" xr:uid="{57739279-D535-4A5D-8D97-450B23353829}"/>
    <cellStyle name="Comma 12 2 2 5 3 3" xfId="8102" xr:uid="{8D3E7387-EA8A-4BAD-99FB-27D4E388FD8C}"/>
    <cellStyle name="Comma 12 2 2 5 4" xfId="4130" xr:uid="{1593CD72-618E-474E-B99D-90954143D6A6}"/>
    <cellStyle name="Comma 12 2 2 5 4 2" xfId="9427" xr:uid="{1257072A-3C7A-4E6D-B2C0-D4BC270141AB}"/>
    <cellStyle name="Comma 12 2 2 5 5" xfId="6778" xr:uid="{669B64CB-A104-40B5-8344-4CB010BC2F20}"/>
    <cellStyle name="Comma 12 2 2 6" xfId="2279" xr:uid="{048D6F1D-E1E0-4772-9DC1-68302209BC66}"/>
    <cellStyle name="Comma 12 2 2 6 2" xfId="4928" xr:uid="{2926F144-9960-493E-934F-6091C895D1EC}"/>
    <cellStyle name="Comma 12 2 2 6 2 2" xfId="10225" xr:uid="{A9DE0199-54D5-4BC8-8149-E29EF6793664}"/>
    <cellStyle name="Comma 12 2 2 6 3" xfId="7576" xr:uid="{2835A669-1450-4462-8736-421E48A91D44}"/>
    <cellStyle name="Comma 12 2 2 7" xfId="3604" xr:uid="{8AF66141-3BAE-4748-8A11-5C4104B7565E}"/>
    <cellStyle name="Comma 12 2 2 7 2" xfId="8901" xr:uid="{9788534E-815A-4476-B86A-FA92D678814A}"/>
    <cellStyle name="Comma 12 2 2 8" xfId="6252" xr:uid="{ECDCE273-38A6-4F47-B981-742C8BAA6749}"/>
    <cellStyle name="Comma 12 2 3" xfId="809" xr:uid="{D14C11EB-2525-4FD4-A387-73AFC2CD29BA}"/>
    <cellStyle name="Comma 12 2 3 2" xfId="1170" xr:uid="{EA19CD96-30B8-465A-A240-AFE214099625}"/>
    <cellStyle name="Comma 12 2 3 2 2" xfId="1702" xr:uid="{92DF25B7-980D-4E25-8252-030A86BBE4FC}"/>
    <cellStyle name="Comma 12 2 3 2 2 2" xfId="3042" xr:uid="{D4B478E8-2204-4E67-96DF-BB72C1ED93D3}"/>
    <cellStyle name="Comma 12 2 3 2 2 2 2" xfId="5691" xr:uid="{F083A539-E660-4084-92C5-4D74BDDFE4DA}"/>
    <cellStyle name="Comma 12 2 3 2 2 2 2 2" xfId="10988" xr:uid="{9554D66E-2125-4778-9934-CB7B36360BDF}"/>
    <cellStyle name="Comma 12 2 3 2 2 2 3" xfId="8339" xr:uid="{1D9903BA-592C-4C6B-A164-2F862877101F}"/>
    <cellStyle name="Comma 12 2 3 2 2 3" xfId="4367" xr:uid="{BCD3CA3A-24C0-460E-BB46-57B94FE0F0BD}"/>
    <cellStyle name="Comma 12 2 3 2 2 3 2" xfId="9664" xr:uid="{608F5EAF-E677-4A54-A43D-C93E3116B374}"/>
    <cellStyle name="Comma 12 2 3 2 2 4" xfId="7015" xr:uid="{1655D080-19A6-4D5D-B4B7-9B30C173631E}"/>
    <cellStyle name="Comma 12 2 3 2 3" xfId="2514" xr:uid="{D7EE4196-0034-43DD-A275-556238E682E2}"/>
    <cellStyle name="Comma 12 2 3 2 3 2" xfId="5163" xr:uid="{D07F33B5-6409-4A9B-AD53-FF0701E57064}"/>
    <cellStyle name="Comma 12 2 3 2 3 2 2" xfId="10460" xr:uid="{F992F08C-A9F0-4E03-822B-C8AF2C29D162}"/>
    <cellStyle name="Comma 12 2 3 2 3 3" xfId="7811" xr:uid="{AFCCA689-BEF8-4B39-B99C-6413ECBABE15}"/>
    <cellStyle name="Comma 12 2 3 2 4" xfId="3839" xr:uid="{B2C367DB-3919-41D6-91C4-6F5A9FAABB3E}"/>
    <cellStyle name="Comma 12 2 3 2 4 2" xfId="9136" xr:uid="{EF1909A3-7621-49C9-BB2E-2058E953BE72}"/>
    <cellStyle name="Comma 12 2 3 2 5" xfId="6487" xr:uid="{9A3C28ED-5DC7-415E-8F42-3B5A51BC81E8}"/>
    <cellStyle name="Comma 12 2 3 3" xfId="1026" xr:uid="{43664E25-4E69-4E77-AC92-10847A20CB29}"/>
    <cellStyle name="Comma 12 2 3 3 2" xfId="1570" xr:uid="{527BC23E-52EF-4DDA-9FCE-9A633E30074B}"/>
    <cellStyle name="Comma 12 2 3 3 2 2" xfId="2910" xr:uid="{2F2638FC-A6DB-4D93-A9A1-1DE2D41C546D}"/>
    <cellStyle name="Comma 12 2 3 3 2 2 2" xfId="5559" xr:uid="{ECD3E9C9-1C4B-4A6D-B45F-F2AE9D36AB82}"/>
    <cellStyle name="Comma 12 2 3 3 2 2 2 2" xfId="10856" xr:uid="{1C3CDD17-9931-4795-9675-76B19424C0C2}"/>
    <cellStyle name="Comma 12 2 3 3 2 2 3" xfId="8207" xr:uid="{8CDEDD7F-387E-4B19-8D9E-F500FB2DB49D}"/>
    <cellStyle name="Comma 12 2 3 3 2 3" xfId="4235" xr:uid="{647D55CB-0E65-4A4E-ADD0-8EEA2290D74D}"/>
    <cellStyle name="Comma 12 2 3 3 2 3 2" xfId="9532" xr:uid="{D6BB984A-77E8-40C3-BDD0-35D033905F56}"/>
    <cellStyle name="Comma 12 2 3 3 2 4" xfId="6883" xr:uid="{2E818B51-01DB-4B8E-93FC-8473282D11F4}"/>
    <cellStyle name="Comma 12 2 3 3 3" xfId="2382" xr:uid="{B7C7E51E-1EBD-48A5-993A-87676BB4383D}"/>
    <cellStyle name="Comma 12 2 3 3 3 2" xfId="5031" xr:uid="{A3AEE802-93DE-4E71-84CB-6CB9598906BE}"/>
    <cellStyle name="Comma 12 2 3 3 3 2 2" xfId="10328" xr:uid="{F3EF8A93-1867-4F85-9B47-F27912EBC686}"/>
    <cellStyle name="Comma 12 2 3 3 3 3" xfId="7679" xr:uid="{A6EC08B7-CDE3-40AF-9E96-2282CFA67C91}"/>
    <cellStyle name="Comma 12 2 3 3 4" xfId="3707" xr:uid="{5562C33E-DFB6-4553-8245-6F820151E52C}"/>
    <cellStyle name="Comma 12 2 3 3 4 2" xfId="9004" xr:uid="{DC4EFED6-1074-4036-8D16-AC47F7F50739}"/>
    <cellStyle name="Comma 12 2 3 3 5" xfId="6355" xr:uid="{2CE1EFEF-ACDE-4695-9559-AC092CEF7235}"/>
    <cellStyle name="Comma 12 2 3 4" xfId="1306" xr:uid="{45156D6B-3483-4951-8A42-ED39405787E0}"/>
    <cellStyle name="Comma 12 2 3 4 2" xfId="1834" xr:uid="{B736BEA0-B3F6-432F-AAC6-C1E1AF2A0477}"/>
    <cellStyle name="Comma 12 2 3 4 2 2" xfId="3174" xr:uid="{36EAD526-81AB-4C91-A54F-525516DBA54C}"/>
    <cellStyle name="Comma 12 2 3 4 2 2 2" xfId="5823" xr:uid="{D9F719E3-00FE-4E9B-8B65-ACC7433FD393}"/>
    <cellStyle name="Comma 12 2 3 4 2 2 2 2" xfId="11120" xr:uid="{F52DA7F8-0019-4B75-B8A4-66EF1FF82843}"/>
    <cellStyle name="Comma 12 2 3 4 2 2 3" xfId="8471" xr:uid="{35F803F1-D560-459D-BAD8-9D888D9EC282}"/>
    <cellStyle name="Comma 12 2 3 4 2 3" xfId="4499" xr:uid="{AB539E9F-D826-409D-A871-DF0CFEA3B6C9}"/>
    <cellStyle name="Comma 12 2 3 4 2 3 2" xfId="9796" xr:uid="{0C5D6935-2E2C-44A5-9F0B-D4B9446AD4BE}"/>
    <cellStyle name="Comma 12 2 3 4 2 4" xfId="7147" xr:uid="{7DC3F0EC-9D70-4569-9157-40A61E4D30FA}"/>
    <cellStyle name="Comma 12 2 3 4 3" xfId="2646" xr:uid="{197976AF-D17C-4E50-B48E-607AF2EA629F}"/>
    <cellStyle name="Comma 12 2 3 4 3 2" xfId="5295" xr:uid="{CA238E8A-C05C-4E82-A24C-73CB4741C4E0}"/>
    <cellStyle name="Comma 12 2 3 4 3 2 2" xfId="10592" xr:uid="{D4BEEAE6-4BBC-4AA8-9A57-E49ED286DFD8}"/>
    <cellStyle name="Comma 12 2 3 4 3 3" xfId="7943" xr:uid="{A1CC3A08-0BEE-4773-9A09-B752E866C857}"/>
    <cellStyle name="Comma 12 2 3 4 4" xfId="3971" xr:uid="{3CDC3E70-E2CB-49C0-84F0-08F786ECEC8F}"/>
    <cellStyle name="Comma 12 2 3 4 4 2" xfId="9268" xr:uid="{60961307-3A1C-4501-A844-22E22CF614D0}"/>
    <cellStyle name="Comma 12 2 3 4 5" xfId="6619" xr:uid="{9133B6D5-7EDC-4414-8217-FBE9694ACF3A}"/>
    <cellStyle name="Comma 12 2 3 5" xfId="1438" xr:uid="{91E2C1EA-13B7-41A0-B013-EF86D05DB06E}"/>
    <cellStyle name="Comma 12 2 3 5 2" xfId="1966" xr:uid="{AB2BBE9E-F3FF-4F34-892A-89DA8D21BD98}"/>
    <cellStyle name="Comma 12 2 3 5 2 2" xfId="3306" xr:uid="{A2EECC3D-8DAC-4D08-9044-B89F92E10955}"/>
    <cellStyle name="Comma 12 2 3 5 2 2 2" xfId="5955" xr:uid="{0651054F-CDAF-4CB4-9F17-08540ECC80E6}"/>
    <cellStyle name="Comma 12 2 3 5 2 2 2 2" xfId="11252" xr:uid="{B82BA4B8-85E9-457F-ABB9-A99A6F1222EF}"/>
    <cellStyle name="Comma 12 2 3 5 2 2 3" xfId="8603" xr:uid="{52578C8E-16C9-47A8-9CD9-B6BAD2CA992F}"/>
    <cellStyle name="Comma 12 2 3 5 2 3" xfId="4631" xr:uid="{F8A7D4E8-4A8A-434D-8BD1-5467F6709D85}"/>
    <cellStyle name="Comma 12 2 3 5 2 3 2" xfId="9928" xr:uid="{6CC35112-AD52-4DAE-888A-5AC832BA1971}"/>
    <cellStyle name="Comma 12 2 3 5 2 4" xfId="7279" xr:uid="{68D09677-D2D5-41A9-8040-364822CA7144}"/>
    <cellStyle name="Comma 12 2 3 5 3" xfId="2778" xr:uid="{9A6FD172-C89D-459C-9F90-8C0C5CBB510B}"/>
    <cellStyle name="Comma 12 2 3 5 3 2" xfId="5427" xr:uid="{BFA911A1-0293-4A0C-AD12-53F67154EF3D}"/>
    <cellStyle name="Comma 12 2 3 5 3 2 2" xfId="10724" xr:uid="{89F306EA-F48B-4DC0-BBD4-5DC5BC1802D1}"/>
    <cellStyle name="Comma 12 2 3 5 3 3" xfId="8075" xr:uid="{086E0B8D-8F93-434D-AE2E-7D40C8DD60C7}"/>
    <cellStyle name="Comma 12 2 3 5 4" xfId="4103" xr:uid="{B32807CE-9CAE-4441-A230-2875270D7A50}"/>
    <cellStyle name="Comma 12 2 3 5 4 2" xfId="9400" xr:uid="{844612DA-6604-47F1-B470-11E563F99761}"/>
    <cellStyle name="Comma 12 2 3 5 5" xfId="6751" xr:uid="{0CFF305F-F801-4B61-AC26-DF7861649D94}"/>
    <cellStyle name="Comma 12 2 3 6" xfId="2254" xr:uid="{14BA25B0-4924-46D8-860C-641CB0FBD72B}"/>
    <cellStyle name="Comma 12 2 3 6 2" xfId="4903" xr:uid="{CBFA93E1-BE73-4B58-BE94-C56A83449966}"/>
    <cellStyle name="Comma 12 2 3 6 2 2" xfId="10200" xr:uid="{E9783E12-EF17-413F-9A5B-1C1AFC7C43A4}"/>
    <cellStyle name="Comma 12 2 3 6 3" xfId="7551" xr:uid="{B73ED009-9967-4253-8E14-D38069BB373B}"/>
    <cellStyle name="Comma 12 2 3 7" xfId="3579" xr:uid="{1B451AA1-5528-4901-868D-8690C7DA7CCF}"/>
    <cellStyle name="Comma 12 2 3 7 2" xfId="8876" xr:uid="{7CFF189A-4AB3-46FD-A2DB-D2AC7EEA11AC}"/>
    <cellStyle name="Comma 12 2 3 8" xfId="6227" xr:uid="{B04A5571-BB55-4149-8664-16D375877045}"/>
    <cellStyle name="Comma 12 2 4" xfId="1109" xr:uid="{37AB146A-AF22-4B43-B812-4E1DBCFA55E9}"/>
    <cellStyle name="Comma 12 2 4 2" xfId="1643" xr:uid="{5F23AB96-7F6F-4082-92AE-B67A18C9E9BA}"/>
    <cellStyle name="Comma 12 2 4 2 2" xfId="2983" xr:uid="{720E9038-4FE7-4ED9-AA0A-05BBA80D9A44}"/>
    <cellStyle name="Comma 12 2 4 2 2 2" xfId="5632" xr:uid="{7E4522DD-A1D1-48CD-A8A8-AC8E5AEFBE54}"/>
    <cellStyle name="Comma 12 2 4 2 2 2 2" xfId="10929" xr:uid="{7B4A6458-4EDD-410D-84DA-6C59A6A3B070}"/>
    <cellStyle name="Comma 12 2 4 2 2 3" xfId="8280" xr:uid="{8E6191DD-4CCF-4B5C-BDB6-C643B52AECBA}"/>
    <cellStyle name="Comma 12 2 4 2 3" xfId="4308" xr:uid="{17A9F842-5A99-4230-B81D-A6E286BBBDAA}"/>
    <cellStyle name="Comma 12 2 4 2 3 2" xfId="9605" xr:uid="{77F062A5-363D-450F-A865-866FD11A32DE}"/>
    <cellStyle name="Comma 12 2 4 2 4" xfId="6956" xr:uid="{1B97A874-A6E4-4744-8E5E-FE602580C93C}"/>
    <cellStyle name="Comma 12 2 4 3" xfId="2455" xr:uid="{39369196-DCC4-41DD-8F60-CC2B7E1CD901}"/>
    <cellStyle name="Comma 12 2 4 3 2" xfId="5104" xr:uid="{C7BF5C32-407E-4B49-9937-F85FDF7F3666}"/>
    <cellStyle name="Comma 12 2 4 3 2 2" xfId="10401" xr:uid="{745D6FA9-C53C-4334-A50A-3EB6CE244BD4}"/>
    <cellStyle name="Comma 12 2 4 3 3" xfId="7752" xr:uid="{EAE901C2-6019-4E8D-AC9E-5C1A84149908}"/>
    <cellStyle name="Comma 12 2 4 4" xfId="3780" xr:uid="{D1FA5D2C-EDA4-4F89-946C-C26FD1744849}"/>
    <cellStyle name="Comma 12 2 4 4 2" xfId="9077" xr:uid="{509129EB-EE11-455A-8B6E-29D1FBE2DE35}"/>
    <cellStyle name="Comma 12 2 4 5" xfId="6428" xr:uid="{D611838B-6228-4FEC-BB3A-AAF14B307A66}"/>
    <cellStyle name="Comma 12 2 5" xfId="963" xr:uid="{EB34D503-3C4F-4045-A205-43D7F646C7C2}"/>
    <cellStyle name="Comma 12 2 5 2" xfId="1511" xr:uid="{4D27BCE0-657D-4016-9754-C3CE8A41674A}"/>
    <cellStyle name="Comma 12 2 5 2 2" xfId="2851" xr:uid="{B977E27A-212F-4492-BF67-8482A6AE54FB}"/>
    <cellStyle name="Comma 12 2 5 2 2 2" xfId="5500" xr:uid="{919C8209-B5D4-4DD7-964B-900F636BA023}"/>
    <cellStyle name="Comma 12 2 5 2 2 2 2" xfId="10797" xr:uid="{D4C85157-4CE2-4547-BD82-1931DF46B1A9}"/>
    <cellStyle name="Comma 12 2 5 2 2 3" xfId="8148" xr:uid="{A057644A-1064-4BEE-87FB-B78CA2FFEDD5}"/>
    <cellStyle name="Comma 12 2 5 2 3" xfId="4176" xr:uid="{46D43926-6C84-484B-9046-B70DEBF5F703}"/>
    <cellStyle name="Comma 12 2 5 2 3 2" xfId="9473" xr:uid="{96E0544E-A2F4-47F4-90E1-A1D30A419C13}"/>
    <cellStyle name="Comma 12 2 5 2 4" xfId="6824" xr:uid="{58D33C97-148F-48C4-A132-BBF96F20AC35}"/>
    <cellStyle name="Comma 12 2 5 3" xfId="2323" xr:uid="{AB5815B6-F6F6-4E5E-91F3-62F4BBEFB79E}"/>
    <cellStyle name="Comma 12 2 5 3 2" xfId="4972" xr:uid="{DE1D10E1-AFF7-470E-B52C-470A6B20F8E7}"/>
    <cellStyle name="Comma 12 2 5 3 2 2" xfId="10269" xr:uid="{4BEDC445-2D29-4ACF-BD74-7D78D88A00A5}"/>
    <cellStyle name="Comma 12 2 5 3 3" xfId="7620" xr:uid="{39E80083-2CA5-4BC8-A87E-BE3BFF6084E7}"/>
    <cellStyle name="Comma 12 2 5 4" xfId="3648" xr:uid="{E3958C2D-786D-449F-8BA2-E47957C3EE4A}"/>
    <cellStyle name="Comma 12 2 5 4 2" xfId="8945" xr:uid="{8E7201CE-D9AF-48A7-83BC-17F431E549B9}"/>
    <cellStyle name="Comma 12 2 5 5" xfId="6296" xr:uid="{2F19B2C7-6C97-4DEB-BD60-CB73913AD8B5}"/>
    <cellStyle name="Comma 12 2 6" xfId="1247" xr:uid="{38353442-AFE1-452B-9EBD-640E3ED9CE65}"/>
    <cellStyle name="Comma 12 2 6 2" xfId="1775" xr:uid="{51088149-72E0-4A52-9EC3-64C0819B6FE3}"/>
    <cellStyle name="Comma 12 2 6 2 2" xfId="3115" xr:uid="{B17828C6-180A-471B-9B01-902A31959736}"/>
    <cellStyle name="Comma 12 2 6 2 2 2" xfId="5764" xr:uid="{FCD46648-A6E9-4091-87C3-3E4F6BA4F2D5}"/>
    <cellStyle name="Comma 12 2 6 2 2 2 2" xfId="11061" xr:uid="{1CEA0449-46BE-4AE4-BF0C-A1B2FC6A0947}"/>
    <cellStyle name="Comma 12 2 6 2 2 3" xfId="8412" xr:uid="{066D9570-DF04-4F3A-9E40-B60D7FA7B5AE}"/>
    <cellStyle name="Comma 12 2 6 2 3" xfId="4440" xr:uid="{9CE8C020-48E9-43DB-AC47-EE71CFF9E21E}"/>
    <cellStyle name="Comma 12 2 6 2 3 2" xfId="9737" xr:uid="{9ACC7667-BF96-455E-B162-A68671675511}"/>
    <cellStyle name="Comma 12 2 6 2 4" xfId="7088" xr:uid="{901197D5-26F4-4D59-9188-663C53392EC1}"/>
    <cellStyle name="Comma 12 2 6 3" xfId="2587" xr:uid="{F61008C1-672E-4F20-8AD3-D243C04F5CB6}"/>
    <cellStyle name="Comma 12 2 6 3 2" xfId="5236" xr:uid="{81D43D30-AA70-4717-A58A-41E36A19CEF4}"/>
    <cellStyle name="Comma 12 2 6 3 2 2" xfId="10533" xr:uid="{5BBDF7DC-9C4D-45A2-ACBC-5607F2177B01}"/>
    <cellStyle name="Comma 12 2 6 3 3" xfId="7884" xr:uid="{63A30C51-16C7-422E-84D0-D7FC06B003E8}"/>
    <cellStyle name="Comma 12 2 6 4" xfId="3912" xr:uid="{C021AC2A-369E-4C15-A22B-CED6524D7E6D}"/>
    <cellStyle name="Comma 12 2 6 4 2" xfId="9209" xr:uid="{55574710-CEA0-460B-9DD7-84C2AB698290}"/>
    <cellStyle name="Comma 12 2 6 5" xfId="6560" xr:uid="{26741550-25EE-4168-B147-FB16B49F2018}"/>
    <cellStyle name="Comma 12 2 7" xfId="1379" xr:uid="{C8524F07-F594-491F-A559-893EF9F3F7C6}"/>
    <cellStyle name="Comma 12 2 7 2" xfId="1907" xr:uid="{08BDA517-6B7F-4A3F-8B93-1C4D561CA488}"/>
    <cellStyle name="Comma 12 2 7 2 2" xfId="3247" xr:uid="{63BE5F2D-7A72-437C-949D-7E344C905464}"/>
    <cellStyle name="Comma 12 2 7 2 2 2" xfId="5896" xr:uid="{DC315827-18C6-4208-9770-BA86AA7EDE2E}"/>
    <cellStyle name="Comma 12 2 7 2 2 2 2" xfId="11193" xr:uid="{AC4934CA-B404-4D25-8163-098210FE1F53}"/>
    <cellStyle name="Comma 12 2 7 2 2 3" xfId="8544" xr:uid="{06211F2B-EBA1-4712-9D0D-4513BCFEE3E9}"/>
    <cellStyle name="Comma 12 2 7 2 3" xfId="4572" xr:uid="{DBE2C07F-2887-4C84-B36C-B2F0DCC82B0E}"/>
    <cellStyle name="Comma 12 2 7 2 3 2" xfId="9869" xr:uid="{F5697C73-890C-4FBB-B13E-80DBFB69F28B}"/>
    <cellStyle name="Comma 12 2 7 2 4" xfId="7220" xr:uid="{BFA8B2C7-6052-4326-B418-8161AC17F9C6}"/>
    <cellStyle name="Comma 12 2 7 3" xfId="2719" xr:uid="{9B56B835-47E1-429C-8B4F-A9B9D0FFAE5D}"/>
    <cellStyle name="Comma 12 2 7 3 2" xfId="5368" xr:uid="{DED285F9-BAF6-4015-835E-46DD10E9C91D}"/>
    <cellStyle name="Comma 12 2 7 3 2 2" xfId="10665" xr:uid="{9FF6E5C0-139F-4DAF-A0D7-8F08E90A2661}"/>
    <cellStyle name="Comma 12 2 7 3 3" xfId="8016" xr:uid="{CA17A0F3-B2DB-4001-93AA-11FC1EFFB35C}"/>
    <cellStyle name="Comma 12 2 7 4" xfId="4044" xr:uid="{EBD30BDB-82F5-42CA-A06F-31BD5954E862}"/>
    <cellStyle name="Comma 12 2 7 4 2" xfId="9341" xr:uid="{73E9F382-F505-4121-8F48-0702271A9B23}"/>
    <cellStyle name="Comma 12 2 7 5" xfId="6692" xr:uid="{EEC7DD08-7EA1-4AA5-9DF6-1D9BC83807DD}"/>
    <cellStyle name="Comma 12 2 8" xfId="2199" xr:uid="{0C2CB6E1-1D11-438E-8630-16B5D3DE7324}"/>
    <cellStyle name="Comma 12 2 8 2" xfId="4848" xr:uid="{5C8BA2AA-0037-42CC-9E65-CC312A0F5D65}"/>
    <cellStyle name="Comma 12 2 8 2 2" xfId="10145" xr:uid="{3D6FFF8B-618A-42E3-B6DA-BA0AFB902129}"/>
    <cellStyle name="Comma 12 2 8 3" xfId="7496" xr:uid="{D4DFB4FD-A6C6-4AFD-858E-532A85EC2C48}"/>
    <cellStyle name="Comma 12 2 9" xfId="3524" xr:uid="{868DAD45-D12E-4BAA-8195-695D14CD6E66}"/>
    <cellStyle name="Comma 12 2 9 2" xfId="8821" xr:uid="{660F6BD9-C688-4677-BCCE-2F7BB727429F}"/>
    <cellStyle name="Comma 12 3" xfId="1082" xr:uid="{69845556-FF4E-4AE8-9111-B5F75E367972}"/>
    <cellStyle name="Comma 12 3 2" xfId="1620" xr:uid="{326D863E-5F24-4E0D-A894-3F711F6A6197}"/>
    <cellStyle name="Comma 12 3 2 2" xfId="2960" xr:uid="{3C1C810F-B942-4E55-8BE7-4B4FEDE04279}"/>
    <cellStyle name="Comma 12 3 2 2 2" xfId="5609" xr:uid="{A549D100-AE65-42F8-8A55-397D5A1BF346}"/>
    <cellStyle name="Comma 12 3 2 2 2 2" xfId="10906" xr:uid="{89D86C00-74CB-4E0D-ABE0-D505EE8F2EA0}"/>
    <cellStyle name="Comma 12 3 2 2 3" xfId="8257" xr:uid="{D6E42D99-278F-4A49-840F-DA911F31A522}"/>
    <cellStyle name="Comma 12 3 2 3" xfId="4285" xr:uid="{1DE4D86C-96EE-4175-A43A-B4AF21754077}"/>
    <cellStyle name="Comma 12 3 2 3 2" xfId="9582" xr:uid="{D99C22DB-DC8B-4BDB-8853-8759FD751DC0}"/>
    <cellStyle name="Comma 12 3 2 4" xfId="6933" xr:uid="{0D8258FE-4792-421F-8FE7-BF042C18BA97}"/>
    <cellStyle name="Comma 12 3 3" xfId="2432" xr:uid="{264C7173-430C-473B-8764-490E2900D7F6}"/>
    <cellStyle name="Comma 12 3 3 2" xfId="5081" xr:uid="{DA83F519-C458-49A2-A6A6-ECA54E359888}"/>
    <cellStyle name="Comma 12 3 3 2 2" xfId="10378" xr:uid="{70260A53-A836-4BF8-B9C8-870BCE341647}"/>
    <cellStyle name="Comma 12 3 3 3" xfId="7729" xr:uid="{4C3987E2-48B2-49E8-9660-7DA351C76810}"/>
    <cellStyle name="Comma 12 3 4" xfId="3757" xr:uid="{19F2F9CF-D233-4901-AF62-B29A5B2847CB}"/>
    <cellStyle name="Comma 12 3 4 2" xfId="9054" xr:uid="{50B91527-D550-4600-AE59-11FD1A25F171}"/>
    <cellStyle name="Comma 12 3 5" xfId="6405" xr:uid="{8514A434-92D8-4E51-A366-61D9B8882E4D}"/>
    <cellStyle name="Comma 12 4" xfId="935" xr:uid="{4A6E07B6-9FFC-47BC-A642-DED493A34F36}"/>
    <cellStyle name="Comma 12 4 2" xfId="1488" xr:uid="{2A55BF4F-7318-4990-80D7-B245D0C81F12}"/>
    <cellStyle name="Comma 12 4 2 2" xfId="2828" xr:uid="{0CF205E1-F3B6-4B90-BA90-D68155DBEA34}"/>
    <cellStyle name="Comma 12 4 2 2 2" xfId="5477" xr:uid="{57276153-36D6-4D39-85FB-AB0229764951}"/>
    <cellStyle name="Comma 12 4 2 2 2 2" xfId="10774" xr:uid="{F0962C48-0854-4015-9CEC-89012A19E160}"/>
    <cellStyle name="Comma 12 4 2 2 3" xfId="8125" xr:uid="{BCC1FF67-12F5-4221-B98D-D487E68BC92F}"/>
    <cellStyle name="Comma 12 4 2 3" xfId="4153" xr:uid="{FB9182AD-8AD7-4B3F-9ABD-26A6D35D8551}"/>
    <cellStyle name="Comma 12 4 2 3 2" xfId="9450" xr:uid="{E561D599-9045-4EC0-A559-A3758E091002}"/>
    <cellStyle name="Comma 12 4 2 4" xfId="6801" xr:uid="{DE7B9ECE-1D7F-429E-80C9-CBB4DEB6541E}"/>
    <cellStyle name="Comma 12 4 3" xfId="2300" xr:uid="{3B5081A3-10F5-4C35-B3B0-6FAAE42B05CB}"/>
    <cellStyle name="Comma 12 4 3 2" xfId="4949" xr:uid="{C4FFE92B-2963-46D5-8087-0118ED285C7F}"/>
    <cellStyle name="Comma 12 4 3 2 2" xfId="10246" xr:uid="{402E31DA-665F-464B-9E02-37A754F35F03}"/>
    <cellStyle name="Comma 12 4 3 3" xfId="7597" xr:uid="{163B6C6D-87EC-49D2-BDD3-867C35B1916E}"/>
    <cellStyle name="Comma 12 4 4" xfId="3625" xr:uid="{6CC81CBE-24C5-436B-892D-7F4691E97087}"/>
    <cellStyle name="Comma 12 4 4 2" xfId="8922" xr:uid="{5348419F-78FC-49E9-8D4D-48050AB366B0}"/>
    <cellStyle name="Comma 12 4 5" xfId="6273" xr:uid="{5ACEFAB0-4097-4480-A976-B2E4E3ABE42B}"/>
    <cellStyle name="Comma 12 5" xfId="1224" xr:uid="{E150B1D1-0CBF-420B-AF38-E12F1CC8AEFE}"/>
    <cellStyle name="Comma 12 5 2" xfId="1752" xr:uid="{314FA29F-3CF0-4692-A14C-3EC75A62E9D0}"/>
    <cellStyle name="Comma 12 5 2 2" xfId="3092" xr:uid="{5B1232BE-4984-407F-BA55-2532486B7761}"/>
    <cellStyle name="Comma 12 5 2 2 2" xfId="5741" xr:uid="{D95CD583-C793-4A6C-BB64-525E3E14507F}"/>
    <cellStyle name="Comma 12 5 2 2 2 2" xfId="11038" xr:uid="{42E8F6A7-F591-4943-9B09-D49C47C66251}"/>
    <cellStyle name="Comma 12 5 2 2 3" xfId="8389" xr:uid="{7DBD250A-46C7-47E9-BF43-3A5CCE9193C9}"/>
    <cellStyle name="Comma 12 5 2 3" xfId="4417" xr:uid="{02B3A4DA-E251-42F2-BB16-EF6A15E3DC81}"/>
    <cellStyle name="Comma 12 5 2 3 2" xfId="9714" xr:uid="{E3D9866C-01FF-40BB-BA13-97F463D7E9B4}"/>
    <cellStyle name="Comma 12 5 2 4" xfId="7065" xr:uid="{40EF8DB1-76CC-4729-A23F-83F1AF7A1DA6}"/>
    <cellStyle name="Comma 12 5 3" xfId="2564" xr:uid="{0E5EDF11-E247-45BB-9B4C-E87811479B7D}"/>
    <cellStyle name="Comma 12 5 3 2" xfId="5213" xr:uid="{7A0BE62A-FDEC-45DD-A810-B8269448D95C}"/>
    <cellStyle name="Comma 12 5 3 2 2" xfId="10510" xr:uid="{2B8FF229-257B-44A5-B957-C7AB0DC9E0D7}"/>
    <cellStyle name="Comma 12 5 3 3" xfId="7861" xr:uid="{F506C151-AA3E-4593-92A5-46569267FC7F}"/>
    <cellStyle name="Comma 12 5 4" xfId="3889" xr:uid="{D0BC0CC8-6849-4D5A-8EF8-839439F0525D}"/>
    <cellStyle name="Comma 12 5 4 2" xfId="9186" xr:uid="{F71FCA8F-3F30-4C99-941F-3C335002217C}"/>
    <cellStyle name="Comma 12 5 5" xfId="6537" xr:uid="{04F2DE4F-37FB-4CEB-A9F4-03F94F750C60}"/>
    <cellStyle name="Comma 12 6" xfId="1356" xr:uid="{ACC2FC6A-438E-4463-BF0B-A1B80B9D9EA4}"/>
    <cellStyle name="Comma 12 6 2" xfId="1884" xr:uid="{4CD4FD50-3056-4144-AFE4-33A7B91E22D0}"/>
    <cellStyle name="Comma 12 6 2 2" xfId="3224" xr:uid="{A0FB8B47-BE09-4108-A0D3-D46B83D97E52}"/>
    <cellStyle name="Comma 12 6 2 2 2" xfId="5873" xr:uid="{D4F44DF2-899E-4B58-B659-4BA65235936B}"/>
    <cellStyle name="Comma 12 6 2 2 2 2" xfId="11170" xr:uid="{8BA77E57-7F79-40B2-A027-FBC32CE04585}"/>
    <cellStyle name="Comma 12 6 2 2 3" xfId="8521" xr:uid="{C09C2CDE-E586-4631-A4E4-F641F01745C2}"/>
    <cellStyle name="Comma 12 6 2 3" xfId="4549" xr:uid="{FA42B52B-CFB6-4161-BDC8-E7AC944369DC}"/>
    <cellStyle name="Comma 12 6 2 3 2" xfId="9846" xr:uid="{0A484EBF-E7C5-4696-B2B7-E4CEB73F25AD}"/>
    <cellStyle name="Comma 12 6 2 4" xfId="7197" xr:uid="{28FB903B-2C94-41FF-92A8-9C1BBE811DFE}"/>
    <cellStyle name="Comma 12 6 3" xfId="2696" xr:uid="{8E143F86-AF8B-4D85-8359-455BCDEE0AF3}"/>
    <cellStyle name="Comma 12 6 3 2" xfId="5345" xr:uid="{2F38722C-4235-4FAC-9E77-70A1AF77A004}"/>
    <cellStyle name="Comma 12 6 3 2 2" xfId="10642" xr:uid="{97611E63-445D-4B97-AD2C-2E1CCDBF78FB}"/>
    <cellStyle name="Comma 12 6 3 3" xfId="7993" xr:uid="{09B850BA-C8B0-4408-A513-ADE993F87942}"/>
    <cellStyle name="Comma 12 6 4" xfId="4021" xr:uid="{18C6DD00-6898-4C2D-9CD2-2F484442119E}"/>
    <cellStyle name="Comma 12 6 4 2" xfId="9318" xr:uid="{2A3DDD8A-CEAC-4541-99E7-F0E65BF6A7C0}"/>
    <cellStyle name="Comma 12 6 5" xfId="6669" xr:uid="{C4A1C8C3-8610-4AC2-8409-6A9592AC99E0}"/>
    <cellStyle name="Comma 12 7" xfId="2179" xr:uid="{855CF471-63B9-4091-B93C-0463EA68E98A}"/>
    <cellStyle name="Comma 12 7 2" xfId="4828" xr:uid="{03337F14-2CBB-4160-AA23-D71865B25542}"/>
    <cellStyle name="Comma 12 7 2 2" xfId="10125" xr:uid="{FEBF2553-6BA8-4B44-B8FD-E23B791D9D65}"/>
    <cellStyle name="Comma 12 7 3" xfId="7476" xr:uid="{A4E98C8B-27E0-4CE5-9911-7A7C6A673EBB}"/>
    <cellStyle name="Comma 12 8" xfId="3504" xr:uid="{0A31477A-9F1F-4243-A75C-C15FEEB50636}"/>
    <cellStyle name="Comma 12 8 2" xfId="8801" xr:uid="{5E0C45BF-045B-415B-8F83-AC208590A3B5}"/>
    <cellStyle name="Comma 12 9" xfId="6152" xr:uid="{FC72DCFF-4150-48A7-ADB1-F51E0E9A0F1D}"/>
    <cellStyle name="Comma 13" xfId="2" xr:uid="{B188E362-5828-444C-92BB-801144C50A2F}"/>
    <cellStyle name="Comma 13 2" xfId="640" xr:uid="{42A71AF4-037F-4071-9E72-61C324D6D763}"/>
    <cellStyle name="Comma 13 2 10" xfId="6173" xr:uid="{B4A8D671-CE71-4752-B4E5-D14AFC995237}"/>
    <cellStyle name="Comma 13 2 2" xfId="913" xr:uid="{9F539A30-3067-4793-BBAD-51C488898592}"/>
    <cellStyle name="Comma 13 2 2 2" xfId="1202" xr:uid="{B78A31CF-1480-4B56-9CCC-416D02B8EA37}"/>
    <cellStyle name="Comma 13 2 2 2 2" xfId="1730" xr:uid="{EF7E95C5-0D2B-4677-8208-0EF45B6C2F8B}"/>
    <cellStyle name="Comma 13 2 2 2 2 2" xfId="3070" xr:uid="{D294337F-A25A-4A4F-871B-0C129F20074B}"/>
    <cellStyle name="Comma 13 2 2 2 2 2 2" xfId="5719" xr:uid="{B8CA0C5D-5669-416E-97AC-C6C8B3EF381E}"/>
    <cellStyle name="Comma 13 2 2 2 2 2 2 2" xfId="11016" xr:uid="{8B55AED0-DA35-4093-871C-9D52B41A2B90}"/>
    <cellStyle name="Comma 13 2 2 2 2 2 3" xfId="8367" xr:uid="{9E5AFE10-E500-425E-949A-A367EF6F49DB}"/>
    <cellStyle name="Comma 13 2 2 2 2 3" xfId="4395" xr:uid="{4D85F6C7-AF9E-4D75-A8CC-3AB291A8B877}"/>
    <cellStyle name="Comma 13 2 2 2 2 3 2" xfId="9692" xr:uid="{3C739DC6-2389-495E-B906-49677212D489}"/>
    <cellStyle name="Comma 13 2 2 2 2 4" xfId="7043" xr:uid="{53BCD8A3-2474-4B1C-9428-3A80B71B7F49}"/>
    <cellStyle name="Comma 13 2 2 2 3" xfId="2542" xr:uid="{63FF1E12-3889-4AEE-8DE4-F6DD46EDB7B0}"/>
    <cellStyle name="Comma 13 2 2 2 3 2" xfId="5191" xr:uid="{1C0C1D38-1077-4D4D-8974-687ED977ACA9}"/>
    <cellStyle name="Comma 13 2 2 2 3 2 2" xfId="10488" xr:uid="{D95B9DF2-B3E7-4DC5-9EA3-721D3C83E46A}"/>
    <cellStyle name="Comma 13 2 2 2 3 3" xfId="7839" xr:uid="{B9CA9CB8-33DC-4D05-A701-9412590B8A88}"/>
    <cellStyle name="Comma 13 2 2 2 4" xfId="3867" xr:uid="{D597D1B7-8A3B-432D-B166-EDDD1EB02B7B}"/>
    <cellStyle name="Comma 13 2 2 2 4 2" xfId="9164" xr:uid="{A05A4AE0-995C-41E1-86DA-D9B9AA472EE4}"/>
    <cellStyle name="Comma 13 2 2 2 5" xfId="6515" xr:uid="{69AEAAC3-CBBF-4794-AD13-E980422BAE11}"/>
    <cellStyle name="Comma 13 2 2 3" xfId="1059" xr:uid="{F45544A4-6869-45CA-8C7F-2272C09DBD77}"/>
    <cellStyle name="Comma 13 2 2 3 2" xfId="1598" xr:uid="{0D33B2E6-603C-41A9-AC93-F012ECA762D5}"/>
    <cellStyle name="Comma 13 2 2 3 2 2" xfId="2938" xr:uid="{B1F5B358-74A6-4B95-885C-2935F22FDEF5}"/>
    <cellStyle name="Comma 13 2 2 3 2 2 2" xfId="5587" xr:uid="{47925B15-CE9A-4B13-B15C-E011F1FFC716}"/>
    <cellStyle name="Comma 13 2 2 3 2 2 2 2" xfId="10884" xr:uid="{0E8ADF1B-3680-4FF6-BF1D-984D458F5F47}"/>
    <cellStyle name="Comma 13 2 2 3 2 2 3" xfId="8235" xr:uid="{7680AC7A-209D-4F9A-91CF-85B31466E522}"/>
    <cellStyle name="Comma 13 2 2 3 2 3" xfId="4263" xr:uid="{56C3EB75-38EA-4D46-88A7-5F0CCF8581C4}"/>
    <cellStyle name="Comma 13 2 2 3 2 3 2" xfId="9560" xr:uid="{4D79F970-171F-49E8-8231-6F23BE9559FC}"/>
    <cellStyle name="Comma 13 2 2 3 2 4" xfId="6911" xr:uid="{EF847376-9ADE-4D6E-AF04-A6ED17243F87}"/>
    <cellStyle name="Comma 13 2 2 3 3" xfId="2410" xr:uid="{F9D7B714-4DA6-4573-B963-010AD61C5A2E}"/>
    <cellStyle name="Comma 13 2 2 3 3 2" xfId="5059" xr:uid="{0D3DB060-8F72-4CC0-8F5D-F1FB0B97C920}"/>
    <cellStyle name="Comma 13 2 2 3 3 2 2" xfId="10356" xr:uid="{0CC029E7-8112-4B76-A1A8-EFAC6704BEE3}"/>
    <cellStyle name="Comma 13 2 2 3 3 3" xfId="7707" xr:uid="{12C41112-2E4A-4886-91F8-A8EEADE6453E}"/>
    <cellStyle name="Comma 13 2 2 3 4" xfId="3735" xr:uid="{379CBAF8-6752-4A7F-83D0-AAA55BE3BBDF}"/>
    <cellStyle name="Comma 13 2 2 3 4 2" xfId="9032" xr:uid="{719D1A76-BD98-4FBE-A929-FB6C91B48491}"/>
    <cellStyle name="Comma 13 2 2 3 5" xfId="6383" xr:uid="{020A7736-AB6B-4D19-AB7B-7DFF2D1CB0D8}"/>
    <cellStyle name="Comma 13 2 2 4" xfId="1334" xr:uid="{8980E035-783F-420C-A6C0-FE531568509C}"/>
    <cellStyle name="Comma 13 2 2 4 2" xfId="1862" xr:uid="{1C764882-E2C5-4588-A70C-0703473D2D67}"/>
    <cellStyle name="Comma 13 2 2 4 2 2" xfId="3202" xr:uid="{CC83E506-089F-491B-9544-35EF8D351401}"/>
    <cellStyle name="Comma 13 2 2 4 2 2 2" xfId="5851" xr:uid="{F85F8A82-ED55-4442-B68E-D4159B3CFDC3}"/>
    <cellStyle name="Comma 13 2 2 4 2 2 2 2" xfId="11148" xr:uid="{9B0C37BD-FF59-4EB2-9EEC-8265235A099F}"/>
    <cellStyle name="Comma 13 2 2 4 2 2 3" xfId="8499" xr:uid="{77966327-703A-4A0E-ACAB-2B4EEAF96C5D}"/>
    <cellStyle name="Comma 13 2 2 4 2 3" xfId="4527" xr:uid="{5556D8DC-2F3F-4DF3-B757-A9AA427FE409}"/>
    <cellStyle name="Comma 13 2 2 4 2 3 2" xfId="9824" xr:uid="{D59F2E1B-3632-4CEE-9CE5-28C31AA46960}"/>
    <cellStyle name="Comma 13 2 2 4 2 4" xfId="7175" xr:uid="{0E508F95-8CF3-4A22-91F5-3BD90E5E4CD0}"/>
    <cellStyle name="Comma 13 2 2 4 3" xfId="2674" xr:uid="{3B7BB129-22AB-4AF1-B628-A82DB0A1E346}"/>
    <cellStyle name="Comma 13 2 2 4 3 2" xfId="5323" xr:uid="{DB720659-3B7A-410C-919B-AE1D3112D3F9}"/>
    <cellStyle name="Comma 13 2 2 4 3 2 2" xfId="10620" xr:uid="{483C76FF-3FA0-42E4-B6E3-B4A4466AD505}"/>
    <cellStyle name="Comma 13 2 2 4 3 3" xfId="7971" xr:uid="{57044525-9120-4BC2-B84C-BB59D482FB79}"/>
    <cellStyle name="Comma 13 2 2 4 4" xfId="3999" xr:uid="{C635F3D9-5ADA-428B-88A4-8E8460F33521}"/>
    <cellStyle name="Comma 13 2 2 4 4 2" xfId="9296" xr:uid="{81EA45DB-3E44-4450-99CA-EF475A92B6CF}"/>
    <cellStyle name="Comma 13 2 2 4 5" xfId="6647" xr:uid="{B8356B54-9AEB-44E9-8EF1-86E798ED143E}"/>
    <cellStyle name="Comma 13 2 2 5" xfId="1466" xr:uid="{66D922AD-F72F-4FC7-AB52-C1180E43B0E4}"/>
    <cellStyle name="Comma 13 2 2 5 2" xfId="1994" xr:uid="{7C53B7CC-5591-4688-AEBD-4BA69D11E67C}"/>
    <cellStyle name="Comma 13 2 2 5 2 2" xfId="3334" xr:uid="{8ED37F21-408B-458E-9658-B3EFA03C0368}"/>
    <cellStyle name="Comma 13 2 2 5 2 2 2" xfId="5983" xr:uid="{81AFE555-6F6F-4C12-9469-584CBF671392}"/>
    <cellStyle name="Comma 13 2 2 5 2 2 2 2" xfId="11280" xr:uid="{63604F5B-773A-411B-84CE-BFEF5DD65D82}"/>
    <cellStyle name="Comma 13 2 2 5 2 2 3" xfId="8631" xr:uid="{7037326D-B774-4277-AA98-6AE20983032D}"/>
    <cellStyle name="Comma 13 2 2 5 2 3" xfId="4659" xr:uid="{61ED0B19-8FBD-45D8-A93A-076BF3E7CC8F}"/>
    <cellStyle name="Comma 13 2 2 5 2 3 2" xfId="9956" xr:uid="{93C5B4A0-3205-4206-B24A-874446E7C7F8}"/>
    <cellStyle name="Comma 13 2 2 5 2 4" xfId="7307" xr:uid="{6A25401A-A945-40F7-AD9F-34D74ACF2150}"/>
    <cellStyle name="Comma 13 2 2 5 3" xfId="2806" xr:uid="{CF836BAA-E0B4-4702-B62C-9EF192B5498C}"/>
    <cellStyle name="Comma 13 2 2 5 3 2" xfId="5455" xr:uid="{07E78E2A-AB04-4C2E-A133-2F65B5AEAED2}"/>
    <cellStyle name="Comma 13 2 2 5 3 2 2" xfId="10752" xr:uid="{F825753E-8CE8-4AC6-B378-B0653C42AA8D}"/>
    <cellStyle name="Comma 13 2 2 5 3 3" xfId="8103" xr:uid="{29E00118-E69B-44B0-B195-9F0A6E2EBFCE}"/>
    <cellStyle name="Comma 13 2 2 5 4" xfId="4131" xr:uid="{5BB98950-BC7B-402B-B942-8F9EA6D6C835}"/>
    <cellStyle name="Comma 13 2 2 5 4 2" xfId="9428" xr:uid="{9576F165-B808-4AB7-B30E-C78D45B5B1F1}"/>
    <cellStyle name="Comma 13 2 2 5 5" xfId="6779" xr:uid="{D1E5F2C6-3D87-471F-A3A6-C84A2D8B397E}"/>
    <cellStyle name="Comma 13 2 2 6" xfId="2280" xr:uid="{8B24B47E-7438-4C9A-8901-89E92418C508}"/>
    <cellStyle name="Comma 13 2 2 6 2" xfId="4929" xr:uid="{BE40A4FD-0BC3-4F1C-A528-3B14FC61A59C}"/>
    <cellStyle name="Comma 13 2 2 6 2 2" xfId="10226" xr:uid="{43D5D431-FB85-4343-814B-B8066BFA53DF}"/>
    <cellStyle name="Comma 13 2 2 6 3" xfId="7577" xr:uid="{33EA452E-579D-4483-8BDF-4BF8C2222397}"/>
    <cellStyle name="Comma 13 2 2 7" xfId="3605" xr:uid="{D1147289-FA10-4A01-9E52-C5E8189FABC7}"/>
    <cellStyle name="Comma 13 2 2 7 2" xfId="8902" xr:uid="{4D859982-5F4F-4A03-9D65-6F697CF18C51}"/>
    <cellStyle name="Comma 13 2 2 8" xfId="6253" xr:uid="{7F0CAE4A-50D7-4978-84D2-B6C880BAED6A}"/>
    <cellStyle name="Comma 13 2 3" xfId="810" xr:uid="{16915E49-8B4D-42CC-8C83-8C31CBD47F2C}"/>
    <cellStyle name="Comma 13 2 3 2" xfId="1171" xr:uid="{1321B42F-66B3-4484-BDE0-4332543E5A88}"/>
    <cellStyle name="Comma 13 2 3 2 2" xfId="1703" xr:uid="{0F7434D2-CD3A-4A0E-8C97-6DC2F79DC190}"/>
    <cellStyle name="Comma 13 2 3 2 2 2" xfId="3043" xr:uid="{7FECCF1A-C527-4D8C-A0F3-7824A69BBB28}"/>
    <cellStyle name="Comma 13 2 3 2 2 2 2" xfId="5692" xr:uid="{58036DE7-D1C4-45B5-BCE2-916BEC6D06E8}"/>
    <cellStyle name="Comma 13 2 3 2 2 2 2 2" xfId="10989" xr:uid="{5E217D3A-8F08-4405-B50C-2315356D1E4D}"/>
    <cellStyle name="Comma 13 2 3 2 2 2 3" xfId="8340" xr:uid="{C42D94B9-24C5-497C-8973-ACD39D218BF6}"/>
    <cellStyle name="Comma 13 2 3 2 2 3" xfId="4368" xr:uid="{D996E51F-8D94-41E2-930F-410E288C0158}"/>
    <cellStyle name="Comma 13 2 3 2 2 3 2" xfId="9665" xr:uid="{C3EADCDF-0365-479E-97D3-61488DC647A4}"/>
    <cellStyle name="Comma 13 2 3 2 2 4" xfId="7016" xr:uid="{2EC5DC37-A4D0-43D2-8801-C9CD7F8F40F5}"/>
    <cellStyle name="Comma 13 2 3 2 3" xfId="2515" xr:uid="{4DFA7717-30A6-486C-840A-33821E8E634B}"/>
    <cellStyle name="Comma 13 2 3 2 3 2" xfId="5164" xr:uid="{DD0C9396-A2DD-48AA-B9EB-E4A339A96569}"/>
    <cellStyle name="Comma 13 2 3 2 3 2 2" xfId="10461" xr:uid="{AB8E6832-663B-4741-AA9A-281A540A1F4C}"/>
    <cellStyle name="Comma 13 2 3 2 3 3" xfId="7812" xr:uid="{3E602F89-18A0-4CE3-8307-280C256B560D}"/>
    <cellStyle name="Comma 13 2 3 2 4" xfId="3840" xr:uid="{DE7CF3FC-FE10-4407-B396-63CD073C08D3}"/>
    <cellStyle name="Comma 13 2 3 2 4 2" xfId="9137" xr:uid="{29B1A6B0-CD40-4B1C-ACAD-A1781315838B}"/>
    <cellStyle name="Comma 13 2 3 2 5" xfId="6488" xr:uid="{F69900A1-5333-4F65-AA8B-E37BE7C74DD0}"/>
    <cellStyle name="Comma 13 2 3 3" xfId="1027" xr:uid="{5C69678D-546D-4919-9BCC-7C8FECF40898}"/>
    <cellStyle name="Comma 13 2 3 3 2" xfId="1571" xr:uid="{F34D0BBB-7C9D-4717-A0B3-D0FFD9E2A4AF}"/>
    <cellStyle name="Comma 13 2 3 3 2 2" xfId="2911" xr:uid="{3F6EC748-7351-49FF-AD08-920F75B667FA}"/>
    <cellStyle name="Comma 13 2 3 3 2 2 2" xfId="5560" xr:uid="{EFBB6605-B5C4-4CAF-BFF6-8D21FBE4D61F}"/>
    <cellStyle name="Comma 13 2 3 3 2 2 2 2" xfId="10857" xr:uid="{C1E68FB6-E8CA-4B08-B324-C2D0E8BB4779}"/>
    <cellStyle name="Comma 13 2 3 3 2 2 3" xfId="8208" xr:uid="{54AFD133-CA49-4981-A05B-633D1E78ED32}"/>
    <cellStyle name="Comma 13 2 3 3 2 3" xfId="4236" xr:uid="{EC3CB1D4-2597-4F69-949D-26DC0CEA976C}"/>
    <cellStyle name="Comma 13 2 3 3 2 3 2" xfId="9533" xr:uid="{2B6CB938-6248-4719-8DFD-97642AAB3242}"/>
    <cellStyle name="Comma 13 2 3 3 2 4" xfId="6884" xr:uid="{027B8279-4071-47EA-883A-FE71BF72E419}"/>
    <cellStyle name="Comma 13 2 3 3 3" xfId="2383" xr:uid="{DECC6AA0-DBC1-4DE8-8EF8-EBB2A1DCAFC9}"/>
    <cellStyle name="Comma 13 2 3 3 3 2" xfId="5032" xr:uid="{ABA5895C-3B4E-4DFF-AB03-1AD11CBE35D8}"/>
    <cellStyle name="Comma 13 2 3 3 3 2 2" xfId="10329" xr:uid="{D016B410-C3C8-473D-A0D1-648496E6B223}"/>
    <cellStyle name="Comma 13 2 3 3 3 3" xfId="7680" xr:uid="{C3D02E43-58FF-465C-B31B-A613E3D031CA}"/>
    <cellStyle name="Comma 13 2 3 3 4" xfId="3708" xr:uid="{77133A73-B372-43DA-B4D7-5077F17B49B9}"/>
    <cellStyle name="Comma 13 2 3 3 4 2" xfId="9005" xr:uid="{E5BEAFC5-9A21-4FF0-8CC1-C0C7DA42B939}"/>
    <cellStyle name="Comma 13 2 3 3 5" xfId="6356" xr:uid="{94EEF2EF-0A54-4314-94D3-A3F092EF5DED}"/>
    <cellStyle name="Comma 13 2 3 4" xfId="1307" xr:uid="{C8BC0B67-8FF1-463A-8767-2BF5AD3A3A5F}"/>
    <cellStyle name="Comma 13 2 3 4 2" xfId="1835" xr:uid="{834F720F-D2B9-4321-BA73-88B5404739AC}"/>
    <cellStyle name="Comma 13 2 3 4 2 2" xfId="3175" xr:uid="{7855728D-48B2-44EA-8EC0-427ABB4A7C38}"/>
    <cellStyle name="Comma 13 2 3 4 2 2 2" xfId="5824" xr:uid="{13D7E46A-A837-433C-8ACA-78CAA6D5F0B9}"/>
    <cellStyle name="Comma 13 2 3 4 2 2 2 2" xfId="11121" xr:uid="{445DDDD5-CC15-4BEA-B4A2-1AF49D52C616}"/>
    <cellStyle name="Comma 13 2 3 4 2 2 3" xfId="8472" xr:uid="{3D6FD7B8-ED88-40D4-8DDF-7D5C48E653A0}"/>
    <cellStyle name="Comma 13 2 3 4 2 3" xfId="4500" xr:uid="{08E19F24-AAF5-4AE9-900B-31EA652A1158}"/>
    <cellStyle name="Comma 13 2 3 4 2 3 2" xfId="9797" xr:uid="{04F81EBC-C062-4BAA-BE64-DC32FF9BB698}"/>
    <cellStyle name="Comma 13 2 3 4 2 4" xfId="7148" xr:uid="{86AAE8C1-47D4-4514-902A-5C0DA3BD3937}"/>
    <cellStyle name="Comma 13 2 3 4 3" xfId="2647" xr:uid="{FF8F2077-74E6-48BF-BFE7-4F19AF8C560C}"/>
    <cellStyle name="Comma 13 2 3 4 3 2" xfId="5296" xr:uid="{EC834CB1-30B1-48DF-B692-0B3E51907C02}"/>
    <cellStyle name="Comma 13 2 3 4 3 2 2" xfId="10593" xr:uid="{532F70E3-BB66-4120-AA10-E6DC0E83BC06}"/>
    <cellStyle name="Comma 13 2 3 4 3 3" xfId="7944" xr:uid="{6D0B01E9-3687-417C-AAD3-E7BD37942427}"/>
    <cellStyle name="Comma 13 2 3 4 4" xfId="3972" xr:uid="{62AEA515-D2E7-4B6E-A545-94FF74879684}"/>
    <cellStyle name="Comma 13 2 3 4 4 2" xfId="9269" xr:uid="{9C0ED5CC-A0C4-4A9C-AE17-A321DD25D6D4}"/>
    <cellStyle name="Comma 13 2 3 4 5" xfId="6620" xr:uid="{091AA5DB-8A2A-4AFC-8F38-EE04BE445215}"/>
    <cellStyle name="Comma 13 2 3 5" xfId="1439" xr:uid="{3FCC5E59-2C3C-4C74-A564-25A4A17FB3CB}"/>
    <cellStyle name="Comma 13 2 3 5 2" xfId="1967" xr:uid="{6966A2F3-E68E-4DB9-8312-82C07A62A5B8}"/>
    <cellStyle name="Comma 13 2 3 5 2 2" xfId="3307" xr:uid="{21C070C6-7D4C-4597-8589-109747FCF71F}"/>
    <cellStyle name="Comma 13 2 3 5 2 2 2" xfId="5956" xr:uid="{557D9789-EC32-4EAE-A87A-C779D8E8A538}"/>
    <cellStyle name="Comma 13 2 3 5 2 2 2 2" xfId="11253" xr:uid="{D251008B-5E53-48D4-826D-17DAFD42BD02}"/>
    <cellStyle name="Comma 13 2 3 5 2 2 3" xfId="8604" xr:uid="{FFF0ED13-BC83-44FA-9A26-B2B2B25BD7D0}"/>
    <cellStyle name="Comma 13 2 3 5 2 3" xfId="4632" xr:uid="{513AD1EF-2071-4A85-86C3-EA103C487F20}"/>
    <cellStyle name="Comma 13 2 3 5 2 3 2" xfId="9929" xr:uid="{E561C68C-2B89-4AF5-8FEF-3AA6930E90B2}"/>
    <cellStyle name="Comma 13 2 3 5 2 4" xfId="7280" xr:uid="{D0B092A1-D61B-46A0-A4E7-B2C2F8CA7750}"/>
    <cellStyle name="Comma 13 2 3 5 3" xfId="2779" xr:uid="{395A58A7-BEA7-4175-9471-CFC79D33B1DF}"/>
    <cellStyle name="Comma 13 2 3 5 3 2" xfId="5428" xr:uid="{F3E16090-ACB8-4B5F-A22F-E14BDB23E918}"/>
    <cellStyle name="Comma 13 2 3 5 3 2 2" xfId="10725" xr:uid="{AB7F0870-FA6D-4FC9-B7E6-6525EFF456B4}"/>
    <cellStyle name="Comma 13 2 3 5 3 3" xfId="8076" xr:uid="{CC048C1B-233F-4E5C-A0B6-5D8A10AD566A}"/>
    <cellStyle name="Comma 13 2 3 5 4" xfId="4104" xr:uid="{D0AFD9F8-8E21-459C-8FA7-2FB1B7A17920}"/>
    <cellStyle name="Comma 13 2 3 5 4 2" xfId="9401" xr:uid="{49898214-6FD7-4ECA-97FA-71326B514343}"/>
    <cellStyle name="Comma 13 2 3 5 5" xfId="6752" xr:uid="{0EA2C3FC-B764-4122-B8B4-46685F642EB2}"/>
    <cellStyle name="Comma 13 2 3 6" xfId="2255" xr:uid="{2056CF60-DB5C-413B-B58B-F1C5E7B61E53}"/>
    <cellStyle name="Comma 13 2 3 6 2" xfId="4904" xr:uid="{405C4469-1F46-4E9C-831C-C6E3BAE8620F}"/>
    <cellStyle name="Comma 13 2 3 6 2 2" xfId="10201" xr:uid="{B23B50B8-595A-4253-94C4-BDEB84EBC10F}"/>
    <cellStyle name="Comma 13 2 3 6 3" xfId="7552" xr:uid="{7E27FE6D-0420-49EE-915F-7A99E7D9BF62}"/>
    <cellStyle name="Comma 13 2 3 7" xfId="3580" xr:uid="{CA5AD38E-75C7-454F-844B-AE2D6B099BB1}"/>
    <cellStyle name="Comma 13 2 3 7 2" xfId="8877" xr:uid="{28DB27A7-A300-429C-A90F-BBDBCFA5114F}"/>
    <cellStyle name="Comma 13 2 3 8" xfId="6228" xr:uid="{F10D937F-A72C-47E5-95BD-344C3DEE87FE}"/>
    <cellStyle name="Comma 13 2 4" xfId="1110" xr:uid="{0BDABA97-172F-4C92-97F6-2AD64C5B335D}"/>
    <cellStyle name="Comma 13 2 4 2" xfId="1644" xr:uid="{36FC15C7-79BF-41FA-80B0-B8F4263D5F9A}"/>
    <cellStyle name="Comma 13 2 4 2 2" xfId="2984" xr:uid="{1DA602F2-0970-4E88-8A72-DD5D1AFD51C3}"/>
    <cellStyle name="Comma 13 2 4 2 2 2" xfId="5633" xr:uid="{E5E3B592-21F9-403F-9615-6DC8E5ED8A8F}"/>
    <cellStyle name="Comma 13 2 4 2 2 2 2" xfId="10930" xr:uid="{1781C2D7-8AD1-4D16-8384-B686A34E0429}"/>
    <cellStyle name="Comma 13 2 4 2 2 3" xfId="8281" xr:uid="{AC2DF9F4-C1DB-4FF6-9401-7ACCEA18272E}"/>
    <cellStyle name="Comma 13 2 4 2 3" xfId="4309" xr:uid="{A97B2C09-BF86-4A75-81BC-AFB7019BEBD3}"/>
    <cellStyle name="Comma 13 2 4 2 3 2" xfId="9606" xr:uid="{7BBCB515-6FB4-43CE-BB37-E0B8C06AEE3C}"/>
    <cellStyle name="Comma 13 2 4 2 4" xfId="6957" xr:uid="{21EE45D3-F068-43EB-8A93-93C974C1FC25}"/>
    <cellStyle name="Comma 13 2 4 3" xfId="2456" xr:uid="{CC4C5CE9-9D1A-4E80-918E-56E262ADBEED}"/>
    <cellStyle name="Comma 13 2 4 3 2" xfId="5105" xr:uid="{BB237C24-1116-4997-A85A-95C42AB860E8}"/>
    <cellStyle name="Comma 13 2 4 3 2 2" xfId="10402" xr:uid="{7D2AA9D5-9CC4-420F-A4CE-2F38616DAEE8}"/>
    <cellStyle name="Comma 13 2 4 3 3" xfId="7753" xr:uid="{2713BAFA-999C-4B87-AF2F-E57D3F92A06F}"/>
    <cellStyle name="Comma 13 2 4 4" xfId="3781" xr:uid="{4D81B65A-F476-469D-97FE-C38ADB31B165}"/>
    <cellStyle name="Comma 13 2 4 4 2" xfId="9078" xr:uid="{DC89059F-9041-4AE5-99FC-FAB4584807E8}"/>
    <cellStyle name="Comma 13 2 4 5" xfId="6429" xr:uid="{7D392361-3930-4A69-A3AC-AE80813B7D96}"/>
    <cellStyle name="Comma 13 2 5" xfId="964" xr:uid="{0E1160B3-0CDF-458A-B831-F680A5AD0292}"/>
    <cellStyle name="Comma 13 2 5 2" xfId="1512" xr:uid="{C9419B84-0D97-4BA9-9D92-C62A49C65F6D}"/>
    <cellStyle name="Comma 13 2 5 2 2" xfId="2852" xr:uid="{9D41110F-3564-471C-ADF1-A019A8C38FB9}"/>
    <cellStyle name="Comma 13 2 5 2 2 2" xfId="5501" xr:uid="{C13B4D42-11C6-4644-8CBF-481EF858505A}"/>
    <cellStyle name="Comma 13 2 5 2 2 2 2" xfId="10798" xr:uid="{6E56DA5C-E2AF-405E-93EC-3E0ABEB5FE13}"/>
    <cellStyle name="Comma 13 2 5 2 2 3" xfId="8149" xr:uid="{E766DEC8-A82C-4973-9A60-CE81D2A3B33D}"/>
    <cellStyle name="Comma 13 2 5 2 3" xfId="4177" xr:uid="{68482CB5-FD88-4EBB-BB36-5C40E8709ADC}"/>
    <cellStyle name="Comma 13 2 5 2 3 2" xfId="9474" xr:uid="{A6396B38-11E2-4F28-9F9E-193BF834E06A}"/>
    <cellStyle name="Comma 13 2 5 2 4" xfId="6825" xr:uid="{E527F8DC-D1C8-45B8-AC30-2445F4F192F6}"/>
    <cellStyle name="Comma 13 2 5 3" xfId="2324" xr:uid="{A1FC5E42-1D1F-4421-8631-B145687C8555}"/>
    <cellStyle name="Comma 13 2 5 3 2" xfId="4973" xr:uid="{300A84C4-88B4-4718-BDE0-1317F29B2C97}"/>
    <cellStyle name="Comma 13 2 5 3 2 2" xfId="10270" xr:uid="{C32F0B47-980D-457B-9839-C0F5287ADD47}"/>
    <cellStyle name="Comma 13 2 5 3 3" xfId="7621" xr:uid="{312F656F-8AE0-43A4-855A-162F43C18BF0}"/>
    <cellStyle name="Comma 13 2 5 4" xfId="3649" xr:uid="{36210086-AC8A-4D53-8898-5B450FF5A97B}"/>
    <cellStyle name="Comma 13 2 5 4 2" xfId="8946" xr:uid="{45638227-0A31-4F7A-B1D5-D89504355A98}"/>
    <cellStyle name="Comma 13 2 5 5" xfId="6297" xr:uid="{05715663-F982-4940-BD60-BD6E1FD9981F}"/>
    <cellStyle name="Comma 13 2 6" xfId="1248" xr:uid="{D22F54F9-10BB-44E2-A59E-3C46D21CCA6E}"/>
    <cellStyle name="Comma 13 2 6 2" xfId="1776" xr:uid="{A2C7CDCB-3E9E-4D0D-BED4-C9F9D9B521C6}"/>
    <cellStyle name="Comma 13 2 6 2 2" xfId="3116" xr:uid="{52B0AF35-B46F-47C2-97E9-F7D4EEA55A9F}"/>
    <cellStyle name="Comma 13 2 6 2 2 2" xfId="5765" xr:uid="{638B5BC1-5958-427D-AE34-4E7B4729FE8D}"/>
    <cellStyle name="Comma 13 2 6 2 2 2 2" xfId="11062" xr:uid="{293D5DCF-7713-4CE5-A0DD-89A13DEE55FE}"/>
    <cellStyle name="Comma 13 2 6 2 2 3" xfId="8413" xr:uid="{DB62EAD5-228A-42D3-9071-3082E7821F8C}"/>
    <cellStyle name="Comma 13 2 6 2 3" xfId="4441" xr:uid="{F7957441-3F44-4B89-B23D-1E1A931CDA84}"/>
    <cellStyle name="Comma 13 2 6 2 3 2" xfId="9738" xr:uid="{91E2AA94-1E6A-4F2D-9997-8CE3EB2E3A86}"/>
    <cellStyle name="Comma 13 2 6 2 4" xfId="7089" xr:uid="{10128A52-620D-413A-8F61-FEF6F871C726}"/>
    <cellStyle name="Comma 13 2 6 3" xfId="2588" xr:uid="{A21170CC-7568-4487-A601-8545D77ACB24}"/>
    <cellStyle name="Comma 13 2 6 3 2" xfId="5237" xr:uid="{3CE3B5E7-0955-431C-9110-119ABBD3647A}"/>
    <cellStyle name="Comma 13 2 6 3 2 2" xfId="10534" xr:uid="{7B368784-5BFD-4C33-9588-2493B72BCDCD}"/>
    <cellStyle name="Comma 13 2 6 3 3" xfId="7885" xr:uid="{3F9F9B5B-070E-4814-9A24-6F7D930C62C7}"/>
    <cellStyle name="Comma 13 2 6 4" xfId="3913" xr:uid="{CF24D192-B6A7-490C-8962-93E1DF057786}"/>
    <cellStyle name="Comma 13 2 6 4 2" xfId="9210" xr:uid="{54119A49-1958-455B-917A-DDC3126A6FBE}"/>
    <cellStyle name="Comma 13 2 6 5" xfId="6561" xr:uid="{0F5C79BF-514C-4266-A661-66923E8BB86A}"/>
    <cellStyle name="Comma 13 2 7" xfId="1380" xr:uid="{83534F07-6FD4-465D-B0DA-9612F6306BAF}"/>
    <cellStyle name="Comma 13 2 7 2" xfId="1908" xr:uid="{E230EADD-3E11-4A35-8D29-FE85F920FF31}"/>
    <cellStyle name="Comma 13 2 7 2 2" xfId="3248" xr:uid="{4446A970-7B64-4DF2-BF34-F582AF59391F}"/>
    <cellStyle name="Comma 13 2 7 2 2 2" xfId="5897" xr:uid="{4141A1A0-26A5-45D0-ADA1-F80E5F31F2BC}"/>
    <cellStyle name="Comma 13 2 7 2 2 2 2" xfId="11194" xr:uid="{65AC51E3-E7D2-4364-AD59-EDFEA7FEC12D}"/>
    <cellStyle name="Comma 13 2 7 2 2 3" xfId="8545" xr:uid="{193068B8-2521-4688-BC7E-014F12105702}"/>
    <cellStyle name="Comma 13 2 7 2 3" xfId="4573" xr:uid="{488047CA-685F-4887-AC09-D705F59AEE03}"/>
    <cellStyle name="Comma 13 2 7 2 3 2" xfId="9870" xr:uid="{EA5D3F4B-78F0-4CBC-9723-7B0C03596FE6}"/>
    <cellStyle name="Comma 13 2 7 2 4" xfId="7221" xr:uid="{481D4948-C4EC-4784-8094-30D0EF5CC506}"/>
    <cellStyle name="Comma 13 2 7 3" xfId="2720" xr:uid="{FA81BCEE-5806-4E33-9447-04BE3824298D}"/>
    <cellStyle name="Comma 13 2 7 3 2" xfId="5369" xr:uid="{9ECD9136-DBB5-4AC3-BD2D-8EB5C26E8EA1}"/>
    <cellStyle name="Comma 13 2 7 3 2 2" xfId="10666" xr:uid="{8E301881-2B3B-41B1-AC12-274BE676581C}"/>
    <cellStyle name="Comma 13 2 7 3 3" xfId="8017" xr:uid="{71D77EFB-67DD-4AF5-AA38-BB1F0E651AB9}"/>
    <cellStyle name="Comma 13 2 7 4" xfId="4045" xr:uid="{81FE21E9-0688-4E41-87A3-724BAC2517AD}"/>
    <cellStyle name="Comma 13 2 7 4 2" xfId="9342" xr:uid="{F26C021E-3D6B-498D-81F5-8C2D4FD80CCB}"/>
    <cellStyle name="Comma 13 2 7 5" xfId="6693" xr:uid="{F19AFC88-AB17-495E-9C87-C54BFD79AD7C}"/>
    <cellStyle name="Comma 13 2 8" xfId="2200" xr:uid="{1AFE048B-7D8F-4667-8C40-E63405F91601}"/>
    <cellStyle name="Comma 13 2 8 2" xfId="4849" xr:uid="{8A143E66-0C52-4C6F-B478-4D4A1F511D00}"/>
    <cellStyle name="Comma 13 2 8 2 2" xfId="10146" xr:uid="{395C4AF9-7103-43E2-949D-CDCA59AACD0E}"/>
    <cellStyle name="Comma 13 2 8 3" xfId="7497" xr:uid="{8C40CEFC-68B9-4248-B98F-62A5DFD1E157}"/>
    <cellStyle name="Comma 13 2 9" xfId="3525" xr:uid="{ABE3E9E0-C271-4448-BBE0-80080D552D62}"/>
    <cellStyle name="Comma 13 2 9 2" xfId="8822" xr:uid="{247DD1ED-68F6-40F0-AFBF-570F0AB747EC}"/>
    <cellStyle name="Comma 13 3" xfId="845" xr:uid="{573E2541-7D7A-4C55-8947-E825E25DAFD1}"/>
    <cellStyle name="Comma 13 3 2" xfId="1179" xr:uid="{55EBC6B1-2647-4D98-ADBE-BF05FFB02A3A}"/>
    <cellStyle name="Comma 13 3 2 2" xfId="1710" xr:uid="{CC4AC712-A64F-4102-8ABD-FACBA5525695}"/>
    <cellStyle name="Comma 13 3 2 2 2" xfId="3050" xr:uid="{9F901F83-DE52-4252-B7B8-042C07D1AEB5}"/>
    <cellStyle name="Comma 13 3 2 2 2 2" xfId="5699" xr:uid="{D59CA70E-96C6-41F1-9850-4303B7AA7B70}"/>
    <cellStyle name="Comma 13 3 2 2 2 2 2" xfId="10996" xr:uid="{0D9EBFBC-1195-4317-8954-16E98501361C}"/>
    <cellStyle name="Comma 13 3 2 2 2 3" xfId="8347" xr:uid="{202AD03D-72B9-4946-9C3E-683BCCA50B0C}"/>
    <cellStyle name="Comma 13 3 2 2 3" xfId="4375" xr:uid="{A0414165-C041-42D0-A712-2B1451674246}"/>
    <cellStyle name="Comma 13 3 2 2 3 2" xfId="9672" xr:uid="{1D04E6B5-F41E-4EBF-A838-09EF56F71C41}"/>
    <cellStyle name="Comma 13 3 2 2 4" xfId="7023" xr:uid="{63CFC82D-73A3-43E9-A1CC-8B613CA5B46F}"/>
    <cellStyle name="Comma 13 3 2 3" xfId="2522" xr:uid="{1E2CE9E7-1BF7-40FD-8A36-9023D38257D2}"/>
    <cellStyle name="Comma 13 3 2 3 2" xfId="5171" xr:uid="{3231E75E-DF63-4808-81A4-2396160386EA}"/>
    <cellStyle name="Comma 13 3 2 3 2 2" xfId="10468" xr:uid="{BA41A0FB-F141-4802-8846-FF19CE935372}"/>
    <cellStyle name="Comma 13 3 2 3 3" xfId="7819" xr:uid="{8A11E690-5B9B-43FA-BF75-04E735053F60}"/>
    <cellStyle name="Comma 13 3 2 4" xfId="3847" xr:uid="{6829CABF-3793-4340-A239-0F297922AB50}"/>
    <cellStyle name="Comma 13 3 2 4 2" xfId="9144" xr:uid="{2C44276A-D783-4C2D-941F-A894BDB1E510}"/>
    <cellStyle name="Comma 13 3 2 5" xfId="6495" xr:uid="{E334641D-6365-4DB2-AE8C-C3CAFFDC7CC0}"/>
    <cellStyle name="Comma 13 3 3" xfId="1035" xr:uid="{37B16E6A-729B-4B81-B8D2-7A004D351B02}"/>
    <cellStyle name="Comma 13 3 3 2" xfId="1578" xr:uid="{08159CE8-0F51-4313-885E-06FA07BC1646}"/>
    <cellStyle name="Comma 13 3 3 2 2" xfId="2918" xr:uid="{7BD7B673-BF29-49B5-ACE4-069BF82FF7A2}"/>
    <cellStyle name="Comma 13 3 3 2 2 2" xfId="5567" xr:uid="{6B52BAD2-8674-4EA7-9327-463066A07AFF}"/>
    <cellStyle name="Comma 13 3 3 2 2 2 2" xfId="10864" xr:uid="{5F427F38-1DF1-428E-A896-0C87393D93DA}"/>
    <cellStyle name="Comma 13 3 3 2 2 3" xfId="8215" xr:uid="{802A059D-1B2F-4EBD-A589-BE6A7E0E5BAA}"/>
    <cellStyle name="Comma 13 3 3 2 3" xfId="4243" xr:uid="{9979B7F6-B6A5-4141-B670-4A4E02704007}"/>
    <cellStyle name="Comma 13 3 3 2 3 2" xfId="9540" xr:uid="{702E57F0-44FC-467C-8D48-ED584FD2AF85}"/>
    <cellStyle name="Comma 13 3 3 2 4" xfId="6891" xr:uid="{F953F62A-B9F2-4BEA-9CD6-1692E2972A89}"/>
    <cellStyle name="Comma 13 3 3 3" xfId="2390" xr:uid="{D5331BE1-9181-493D-8C8C-0225BCF97E6C}"/>
    <cellStyle name="Comma 13 3 3 3 2" xfId="5039" xr:uid="{EADB3962-8797-42AC-AE9B-B0A04CD4A366}"/>
    <cellStyle name="Comma 13 3 3 3 2 2" xfId="10336" xr:uid="{49068C7A-910C-4AB1-AFBC-F37EF61AB4F1}"/>
    <cellStyle name="Comma 13 3 3 3 3" xfId="7687" xr:uid="{EF22C884-4AF2-43EC-ABBA-4ACF4DE98D4B}"/>
    <cellStyle name="Comma 13 3 3 4" xfId="3715" xr:uid="{4A353BD5-E383-4A61-B5DF-21641B028A73}"/>
    <cellStyle name="Comma 13 3 3 4 2" xfId="9012" xr:uid="{87345E77-1572-4106-9BFD-81C639E3C5EE}"/>
    <cellStyle name="Comma 13 3 3 5" xfId="6363" xr:uid="{BC468CF8-BB4F-4B97-A9E6-1BBC914D68F7}"/>
    <cellStyle name="Comma 13 3 4" xfId="1314" xr:uid="{A388D0A8-298E-47B3-BEA7-09CF24AE707C}"/>
    <cellStyle name="Comma 13 3 4 2" xfId="1842" xr:uid="{5CCF0592-F580-49DF-AD89-7700017E4481}"/>
    <cellStyle name="Comma 13 3 4 2 2" xfId="3182" xr:uid="{8328B2BB-7B42-41FC-B425-6FD08221EA15}"/>
    <cellStyle name="Comma 13 3 4 2 2 2" xfId="5831" xr:uid="{CB5047AC-9F55-4C88-A08B-62AAC8FE6FE1}"/>
    <cellStyle name="Comma 13 3 4 2 2 2 2" xfId="11128" xr:uid="{5975C2B7-D40A-4A29-B753-FF6F5069D21C}"/>
    <cellStyle name="Comma 13 3 4 2 2 3" xfId="8479" xr:uid="{5A486D37-1968-483E-9433-73B218803CCC}"/>
    <cellStyle name="Comma 13 3 4 2 3" xfId="4507" xr:uid="{B67B53D4-5028-4DF4-826E-C9D5BACE3FAF}"/>
    <cellStyle name="Comma 13 3 4 2 3 2" xfId="9804" xr:uid="{4C787822-4E67-46C9-A84D-C7BDD48D2CE8}"/>
    <cellStyle name="Comma 13 3 4 2 4" xfId="7155" xr:uid="{17AAD69B-B246-4518-BA02-EC1910016287}"/>
    <cellStyle name="Comma 13 3 4 3" xfId="2654" xr:uid="{ACC724AA-FB56-4C24-9F85-6071DF94D2F7}"/>
    <cellStyle name="Comma 13 3 4 3 2" xfId="5303" xr:uid="{9C373704-CA6C-49F8-9D72-4985DE5A394F}"/>
    <cellStyle name="Comma 13 3 4 3 2 2" xfId="10600" xr:uid="{048F8BAF-5CF8-4518-BCD8-E6AD037C1E97}"/>
    <cellStyle name="Comma 13 3 4 3 3" xfId="7951" xr:uid="{C4DD4EB0-9782-450B-8581-A41ABEFED790}"/>
    <cellStyle name="Comma 13 3 4 4" xfId="3979" xr:uid="{17997717-0A8F-4B4B-B398-EE0BAD564334}"/>
    <cellStyle name="Comma 13 3 4 4 2" xfId="9276" xr:uid="{2EB81976-1A8E-4105-A7B3-855ED40D4378}"/>
    <cellStyle name="Comma 13 3 4 5" xfId="6627" xr:uid="{6BBFDF4E-5A49-4925-B92A-062BEDFAAB3F}"/>
    <cellStyle name="Comma 13 3 5" xfId="1446" xr:uid="{71C94187-1711-4B53-99E7-69A0ECE9BF2D}"/>
    <cellStyle name="Comma 13 3 5 2" xfId="1974" xr:uid="{52EC72A9-E6EE-4B53-A034-9C237F7339FB}"/>
    <cellStyle name="Comma 13 3 5 2 2" xfId="3314" xr:uid="{ADD9FD5B-EFBE-4300-BFB6-FBA00C0BE7A3}"/>
    <cellStyle name="Comma 13 3 5 2 2 2" xfId="5963" xr:uid="{8B516D28-AFD6-4B9F-B0B0-2B3592627EE5}"/>
    <cellStyle name="Comma 13 3 5 2 2 2 2" xfId="11260" xr:uid="{7560A8DA-BA0C-4292-AD2B-E4242A7893ED}"/>
    <cellStyle name="Comma 13 3 5 2 2 3" xfId="8611" xr:uid="{59BF54E8-7391-4A9B-9592-33A69AEE9DF0}"/>
    <cellStyle name="Comma 13 3 5 2 3" xfId="4639" xr:uid="{C7D318A8-5B6A-44A4-9C4D-8F5CD7426126}"/>
    <cellStyle name="Comma 13 3 5 2 3 2" xfId="9936" xr:uid="{580FCF89-8FF8-4B7E-B817-DC7150A0A268}"/>
    <cellStyle name="Comma 13 3 5 2 4" xfId="7287" xr:uid="{3D223257-790E-4D8F-84CF-4C84363DD087}"/>
    <cellStyle name="Comma 13 3 5 3" xfId="2786" xr:uid="{CAF08D13-44C9-4A3B-B346-FACE41671108}"/>
    <cellStyle name="Comma 13 3 5 3 2" xfId="5435" xr:uid="{8A026F89-FAE0-44F7-B082-6FE1A07BB21F}"/>
    <cellStyle name="Comma 13 3 5 3 2 2" xfId="10732" xr:uid="{794EF316-0C1C-44A6-9621-F35816A08DD6}"/>
    <cellStyle name="Comma 13 3 5 3 3" xfId="8083" xr:uid="{7C3E7516-D5BE-4549-B395-EF7B35BF7B8F}"/>
    <cellStyle name="Comma 13 3 5 4" xfId="4111" xr:uid="{9ACBC4B5-C1EC-4040-95E2-6F4DAA1EED2F}"/>
    <cellStyle name="Comma 13 3 5 4 2" xfId="9408" xr:uid="{712E1AEE-5373-4FFB-A611-72A82B7309CD}"/>
    <cellStyle name="Comma 13 3 5 5" xfId="6759" xr:uid="{E61ACD41-0BD9-4E12-BF21-240EFDB204E1}"/>
    <cellStyle name="Comma 13 3 6" xfId="2262" xr:uid="{74369EEA-38D1-46B0-804F-1B263D1A3614}"/>
    <cellStyle name="Comma 13 3 6 2" xfId="4911" xr:uid="{1AABA599-868A-4EBA-B49E-E83434B0A83F}"/>
    <cellStyle name="Comma 13 3 6 2 2" xfId="10208" xr:uid="{F8F65FC9-A726-4B86-8037-ED80BDC6F6F9}"/>
    <cellStyle name="Comma 13 3 6 3" xfId="7559" xr:uid="{CAE669A1-E689-4C1B-975C-108D8699384B}"/>
    <cellStyle name="Comma 13 3 7" xfId="3587" xr:uid="{38797331-FA1C-4B7D-A881-DFED362F58E4}"/>
    <cellStyle name="Comma 13 3 7 2" xfId="8884" xr:uid="{615AC38A-6F50-4637-AA66-BD118437FBED}"/>
    <cellStyle name="Comma 13 3 8" xfId="6235" xr:uid="{15F7C238-694D-4038-9D66-B180D6402CD9}"/>
    <cellStyle name="Comma 13 4" xfId="740" xr:uid="{2E42F4EA-C587-41F6-92CA-DB4DF993841A}"/>
    <cellStyle name="Comma 13 4 2" xfId="1145" xr:uid="{36BC802C-D88B-4F0B-885A-67CB0B9403E1}"/>
    <cellStyle name="Comma 13 4 2 2" xfId="1677" xr:uid="{963E73C7-FCF2-4A55-BAB2-E1AF1071D9FC}"/>
    <cellStyle name="Comma 13 4 2 2 2" xfId="3017" xr:uid="{A9E6C172-8F4C-4FD8-BBE2-BB6BCAE37E11}"/>
    <cellStyle name="Comma 13 4 2 2 2 2" xfId="5666" xr:uid="{DDA69E0E-D287-4885-BF57-A8F94BBEBA33}"/>
    <cellStyle name="Comma 13 4 2 2 2 2 2" xfId="10963" xr:uid="{DCC851C2-642A-4CE3-8F0B-5184638F401F}"/>
    <cellStyle name="Comma 13 4 2 2 2 3" xfId="8314" xr:uid="{2127BF7C-4800-4635-B01E-D1E1879649C6}"/>
    <cellStyle name="Comma 13 4 2 2 3" xfId="4342" xr:uid="{DD5B120B-3AE0-498B-B529-1AF1D305768B}"/>
    <cellStyle name="Comma 13 4 2 2 3 2" xfId="9639" xr:uid="{D1E2E40A-8D3F-4618-82A0-257338A267E2}"/>
    <cellStyle name="Comma 13 4 2 2 4" xfId="6990" xr:uid="{108A1232-1C6F-4754-B03E-0725DBB0DE11}"/>
    <cellStyle name="Comma 13 4 2 3" xfId="2489" xr:uid="{E70865D4-71B7-4176-A840-593C497CCBC0}"/>
    <cellStyle name="Comma 13 4 2 3 2" xfId="5138" xr:uid="{3DDD9D23-09A0-48E9-BB71-8655CDDDD911}"/>
    <cellStyle name="Comma 13 4 2 3 2 2" xfId="10435" xr:uid="{F0E824E2-4EB1-4F04-B24E-D99EABF4E77C}"/>
    <cellStyle name="Comma 13 4 2 3 3" xfId="7786" xr:uid="{3B3BB7A9-A19B-407E-A38B-DC751BF1CAB7}"/>
    <cellStyle name="Comma 13 4 2 4" xfId="3814" xr:uid="{C368BFF5-4BAF-4551-8639-4FC76A4279B5}"/>
    <cellStyle name="Comma 13 4 2 4 2" xfId="9111" xr:uid="{895C841F-9FE0-4B0B-8288-F132C60DF227}"/>
    <cellStyle name="Comma 13 4 2 5" xfId="6462" xr:uid="{266B632A-958C-46F1-8DDA-967FF1D01DF8}"/>
    <cellStyle name="Comma 13 4 3" xfId="1001" xr:uid="{B5F750AD-54AD-47AD-9061-54BF6DC31256}"/>
    <cellStyle name="Comma 13 4 3 2" xfId="1545" xr:uid="{F2BB11CC-662A-4FB3-954A-5D03D65839D6}"/>
    <cellStyle name="Comma 13 4 3 2 2" xfId="2885" xr:uid="{7F1C7F24-1E27-49EA-B02F-2F9CB325D804}"/>
    <cellStyle name="Comma 13 4 3 2 2 2" xfId="5534" xr:uid="{10FA0FC0-2EFF-4D36-8EFB-D3E5A3564C53}"/>
    <cellStyle name="Comma 13 4 3 2 2 2 2" xfId="10831" xr:uid="{DA95ED47-B29A-4629-9413-65814F24FE91}"/>
    <cellStyle name="Comma 13 4 3 2 2 3" xfId="8182" xr:uid="{39518BD8-7EA7-460D-B8D1-260F535BDA04}"/>
    <cellStyle name="Comma 13 4 3 2 3" xfId="4210" xr:uid="{E986C236-5993-435D-9DAF-7C1A7EAFE121}"/>
    <cellStyle name="Comma 13 4 3 2 3 2" xfId="9507" xr:uid="{4BA86F34-B9E5-43E8-825C-EE4A9ECF9D41}"/>
    <cellStyle name="Comma 13 4 3 2 4" xfId="6858" xr:uid="{566C53D7-008E-4E97-BFA1-CAED0B179E0E}"/>
    <cellStyle name="Comma 13 4 3 3" xfId="2357" xr:uid="{E852EA68-E5AE-4332-BD97-22BAF2133CF1}"/>
    <cellStyle name="Comma 13 4 3 3 2" xfId="5006" xr:uid="{4795BA8C-320B-4B8C-8E42-253E33B5E7EB}"/>
    <cellStyle name="Comma 13 4 3 3 2 2" xfId="10303" xr:uid="{686A96F4-0CFB-44D7-B79B-F11B95F81C56}"/>
    <cellStyle name="Comma 13 4 3 3 3" xfId="7654" xr:uid="{88A48FC6-10D0-4449-9C8A-AA6D05AAB07D}"/>
    <cellStyle name="Comma 13 4 3 4" xfId="3682" xr:uid="{61F15A29-C5AB-4BD0-875A-494F01448C29}"/>
    <cellStyle name="Comma 13 4 3 4 2" xfId="8979" xr:uid="{06D55D17-EC2E-46D2-95F0-69AFD2552397}"/>
    <cellStyle name="Comma 13 4 3 5" xfId="6330" xr:uid="{BF1873E0-F362-44D7-86CD-7C9F9242A7EC}"/>
    <cellStyle name="Comma 13 4 4" xfId="1281" xr:uid="{D6DD712A-623F-49E3-B5CC-A8E9EAC5D0D7}"/>
    <cellStyle name="Comma 13 4 4 2" xfId="1809" xr:uid="{8D3BD41F-01A7-406D-817E-3F5B562EC0B2}"/>
    <cellStyle name="Comma 13 4 4 2 2" xfId="3149" xr:uid="{ACAE69A9-27B2-465C-B109-C6C237133170}"/>
    <cellStyle name="Comma 13 4 4 2 2 2" xfId="5798" xr:uid="{56DCF72E-455F-45DB-986A-732F3414F7BC}"/>
    <cellStyle name="Comma 13 4 4 2 2 2 2" xfId="11095" xr:uid="{4F7149AC-4A36-462E-98E8-8276B09DB4BB}"/>
    <cellStyle name="Comma 13 4 4 2 2 3" xfId="8446" xr:uid="{A12E00EC-B97F-4750-8B86-C0424216B4E0}"/>
    <cellStyle name="Comma 13 4 4 2 3" xfId="4474" xr:uid="{B3D3103C-4393-4CAB-BB32-636F7140FB89}"/>
    <cellStyle name="Comma 13 4 4 2 3 2" xfId="9771" xr:uid="{EE1F32AE-08ED-4223-B227-538245828E06}"/>
    <cellStyle name="Comma 13 4 4 2 4" xfId="7122" xr:uid="{0A84C89D-5FBB-4CA4-983F-66C87390056A}"/>
    <cellStyle name="Comma 13 4 4 3" xfId="2621" xr:uid="{4D6CDE6D-160A-4BB1-9C58-22A0CC70EDF3}"/>
    <cellStyle name="Comma 13 4 4 3 2" xfId="5270" xr:uid="{3B0ECDD5-7677-4C84-A2D1-7C3477367D8A}"/>
    <cellStyle name="Comma 13 4 4 3 2 2" xfId="10567" xr:uid="{6FCC41DC-F889-4B1E-A36E-FDDF60B496A0}"/>
    <cellStyle name="Comma 13 4 4 3 3" xfId="7918" xr:uid="{52623399-AB32-46AB-9D3A-BA4BE9B626E1}"/>
    <cellStyle name="Comma 13 4 4 4" xfId="3946" xr:uid="{405BC675-EB8D-4D08-8742-970C73471D4B}"/>
    <cellStyle name="Comma 13 4 4 4 2" xfId="9243" xr:uid="{96F734E3-F584-46BF-A343-9BAB7ABFC722}"/>
    <cellStyle name="Comma 13 4 4 5" xfId="6594" xr:uid="{0BCB44FD-C2B7-4BA4-B610-40420C570F94}"/>
    <cellStyle name="Comma 13 4 5" xfId="1413" xr:uid="{2EE428A3-0A54-4229-AD7E-52A75FB2E969}"/>
    <cellStyle name="Comma 13 4 5 2" xfId="1941" xr:uid="{0B8EF1E8-F3B6-4949-8A88-B1377354B80E}"/>
    <cellStyle name="Comma 13 4 5 2 2" xfId="3281" xr:uid="{89EBAD69-B48F-44B7-AF3F-882204C970B0}"/>
    <cellStyle name="Comma 13 4 5 2 2 2" xfId="5930" xr:uid="{83A220AE-C859-44AC-BEBC-0487C88FA1A9}"/>
    <cellStyle name="Comma 13 4 5 2 2 2 2" xfId="11227" xr:uid="{598CF9DC-A547-4A83-B2C4-6E1E1D77AD55}"/>
    <cellStyle name="Comma 13 4 5 2 2 3" xfId="8578" xr:uid="{9689C455-2182-4205-B2FE-FD3F1DAC2CF1}"/>
    <cellStyle name="Comma 13 4 5 2 3" xfId="4606" xr:uid="{06BAFE3F-B8DE-4D80-8E2D-324C2E837A05}"/>
    <cellStyle name="Comma 13 4 5 2 3 2" xfId="9903" xr:uid="{CB4EAE8E-7A87-48AB-BAB2-04EF2FB52D1F}"/>
    <cellStyle name="Comma 13 4 5 2 4" xfId="7254" xr:uid="{854B10AC-AEAA-4D6B-A351-0A46B2BCD1E7}"/>
    <cellStyle name="Comma 13 4 5 3" xfId="2753" xr:uid="{BA0B51B5-DABF-4102-B601-64A1B1E89C8E}"/>
    <cellStyle name="Comma 13 4 5 3 2" xfId="5402" xr:uid="{0C6B55B0-C6EC-4717-807D-555CEC272014}"/>
    <cellStyle name="Comma 13 4 5 3 2 2" xfId="10699" xr:uid="{A8D475C6-FC99-460E-8000-B8119C51280D}"/>
    <cellStyle name="Comma 13 4 5 3 3" xfId="8050" xr:uid="{24652FA0-D8A8-4909-B6F2-E129F5791AB6}"/>
    <cellStyle name="Comma 13 4 5 4" xfId="4078" xr:uid="{774FDAA3-D326-410F-A89C-31FE9E735379}"/>
    <cellStyle name="Comma 13 4 5 4 2" xfId="9375" xr:uid="{3B812BD6-B81F-4DF3-869D-82AD75D5A206}"/>
    <cellStyle name="Comma 13 4 5 5" xfId="6726" xr:uid="{7E49BB06-748D-4F23-9089-153BBE9C102B}"/>
    <cellStyle name="Comma 13 4 6" xfId="2229" xr:uid="{769C5634-F479-4B29-882F-28347A6B6782}"/>
    <cellStyle name="Comma 13 4 6 2" xfId="4878" xr:uid="{EB37E074-4B60-4C5A-8660-F40D26E45B68}"/>
    <cellStyle name="Comma 13 4 6 2 2" xfId="10175" xr:uid="{6B39F0FF-1A40-4D8F-8AF4-D854888A414A}"/>
    <cellStyle name="Comma 13 4 6 3" xfId="7526" xr:uid="{CAB5034C-9A54-4D63-814A-5FCD45A163AE}"/>
    <cellStyle name="Comma 13 4 7" xfId="3554" xr:uid="{5D3E12D4-0732-43EA-B336-E72C1D659133}"/>
    <cellStyle name="Comma 13 4 7 2" xfId="8851" xr:uid="{CCBA22E9-E500-4BEC-9CD7-AF130ABF9D50}"/>
    <cellStyle name="Comma 13 4 8" xfId="6202" xr:uid="{C138D12E-7BA9-459B-BAE5-8F4668EE95F2}"/>
    <cellStyle name="Comma 13 5" xfId="1083" xr:uid="{0CD141B8-6D11-49E9-BB24-349DC12A04AC}"/>
    <cellStyle name="Comma 13 5 2" xfId="1621" xr:uid="{E07997C4-F350-4E53-890D-4DF65A29EE8F}"/>
    <cellStyle name="Comma 13 5 2 2" xfId="2961" xr:uid="{BBCD43FD-0BF3-4ABA-998E-79E14AA81EDD}"/>
    <cellStyle name="Comma 13 5 2 2 2" xfId="5610" xr:uid="{2EB0278C-0FEE-4641-B3ED-91387C1D54AC}"/>
    <cellStyle name="Comma 13 5 2 2 2 2" xfId="10907" xr:uid="{7427008D-B2A6-4F20-9277-8B9A42BDD98C}"/>
    <cellStyle name="Comma 13 5 2 2 3" xfId="8258" xr:uid="{00F2D140-8668-4DAB-AD9E-938C4DDEAF3B}"/>
    <cellStyle name="Comma 13 5 2 3" xfId="4286" xr:uid="{35844DEC-9820-40D1-96D2-4D0C544E9CEF}"/>
    <cellStyle name="Comma 13 5 2 3 2" xfId="9583" xr:uid="{6C8C4CCB-A804-47B3-B5B4-76D4842EBF9F}"/>
    <cellStyle name="Comma 13 5 2 4" xfId="6934" xr:uid="{250E4F21-BF30-4935-AAB9-8B0E8FF359E8}"/>
    <cellStyle name="Comma 13 5 3" xfId="2433" xr:uid="{3941D3D9-BFE9-4E76-A996-73E0089B5626}"/>
    <cellStyle name="Comma 13 5 3 2" xfId="5082" xr:uid="{EB796CBF-C309-4CC0-8476-DFBFA7FB2E03}"/>
    <cellStyle name="Comma 13 5 3 2 2" xfId="10379" xr:uid="{B9C7AFBC-2BF8-4CB5-98FB-EBBFEFCD1037}"/>
    <cellStyle name="Comma 13 5 3 3" xfId="7730" xr:uid="{F271E2CD-0F9C-4100-8155-5355E15D63D9}"/>
    <cellStyle name="Comma 13 5 4" xfId="3758" xr:uid="{F68394B6-DE2D-4035-A02A-E1076277CB6C}"/>
    <cellStyle name="Comma 13 5 4 2" xfId="9055" xr:uid="{E4BA32A0-798B-43AC-91E8-FB049E7DA2C9}"/>
    <cellStyle name="Comma 13 5 5" xfId="6406" xr:uid="{FE973BDD-545C-4DF8-BC93-16AC6BE2CA8A}"/>
    <cellStyle name="Comma 13 6" xfId="936" xr:uid="{46FCD7F1-45A1-4DCC-B264-6CC0A6BB31C0}"/>
    <cellStyle name="Comma 13 6 2" xfId="1489" xr:uid="{FD3F7AE2-CAF9-464C-A9F5-259A3FED3824}"/>
    <cellStyle name="Comma 13 6 2 2" xfId="2829" xr:uid="{24929B54-8775-45F6-B548-CB5C920BFFBC}"/>
    <cellStyle name="Comma 13 6 2 2 2" xfId="5478" xr:uid="{6AD5A29A-770D-46B0-BDC0-67E9989BAE08}"/>
    <cellStyle name="Comma 13 6 2 2 2 2" xfId="10775" xr:uid="{F1991E73-4AB5-49FD-AEDD-0B63ED3BCE77}"/>
    <cellStyle name="Comma 13 6 2 2 3" xfId="8126" xr:uid="{13232CF5-CD92-42E7-B704-E66A2DCFD17E}"/>
    <cellStyle name="Comma 13 6 2 3" xfId="4154" xr:uid="{D99E5E8C-BCEF-43FD-9836-BD3D084B2C43}"/>
    <cellStyle name="Comma 13 6 2 3 2" xfId="9451" xr:uid="{B73BFDFC-F366-444A-8DEB-5EF45FC490C5}"/>
    <cellStyle name="Comma 13 6 2 4" xfId="6802" xr:uid="{1D6F00A7-2096-4CAC-A8FB-8ED0D0E6DE6F}"/>
    <cellStyle name="Comma 13 6 3" xfId="2301" xr:uid="{59FC03F2-5EB4-478E-9EFC-22BB2543318C}"/>
    <cellStyle name="Comma 13 6 3 2" xfId="4950" xr:uid="{D11D34A0-1A1B-4641-A693-CDCD0BECD69E}"/>
    <cellStyle name="Comma 13 6 3 2 2" xfId="10247" xr:uid="{65FAE0B4-CA33-419B-8725-C74D510D74DF}"/>
    <cellStyle name="Comma 13 6 3 3" xfId="7598" xr:uid="{4B7A314C-10CD-473F-9519-3AF6FAD87616}"/>
    <cellStyle name="Comma 13 6 4" xfId="3626" xr:uid="{C5967AC1-21ED-41D2-BD3D-1C115153A432}"/>
    <cellStyle name="Comma 13 6 4 2" xfId="8923" xr:uid="{2C3A20D0-88A7-4FDA-91BF-46A0910A4CAB}"/>
    <cellStyle name="Comma 13 6 5" xfId="6274" xr:uid="{AEC1E188-4127-4858-9B43-2D6992D83E7B}"/>
    <cellStyle name="Comma 13 7" xfId="1225" xr:uid="{F4B36E66-56C6-401F-A4BC-F8F9B7825F91}"/>
    <cellStyle name="Comma 13 7 2" xfId="1753" xr:uid="{A3894657-C7B9-4A1D-B49B-AED639626089}"/>
    <cellStyle name="Comma 13 7 2 2" xfId="3093" xr:uid="{0DC83146-731E-4EE9-8D5F-7BDB9122D6F6}"/>
    <cellStyle name="Comma 13 7 2 2 2" xfId="5742" xr:uid="{6ED8DA95-C52D-4763-8C13-2F7367DA9510}"/>
    <cellStyle name="Comma 13 7 2 2 2 2" xfId="11039" xr:uid="{793FECAC-C08A-4C8B-838C-03442D924932}"/>
    <cellStyle name="Comma 13 7 2 2 3" xfId="8390" xr:uid="{904A366E-E590-4482-9DBB-93C4940DA14F}"/>
    <cellStyle name="Comma 13 7 2 3" xfId="4418" xr:uid="{0914A65E-A789-4473-8629-25B9A843D486}"/>
    <cellStyle name="Comma 13 7 2 3 2" xfId="9715" xr:uid="{9E448069-7214-493B-931C-A74C59339276}"/>
    <cellStyle name="Comma 13 7 2 4" xfId="7066" xr:uid="{248AAAEF-1540-4C1D-9C55-F86AF2202B2B}"/>
    <cellStyle name="Comma 13 7 3" xfId="2565" xr:uid="{55845819-C15E-49B5-8443-731AFFA0BD59}"/>
    <cellStyle name="Comma 13 7 3 2" xfId="5214" xr:uid="{7251E532-20CD-454D-9FCA-59759390BB5B}"/>
    <cellStyle name="Comma 13 7 3 2 2" xfId="10511" xr:uid="{365A26A5-B2F0-40B6-B8D8-4A83D58FEA8D}"/>
    <cellStyle name="Comma 13 7 3 3" xfId="7862" xr:uid="{975525D9-9181-4973-BF1E-F9FC7E1894FE}"/>
    <cellStyle name="Comma 13 7 4" xfId="3890" xr:uid="{53084177-778A-4BFB-A08C-2B53EEC17D52}"/>
    <cellStyle name="Comma 13 7 4 2" xfId="9187" xr:uid="{125D7454-6A1C-4EF2-BC9F-BA9F8E986EFE}"/>
    <cellStyle name="Comma 13 7 5" xfId="6538" xr:uid="{87968D14-0F4B-4D65-B95D-12B2D0A402AA}"/>
    <cellStyle name="Comma 13 8" xfId="1357" xr:uid="{34EB26A8-721D-430C-A461-9301B88FA615}"/>
    <cellStyle name="Comma 13 8 2" xfId="1885" xr:uid="{DE5BFD1C-5EF9-4C0E-939E-99542D8B3433}"/>
    <cellStyle name="Comma 13 8 2 2" xfId="3225" xr:uid="{0B02B02F-A422-4833-9967-EB6EAA5519DB}"/>
    <cellStyle name="Comma 13 8 2 2 2" xfId="5874" xr:uid="{BBFD23FC-2F50-4D26-8930-1B364BFC163F}"/>
    <cellStyle name="Comma 13 8 2 2 2 2" xfId="11171" xr:uid="{07B924E3-90F5-4E87-B10D-2D44FFD7037A}"/>
    <cellStyle name="Comma 13 8 2 2 3" xfId="8522" xr:uid="{0E0F062E-EBB0-4E7A-908B-2510EAC2DCAD}"/>
    <cellStyle name="Comma 13 8 2 3" xfId="4550" xr:uid="{0927AF61-9FB9-4509-BF63-0ABF978202EC}"/>
    <cellStyle name="Comma 13 8 2 3 2" xfId="9847" xr:uid="{129EDC20-5A48-4283-9127-CAEBF95F29DA}"/>
    <cellStyle name="Comma 13 8 2 4" xfId="7198" xr:uid="{E225F929-C698-467C-BD0E-4E729D12F4FD}"/>
    <cellStyle name="Comma 13 8 3" xfId="2697" xr:uid="{9411B0A2-62E6-4C3B-A9D8-5D003B9F5A1B}"/>
    <cellStyle name="Comma 13 8 3 2" xfId="5346" xr:uid="{06BF2365-9FCB-43D7-9296-D37FC0F73491}"/>
    <cellStyle name="Comma 13 8 3 2 2" xfId="10643" xr:uid="{FEB9DE2E-1321-4399-9671-D5D452C83B70}"/>
    <cellStyle name="Comma 13 8 3 3" xfId="7994" xr:uid="{F023D3DA-F4A6-4135-9E19-35EC84AFC479}"/>
    <cellStyle name="Comma 13 8 4" xfId="4022" xr:uid="{F2EB15BD-0655-4627-8AD3-14CE8ABCE294}"/>
    <cellStyle name="Comma 13 8 4 2" xfId="9319" xr:uid="{04E9AAC4-963D-4FCA-B55E-E1985579E606}"/>
    <cellStyle name="Comma 13 8 5" xfId="6670" xr:uid="{547B983B-18DA-4389-B762-6E815B3DD45D}"/>
    <cellStyle name="Comma 13 9" xfId="504" xr:uid="{4BB402EA-078F-44C5-8B2F-6F1EBF8FEB77}"/>
    <cellStyle name="Comma 13 9 2" xfId="2181" xr:uid="{ED6CD6AB-4AD8-43D2-9EF4-53BF020C611B}"/>
    <cellStyle name="Comma 13 9 2 2" xfId="4830" xr:uid="{2BC644E3-F5D9-46A3-BCF5-32AFD91A6E02}"/>
    <cellStyle name="Comma 13 9 2 2 2" xfId="10127" xr:uid="{940173D3-2278-48C5-B714-37474B898957}"/>
    <cellStyle name="Comma 13 9 2 3" xfId="7478" xr:uid="{20F26CDD-521A-4326-B79A-AE86966CC73B}"/>
    <cellStyle name="Comma 13 9 3" xfId="3506" xr:uid="{9A2FFAD1-F717-4A52-9EDA-230FA1AD6412}"/>
    <cellStyle name="Comma 13 9 3 2" xfId="8803" xr:uid="{D27130A0-0E94-4E7E-A938-458E1DC1B048}"/>
    <cellStyle name="Comma 13 9 4" xfId="6154" xr:uid="{637107F5-0901-4CA2-A278-42214C89A2C9}"/>
    <cellStyle name="Comma 14" xfId="505" xr:uid="{23182511-443C-42A1-98EB-D1CFF7EB49DD}"/>
    <cellStyle name="Comma 14 10" xfId="3507" xr:uid="{4AE06311-4DF3-45FE-8D3C-9FF2EAE306E2}"/>
    <cellStyle name="Comma 14 10 2" xfId="8804" xr:uid="{0359CC92-45D4-4BE1-B275-4FD191498277}"/>
    <cellStyle name="Comma 14 11" xfId="6155" xr:uid="{8B570982-42A6-41B9-9138-8BDC30D14C0D}"/>
    <cellStyle name="Comma 14 2" xfId="641" xr:uid="{2F4D6152-AD09-4A7A-ABF0-04531A747ABC}"/>
    <cellStyle name="Comma 14 2 2" xfId="914" xr:uid="{F2CD259E-F242-4FA9-8777-223E107F7A08}"/>
    <cellStyle name="Comma 14 2 2 2" xfId="1203" xr:uid="{EC472994-3A98-4292-8A5A-E3A213438B96}"/>
    <cellStyle name="Comma 14 2 2 2 2" xfId="1731" xr:uid="{4EB8EBF2-E466-4AC6-8412-4530B58E0CFD}"/>
    <cellStyle name="Comma 14 2 2 2 2 2" xfId="3071" xr:uid="{8503B9F1-4A19-41E9-9C44-65EEF2844911}"/>
    <cellStyle name="Comma 14 2 2 2 2 2 2" xfId="5720" xr:uid="{B9711092-6281-4B1A-A2A3-B2E0E7DB8EEF}"/>
    <cellStyle name="Comma 14 2 2 2 2 2 2 2" xfId="11017" xr:uid="{E957F50C-A25C-483E-B0F1-40336E44E469}"/>
    <cellStyle name="Comma 14 2 2 2 2 2 3" xfId="8368" xr:uid="{757467C0-3AFC-4F70-8378-91D5C2D8DFEF}"/>
    <cellStyle name="Comma 14 2 2 2 2 3" xfId="4396" xr:uid="{D0D18FE2-2FC9-48AD-95A6-457E57B32365}"/>
    <cellStyle name="Comma 14 2 2 2 2 3 2" xfId="9693" xr:uid="{C9A7A2D8-B7E2-4E0B-B01C-820337EE1722}"/>
    <cellStyle name="Comma 14 2 2 2 2 4" xfId="7044" xr:uid="{005E037E-29E2-44A3-BA1D-9759C41057BD}"/>
    <cellStyle name="Comma 14 2 2 2 3" xfId="2543" xr:uid="{E0C5C196-6F8B-457E-8E36-F1CB921A24F9}"/>
    <cellStyle name="Comma 14 2 2 2 3 2" xfId="5192" xr:uid="{38FB274D-4EB4-4C34-8221-FDDB24BCE7B6}"/>
    <cellStyle name="Comma 14 2 2 2 3 2 2" xfId="10489" xr:uid="{FD2464A5-A73B-4899-A890-6FF363D1EEBC}"/>
    <cellStyle name="Comma 14 2 2 2 3 3" xfId="7840" xr:uid="{E9C24E45-2475-4156-86F2-620EED6680AD}"/>
    <cellStyle name="Comma 14 2 2 2 4" xfId="3868" xr:uid="{4AA7983B-65B8-44D6-A796-78CF9302738D}"/>
    <cellStyle name="Comma 14 2 2 2 4 2" xfId="9165" xr:uid="{24FA7918-611B-495A-999D-9FB57F6DB700}"/>
    <cellStyle name="Comma 14 2 2 2 5" xfId="6516" xr:uid="{B1636246-7B69-42CD-8BA4-3DCA83C26544}"/>
    <cellStyle name="Comma 14 2 2 3" xfId="1060" xr:uid="{D07886D0-B885-4263-977C-993C00378FD5}"/>
    <cellStyle name="Comma 14 2 2 3 2" xfId="1599" xr:uid="{649EA0F5-9109-43A6-9638-2771DA6E9148}"/>
    <cellStyle name="Comma 14 2 2 3 2 2" xfId="2939" xr:uid="{5EE86286-5F17-4BFB-8FDF-5197D6D155CE}"/>
    <cellStyle name="Comma 14 2 2 3 2 2 2" xfId="5588" xr:uid="{A1442174-9CA7-4B62-8EAF-28F780DCFDEB}"/>
    <cellStyle name="Comma 14 2 2 3 2 2 2 2" xfId="10885" xr:uid="{3BAC5C07-D45F-47DB-869B-137A2F0910E6}"/>
    <cellStyle name="Comma 14 2 2 3 2 2 3" xfId="8236" xr:uid="{C229C187-8213-42C3-A4C4-58E97A745CBF}"/>
    <cellStyle name="Comma 14 2 2 3 2 3" xfId="4264" xr:uid="{1377B6B3-B159-45D1-8837-AA81C8556F04}"/>
    <cellStyle name="Comma 14 2 2 3 2 3 2" xfId="9561" xr:uid="{33B15724-BE87-47A0-8C65-A0C0ED3A4B82}"/>
    <cellStyle name="Comma 14 2 2 3 2 4" xfId="6912" xr:uid="{DD265108-FD2B-4A8F-B09D-E328A3C7D3FF}"/>
    <cellStyle name="Comma 14 2 2 3 3" xfId="2411" xr:uid="{1CA6CDD3-E641-4640-98E6-FDFB0B096503}"/>
    <cellStyle name="Comma 14 2 2 3 3 2" xfId="5060" xr:uid="{061C924C-1F9A-4A34-8ADD-27541AD6ED6D}"/>
    <cellStyle name="Comma 14 2 2 3 3 2 2" xfId="10357" xr:uid="{5E3D1924-1618-47B5-903D-C2B005959174}"/>
    <cellStyle name="Comma 14 2 2 3 3 3" xfId="7708" xr:uid="{86095A53-FAEB-4F92-B1AE-884D27028B71}"/>
    <cellStyle name="Comma 14 2 2 3 4" xfId="3736" xr:uid="{CFAD126A-26E6-494F-9DBC-6423BB71930A}"/>
    <cellStyle name="Comma 14 2 2 3 4 2" xfId="9033" xr:uid="{58BAB086-BF88-415D-AB20-7D69E719508F}"/>
    <cellStyle name="Comma 14 2 2 3 5" xfId="6384" xr:uid="{BD4A3984-7AFC-4472-BCA6-9D231C3753DE}"/>
    <cellStyle name="Comma 14 2 2 4" xfId="1335" xr:uid="{0389C260-33D6-4AEE-BB49-8A037C3B5511}"/>
    <cellStyle name="Comma 14 2 2 4 2" xfId="1863" xr:uid="{68D7C4A2-D969-4EC4-B112-4B2F29572484}"/>
    <cellStyle name="Comma 14 2 2 4 2 2" xfId="3203" xr:uid="{CC6F4268-37E9-4378-A451-83FC8DC072F7}"/>
    <cellStyle name="Comma 14 2 2 4 2 2 2" xfId="5852" xr:uid="{BFA66181-2D7D-4A36-BBAB-D4D76CF2B82B}"/>
    <cellStyle name="Comma 14 2 2 4 2 2 2 2" xfId="11149" xr:uid="{5EB1F9C3-AEC1-4EB8-8A68-C83B6199AC5A}"/>
    <cellStyle name="Comma 14 2 2 4 2 2 3" xfId="8500" xr:uid="{65DC1AAB-5897-4B56-9AD8-C64218B7ECF1}"/>
    <cellStyle name="Comma 14 2 2 4 2 3" xfId="4528" xr:uid="{B2682BC3-9BBE-4560-AA7D-21AD0D441F56}"/>
    <cellStyle name="Comma 14 2 2 4 2 3 2" xfId="9825" xr:uid="{6045BDAD-343E-41AB-B6DD-BD6310820410}"/>
    <cellStyle name="Comma 14 2 2 4 2 4" xfId="7176" xr:uid="{D4F905F0-1DD9-42AB-A29A-65E51F180BA7}"/>
    <cellStyle name="Comma 14 2 2 4 3" xfId="2675" xr:uid="{01D01703-4996-4164-8FF8-2818CDE1AA1C}"/>
    <cellStyle name="Comma 14 2 2 4 3 2" xfId="5324" xr:uid="{C4EDE3B0-43F4-438A-B956-717D7E36F15E}"/>
    <cellStyle name="Comma 14 2 2 4 3 2 2" xfId="10621" xr:uid="{4DB03B60-6B71-455E-A7EC-3B5876B23566}"/>
    <cellStyle name="Comma 14 2 2 4 3 3" xfId="7972" xr:uid="{8CDBCA75-215C-4258-8B27-DC03477E8CBD}"/>
    <cellStyle name="Comma 14 2 2 4 4" xfId="4000" xr:uid="{9E9ECA77-2506-45D8-9016-C0DA6C551345}"/>
    <cellStyle name="Comma 14 2 2 4 4 2" xfId="9297" xr:uid="{39A80CEB-236E-4D25-AEC2-2DEB303A98FA}"/>
    <cellStyle name="Comma 14 2 2 4 5" xfId="6648" xr:uid="{B72AB94B-3738-4FE0-94D5-4CE242DB1F49}"/>
    <cellStyle name="Comma 14 2 2 5" xfId="1467" xr:uid="{CB5B35AB-004B-486C-9231-7AAA1124469C}"/>
    <cellStyle name="Comma 14 2 2 5 2" xfId="1995" xr:uid="{9D2A86DC-FF79-450B-9BC5-A808B310B543}"/>
    <cellStyle name="Comma 14 2 2 5 2 2" xfId="3335" xr:uid="{B88F94E5-7E01-4C94-A664-8C57436D2CD9}"/>
    <cellStyle name="Comma 14 2 2 5 2 2 2" xfId="5984" xr:uid="{0B87BA99-2C58-43E6-AEF0-BFE6F7F9D4C9}"/>
    <cellStyle name="Comma 14 2 2 5 2 2 2 2" xfId="11281" xr:uid="{76025FCF-3AA9-447A-9296-A56419D920DE}"/>
    <cellStyle name="Comma 14 2 2 5 2 2 3" xfId="8632" xr:uid="{7C4DAD69-A1CB-4E91-ABF9-A6BF5CBBB6DE}"/>
    <cellStyle name="Comma 14 2 2 5 2 3" xfId="4660" xr:uid="{4E3C7A62-092D-4B98-8CD6-BE2DF5005F86}"/>
    <cellStyle name="Comma 14 2 2 5 2 3 2" xfId="9957" xr:uid="{D11B167D-B420-4EBD-B513-6ACE5E9827F8}"/>
    <cellStyle name="Comma 14 2 2 5 2 4" xfId="7308" xr:uid="{662DCF68-5B7C-47D4-A929-83EF2FB5313E}"/>
    <cellStyle name="Comma 14 2 2 5 3" xfId="2807" xr:uid="{36E0BFE6-77F8-41BB-88BA-BED987B28715}"/>
    <cellStyle name="Comma 14 2 2 5 3 2" xfId="5456" xr:uid="{625C1DCF-AD84-41A9-8268-91F02E4AA72F}"/>
    <cellStyle name="Comma 14 2 2 5 3 2 2" xfId="10753" xr:uid="{3E1626D0-B806-4ACF-B971-2B1FB1B9B167}"/>
    <cellStyle name="Comma 14 2 2 5 3 3" xfId="8104" xr:uid="{D6999E4C-F02A-419E-AA2F-4DB0CC0028EE}"/>
    <cellStyle name="Comma 14 2 2 5 4" xfId="4132" xr:uid="{D8173428-DE2A-4330-BFB7-A9E996938AB5}"/>
    <cellStyle name="Comma 14 2 2 5 4 2" xfId="9429" xr:uid="{FAE18538-2D6D-4B39-89AF-8268E228AD5D}"/>
    <cellStyle name="Comma 14 2 2 5 5" xfId="6780" xr:uid="{79877589-6B3E-483A-B019-2DF3B35FB4D8}"/>
    <cellStyle name="Comma 14 2 2 6" xfId="2281" xr:uid="{1F0E967D-1B25-44E1-8B6B-422961DEA51A}"/>
    <cellStyle name="Comma 14 2 2 6 2" xfId="4930" xr:uid="{686E4441-F843-42A7-BB54-907ADD49CCC6}"/>
    <cellStyle name="Comma 14 2 2 6 2 2" xfId="10227" xr:uid="{BA7D1907-B79C-481B-82B1-20585DB49B75}"/>
    <cellStyle name="Comma 14 2 2 6 3" xfId="7578" xr:uid="{95101CE5-FF00-4C81-ABE3-B11F207B1F62}"/>
    <cellStyle name="Comma 14 2 2 7" xfId="3606" xr:uid="{BA82BC97-3022-4412-8E70-BB29902D03C6}"/>
    <cellStyle name="Comma 14 2 2 7 2" xfId="8903" xr:uid="{6C5E78ED-9664-4550-8BCE-281B79B6C82D}"/>
    <cellStyle name="Comma 14 2 2 8" xfId="6254" xr:uid="{ECB094E8-1547-4444-87D1-6802F803BBE3}"/>
    <cellStyle name="Comma 14 2 3" xfId="1111" xr:uid="{346E951D-1052-4756-A3DE-5F7B34079C45}"/>
    <cellStyle name="Comma 14 2 3 2" xfId="1645" xr:uid="{A6F7359A-FE69-49DA-A68D-8907EFB6CE6B}"/>
    <cellStyle name="Comma 14 2 3 2 2" xfId="2985" xr:uid="{8D4A48B8-7938-4F1C-AAAA-56E8B311C6E7}"/>
    <cellStyle name="Comma 14 2 3 2 2 2" xfId="5634" xr:uid="{3AB8C97C-5EDD-44AF-BE3C-D41631A025AA}"/>
    <cellStyle name="Comma 14 2 3 2 2 2 2" xfId="10931" xr:uid="{1AC770CB-59FC-4ED3-8613-92E56D57149F}"/>
    <cellStyle name="Comma 14 2 3 2 2 3" xfId="8282" xr:uid="{12E069D5-77EC-424F-B3E0-38D8859BA095}"/>
    <cellStyle name="Comma 14 2 3 2 3" xfId="4310" xr:uid="{64ADBAED-ECDF-4779-838B-6591A4DE2B60}"/>
    <cellStyle name="Comma 14 2 3 2 3 2" xfId="9607" xr:uid="{581129E2-A64C-48DD-B9EE-4E65E1DD293C}"/>
    <cellStyle name="Comma 14 2 3 2 4" xfId="6958" xr:uid="{0EF2C597-AAFE-4953-8036-25E9804EC328}"/>
    <cellStyle name="Comma 14 2 3 3" xfId="2457" xr:uid="{296ACEF0-4E9E-4D47-942E-69BC11C70DB9}"/>
    <cellStyle name="Comma 14 2 3 3 2" xfId="5106" xr:uid="{0C8E0157-0F3A-4D24-9B2C-79802051B249}"/>
    <cellStyle name="Comma 14 2 3 3 2 2" xfId="10403" xr:uid="{4374EE70-B045-4782-833C-CAABA915CCDF}"/>
    <cellStyle name="Comma 14 2 3 3 3" xfId="7754" xr:uid="{FC954D4E-D96A-4DCF-93D0-9646D4FD817B}"/>
    <cellStyle name="Comma 14 2 3 4" xfId="3782" xr:uid="{6F60A768-8CD5-4AC9-99C7-F37527404453}"/>
    <cellStyle name="Comma 14 2 3 4 2" xfId="9079" xr:uid="{010F2E09-B9F4-4D31-BE70-72EBB24FDDE7}"/>
    <cellStyle name="Comma 14 2 3 5" xfId="6430" xr:uid="{EF290157-FE1F-4AA6-9BB9-2E2F18FEFDA1}"/>
    <cellStyle name="Comma 14 2 4" xfId="965" xr:uid="{58AC8C89-506F-4D41-9F5D-9F3AF07B1A46}"/>
    <cellStyle name="Comma 14 2 4 2" xfId="1513" xr:uid="{CC1FB1BD-D201-4124-AE17-254FAE4BEBEE}"/>
    <cellStyle name="Comma 14 2 4 2 2" xfId="2853" xr:uid="{C35CAAE5-218A-4CEC-95B5-EF21682202E6}"/>
    <cellStyle name="Comma 14 2 4 2 2 2" xfId="5502" xr:uid="{EA64A552-712C-41FA-B9E1-F75DC28E2CFC}"/>
    <cellStyle name="Comma 14 2 4 2 2 2 2" xfId="10799" xr:uid="{38C81ED8-DB50-4F8C-A737-41041772C8B6}"/>
    <cellStyle name="Comma 14 2 4 2 2 3" xfId="8150" xr:uid="{BB58EE83-E4BF-4530-B1FB-DB224C6C7E37}"/>
    <cellStyle name="Comma 14 2 4 2 3" xfId="4178" xr:uid="{6249BC31-0AAC-4595-B023-8A9CA4E3B2D1}"/>
    <cellStyle name="Comma 14 2 4 2 3 2" xfId="9475" xr:uid="{C8D0DA81-11A9-4E40-9E95-54F100F0890C}"/>
    <cellStyle name="Comma 14 2 4 2 4" xfId="6826" xr:uid="{50AB66F8-5B69-4C30-A19C-378859337AD4}"/>
    <cellStyle name="Comma 14 2 4 3" xfId="2325" xr:uid="{F89D1F8B-8D93-4064-9BD5-7EA1487C03AF}"/>
    <cellStyle name="Comma 14 2 4 3 2" xfId="4974" xr:uid="{D23B7399-BC2A-4EDB-BE2D-9A2EE411187A}"/>
    <cellStyle name="Comma 14 2 4 3 2 2" xfId="10271" xr:uid="{0F556CCE-3F8B-4294-AB24-874FCA6100F7}"/>
    <cellStyle name="Comma 14 2 4 3 3" xfId="7622" xr:uid="{1FDBCC04-3C1B-4D58-BC88-FAC4D9E79072}"/>
    <cellStyle name="Comma 14 2 4 4" xfId="3650" xr:uid="{F4956492-4DA3-462C-8CCD-ABC55E44B555}"/>
    <cellStyle name="Comma 14 2 4 4 2" xfId="8947" xr:uid="{D85D27F7-C1DF-4612-9FD0-336F096F0EF5}"/>
    <cellStyle name="Comma 14 2 4 5" xfId="6298" xr:uid="{9A523CA7-C0C3-460D-ABB9-C44370B8DF30}"/>
    <cellStyle name="Comma 14 2 5" xfId="1249" xr:uid="{DAE614D4-326F-4496-A237-A8E117F7CCE1}"/>
    <cellStyle name="Comma 14 2 5 2" xfId="1777" xr:uid="{DBDDD26A-95A1-48DD-8EF7-58E51191C743}"/>
    <cellStyle name="Comma 14 2 5 2 2" xfId="3117" xr:uid="{9A41599D-530F-4206-A80F-ACBFEADD3123}"/>
    <cellStyle name="Comma 14 2 5 2 2 2" xfId="5766" xr:uid="{99882C20-0E58-4A33-BB64-BCA323EE22AC}"/>
    <cellStyle name="Comma 14 2 5 2 2 2 2" xfId="11063" xr:uid="{39D447A9-A098-4DE5-AE8B-DD4170792286}"/>
    <cellStyle name="Comma 14 2 5 2 2 3" xfId="8414" xr:uid="{2AE1EAC3-98D0-4839-93EA-1D5B5466918A}"/>
    <cellStyle name="Comma 14 2 5 2 3" xfId="4442" xr:uid="{E266212C-2243-4991-9583-45114119FA29}"/>
    <cellStyle name="Comma 14 2 5 2 3 2" xfId="9739" xr:uid="{CA6652B0-3FAD-497D-A012-EF5E3DA7FC45}"/>
    <cellStyle name="Comma 14 2 5 2 4" xfId="7090" xr:uid="{17454506-5BCC-40B2-B076-CCD446B4A042}"/>
    <cellStyle name="Comma 14 2 5 3" xfId="2589" xr:uid="{3B611BA6-6236-448F-ACA7-30518A6FD86E}"/>
    <cellStyle name="Comma 14 2 5 3 2" xfId="5238" xr:uid="{AA782110-5D14-4F11-9BA0-F082F5C72333}"/>
    <cellStyle name="Comma 14 2 5 3 2 2" xfId="10535" xr:uid="{345388B1-3602-4927-A1BD-B15EEADECBF2}"/>
    <cellStyle name="Comma 14 2 5 3 3" xfId="7886" xr:uid="{7965C232-85C6-4E77-843F-C4D858C2041A}"/>
    <cellStyle name="Comma 14 2 5 4" xfId="3914" xr:uid="{4F617974-A88B-4397-8672-292FE8AE9662}"/>
    <cellStyle name="Comma 14 2 5 4 2" xfId="9211" xr:uid="{1290EF30-08FC-42A0-82F7-6542DB8107B8}"/>
    <cellStyle name="Comma 14 2 5 5" xfId="6562" xr:uid="{6EB3067A-9B71-4EAC-B845-AAFA74A328B0}"/>
    <cellStyle name="Comma 14 2 6" xfId="1381" xr:uid="{29D7E73B-4190-4424-AEFB-C2B359EC85D2}"/>
    <cellStyle name="Comma 14 2 6 2" xfId="1909" xr:uid="{3B29174E-DAD7-4EE5-8AEB-3F6C1133AE7E}"/>
    <cellStyle name="Comma 14 2 6 2 2" xfId="3249" xr:uid="{ABA4FA84-3E1C-4E3B-A75E-38694866845B}"/>
    <cellStyle name="Comma 14 2 6 2 2 2" xfId="5898" xr:uid="{4F74B367-F797-4CA3-904A-D39C0696961C}"/>
    <cellStyle name="Comma 14 2 6 2 2 2 2" xfId="11195" xr:uid="{1E60F484-4237-4A9F-8605-1D9B22E053B2}"/>
    <cellStyle name="Comma 14 2 6 2 2 3" xfId="8546" xr:uid="{D9BBE82D-9F7E-4946-B446-AC3B22EC556C}"/>
    <cellStyle name="Comma 14 2 6 2 3" xfId="4574" xr:uid="{8F9FC863-809A-43EC-907B-85C726352F1F}"/>
    <cellStyle name="Comma 14 2 6 2 3 2" xfId="9871" xr:uid="{18362107-40B9-4F37-99B9-C109E03443B2}"/>
    <cellStyle name="Comma 14 2 6 2 4" xfId="7222" xr:uid="{B45C60CF-CA6D-430D-A6F5-05CCF93F6DAF}"/>
    <cellStyle name="Comma 14 2 6 3" xfId="2721" xr:uid="{C139161F-FEC9-4738-855A-CA9410ADD9F4}"/>
    <cellStyle name="Comma 14 2 6 3 2" xfId="5370" xr:uid="{014EB5F1-85D7-47D4-9B2A-8E59F822D8F6}"/>
    <cellStyle name="Comma 14 2 6 3 2 2" xfId="10667" xr:uid="{937B7275-5EB6-4ABF-99D0-54318BC8B3E0}"/>
    <cellStyle name="Comma 14 2 6 3 3" xfId="8018" xr:uid="{A62639D4-143C-4A46-A388-2E6C4D1F2095}"/>
    <cellStyle name="Comma 14 2 6 4" xfId="4046" xr:uid="{52A2C6B0-C87E-4122-9EB5-2F2DCFC8192B}"/>
    <cellStyle name="Comma 14 2 6 4 2" xfId="9343" xr:uid="{63299183-D210-43B6-AB70-32402065FF3E}"/>
    <cellStyle name="Comma 14 2 6 5" xfId="6694" xr:uid="{81FB873A-CD01-4077-B748-F183BD014A82}"/>
    <cellStyle name="Comma 14 2 7" xfId="2201" xr:uid="{3B214B97-D7AB-45B7-BD53-6F2F1C0543FD}"/>
    <cellStyle name="Comma 14 2 7 2" xfId="4850" xr:uid="{0577EDDC-2772-4D38-BFF5-897A53BACAD0}"/>
    <cellStyle name="Comma 14 2 7 2 2" xfId="10147" xr:uid="{C0BDA501-7A01-4D28-B14F-10A7F85433FF}"/>
    <cellStyle name="Comma 14 2 7 3" xfId="7498" xr:uid="{FBB98F46-10C4-4B2E-9F6C-BAAFF032C8F1}"/>
    <cellStyle name="Comma 14 2 8" xfId="3526" xr:uid="{11061C5C-B2C8-4CEC-A160-08B03AF843E7}"/>
    <cellStyle name="Comma 14 2 8 2" xfId="8823" xr:uid="{4BFB9A1A-9117-407B-B17C-3AF7BD4C18ED}"/>
    <cellStyle name="Comma 14 2 9" xfId="6174" xr:uid="{CB2476DF-69DB-4BE3-A3D2-25B4284DB65E}"/>
    <cellStyle name="Comma 14 3" xfId="846" xr:uid="{BD0F4336-2313-448A-87FE-7D16B34ECE1C}"/>
    <cellStyle name="Comma 14 3 2" xfId="1180" xr:uid="{5C5F2E8B-1868-48C6-BAC2-7B2D8229B61D}"/>
    <cellStyle name="Comma 14 3 2 2" xfId="1711" xr:uid="{48BAE305-B049-4DE4-A418-D5886CCC92D7}"/>
    <cellStyle name="Comma 14 3 2 2 2" xfId="3051" xr:uid="{530E3B02-DC63-4B88-BFDE-BDE50DEE4716}"/>
    <cellStyle name="Comma 14 3 2 2 2 2" xfId="5700" xr:uid="{1955CDFF-384F-424D-BD28-F90670529ACD}"/>
    <cellStyle name="Comma 14 3 2 2 2 2 2" xfId="10997" xr:uid="{F39F644F-F929-45BE-9ADA-79E9EAE0EC86}"/>
    <cellStyle name="Comma 14 3 2 2 2 3" xfId="8348" xr:uid="{CD8D13E3-7631-45C0-A3BA-7C2167A55180}"/>
    <cellStyle name="Comma 14 3 2 2 3" xfId="4376" xr:uid="{B5342B24-0123-4A82-9EC8-27CEA8C84823}"/>
    <cellStyle name="Comma 14 3 2 2 3 2" xfId="9673" xr:uid="{5901F8DF-3FFD-43B4-9389-7301D1400095}"/>
    <cellStyle name="Comma 14 3 2 2 4" xfId="7024" xr:uid="{9785368E-DE88-4176-B3A7-C10A93AA6FF6}"/>
    <cellStyle name="Comma 14 3 2 3" xfId="2523" xr:uid="{E4179F49-87AC-4810-82F2-805BA63357D0}"/>
    <cellStyle name="Comma 14 3 2 3 2" xfId="5172" xr:uid="{9332EFB1-4098-4979-8D32-58FF3D176522}"/>
    <cellStyle name="Comma 14 3 2 3 2 2" xfId="10469" xr:uid="{6C5109F0-1126-4D6A-BE41-646449C1B898}"/>
    <cellStyle name="Comma 14 3 2 3 3" xfId="7820" xr:uid="{7D21C79F-0778-4BA8-9E25-B0BC6117CC4E}"/>
    <cellStyle name="Comma 14 3 2 4" xfId="3848" xr:uid="{07C7F4CE-AEA4-49A3-979A-E52C94A71427}"/>
    <cellStyle name="Comma 14 3 2 4 2" xfId="9145" xr:uid="{AC6B17EC-82C9-46FA-9A2E-12801ED9BA82}"/>
    <cellStyle name="Comma 14 3 2 5" xfId="6496" xr:uid="{FB8E7566-D979-4EDA-AD32-0AF061011F26}"/>
    <cellStyle name="Comma 14 3 3" xfId="1036" xr:uid="{79ECCC77-93C7-4745-8378-BEB28A857481}"/>
    <cellStyle name="Comma 14 3 3 2" xfId="1579" xr:uid="{BBD0848C-407E-41BE-A432-6551038AAC78}"/>
    <cellStyle name="Comma 14 3 3 2 2" xfId="2919" xr:uid="{5187AE3A-B9DF-45C9-8555-2BF568ACAA73}"/>
    <cellStyle name="Comma 14 3 3 2 2 2" xfId="5568" xr:uid="{73FDD788-1F61-41D8-8284-34EE7E5782EE}"/>
    <cellStyle name="Comma 14 3 3 2 2 2 2" xfId="10865" xr:uid="{7A1ADE17-6EC8-48FB-9067-ECCFE9DF3F85}"/>
    <cellStyle name="Comma 14 3 3 2 2 3" xfId="8216" xr:uid="{EAFD8469-85CA-4677-9B4B-71D682DE5B09}"/>
    <cellStyle name="Comma 14 3 3 2 3" xfId="4244" xr:uid="{453BF6F0-7D24-4B79-A652-DBBD2B54F364}"/>
    <cellStyle name="Comma 14 3 3 2 3 2" xfId="9541" xr:uid="{44622CE0-C881-4DAD-A13A-2466D50BB4D7}"/>
    <cellStyle name="Comma 14 3 3 2 4" xfId="6892" xr:uid="{5EF645F9-2404-432B-8F92-DE474E226843}"/>
    <cellStyle name="Comma 14 3 3 3" xfId="2391" xr:uid="{19F1AA80-4DF1-4175-9D3A-5C9095F0D3B1}"/>
    <cellStyle name="Comma 14 3 3 3 2" xfId="5040" xr:uid="{29E63E44-5B24-4F0A-83E0-9D36876C02EC}"/>
    <cellStyle name="Comma 14 3 3 3 2 2" xfId="10337" xr:uid="{D6A3BA8B-FB6E-4958-9B1E-DA9F4E82DAB3}"/>
    <cellStyle name="Comma 14 3 3 3 3" xfId="7688" xr:uid="{91AE2ABF-7DDC-41EF-B968-79E68BD0392E}"/>
    <cellStyle name="Comma 14 3 3 4" xfId="3716" xr:uid="{C9DFF26A-0FAD-4511-863F-D9BAC9FF677C}"/>
    <cellStyle name="Comma 14 3 3 4 2" xfId="9013" xr:uid="{FAA4C75D-F073-4756-8C10-D459C79F04E8}"/>
    <cellStyle name="Comma 14 3 3 5" xfId="6364" xr:uid="{91D8E22A-74EA-4DC1-8A77-84E7B85F5F4B}"/>
    <cellStyle name="Comma 14 3 4" xfId="1315" xr:uid="{DC1F09B0-3DF3-4500-B77F-4053BDFDFB02}"/>
    <cellStyle name="Comma 14 3 4 2" xfId="1843" xr:uid="{FCA5B993-876E-42FC-B579-E5BF444A3929}"/>
    <cellStyle name="Comma 14 3 4 2 2" xfId="3183" xr:uid="{BE0CEC21-EBFB-47BA-B83D-D1CA8E134B43}"/>
    <cellStyle name="Comma 14 3 4 2 2 2" xfId="5832" xr:uid="{CA101F8B-718B-4675-B8E6-D0AEB81AB2BD}"/>
    <cellStyle name="Comma 14 3 4 2 2 2 2" xfId="11129" xr:uid="{69A058F1-7D5D-4F9F-8F0C-F5C48BE5B6BF}"/>
    <cellStyle name="Comma 14 3 4 2 2 3" xfId="8480" xr:uid="{13CC0B4D-10A1-422C-9581-F468CC759260}"/>
    <cellStyle name="Comma 14 3 4 2 3" xfId="4508" xr:uid="{68274630-7298-4ACC-898E-29D57AC73F6D}"/>
    <cellStyle name="Comma 14 3 4 2 3 2" xfId="9805" xr:uid="{7E554523-3784-4F82-B879-A68EE293272A}"/>
    <cellStyle name="Comma 14 3 4 2 4" xfId="7156" xr:uid="{30EA2E65-5067-4A83-B605-66B94E681FB4}"/>
    <cellStyle name="Comma 14 3 4 3" xfId="2655" xr:uid="{2DA0FD04-9591-452D-9347-AC1F76E85215}"/>
    <cellStyle name="Comma 14 3 4 3 2" xfId="5304" xr:uid="{329BBF91-7246-4410-A3BE-C2157F4999C8}"/>
    <cellStyle name="Comma 14 3 4 3 2 2" xfId="10601" xr:uid="{32468642-5E59-46A7-AF9F-6B6010298A94}"/>
    <cellStyle name="Comma 14 3 4 3 3" xfId="7952" xr:uid="{07912071-BBDE-481F-B514-507243F67CAE}"/>
    <cellStyle name="Comma 14 3 4 4" xfId="3980" xr:uid="{54A11F99-80D4-4D19-8F88-63498E3616EB}"/>
    <cellStyle name="Comma 14 3 4 4 2" xfId="9277" xr:uid="{23B70C23-EA3B-4992-848D-751AF70B920C}"/>
    <cellStyle name="Comma 14 3 4 5" xfId="6628" xr:uid="{6BE77720-7057-47F1-8436-9DDE0AF876E7}"/>
    <cellStyle name="Comma 14 3 5" xfId="1447" xr:uid="{8E66B98C-F918-4D7B-B819-166F7185D8EE}"/>
    <cellStyle name="Comma 14 3 5 2" xfId="1975" xr:uid="{A92DA53D-261F-4927-B8A5-77E489B8D1E2}"/>
    <cellStyle name="Comma 14 3 5 2 2" xfId="3315" xr:uid="{9339AEEF-D428-4632-8601-00EADBA7D83B}"/>
    <cellStyle name="Comma 14 3 5 2 2 2" xfId="5964" xr:uid="{214A4CF1-D46E-499A-AF44-6AD64246EF9D}"/>
    <cellStyle name="Comma 14 3 5 2 2 2 2" xfId="11261" xr:uid="{34FDC1EF-5BD3-4EBE-9427-7F2244DD9323}"/>
    <cellStyle name="Comma 14 3 5 2 2 3" xfId="8612" xr:uid="{CE24292F-A923-40A9-BBB2-BB3705D0437F}"/>
    <cellStyle name="Comma 14 3 5 2 3" xfId="4640" xr:uid="{69DCFD35-A2EA-4788-B423-E9FFA0C5CBF9}"/>
    <cellStyle name="Comma 14 3 5 2 3 2" xfId="9937" xr:uid="{DC147346-ADDB-45F9-BE40-FCA692A1A042}"/>
    <cellStyle name="Comma 14 3 5 2 4" xfId="7288" xr:uid="{6125579E-80FD-4EF1-AB3B-3E37C926D5D4}"/>
    <cellStyle name="Comma 14 3 5 3" xfId="2787" xr:uid="{172E7530-F936-4D20-A16E-33C396F67ECC}"/>
    <cellStyle name="Comma 14 3 5 3 2" xfId="5436" xr:uid="{14FAD587-8D6A-44D2-94F0-042046A9C8B3}"/>
    <cellStyle name="Comma 14 3 5 3 2 2" xfId="10733" xr:uid="{19FD4572-A64D-474C-882D-4B07A04A3488}"/>
    <cellStyle name="Comma 14 3 5 3 3" xfId="8084" xr:uid="{D90E57BC-59C5-46A0-9F06-EEDC58331799}"/>
    <cellStyle name="Comma 14 3 5 4" xfId="4112" xr:uid="{20172F73-FE48-498E-B987-F818B8E2D9CD}"/>
    <cellStyle name="Comma 14 3 5 4 2" xfId="9409" xr:uid="{06D34953-0808-4FC4-944D-B4ECA75345C0}"/>
    <cellStyle name="Comma 14 3 5 5" xfId="6760" xr:uid="{FB1AC268-1F78-47F8-9815-E9C7586E8BCF}"/>
    <cellStyle name="Comma 14 3 6" xfId="2263" xr:uid="{0A526A4B-1B62-40B5-97CE-191C40B834FC}"/>
    <cellStyle name="Comma 14 3 6 2" xfId="4912" xr:uid="{BC9A604E-2BD4-46AA-A5EC-33285BA7415F}"/>
    <cellStyle name="Comma 14 3 6 2 2" xfId="10209" xr:uid="{6509C9D1-61CD-4DCB-8258-4BB2FC14D30E}"/>
    <cellStyle name="Comma 14 3 6 3" xfId="7560" xr:uid="{0C71E88E-883F-4EB0-905C-E35A3F2A0796}"/>
    <cellStyle name="Comma 14 3 7" xfId="3588" xr:uid="{189F52F5-DB56-4D07-B8A3-245DF8CD08E2}"/>
    <cellStyle name="Comma 14 3 7 2" xfId="8885" xr:uid="{24F006D5-B7B0-4602-86DE-B7BE3296684C}"/>
    <cellStyle name="Comma 14 3 8" xfId="6236" xr:uid="{4AAD55C1-1852-4B58-B683-AEFBC3F9F46C}"/>
    <cellStyle name="Comma 14 4" xfId="791" xr:uid="{AE323633-79A0-4611-BFF0-392C8ABC4B27}"/>
    <cellStyle name="Comma 14 4 2" xfId="1152" xr:uid="{EDB0E941-1225-42C8-9AAF-6AE536392258}"/>
    <cellStyle name="Comma 14 4 2 2" xfId="1684" xr:uid="{370F05F8-592D-4D80-8A77-13066D10E8DF}"/>
    <cellStyle name="Comma 14 4 2 2 2" xfId="3024" xr:uid="{319C6373-3696-455F-8012-9A35595141D2}"/>
    <cellStyle name="Comma 14 4 2 2 2 2" xfId="5673" xr:uid="{7FF10166-DC18-4F33-BCC9-D98E0DC727F2}"/>
    <cellStyle name="Comma 14 4 2 2 2 2 2" xfId="10970" xr:uid="{47190FBC-B231-4B18-8337-8A5201981539}"/>
    <cellStyle name="Comma 14 4 2 2 2 3" xfId="8321" xr:uid="{0606192A-C70C-416C-98D6-C6F39463D66E}"/>
    <cellStyle name="Comma 14 4 2 2 3" xfId="4349" xr:uid="{FE58941A-E00E-48E5-9DEF-EA1AF9BB9D99}"/>
    <cellStyle name="Comma 14 4 2 2 3 2" xfId="9646" xr:uid="{3C3DE6E6-3040-4D0F-AFC6-E19EB870C373}"/>
    <cellStyle name="Comma 14 4 2 2 4" xfId="6997" xr:uid="{955E4447-9BC9-48E4-857C-117CC7ECA12D}"/>
    <cellStyle name="Comma 14 4 2 3" xfId="2496" xr:uid="{ABBA51FE-842D-4728-98EB-382C623902DA}"/>
    <cellStyle name="Comma 14 4 2 3 2" xfId="5145" xr:uid="{87F5F2D2-624E-49DF-8BE7-4B899115EF4B}"/>
    <cellStyle name="Comma 14 4 2 3 2 2" xfId="10442" xr:uid="{9176BE7F-5DD4-49B1-A6FF-D196021E08C0}"/>
    <cellStyle name="Comma 14 4 2 3 3" xfId="7793" xr:uid="{F8BD2878-18F7-4A77-A60B-C6432738A903}"/>
    <cellStyle name="Comma 14 4 2 4" xfId="3821" xr:uid="{C8F3B17D-51ED-419E-9371-1C161A0FFF45}"/>
    <cellStyle name="Comma 14 4 2 4 2" xfId="9118" xr:uid="{E1110716-DF20-44BD-B0BB-0AFE40C02900}"/>
    <cellStyle name="Comma 14 4 2 5" xfId="6469" xr:uid="{13CC0E59-C5EE-47BB-AC23-3BD6043A5087}"/>
    <cellStyle name="Comma 14 4 3" xfId="1008" xr:uid="{EB27570D-EBF1-453D-823C-B72E90267FA9}"/>
    <cellStyle name="Comma 14 4 3 2" xfId="1552" xr:uid="{96ACE7AB-4328-4A7B-8733-18C2AE420134}"/>
    <cellStyle name="Comma 14 4 3 2 2" xfId="2892" xr:uid="{66B6FB4C-188C-4DED-996B-1CC91BE21842}"/>
    <cellStyle name="Comma 14 4 3 2 2 2" xfId="5541" xr:uid="{4F9CDB90-808F-4992-AF92-86CEFED0E45E}"/>
    <cellStyle name="Comma 14 4 3 2 2 2 2" xfId="10838" xr:uid="{413B410F-0982-4614-9516-F6BCE231AC2B}"/>
    <cellStyle name="Comma 14 4 3 2 2 3" xfId="8189" xr:uid="{3B5D3329-601D-481B-AC27-FB1EFFC50C73}"/>
    <cellStyle name="Comma 14 4 3 2 3" xfId="4217" xr:uid="{ADBDD8C1-F835-4456-8EEF-203E7CEDF4DB}"/>
    <cellStyle name="Comma 14 4 3 2 3 2" xfId="9514" xr:uid="{0A05BD4C-7529-4004-9FA2-2F8E38E90D5B}"/>
    <cellStyle name="Comma 14 4 3 2 4" xfId="6865" xr:uid="{C9AF78DD-88F3-427A-BA9C-10AEAB008F58}"/>
    <cellStyle name="Comma 14 4 3 3" xfId="2364" xr:uid="{F8892428-CB86-400E-A3D9-A23E175A9250}"/>
    <cellStyle name="Comma 14 4 3 3 2" xfId="5013" xr:uid="{056D232F-883E-4BD0-9D2B-741DA892312B}"/>
    <cellStyle name="Comma 14 4 3 3 2 2" xfId="10310" xr:uid="{7AE5010A-5C39-41CB-A0F8-361BE79604CB}"/>
    <cellStyle name="Comma 14 4 3 3 3" xfId="7661" xr:uid="{8AABF510-7064-4E28-87A8-C078327A469A}"/>
    <cellStyle name="Comma 14 4 3 4" xfId="3689" xr:uid="{A3F7D01C-79C9-4436-B638-CBD4308646FA}"/>
    <cellStyle name="Comma 14 4 3 4 2" xfId="8986" xr:uid="{3D53A812-22F8-4D4C-9775-87DAB48BAE63}"/>
    <cellStyle name="Comma 14 4 3 5" xfId="6337" xr:uid="{93A1F9FC-26E5-407B-9C89-D6ADBA084630}"/>
    <cellStyle name="Comma 14 4 4" xfId="1288" xr:uid="{C40140EF-45E1-4F56-A024-C65F8A5A313C}"/>
    <cellStyle name="Comma 14 4 4 2" xfId="1816" xr:uid="{4C5AFB43-318A-470B-B283-BD87971A6353}"/>
    <cellStyle name="Comma 14 4 4 2 2" xfId="3156" xr:uid="{1A267B80-5023-48CF-9E77-9427FF6733B2}"/>
    <cellStyle name="Comma 14 4 4 2 2 2" xfId="5805" xr:uid="{A837BBD2-9C80-4F3E-9CEA-576F463F4C1F}"/>
    <cellStyle name="Comma 14 4 4 2 2 2 2" xfId="11102" xr:uid="{8DD12396-FFDB-4035-A83F-5F1E3DCFB5B9}"/>
    <cellStyle name="Comma 14 4 4 2 2 3" xfId="8453" xr:uid="{32D20759-C6D6-4818-BF9A-88D0FBE0723E}"/>
    <cellStyle name="Comma 14 4 4 2 3" xfId="4481" xr:uid="{46848154-3A65-4B4F-BAD3-DE097E9FB86B}"/>
    <cellStyle name="Comma 14 4 4 2 3 2" xfId="9778" xr:uid="{45A2B81E-DF39-4D59-80BB-DD0E56B82D76}"/>
    <cellStyle name="Comma 14 4 4 2 4" xfId="7129" xr:uid="{C18FEB80-15B3-4659-BE96-1B7721D92557}"/>
    <cellStyle name="Comma 14 4 4 3" xfId="2628" xr:uid="{1CA69163-204F-42FF-A55F-96E25C89AB6F}"/>
    <cellStyle name="Comma 14 4 4 3 2" xfId="5277" xr:uid="{455E29EE-551F-43F3-8067-2CCC072039E1}"/>
    <cellStyle name="Comma 14 4 4 3 2 2" xfId="10574" xr:uid="{887B654A-C272-4564-8DE8-87E04D258E32}"/>
    <cellStyle name="Comma 14 4 4 3 3" xfId="7925" xr:uid="{ADDD5FC7-5EC1-4FAE-9C60-B8B84EE42309}"/>
    <cellStyle name="Comma 14 4 4 4" xfId="3953" xr:uid="{3CEE6A9D-D83B-4D8E-A836-C9682022C4AF}"/>
    <cellStyle name="Comma 14 4 4 4 2" xfId="9250" xr:uid="{C7FD02EF-2B2E-472F-97C4-97261C69830A}"/>
    <cellStyle name="Comma 14 4 4 5" xfId="6601" xr:uid="{0EFB6DE5-9DE4-4282-88BE-368C94AD76B4}"/>
    <cellStyle name="Comma 14 4 5" xfId="1420" xr:uid="{5F5AFD0F-846F-475C-B021-A54779388220}"/>
    <cellStyle name="Comma 14 4 5 2" xfId="1948" xr:uid="{694B2D5D-F665-4221-A3DA-734134C7403D}"/>
    <cellStyle name="Comma 14 4 5 2 2" xfId="3288" xr:uid="{60401C14-8592-4F7D-8E52-8542E3C8F297}"/>
    <cellStyle name="Comma 14 4 5 2 2 2" xfId="5937" xr:uid="{64C3B98D-6456-4906-BA3F-E1773AFF30E3}"/>
    <cellStyle name="Comma 14 4 5 2 2 2 2" xfId="11234" xr:uid="{ED7014D4-9F7D-4DEF-9D9E-67A6823C7F39}"/>
    <cellStyle name="Comma 14 4 5 2 2 3" xfId="8585" xr:uid="{694B8C44-1B71-41FA-BA36-816658F2873F}"/>
    <cellStyle name="Comma 14 4 5 2 3" xfId="4613" xr:uid="{7D67A45C-01D2-47AF-B90A-727038DCF72E}"/>
    <cellStyle name="Comma 14 4 5 2 3 2" xfId="9910" xr:uid="{57962727-D1B8-4B70-8FF8-784DF886E700}"/>
    <cellStyle name="Comma 14 4 5 2 4" xfId="7261" xr:uid="{46F91B6D-36C1-4B9D-9EA1-DA4B6F9150BE}"/>
    <cellStyle name="Comma 14 4 5 3" xfId="2760" xr:uid="{43A8FB0B-5728-41AF-89F1-C3226A16A68C}"/>
    <cellStyle name="Comma 14 4 5 3 2" xfId="5409" xr:uid="{FB5B253B-87C8-4D44-8732-F461BE0DF37E}"/>
    <cellStyle name="Comma 14 4 5 3 2 2" xfId="10706" xr:uid="{AE55EDFD-0C81-4B1C-8C1B-4C7AB39D10A4}"/>
    <cellStyle name="Comma 14 4 5 3 3" xfId="8057" xr:uid="{DA87B24F-0742-4BF4-B24D-34F8DE9F8BBF}"/>
    <cellStyle name="Comma 14 4 5 4" xfId="4085" xr:uid="{F2541CAF-68FE-4CC2-98FD-429941D926A1}"/>
    <cellStyle name="Comma 14 4 5 4 2" xfId="9382" xr:uid="{B64796FC-27AD-43BC-8813-34F8F67E30BE}"/>
    <cellStyle name="Comma 14 4 5 5" xfId="6733" xr:uid="{76026D76-0489-44CA-8951-71F85BD74440}"/>
    <cellStyle name="Comma 14 4 6" xfId="2236" xr:uid="{56D990DA-7BC8-44AC-A040-B4DE4F45DCC3}"/>
    <cellStyle name="Comma 14 4 6 2" xfId="4885" xr:uid="{8564311D-6434-4CC2-8762-99EA3A371E0B}"/>
    <cellStyle name="Comma 14 4 6 2 2" xfId="10182" xr:uid="{F2A574B8-8427-4EFF-9285-7BC6FA8CB746}"/>
    <cellStyle name="Comma 14 4 6 3" xfId="7533" xr:uid="{11688A87-A593-432A-8903-D79169EE1773}"/>
    <cellStyle name="Comma 14 4 7" xfId="3561" xr:uid="{169C1D22-191D-48C8-B62C-5EC229BF9CE6}"/>
    <cellStyle name="Comma 14 4 7 2" xfId="8858" xr:uid="{0FE2FB5C-C9A5-4CD4-901E-286878315E4E}"/>
    <cellStyle name="Comma 14 4 8" xfId="6209" xr:uid="{6AEF4165-C715-4889-B7DC-B070992EF7D5}"/>
    <cellStyle name="Comma 14 5" xfId="1084" xr:uid="{CCB4B868-4240-41A1-B706-FC70BDA22CE9}"/>
    <cellStyle name="Comma 14 5 2" xfId="1622" xr:uid="{30FCF18D-F08F-4C16-AB88-27A8C3E7E6F4}"/>
    <cellStyle name="Comma 14 5 2 2" xfId="2962" xr:uid="{84E2B434-5280-4C63-B5F8-A8536D3862D6}"/>
    <cellStyle name="Comma 14 5 2 2 2" xfId="5611" xr:uid="{07D2B2BB-9D86-4781-AC2A-D41D8FAB22E9}"/>
    <cellStyle name="Comma 14 5 2 2 2 2" xfId="10908" xr:uid="{D7CF9E96-3D36-47DC-AD2E-3B2294A7D7A9}"/>
    <cellStyle name="Comma 14 5 2 2 3" xfId="8259" xr:uid="{7867565B-B043-4C0A-80D0-E1C9FBF84956}"/>
    <cellStyle name="Comma 14 5 2 3" xfId="4287" xr:uid="{18644579-F8A6-4645-9F5A-F29B2E824CC2}"/>
    <cellStyle name="Comma 14 5 2 3 2" xfId="9584" xr:uid="{9FC644A5-4654-471F-9B1F-D9F47B72330A}"/>
    <cellStyle name="Comma 14 5 2 4" xfId="6935" xr:uid="{39B64550-B4EA-4B62-ABBA-1ACEF7B75E86}"/>
    <cellStyle name="Comma 14 5 3" xfId="2434" xr:uid="{1D6A1514-BE0B-4491-8E66-DCFB044F66E8}"/>
    <cellStyle name="Comma 14 5 3 2" xfId="5083" xr:uid="{19FDD6AC-83AF-437A-80FF-26111AE184FB}"/>
    <cellStyle name="Comma 14 5 3 2 2" xfId="10380" xr:uid="{E6C6EA75-A787-4B38-ADC5-C51A2F80E427}"/>
    <cellStyle name="Comma 14 5 3 3" xfId="7731" xr:uid="{6FCAB30E-B8FA-4A0F-B915-A3D7CB63CD19}"/>
    <cellStyle name="Comma 14 5 4" xfId="3759" xr:uid="{EBCC5FD6-ABE2-4873-9E65-2AFDD00DEA13}"/>
    <cellStyle name="Comma 14 5 4 2" xfId="9056" xr:uid="{06B7567D-B7B7-4105-B170-F202183E8575}"/>
    <cellStyle name="Comma 14 5 5" xfId="6407" xr:uid="{BC8E9DA1-5E1B-4D5E-BF99-FD59245001CE}"/>
    <cellStyle name="Comma 14 6" xfId="937" xr:uid="{B31A0FB3-FC71-4FA5-A53F-D042026AD4E9}"/>
    <cellStyle name="Comma 14 6 2" xfId="1490" xr:uid="{E9B1DF7E-3EE0-4190-BCE1-E9DF5580B019}"/>
    <cellStyle name="Comma 14 6 2 2" xfId="2830" xr:uid="{BCA5E41E-5ED3-467B-A6BD-8AC1C57349D2}"/>
    <cellStyle name="Comma 14 6 2 2 2" xfId="5479" xr:uid="{AFDB9391-B4DB-4D65-99EF-F18BAB5F8B7D}"/>
    <cellStyle name="Comma 14 6 2 2 2 2" xfId="10776" xr:uid="{823C4ED5-5612-4483-B512-07C2DA10B6CA}"/>
    <cellStyle name="Comma 14 6 2 2 3" xfId="8127" xr:uid="{E4DA7540-C099-4494-B408-52B9C989D20A}"/>
    <cellStyle name="Comma 14 6 2 3" xfId="4155" xr:uid="{645C15C1-F9B7-4B0D-AF45-393D1BCC5D60}"/>
    <cellStyle name="Comma 14 6 2 3 2" xfId="9452" xr:uid="{61535792-8F55-4BCB-AF63-CAA9441E7808}"/>
    <cellStyle name="Comma 14 6 2 4" xfId="6803" xr:uid="{A9BC01F8-6EA3-47D8-836D-2B68018DA72F}"/>
    <cellStyle name="Comma 14 6 3" xfId="2302" xr:uid="{D69B3A6B-EC79-458D-9FC5-76C3AEF3DE5F}"/>
    <cellStyle name="Comma 14 6 3 2" xfId="4951" xr:uid="{2CB22D78-8CD0-43EB-8FFD-FAD3F27A3C0C}"/>
    <cellStyle name="Comma 14 6 3 2 2" xfId="10248" xr:uid="{8F31620B-88AF-4D96-B2B4-84AA6BF18256}"/>
    <cellStyle name="Comma 14 6 3 3" xfId="7599" xr:uid="{CE414E5C-AEB3-44B5-8CF9-0729FE66199B}"/>
    <cellStyle name="Comma 14 6 4" xfId="3627" xr:uid="{0EF8C743-CC69-4C40-827D-CF58CFB3F63C}"/>
    <cellStyle name="Comma 14 6 4 2" xfId="8924" xr:uid="{2AAE5215-410E-4A43-AD6C-1D559ED5D4ED}"/>
    <cellStyle name="Comma 14 6 5" xfId="6275" xr:uid="{6CEB7783-BBAA-4176-98C4-279034723C12}"/>
    <cellStyle name="Comma 14 7" xfId="1226" xr:uid="{47BD464A-A056-4305-8E15-2F4FB862DA6A}"/>
    <cellStyle name="Comma 14 7 2" xfId="1754" xr:uid="{F70F1DD9-1B23-405D-BDB4-57FDEC73F8B1}"/>
    <cellStyle name="Comma 14 7 2 2" xfId="3094" xr:uid="{2F055C8B-F78D-47C5-A8E0-82317E80AF5B}"/>
    <cellStyle name="Comma 14 7 2 2 2" xfId="5743" xr:uid="{834E4F01-BF59-4E73-A8C2-21806A7DE9A7}"/>
    <cellStyle name="Comma 14 7 2 2 2 2" xfId="11040" xr:uid="{5EE8B957-A4DA-4A7C-AD0E-9F1649C108D0}"/>
    <cellStyle name="Comma 14 7 2 2 3" xfId="8391" xr:uid="{8D43F9D5-5655-4F26-B3D8-43884C24DC21}"/>
    <cellStyle name="Comma 14 7 2 3" xfId="4419" xr:uid="{521D5494-D399-40C5-8C1A-BA8D39FADA0E}"/>
    <cellStyle name="Comma 14 7 2 3 2" xfId="9716" xr:uid="{302E8D5C-7F2D-4B2C-9E10-44FE73E078C7}"/>
    <cellStyle name="Comma 14 7 2 4" xfId="7067" xr:uid="{E1406979-1706-47D2-9886-C512C88E1598}"/>
    <cellStyle name="Comma 14 7 3" xfId="2566" xr:uid="{B17C9771-48ED-46B0-8647-57F81BE3A14B}"/>
    <cellStyle name="Comma 14 7 3 2" xfId="5215" xr:uid="{13076672-02F9-4316-AADC-4744BBCEAAA8}"/>
    <cellStyle name="Comma 14 7 3 2 2" xfId="10512" xr:uid="{F2B2B305-D6C9-4240-AE79-5C56B52F1693}"/>
    <cellStyle name="Comma 14 7 3 3" xfId="7863" xr:uid="{8209BC52-4833-4AA7-8CFE-9B5875C01863}"/>
    <cellStyle name="Comma 14 7 4" xfId="3891" xr:uid="{D05DDE5E-EC87-4104-B9B1-ECF898E02408}"/>
    <cellStyle name="Comma 14 7 4 2" xfId="9188" xr:uid="{E69C5EC0-61B9-45B1-8339-D34D4DB92A65}"/>
    <cellStyle name="Comma 14 7 5" xfId="6539" xr:uid="{DD8078EE-23A5-4369-A9CC-B0E2ACBDF02C}"/>
    <cellStyle name="Comma 14 8" xfId="1358" xr:uid="{FC39C864-375C-4E40-89FC-D6B1854C92E1}"/>
    <cellStyle name="Comma 14 8 2" xfId="1886" xr:uid="{F0394C84-8D1D-4757-A377-4637AEC7FA6B}"/>
    <cellStyle name="Comma 14 8 2 2" xfId="3226" xr:uid="{D5A947AD-1E2D-49DD-87E4-19C759BD7934}"/>
    <cellStyle name="Comma 14 8 2 2 2" xfId="5875" xr:uid="{243EAE7C-1807-4300-A503-57C39D81F9F9}"/>
    <cellStyle name="Comma 14 8 2 2 2 2" xfId="11172" xr:uid="{DF1C03D3-8B5B-4470-ACA2-8D4DBBABA127}"/>
    <cellStyle name="Comma 14 8 2 2 3" xfId="8523" xr:uid="{B6AFC9B6-8E8E-4B6E-AE04-73215592419D}"/>
    <cellStyle name="Comma 14 8 2 3" xfId="4551" xr:uid="{5A3DBDC1-4ACB-44C7-B405-D98FDCCD4D7C}"/>
    <cellStyle name="Comma 14 8 2 3 2" xfId="9848" xr:uid="{DBFF08D4-E990-48D7-B647-74B085D053A4}"/>
    <cellStyle name="Comma 14 8 2 4" xfId="7199" xr:uid="{EAF3B9E8-459E-4F0E-A03F-930DC22CE311}"/>
    <cellStyle name="Comma 14 8 3" xfId="2698" xr:uid="{1A57A243-994B-4D98-B2E5-DAFD3C1EB083}"/>
    <cellStyle name="Comma 14 8 3 2" xfId="5347" xr:uid="{AD6936CD-522E-41AE-B518-EE1B642F6282}"/>
    <cellStyle name="Comma 14 8 3 2 2" xfId="10644" xr:uid="{622276FA-8535-44C1-95FF-DF1AFA8C278B}"/>
    <cellStyle name="Comma 14 8 3 3" xfId="7995" xr:uid="{B08AC9C0-0A1C-41F1-950E-AEA03EEF45B1}"/>
    <cellStyle name="Comma 14 8 4" xfId="4023" xr:uid="{EB9B9EF1-3853-4F9E-9936-D18A26395497}"/>
    <cellStyle name="Comma 14 8 4 2" xfId="9320" xr:uid="{2DD70968-4BFE-4FCA-8CD9-8D4A8DBCEEE9}"/>
    <cellStyle name="Comma 14 8 5" xfId="6671" xr:uid="{041ED290-FECB-4BEA-B8F8-D1174D64DF62}"/>
    <cellStyle name="Comma 14 9" xfId="2182" xr:uid="{6B178A16-D30C-4C0D-AE11-416428F6E05A}"/>
    <cellStyle name="Comma 14 9 2" xfId="4831" xr:uid="{91F670B8-B159-4D63-8D46-B3B9597BF4E3}"/>
    <cellStyle name="Comma 14 9 2 2" xfId="10128" xr:uid="{3C2E8D74-02A6-4D23-BC07-AA08FC1DABC3}"/>
    <cellStyle name="Comma 14 9 3" xfId="7479" xr:uid="{6CAACE03-3CB1-4C73-86BE-9D9E1709B24F}"/>
    <cellStyle name="Comma 15" xfId="506" xr:uid="{A67A7277-D2E6-4242-ACEE-ECE174250FCA}"/>
    <cellStyle name="Comma 15 10" xfId="6156" xr:uid="{695FEB2F-98BB-493A-A31D-CB38ED302285}"/>
    <cellStyle name="Comma 15 2" xfId="642" xr:uid="{15042D25-1A90-43C3-85EE-46B7DECC6F0F}"/>
    <cellStyle name="Comma 15 2 2" xfId="915" xr:uid="{E4C4313C-8892-4540-8ECD-8EA2F5456079}"/>
    <cellStyle name="Comma 15 2 2 2" xfId="1204" xr:uid="{D0EFFA07-F56C-4A38-A6E6-6869209177E1}"/>
    <cellStyle name="Comma 15 2 2 2 2" xfId="1732" xr:uid="{6FBCE1AD-FB6F-4A77-89F4-FEA9FD633559}"/>
    <cellStyle name="Comma 15 2 2 2 2 2" xfId="3072" xr:uid="{6C9239FC-F102-406F-B824-1DE16C973F7D}"/>
    <cellStyle name="Comma 15 2 2 2 2 2 2" xfId="5721" xr:uid="{3D99EC28-7227-44EC-94BB-DFD166D1A4EB}"/>
    <cellStyle name="Comma 15 2 2 2 2 2 2 2" xfId="11018" xr:uid="{690D7356-711A-4C94-93BF-C9F4ED03A3D3}"/>
    <cellStyle name="Comma 15 2 2 2 2 2 3" xfId="8369" xr:uid="{2F724E2E-A2A4-47B3-AF38-B1BD1D49E95C}"/>
    <cellStyle name="Comma 15 2 2 2 2 3" xfId="4397" xr:uid="{3ABC773C-5E90-4B4E-89ED-0C5C25E4CACF}"/>
    <cellStyle name="Comma 15 2 2 2 2 3 2" xfId="9694" xr:uid="{0CB0D3FD-DBED-44E8-8164-FEACE217FC65}"/>
    <cellStyle name="Comma 15 2 2 2 2 4" xfId="7045" xr:uid="{D2278ED4-BA1B-47BF-9BC9-6883DCB06A49}"/>
    <cellStyle name="Comma 15 2 2 2 3" xfId="2544" xr:uid="{37567F80-64EB-42A7-A9D6-89157E1F9D30}"/>
    <cellStyle name="Comma 15 2 2 2 3 2" xfId="5193" xr:uid="{219D88A2-14E1-44C4-86FA-431ECDC4E77B}"/>
    <cellStyle name="Comma 15 2 2 2 3 2 2" xfId="10490" xr:uid="{526604F0-434B-4B9E-8E62-A294DCAA9752}"/>
    <cellStyle name="Comma 15 2 2 2 3 3" xfId="7841" xr:uid="{43CD1932-5354-43FF-B28C-83824C7C98E7}"/>
    <cellStyle name="Comma 15 2 2 2 4" xfId="3869" xr:uid="{A92CEE65-CF33-45A1-B18E-653133EACF41}"/>
    <cellStyle name="Comma 15 2 2 2 4 2" xfId="9166" xr:uid="{EE490E93-F916-4771-9E7D-525730CE2F42}"/>
    <cellStyle name="Comma 15 2 2 2 5" xfId="6517" xr:uid="{E62AFC52-716C-4710-A411-CD3D3B13F059}"/>
    <cellStyle name="Comma 15 2 2 3" xfId="1061" xr:uid="{696B749E-0F45-424F-B828-DC8306478D94}"/>
    <cellStyle name="Comma 15 2 2 3 2" xfId="1600" xr:uid="{A12CECA9-4E6B-4A79-85B6-1A888C83EB94}"/>
    <cellStyle name="Comma 15 2 2 3 2 2" xfId="2940" xr:uid="{493CE024-98F6-4D41-8299-D13F1C80F9C1}"/>
    <cellStyle name="Comma 15 2 2 3 2 2 2" xfId="5589" xr:uid="{1A1DC004-6F05-4F13-ABC6-0DB0E6A146CB}"/>
    <cellStyle name="Comma 15 2 2 3 2 2 2 2" xfId="10886" xr:uid="{8990A445-EC47-446C-BA91-528255285819}"/>
    <cellStyle name="Comma 15 2 2 3 2 2 3" xfId="8237" xr:uid="{9E399ABF-72FC-48C6-8E16-05A8C0B99492}"/>
    <cellStyle name="Comma 15 2 2 3 2 3" xfId="4265" xr:uid="{B8DF254B-9B7B-4B74-B3AD-7AC390645390}"/>
    <cellStyle name="Comma 15 2 2 3 2 3 2" xfId="9562" xr:uid="{3B040261-766B-45FD-8A6A-6E1A5137E0B2}"/>
    <cellStyle name="Comma 15 2 2 3 2 4" xfId="6913" xr:uid="{1D2735A2-CF21-4EBA-A761-3996375EF5AA}"/>
    <cellStyle name="Comma 15 2 2 3 3" xfId="2412" xr:uid="{8670F74C-2D1C-45E1-9571-DA9A76DB79C0}"/>
    <cellStyle name="Comma 15 2 2 3 3 2" xfId="5061" xr:uid="{FAC9F3EB-0BFD-413C-B77C-46A102D693B5}"/>
    <cellStyle name="Comma 15 2 2 3 3 2 2" xfId="10358" xr:uid="{0AA86435-40F0-44FB-91EC-57E25BAA4E52}"/>
    <cellStyle name="Comma 15 2 2 3 3 3" xfId="7709" xr:uid="{BC7B59C4-E44E-40E8-9DFC-9E025BEB7E5C}"/>
    <cellStyle name="Comma 15 2 2 3 4" xfId="3737" xr:uid="{D21C1D8E-435A-4790-9995-EB98E11145CA}"/>
    <cellStyle name="Comma 15 2 2 3 4 2" xfId="9034" xr:uid="{66A12B6B-AB9E-4C14-A21E-E0C906FE43DB}"/>
    <cellStyle name="Comma 15 2 2 3 5" xfId="6385" xr:uid="{ED8D45B9-B5A5-4F80-B6BB-9B58C09EC849}"/>
    <cellStyle name="Comma 15 2 2 4" xfId="1336" xr:uid="{8759C05A-FC6A-4B09-86BD-50B1E817E089}"/>
    <cellStyle name="Comma 15 2 2 4 2" xfId="1864" xr:uid="{8E9F587C-F372-4068-BE95-C21715626334}"/>
    <cellStyle name="Comma 15 2 2 4 2 2" xfId="3204" xr:uid="{5A8286F3-D383-456A-85B8-2F6D385D0966}"/>
    <cellStyle name="Comma 15 2 2 4 2 2 2" xfId="5853" xr:uid="{26B9214D-CDB2-4560-BFE0-BA16D9746147}"/>
    <cellStyle name="Comma 15 2 2 4 2 2 2 2" xfId="11150" xr:uid="{AD976071-80AD-4FAE-BFED-61AC75AD325C}"/>
    <cellStyle name="Comma 15 2 2 4 2 2 3" xfId="8501" xr:uid="{49E0AB45-FC66-4093-823E-3A550DAD8286}"/>
    <cellStyle name="Comma 15 2 2 4 2 3" xfId="4529" xr:uid="{2D9ED45B-DA7A-450A-8887-0C84AC8CF9C0}"/>
    <cellStyle name="Comma 15 2 2 4 2 3 2" xfId="9826" xr:uid="{C4BCE3BB-596F-4C27-8C71-DD04A3AAD89E}"/>
    <cellStyle name="Comma 15 2 2 4 2 4" xfId="7177" xr:uid="{2E2AB6D5-7D4E-4E6C-909D-6E08BBA91162}"/>
    <cellStyle name="Comma 15 2 2 4 3" xfId="2676" xr:uid="{1807B682-8395-4A0F-9D8A-921572799A4D}"/>
    <cellStyle name="Comma 15 2 2 4 3 2" xfId="5325" xr:uid="{6CEC097C-9E61-4B6E-8058-3AD6B8AA0CF7}"/>
    <cellStyle name="Comma 15 2 2 4 3 2 2" xfId="10622" xr:uid="{3633B061-8554-4CEF-8979-4BCE24EABC5B}"/>
    <cellStyle name="Comma 15 2 2 4 3 3" xfId="7973" xr:uid="{316720D8-1629-4761-B7C4-3304270987ED}"/>
    <cellStyle name="Comma 15 2 2 4 4" xfId="4001" xr:uid="{43442E0D-C6EA-49AF-AB05-01CA1FF9C533}"/>
    <cellStyle name="Comma 15 2 2 4 4 2" xfId="9298" xr:uid="{8173242C-E6C6-480C-9360-34C42C55A22F}"/>
    <cellStyle name="Comma 15 2 2 4 5" xfId="6649" xr:uid="{4F0DBF7D-3EF7-449E-B4B7-AA2A01B8820F}"/>
    <cellStyle name="Comma 15 2 2 5" xfId="1468" xr:uid="{79062EF8-0439-4651-9F53-B10C49754B5B}"/>
    <cellStyle name="Comma 15 2 2 5 2" xfId="1996" xr:uid="{0501A6E7-8BB3-432C-BE5D-C6568662287E}"/>
    <cellStyle name="Comma 15 2 2 5 2 2" xfId="3336" xr:uid="{E062B22E-66D6-45DB-A96C-AACF83FADA0E}"/>
    <cellStyle name="Comma 15 2 2 5 2 2 2" xfId="5985" xr:uid="{834FBF62-48E8-4A9A-8863-C40441EF52E7}"/>
    <cellStyle name="Comma 15 2 2 5 2 2 2 2" xfId="11282" xr:uid="{950B0CCF-BEBC-40E7-BED8-16D79D2E0C95}"/>
    <cellStyle name="Comma 15 2 2 5 2 2 3" xfId="8633" xr:uid="{305FC0A6-9F18-4F23-A016-6353D4EB2450}"/>
    <cellStyle name="Comma 15 2 2 5 2 3" xfId="4661" xr:uid="{09902A94-F38F-40BE-93B4-82D89B689B47}"/>
    <cellStyle name="Comma 15 2 2 5 2 3 2" xfId="9958" xr:uid="{BEB4FB26-C8AB-4910-9EC0-9CF8A5A17E4F}"/>
    <cellStyle name="Comma 15 2 2 5 2 4" xfId="7309" xr:uid="{E240AC30-3EA1-4FBC-9644-60F034AB8270}"/>
    <cellStyle name="Comma 15 2 2 5 3" xfId="2808" xr:uid="{C1CA4BB8-99C8-4682-B735-45137E6B4C36}"/>
    <cellStyle name="Comma 15 2 2 5 3 2" xfId="5457" xr:uid="{9E4D31C8-20E2-404A-90D0-C22F68D1E4E1}"/>
    <cellStyle name="Comma 15 2 2 5 3 2 2" xfId="10754" xr:uid="{244495B4-74AF-47A0-919B-79D8A92B08EF}"/>
    <cellStyle name="Comma 15 2 2 5 3 3" xfId="8105" xr:uid="{A752EF29-B026-4E8A-9FBA-B0535CBADDAC}"/>
    <cellStyle name="Comma 15 2 2 5 4" xfId="4133" xr:uid="{0BC19DBF-F37D-450D-AF2E-8A436D06EED1}"/>
    <cellStyle name="Comma 15 2 2 5 4 2" xfId="9430" xr:uid="{275A9699-7319-4241-A109-E2BE509B4F07}"/>
    <cellStyle name="Comma 15 2 2 5 5" xfId="6781" xr:uid="{CB4072EC-0705-4C3D-BCF0-F3E3D342A4E8}"/>
    <cellStyle name="Comma 15 2 2 6" xfId="2282" xr:uid="{C51A4402-FB3B-4C7B-85FE-2F09F0E26242}"/>
    <cellStyle name="Comma 15 2 2 6 2" xfId="4931" xr:uid="{00D54BF2-32FF-4418-9764-47E4BDBA274D}"/>
    <cellStyle name="Comma 15 2 2 6 2 2" xfId="10228" xr:uid="{806D3701-FC81-4805-A81A-6E248B827C7B}"/>
    <cellStyle name="Comma 15 2 2 6 3" xfId="7579" xr:uid="{4CCD8038-DFAB-4ED4-B39A-BA58469C9E8B}"/>
    <cellStyle name="Comma 15 2 2 7" xfId="3607" xr:uid="{A3881520-FB28-49B8-842D-912BB3679079}"/>
    <cellStyle name="Comma 15 2 2 7 2" xfId="8904" xr:uid="{DBBF2E05-DB32-4184-8285-DAB5417095D0}"/>
    <cellStyle name="Comma 15 2 2 8" xfId="6255" xr:uid="{082F7510-392F-4804-9F13-C85537E56E3D}"/>
    <cellStyle name="Comma 15 2 3" xfId="1112" xr:uid="{8FEE5AA9-0F9B-49D0-B5A3-7FA85AC7E378}"/>
    <cellStyle name="Comma 15 2 3 2" xfId="1646" xr:uid="{0E58DF32-DDD3-4AEB-AA6D-4745ED2894C4}"/>
    <cellStyle name="Comma 15 2 3 2 2" xfId="2986" xr:uid="{808CE101-FDF3-4AE3-A418-81A529F21ED4}"/>
    <cellStyle name="Comma 15 2 3 2 2 2" xfId="5635" xr:uid="{D47297D0-A17E-43ED-B556-EF2808643834}"/>
    <cellStyle name="Comma 15 2 3 2 2 2 2" xfId="10932" xr:uid="{D62A143A-96A1-4A81-9BE3-BCC09BF5B271}"/>
    <cellStyle name="Comma 15 2 3 2 2 3" xfId="8283" xr:uid="{41F35968-3DB6-43AB-927C-0F4AA575F9C1}"/>
    <cellStyle name="Comma 15 2 3 2 3" xfId="4311" xr:uid="{2A61AAE6-F429-4E26-AF53-0A7244236F12}"/>
    <cellStyle name="Comma 15 2 3 2 3 2" xfId="9608" xr:uid="{C46617B5-4027-4334-BB10-8F079C1DF3C9}"/>
    <cellStyle name="Comma 15 2 3 2 4" xfId="6959" xr:uid="{E9053C65-FF10-4D62-BC06-59E51056009D}"/>
    <cellStyle name="Comma 15 2 3 3" xfId="2458" xr:uid="{52E4982F-90BE-40B1-B612-BE9BF8FF5B0C}"/>
    <cellStyle name="Comma 15 2 3 3 2" xfId="5107" xr:uid="{C2DC1494-4DB9-4453-AE63-64DC4F6ECE71}"/>
    <cellStyle name="Comma 15 2 3 3 2 2" xfId="10404" xr:uid="{63C1B2E2-D7E8-4680-B32D-D43318464CD9}"/>
    <cellStyle name="Comma 15 2 3 3 3" xfId="7755" xr:uid="{2445FDB6-9178-480B-A9E5-95245B4F3354}"/>
    <cellStyle name="Comma 15 2 3 4" xfId="3783" xr:uid="{8474DC4D-BC78-4676-9756-9665CF0007BE}"/>
    <cellStyle name="Comma 15 2 3 4 2" xfId="9080" xr:uid="{351B691A-10B3-457C-942E-884D0CD15B26}"/>
    <cellStyle name="Comma 15 2 3 5" xfId="6431" xr:uid="{5FD6A292-2F81-4C06-8023-5CE4324EA54F}"/>
    <cellStyle name="Comma 15 2 4" xfId="966" xr:uid="{E6ABF366-15DB-4265-B8F8-C3BC18F7387B}"/>
    <cellStyle name="Comma 15 2 4 2" xfId="1514" xr:uid="{6DC6950E-B454-489A-8A6B-B9E2DC0BCA95}"/>
    <cellStyle name="Comma 15 2 4 2 2" xfId="2854" xr:uid="{3297C21E-C30C-485D-87F9-1E4F244B72D1}"/>
    <cellStyle name="Comma 15 2 4 2 2 2" xfId="5503" xr:uid="{442CAF50-ED41-4AEA-913E-5E2AAAF8F30C}"/>
    <cellStyle name="Comma 15 2 4 2 2 2 2" xfId="10800" xr:uid="{B58509BC-D149-4846-AE06-7A21FA0FD5E2}"/>
    <cellStyle name="Comma 15 2 4 2 2 3" xfId="8151" xr:uid="{EFB0D07F-AE2D-48B2-B884-380D20E0A392}"/>
    <cellStyle name="Comma 15 2 4 2 3" xfId="4179" xr:uid="{EC2D2A57-FEA8-4299-B89B-59B258B1FAC8}"/>
    <cellStyle name="Comma 15 2 4 2 3 2" xfId="9476" xr:uid="{31999615-07FD-4643-97E1-D60D6AA533B3}"/>
    <cellStyle name="Comma 15 2 4 2 4" xfId="6827" xr:uid="{158DD950-1887-4ECE-B817-CEF8B36C7C43}"/>
    <cellStyle name="Comma 15 2 4 3" xfId="2326" xr:uid="{4731586A-DDFF-42A8-835C-09EF14B73451}"/>
    <cellStyle name="Comma 15 2 4 3 2" xfId="4975" xr:uid="{03493944-2B05-4788-B077-6E8A3DAE781E}"/>
    <cellStyle name="Comma 15 2 4 3 2 2" xfId="10272" xr:uid="{8144441F-ECC0-4CFA-A9E4-3807953D6A72}"/>
    <cellStyle name="Comma 15 2 4 3 3" xfId="7623" xr:uid="{5977B8E6-D7EC-42E3-A935-288D76968153}"/>
    <cellStyle name="Comma 15 2 4 4" xfId="3651" xr:uid="{C4930DB6-6E8D-4E55-AA1C-9B69677A5E17}"/>
    <cellStyle name="Comma 15 2 4 4 2" xfId="8948" xr:uid="{06B3B8BB-934D-47F5-AAAF-6926EE1C5554}"/>
    <cellStyle name="Comma 15 2 4 5" xfId="6299" xr:uid="{679D59C2-8F64-4085-B401-1B674A1CA587}"/>
    <cellStyle name="Comma 15 2 5" xfId="1250" xr:uid="{D455B970-FF1C-4A32-80C3-42E9A5D53E53}"/>
    <cellStyle name="Comma 15 2 5 2" xfId="1778" xr:uid="{1C20A814-1945-4EC6-A5FC-8BF5619F7FF5}"/>
    <cellStyle name="Comma 15 2 5 2 2" xfId="3118" xr:uid="{D94A3BED-F4E4-4DFA-8735-E3BB02EAECC0}"/>
    <cellStyle name="Comma 15 2 5 2 2 2" xfId="5767" xr:uid="{4D13086B-A59D-45A5-B8D5-D56767C999A7}"/>
    <cellStyle name="Comma 15 2 5 2 2 2 2" xfId="11064" xr:uid="{AC98A0EF-E198-4A0F-A460-094B950487E8}"/>
    <cellStyle name="Comma 15 2 5 2 2 3" xfId="8415" xr:uid="{BE28F44A-86A3-4EE3-83FE-81F17A8C5B0C}"/>
    <cellStyle name="Comma 15 2 5 2 3" xfId="4443" xr:uid="{A414FA52-032F-499F-861A-4CB365D23461}"/>
    <cellStyle name="Comma 15 2 5 2 3 2" xfId="9740" xr:uid="{C378BBDD-2411-4A21-BC17-4D25ACA4F67F}"/>
    <cellStyle name="Comma 15 2 5 2 4" xfId="7091" xr:uid="{278F45A4-67CE-42D4-8723-B19876A3DB60}"/>
    <cellStyle name="Comma 15 2 5 3" xfId="2590" xr:uid="{526660DE-B48B-49E8-ADBB-7633B9E2FDEE}"/>
    <cellStyle name="Comma 15 2 5 3 2" xfId="5239" xr:uid="{BCB5440A-6828-4F83-8AD6-B7EB96599194}"/>
    <cellStyle name="Comma 15 2 5 3 2 2" xfId="10536" xr:uid="{251D3068-9747-49D0-BFBE-2491D37755F6}"/>
    <cellStyle name="Comma 15 2 5 3 3" xfId="7887" xr:uid="{55408941-52E0-453A-88C8-62AE7324FD50}"/>
    <cellStyle name="Comma 15 2 5 4" xfId="3915" xr:uid="{D247AC47-EF27-478D-A3B0-4F1EB28477BD}"/>
    <cellStyle name="Comma 15 2 5 4 2" xfId="9212" xr:uid="{CF23A9F6-AAF1-4C6F-94BB-3A64E5E0995B}"/>
    <cellStyle name="Comma 15 2 5 5" xfId="6563" xr:uid="{D5A563B3-AE7E-4D15-8FD8-39ABC1047841}"/>
    <cellStyle name="Comma 15 2 6" xfId="1382" xr:uid="{EBBF24E1-33BA-463E-A9F2-341F97F997E8}"/>
    <cellStyle name="Comma 15 2 6 2" xfId="1910" xr:uid="{7E4C2D9A-33C2-432A-AA27-FBC826542710}"/>
    <cellStyle name="Comma 15 2 6 2 2" xfId="3250" xr:uid="{D58A364E-B274-4FC3-8064-499B5837FCFD}"/>
    <cellStyle name="Comma 15 2 6 2 2 2" xfId="5899" xr:uid="{820DD479-3249-4913-94A8-D75FA078B590}"/>
    <cellStyle name="Comma 15 2 6 2 2 2 2" xfId="11196" xr:uid="{2AB025BD-9F63-4492-A05A-195288BE3DC8}"/>
    <cellStyle name="Comma 15 2 6 2 2 3" xfId="8547" xr:uid="{F51D3EA8-256A-4C74-88EA-A3ED2AB55BC3}"/>
    <cellStyle name="Comma 15 2 6 2 3" xfId="4575" xr:uid="{3BDC7113-9B00-4477-9F1A-34F744270598}"/>
    <cellStyle name="Comma 15 2 6 2 3 2" xfId="9872" xr:uid="{1728081A-964E-45CE-AA74-D209F1B575C6}"/>
    <cellStyle name="Comma 15 2 6 2 4" xfId="7223" xr:uid="{BE356D98-EED4-4F37-B02D-B49F167D6ED5}"/>
    <cellStyle name="Comma 15 2 6 3" xfId="2722" xr:uid="{D5B7D382-1A01-4E2B-823C-B2952139A06E}"/>
    <cellStyle name="Comma 15 2 6 3 2" xfId="5371" xr:uid="{F3319857-A601-4EFA-92FD-002CBC8E14F2}"/>
    <cellStyle name="Comma 15 2 6 3 2 2" xfId="10668" xr:uid="{A10A94D7-9EC8-4CF7-A2EF-D801D6DC61CD}"/>
    <cellStyle name="Comma 15 2 6 3 3" xfId="8019" xr:uid="{3C9E5BCF-1B9C-493B-8481-47272047F72D}"/>
    <cellStyle name="Comma 15 2 6 4" xfId="4047" xr:uid="{87CC4D68-464E-4C4A-B299-62B036357C89}"/>
    <cellStyle name="Comma 15 2 6 4 2" xfId="9344" xr:uid="{4599CC84-1928-4D24-8F84-E5AF0B84046A}"/>
    <cellStyle name="Comma 15 2 6 5" xfId="6695" xr:uid="{F4D293C6-5B3E-4539-8D01-5B22055DBAEF}"/>
    <cellStyle name="Comma 15 2 7" xfId="2202" xr:uid="{68A9944F-1875-49CD-9880-478433846EB7}"/>
    <cellStyle name="Comma 15 2 7 2" xfId="4851" xr:uid="{557EFE1F-A93F-447F-AD31-A49B904665F6}"/>
    <cellStyle name="Comma 15 2 7 2 2" xfId="10148" xr:uid="{B5C01B9A-09E4-46D7-A9AB-746FC04B4D09}"/>
    <cellStyle name="Comma 15 2 7 3" xfId="7499" xr:uid="{97912B4F-754D-489F-B724-A4CB2650F8A7}"/>
    <cellStyle name="Comma 15 2 8" xfId="3527" xr:uid="{19226A41-7EE3-424A-8F56-F89B35B1959B}"/>
    <cellStyle name="Comma 15 2 8 2" xfId="8824" xr:uid="{EEE6E242-ECEF-4260-828E-B32ABDEE89D4}"/>
    <cellStyle name="Comma 15 2 9" xfId="6175" xr:uid="{BD0F72D3-9EA6-45E1-B375-E2556B220AD6}"/>
    <cellStyle name="Comma 15 3" xfId="847" xr:uid="{63F02C53-FC9D-4E1C-9707-35A76A86F537}"/>
    <cellStyle name="Comma 15 3 2" xfId="1181" xr:uid="{00FAED3E-0DAF-4F1C-95EA-3FF9710F3169}"/>
    <cellStyle name="Comma 15 3 2 2" xfId="1712" xr:uid="{FC75FDF7-6182-44FB-B02D-E329B6124767}"/>
    <cellStyle name="Comma 15 3 2 2 2" xfId="3052" xr:uid="{EF7B863F-A6AD-40F5-A5CE-970C073C4815}"/>
    <cellStyle name="Comma 15 3 2 2 2 2" xfId="5701" xr:uid="{4211987D-CDA5-4B9A-9A5D-448508A305BE}"/>
    <cellStyle name="Comma 15 3 2 2 2 2 2" xfId="10998" xr:uid="{D8650EC1-AB41-47BA-98DC-6F011E1FCB31}"/>
    <cellStyle name="Comma 15 3 2 2 2 3" xfId="8349" xr:uid="{6077FB5F-8EBA-4052-9CD3-7B47262FC0FC}"/>
    <cellStyle name="Comma 15 3 2 2 3" xfId="4377" xr:uid="{A3B336C9-E0B8-47C9-8B59-95E348532FE2}"/>
    <cellStyle name="Comma 15 3 2 2 3 2" xfId="9674" xr:uid="{ED87A61A-74E0-4224-8C5D-742A5B8901F4}"/>
    <cellStyle name="Comma 15 3 2 2 4" xfId="7025" xr:uid="{032F3C9E-F449-4975-93AF-4B9254A0F384}"/>
    <cellStyle name="Comma 15 3 2 3" xfId="2524" xr:uid="{4439CE71-2FB5-41AE-AA48-DB38105232F3}"/>
    <cellStyle name="Comma 15 3 2 3 2" xfId="5173" xr:uid="{0D8B50AD-878F-47D0-AFF5-415BB544CF2A}"/>
    <cellStyle name="Comma 15 3 2 3 2 2" xfId="10470" xr:uid="{29CE040E-B148-4C74-B8B6-88DA905E188D}"/>
    <cellStyle name="Comma 15 3 2 3 3" xfId="7821" xr:uid="{C8DDFE01-BB98-4672-A39A-71D14ED9AC0A}"/>
    <cellStyle name="Comma 15 3 2 4" xfId="3849" xr:uid="{1BC10FFD-EAE3-4B35-A6F4-03FF01865DC0}"/>
    <cellStyle name="Comma 15 3 2 4 2" xfId="9146" xr:uid="{316EB3E1-CDBF-4CB1-8EB8-790828D50EC6}"/>
    <cellStyle name="Comma 15 3 2 5" xfId="6497" xr:uid="{EB3B00C7-984E-4DE1-B8D7-DCFDEC5181AE}"/>
    <cellStyle name="Comma 15 3 3" xfId="1037" xr:uid="{A7C3D95E-4775-4CF6-B648-91D67B29FDAF}"/>
    <cellStyle name="Comma 15 3 3 2" xfId="1580" xr:uid="{1793D992-A0FB-4E41-A65D-325A05A10C24}"/>
    <cellStyle name="Comma 15 3 3 2 2" xfId="2920" xr:uid="{CB668319-2D01-4DC4-99C0-B694C5A0D03E}"/>
    <cellStyle name="Comma 15 3 3 2 2 2" xfId="5569" xr:uid="{E3FA2163-1129-4596-B6FF-46EEE5F1D502}"/>
    <cellStyle name="Comma 15 3 3 2 2 2 2" xfId="10866" xr:uid="{6C2A897B-6424-4920-8CFA-31152B095357}"/>
    <cellStyle name="Comma 15 3 3 2 2 3" xfId="8217" xr:uid="{0FFFECBE-9EB5-4FEC-87A6-6F3C5AC5DBDD}"/>
    <cellStyle name="Comma 15 3 3 2 3" xfId="4245" xr:uid="{F1A14183-A595-4ACA-9A09-804C4B1D0F15}"/>
    <cellStyle name="Comma 15 3 3 2 3 2" xfId="9542" xr:uid="{FFD7703F-13FD-47D7-960B-935046A3531A}"/>
    <cellStyle name="Comma 15 3 3 2 4" xfId="6893" xr:uid="{3A665FCB-C59F-4F96-8937-39A1B37378B6}"/>
    <cellStyle name="Comma 15 3 3 3" xfId="2392" xr:uid="{8FB683C8-15F7-4EDC-B356-230A4AF32C53}"/>
    <cellStyle name="Comma 15 3 3 3 2" xfId="5041" xr:uid="{0D4CC082-FA76-486E-B0BF-887DAAE137AB}"/>
    <cellStyle name="Comma 15 3 3 3 2 2" xfId="10338" xr:uid="{3B2D5F1A-603C-44D2-ADC1-2281E2707AA8}"/>
    <cellStyle name="Comma 15 3 3 3 3" xfId="7689" xr:uid="{C6CAA0C6-3921-48BF-8A5A-0B4343EFCDF0}"/>
    <cellStyle name="Comma 15 3 3 4" xfId="3717" xr:uid="{7BC0C8AE-ADEE-49AF-8C59-2138A4325330}"/>
    <cellStyle name="Comma 15 3 3 4 2" xfId="9014" xr:uid="{E78430B6-1119-4925-ADE3-D18B3A52FAA0}"/>
    <cellStyle name="Comma 15 3 3 5" xfId="6365" xr:uid="{26C6ADEA-3A67-42B5-A361-EFBB3DEAEE91}"/>
    <cellStyle name="Comma 15 3 4" xfId="1316" xr:uid="{DD322CCF-B087-4214-8961-F040C01A8CE6}"/>
    <cellStyle name="Comma 15 3 4 2" xfId="1844" xr:uid="{FACAF8E8-4F11-43BB-851A-1689E8262BDA}"/>
    <cellStyle name="Comma 15 3 4 2 2" xfId="3184" xr:uid="{1639A56D-FC74-4354-9E4B-277CE8984DBE}"/>
    <cellStyle name="Comma 15 3 4 2 2 2" xfId="5833" xr:uid="{841D96DE-6A84-4901-9F4B-FA37E4194D52}"/>
    <cellStyle name="Comma 15 3 4 2 2 2 2" xfId="11130" xr:uid="{C31D2AC2-03E4-4AFF-803D-7291D7069D05}"/>
    <cellStyle name="Comma 15 3 4 2 2 3" xfId="8481" xr:uid="{A048D0AE-7379-4F45-890F-C512EB81BE30}"/>
    <cellStyle name="Comma 15 3 4 2 3" xfId="4509" xr:uid="{21CBA1CE-6AB3-46B2-AD97-1012BE6D6780}"/>
    <cellStyle name="Comma 15 3 4 2 3 2" xfId="9806" xr:uid="{4E606733-17FE-4533-8D5F-75046DCB5764}"/>
    <cellStyle name="Comma 15 3 4 2 4" xfId="7157" xr:uid="{310751D7-58BF-4B30-B16D-CAEEE6D3198B}"/>
    <cellStyle name="Comma 15 3 4 3" xfId="2656" xr:uid="{C898870A-C28A-48D9-B49F-ABA95A50B628}"/>
    <cellStyle name="Comma 15 3 4 3 2" xfId="5305" xr:uid="{0D7EB539-E522-4189-9933-8B7A77CA16CA}"/>
    <cellStyle name="Comma 15 3 4 3 2 2" xfId="10602" xr:uid="{617391BD-E0B0-469B-8711-EEBF474302AD}"/>
    <cellStyle name="Comma 15 3 4 3 3" xfId="7953" xr:uid="{1BF49D94-C6EA-4EFA-89D8-26DBAA4E2370}"/>
    <cellStyle name="Comma 15 3 4 4" xfId="3981" xr:uid="{0513FC67-6C42-40EA-8041-E6BE67F6A1C1}"/>
    <cellStyle name="Comma 15 3 4 4 2" xfId="9278" xr:uid="{07F28D6A-54FB-4131-BE59-60E3ECC9ED05}"/>
    <cellStyle name="Comma 15 3 4 5" xfId="6629" xr:uid="{74E3FD75-BFC1-4466-B093-5C212BD8B965}"/>
    <cellStyle name="Comma 15 3 5" xfId="1448" xr:uid="{A343B548-62F8-45BA-8D2B-A54210314257}"/>
    <cellStyle name="Comma 15 3 5 2" xfId="1976" xr:uid="{F4316055-CA53-4061-A43A-F4EC2B48DF7D}"/>
    <cellStyle name="Comma 15 3 5 2 2" xfId="3316" xr:uid="{FC84CA43-26FD-412A-922D-7C170270110E}"/>
    <cellStyle name="Comma 15 3 5 2 2 2" xfId="5965" xr:uid="{01113E8E-5050-41EB-9AD1-7729F094C07C}"/>
    <cellStyle name="Comma 15 3 5 2 2 2 2" xfId="11262" xr:uid="{DE584A3A-6DBA-40D6-84E5-B8B6AABA3306}"/>
    <cellStyle name="Comma 15 3 5 2 2 3" xfId="8613" xr:uid="{0F25942D-BD0F-4578-A309-1BD38D025478}"/>
    <cellStyle name="Comma 15 3 5 2 3" xfId="4641" xr:uid="{AE8F62CD-6452-4FF8-8309-0069C1E2C548}"/>
    <cellStyle name="Comma 15 3 5 2 3 2" xfId="9938" xr:uid="{2EB655D0-543E-4183-930C-8D10E10CBBBC}"/>
    <cellStyle name="Comma 15 3 5 2 4" xfId="7289" xr:uid="{AD3ADB1B-7339-407A-B14C-90CF7D5F53C9}"/>
    <cellStyle name="Comma 15 3 5 3" xfId="2788" xr:uid="{2CADC191-5C32-4169-95AB-52C367AB8AC4}"/>
    <cellStyle name="Comma 15 3 5 3 2" xfId="5437" xr:uid="{AF632DB9-8549-4691-9736-A1CD58D765A5}"/>
    <cellStyle name="Comma 15 3 5 3 2 2" xfId="10734" xr:uid="{7EFD9DBD-1742-4761-A3C8-52C1760FFEFC}"/>
    <cellStyle name="Comma 15 3 5 3 3" xfId="8085" xr:uid="{26D276F3-E74F-401A-A50D-6CCC60CE273A}"/>
    <cellStyle name="Comma 15 3 5 4" xfId="4113" xr:uid="{014D5FDB-CCA4-466C-BA21-D798DF11DF22}"/>
    <cellStyle name="Comma 15 3 5 4 2" xfId="9410" xr:uid="{6E0C86D9-7FC0-40BC-9FA5-EF3D2FB23BF4}"/>
    <cellStyle name="Comma 15 3 5 5" xfId="6761" xr:uid="{DDB6C6D4-897A-4442-995A-F19AC2261C7B}"/>
    <cellStyle name="Comma 15 3 6" xfId="2264" xr:uid="{7BB8FDA4-05DB-47A0-B289-4E32F9F20317}"/>
    <cellStyle name="Comma 15 3 6 2" xfId="4913" xr:uid="{1F3D7C6A-BED6-4C22-B347-A9CD2661C5B0}"/>
    <cellStyle name="Comma 15 3 6 2 2" xfId="10210" xr:uid="{0CBD63D7-EE51-4A16-8D6E-F2F6B0FD619C}"/>
    <cellStyle name="Comma 15 3 6 3" xfId="7561" xr:uid="{CD062870-F324-4F51-96B1-48907F75422A}"/>
    <cellStyle name="Comma 15 3 7" xfId="3589" xr:uid="{4295C4AE-0EC0-4D91-A850-54B7B383B71E}"/>
    <cellStyle name="Comma 15 3 7 2" xfId="8886" xr:uid="{7487A5E9-EFCB-43AD-A227-15FD86D13A61}"/>
    <cellStyle name="Comma 15 3 8" xfId="6237" xr:uid="{922CE25B-B60E-4A85-A08C-96E9A4D609F6}"/>
    <cellStyle name="Comma 15 4" xfId="1085" xr:uid="{83F25347-9D58-4559-9781-6ADAFC339277}"/>
    <cellStyle name="Comma 15 4 2" xfId="1623" xr:uid="{5A443887-A1D0-49FC-90A8-DCE5537653C8}"/>
    <cellStyle name="Comma 15 4 2 2" xfId="2963" xr:uid="{C942008E-612C-4107-82E3-1879D8CFFFF1}"/>
    <cellStyle name="Comma 15 4 2 2 2" xfId="5612" xr:uid="{BB634EE2-0813-4057-BF5A-2108A3CAF3A0}"/>
    <cellStyle name="Comma 15 4 2 2 2 2" xfId="10909" xr:uid="{974626AC-C511-4F55-A51C-5A2DC8305C4C}"/>
    <cellStyle name="Comma 15 4 2 2 3" xfId="8260" xr:uid="{BE9BEB34-1A7B-4A56-930D-6B05A062B709}"/>
    <cellStyle name="Comma 15 4 2 3" xfId="4288" xr:uid="{0C6ECE17-E237-4D10-9D1A-AB4EEF521EDF}"/>
    <cellStyle name="Comma 15 4 2 3 2" xfId="9585" xr:uid="{76DFC184-67B9-4E55-AC12-209CDDA91151}"/>
    <cellStyle name="Comma 15 4 2 4" xfId="6936" xr:uid="{D7FA3E3D-EF26-432E-A6BB-BDAFF1BCD1E9}"/>
    <cellStyle name="Comma 15 4 3" xfId="2435" xr:uid="{0EF69EE7-CB7D-4BA5-8467-F48E55E7455B}"/>
    <cellStyle name="Comma 15 4 3 2" xfId="5084" xr:uid="{C8B45270-62E0-4920-8BEF-E7752EAEC43D}"/>
    <cellStyle name="Comma 15 4 3 2 2" xfId="10381" xr:uid="{5E15DFA8-C0B4-4F06-865A-BF3B79534402}"/>
    <cellStyle name="Comma 15 4 3 3" xfId="7732" xr:uid="{4AD7C718-7B89-4BC0-94AB-DFC0BDECC147}"/>
    <cellStyle name="Comma 15 4 4" xfId="3760" xr:uid="{4608E14A-03BE-49B1-9C8F-F63C2BE74459}"/>
    <cellStyle name="Comma 15 4 4 2" xfId="9057" xr:uid="{931E3E33-11CE-4A53-9E7E-924EA8966339}"/>
    <cellStyle name="Comma 15 4 5" xfId="6408" xr:uid="{36F30F0F-D090-47DA-B064-A5671CF2F3BB}"/>
    <cellStyle name="Comma 15 5" xfId="938" xr:uid="{86BFDDE7-06C0-49A5-8F25-A8558526E112}"/>
    <cellStyle name="Comma 15 5 2" xfId="1491" xr:uid="{A12C7517-8516-4D1D-83CF-BCF2103A3F00}"/>
    <cellStyle name="Comma 15 5 2 2" xfId="2831" xr:uid="{F62955C4-357A-4AF2-BC62-FC6B7CF62ED1}"/>
    <cellStyle name="Comma 15 5 2 2 2" xfId="5480" xr:uid="{6AEEDE54-4F18-481A-B560-3D7A8B9E916E}"/>
    <cellStyle name="Comma 15 5 2 2 2 2" xfId="10777" xr:uid="{BAF3B8F0-067D-46DE-9285-404A551B7193}"/>
    <cellStyle name="Comma 15 5 2 2 3" xfId="8128" xr:uid="{66F62AFC-88A4-48D0-8370-7474737BAD9B}"/>
    <cellStyle name="Comma 15 5 2 3" xfId="4156" xr:uid="{56F771D0-E6CB-41D8-91D2-BC3E5B12521C}"/>
    <cellStyle name="Comma 15 5 2 3 2" xfId="9453" xr:uid="{1B52AE86-13DA-4F3D-B7D6-F0362928DD64}"/>
    <cellStyle name="Comma 15 5 2 4" xfId="6804" xr:uid="{5CDDF26B-D265-47A9-9D1B-C0819CAC79E1}"/>
    <cellStyle name="Comma 15 5 3" xfId="2303" xr:uid="{2EB45AA1-85A8-4812-9E43-3E5DE3EE3097}"/>
    <cellStyle name="Comma 15 5 3 2" xfId="4952" xr:uid="{394ACC68-2CC7-44DF-853C-DC51CA666A9C}"/>
    <cellStyle name="Comma 15 5 3 2 2" xfId="10249" xr:uid="{D373B26D-503E-47FE-A748-88A06BFD13DE}"/>
    <cellStyle name="Comma 15 5 3 3" xfId="7600" xr:uid="{7A84399E-2A72-43A7-8310-B1E74928E2E1}"/>
    <cellStyle name="Comma 15 5 4" xfId="3628" xr:uid="{D44E7359-FC80-4970-8877-B1345838C13B}"/>
    <cellStyle name="Comma 15 5 4 2" xfId="8925" xr:uid="{3D08963F-B955-4019-ACC0-BE1A511559DE}"/>
    <cellStyle name="Comma 15 5 5" xfId="6276" xr:uid="{4D0FF1D0-285E-4636-8CEE-BCC301CB3125}"/>
    <cellStyle name="Comma 15 6" xfId="1227" xr:uid="{14CF4D52-9DE9-4081-AF12-6268A59C6FFC}"/>
    <cellStyle name="Comma 15 6 2" xfId="1755" xr:uid="{0D6C1FE4-01AC-4422-88E4-A73CC9B2CA46}"/>
    <cellStyle name="Comma 15 6 2 2" xfId="3095" xr:uid="{9A8EBBA7-3FEA-440A-A3DC-05208EEAAB97}"/>
    <cellStyle name="Comma 15 6 2 2 2" xfId="5744" xr:uid="{6B964FD2-7AD5-4848-B579-8154299B9970}"/>
    <cellStyle name="Comma 15 6 2 2 2 2" xfId="11041" xr:uid="{92237389-D638-4CAE-AF29-D5C06A751590}"/>
    <cellStyle name="Comma 15 6 2 2 3" xfId="8392" xr:uid="{C0A1C5DD-4F00-446B-A70F-47056A86AD17}"/>
    <cellStyle name="Comma 15 6 2 3" xfId="4420" xr:uid="{597FDD63-A8F5-4F44-8D60-5FE46D631321}"/>
    <cellStyle name="Comma 15 6 2 3 2" xfId="9717" xr:uid="{0EE7E8B4-447E-4233-BBCB-DF61192A7457}"/>
    <cellStyle name="Comma 15 6 2 4" xfId="7068" xr:uid="{23890BC2-9A2F-41E3-A37E-F9ADA7B6DD2D}"/>
    <cellStyle name="Comma 15 6 3" xfId="2567" xr:uid="{96DD2017-FF32-405C-AE17-560D2E4E241B}"/>
    <cellStyle name="Comma 15 6 3 2" xfId="5216" xr:uid="{D7AE66E1-1488-41B7-B62C-9667403664A0}"/>
    <cellStyle name="Comma 15 6 3 2 2" xfId="10513" xr:uid="{F9E507D2-0208-4FD2-9406-2311C3750E00}"/>
    <cellStyle name="Comma 15 6 3 3" xfId="7864" xr:uid="{2C0BAF1E-AEA6-426A-83D3-20F44B751B49}"/>
    <cellStyle name="Comma 15 6 4" xfId="3892" xr:uid="{FD0E4195-6899-4B8F-82D1-6C570472A570}"/>
    <cellStyle name="Comma 15 6 4 2" xfId="9189" xr:uid="{84C57640-53EB-40BF-9130-C01DDB0E3019}"/>
    <cellStyle name="Comma 15 6 5" xfId="6540" xr:uid="{5A2E62F2-7EB8-432A-9897-4E578B11D79D}"/>
    <cellStyle name="Comma 15 7" xfId="1359" xr:uid="{B3894D23-6A65-41BA-86DC-F93ABFEEF64B}"/>
    <cellStyle name="Comma 15 7 2" xfId="1887" xr:uid="{C2922AC6-ABD0-4CBE-9745-A484267835E4}"/>
    <cellStyle name="Comma 15 7 2 2" xfId="3227" xr:uid="{C78741DC-EC54-4275-8406-B035B27F8BE6}"/>
    <cellStyle name="Comma 15 7 2 2 2" xfId="5876" xr:uid="{F9C25D21-FDEA-4270-B17E-6CDDDC366CBE}"/>
    <cellStyle name="Comma 15 7 2 2 2 2" xfId="11173" xr:uid="{36582497-1E4B-4635-AB1D-F856B8D6823D}"/>
    <cellStyle name="Comma 15 7 2 2 3" xfId="8524" xr:uid="{F561E80B-511B-4151-837C-12C7E86809FA}"/>
    <cellStyle name="Comma 15 7 2 3" xfId="4552" xr:uid="{5397F15A-2A30-4001-B81C-A44ABCA88E8B}"/>
    <cellStyle name="Comma 15 7 2 3 2" xfId="9849" xr:uid="{8CEAD177-BB73-4D20-8A9B-9D4C1138B9B9}"/>
    <cellStyle name="Comma 15 7 2 4" xfId="7200" xr:uid="{9E692E81-A00A-469A-BF4C-A7CC0C02ADFD}"/>
    <cellStyle name="Comma 15 7 3" xfId="2699" xr:uid="{57432B9B-C8BA-430C-A75E-96532799485F}"/>
    <cellStyle name="Comma 15 7 3 2" xfId="5348" xr:uid="{22A0D140-7EAA-4F1D-BDAC-BD8EDD9BC86D}"/>
    <cellStyle name="Comma 15 7 3 2 2" xfId="10645" xr:uid="{572AD38B-9ABF-44AB-90F5-203877A96BE6}"/>
    <cellStyle name="Comma 15 7 3 3" xfId="7996" xr:uid="{027EF874-9AD9-46A2-A3D5-C848D1CF51EC}"/>
    <cellStyle name="Comma 15 7 4" xfId="4024" xr:uid="{239A9295-3DD5-45A6-B38A-01E0531A403E}"/>
    <cellStyle name="Comma 15 7 4 2" xfId="9321" xr:uid="{17D73EDD-00D8-40E3-B876-EA556FC98ACF}"/>
    <cellStyle name="Comma 15 7 5" xfId="6672" xr:uid="{0A4CE4BB-5873-4096-9D3A-57337FA91151}"/>
    <cellStyle name="Comma 15 8" xfId="2183" xr:uid="{8F27528B-7B1D-4877-B43C-16E0EC586748}"/>
    <cellStyle name="Comma 15 8 2" xfId="4832" xr:uid="{9C794465-2BA8-43F9-93E5-F9AB0EC25AC1}"/>
    <cellStyle name="Comma 15 8 2 2" xfId="10129" xr:uid="{EC6047A9-D71C-4D75-A9EB-AFF2E55F383A}"/>
    <cellStyle name="Comma 15 8 3" xfId="7480" xr:uid="{24E31944-8958-4C48-B178-6144107367A0}"/>
    <cellStyle name="Comma 15 9" xfId="3508" xr:uid="{40DB3C9C-9F19-40C4-8621-CADBF8EFB841}"/>
    <cellStyle name="Comma 15 9 2" xfId="8805" xr:uid="{81D1A231-56DC-423F-856C-B81446F586D0}"/>
    <cellStyle name="Comma 16" xfId="609" xr:uid="{B6B8554D-AF0D-4FA7-9F6E-676AA336F5CB}"/>
    <cellStyle name="Comma 16 10" xfId="6167" xr:uid="{5FACF679-0F5D-4491-A8A5-B017E5EEDD51}"/>
    <cellStyle name="Comma 16 2" xfId="653" xr:uid="{8064DFDE-6D77-4C9C-8A25-123006780F1B}"/>
    <cellStyle name="Comma 16 2 2" xfId="928" xr:uid="{4FD342F2-CC76-44ED-9DC9-52837EF173AB}"/>
    <cellStyle name="Comma 16 2 2 2" xfId="1219" xr:uid="{BFFF2365-6B55-451A-B9F9-4E26C6AB9E21}"/>
    <cellStyle name="Comma 16 2 2 2 2" xfId="1747" xr:uid="{52B86FCB-EE22-4DA5-98FF-7FDC10815E42}"/>
    <cellStyle name="Comma 16 2 2 2 2 2" xfId="3087" xr:uid="{9D9756C4-50A1-47DF-8205-7DFB4467679F}"/>
    <cellStyle name="Comma 16 2 2 2 2 2 2" xfId="5736" xr:uid="{0425D6EC-B896-48F0-8C87-6AFCC6E26C04}"/>
    <cellStyle name="Comma 16 2 2 2 2 2 2 2" xfId="11033" xr:uid="{E48BBA53-A74A-4800-AA08-7609FD217796}"/>
    <cellStyle name="Comma 16 2 2 2 2 2 3" xfId="8384" xr:uid="{819DAB66-5A6D-4527-8A79-3EF85024A5FE}"/>
    <cellStyle name="Comma 16 2 2 2 2 3" xfId="4412" xr:uid="{B0061FFA-C7B7-4941-B52A-555D1BD5A764}"/>
    <cellStyle name="Comma 16 2 2 2 2 3 2" xfId="9709" xr:uid="{6EA84B9A-30B7-4906-AD9A-4820CCA17C83}"/>
    <cellStyle name="Comma 16 2 2 2 2 4" xfId="7060" xr:uid="{10AB88C6-47D3-417A-9C2E-A6BCAEB93325}"/>
    <cellStyle name="Comma 16 2 2 2 3" xfId="2559" xr:uid="{32D688B1-290F-4B2F-881D-CF865A19DC25}"/>
    <cellStyle name="Comma 16 2 2 2 3 2" xfId="5208" xr:uid="{DE12A3AA-FFE1-4DD1-A93B-AA67D9A773EC}"/>
    <cellStyle name="Comma 16 2 2 2 3 2 2" xfId="10505" xr:uid="{2E8BD5BE-2270-401E-817A-E53FCE431C11}"/>
    <cellStyle name="Comma 16 2 2 2 3 3" xfId="7856" xr:uid="{28C6587F-AD34-44A4-B3BC-BEAF5128AC37}"/>
    <cellStyle name="Comma 16 2 2 2 4" xfId="3884" xr:uid="{03A73814-213F-4742-9F8F-02EF5CFF5A2B}"/>
    <cellStyle name="Comma 16 2 2 2 4 2" xfId="9181" xr:uid="{97656B0A-447D-4D7F-8435-5853FBD51769}"/>
    <cellStyle name="Comma 16 2 2 2 5" xfId="6532" xr:uid="{189C42D9-8E20-46BB-AC2C-9DAE0181862D}"/>
    <cellStyle name="Comma 16 2 2 3" xfId="1076" xr:uid="{9FDAFD43-F63D-46FF-A902-C87467754B50}"/>
    <cellStyle name="Comma 16 2 2 3 2" xfId="1615" xr:uid="{2F8D53C7-3986-4519-B74B-E7660802B692}"/>
    <cellStyle name="Comma 16 2 2 3 2 2" xfId="2955" xr:uid="{AEE1E44A-7496-4B01-A1CB-880921F7040D}"/>
    <cellStyle name="Comma 16 2 2 3 2 2 2" xfId="5604" xr:uid="{A91D7A19-CF4D-41A9-A2A0-7E9FBEB2C310}"/>
    <cellStyle name="Comma 16 2 2 3 2 2 2 2" xfId="10901" xr:uid="{1A202B40-537F-48F7-B395-90201B4B6CFF}"/>
    <cellStyle name="Comma 16 2 2 3 2 2 3" xfId="8252" xr:uid="{8CC9B41F-4521-4458-AFEC-24CA2484A349}"/>
    <cellStyle name="Comma 16 2 2 3 2 3" xfId="4280" xr:uid="{63D29366-086D-4487-AB13-110B7F6D8635}"/>
    <cellStyle name="Comma 16 2 2 3 2 3 2" xfId="9577" xr:uid="{4ACF055C-106E-4CC4-AD1C-8BCA052F558E}"/>
    <cellStyle name="Comma 16 2 2 3 2 4" xfId="6928" xr:uid="{CE19D8B5-B622-4892-B174-F3001915170A}"/>
    <cellStyle name="Comma 16 2 2 3 3" xfId="2427" xr:uid="{611D5FAA-6CA6-4535-85B3-434D262AA975}"/>
    <cellStyle name="Comma 16 2 2 3 3 2" xfId="5076" xr:uid="{F6A23866-C3A0-42EF-9445-8FDB2DD672AC}"/>
    <cellStyle name="Comma 16 2 2 3 3 2 2" xfId="10373" xr:uid="{342EEC44-B70F-4424-9031-1FB4CAE7315E}"/>
    <cellStyle name="Comma 16 2 2 3 3 3" xfId="7724" xr:uid="{A70BDF0B-0428-4C7A-AB6B-5AF3E159CCC4}"/>
    <cellStyle name="Comma 16 2 2 3 4" xfId="3752" xr:uid="{31498481-F0F3-4E92-9520-6CFEA10C9288}"/>
    <cellStyle name="Comma 16 2 2 3 4 2" xfId="9049" xr:uid="{24745C17-FD22-42AF-A920-5ED8AE95240E}"/>
    <cellStyle name="Comma 16 2 2 3 5" xfId="6400" xr:uid="{130B7794-D125-4C6F-85ED-4D571B57A770}"/>
    <cellStyle name="Comma 16 2 2 4" xfId="1351" xr:uid="{A8FDB9A2-78BD-4C00-A964-2E81EE7CDA73}"/>
    <cellStyle name="Comma 16 2 2 4 2" xfId="1879" xr:uid="{7942D683-F12A-4EE2-B0EB-B9A472CE7ABD}"/>
    <cellStyle name="Comma 16 2 2 4 2 2" xfId="3219" xr:uid="{BD788D46-3BD5-428D-8774-6FA894668BD7}"/>
    <cellStyle name="Comma 16 2 2 4 2 2 2" xfId="5868" xr:uid="{CD1891E7-E5C0-4AA4-A931-C54DBA74EC63}"/>
    <cellStyle name="Comma 16 2 2 4 2 2 2 2" xfId="11165" xr:uid="{55FE9316-94EF-488F-AA49-83CA474B027E}"/>
    <cellStyle name="Comma 16 2 2 4 2 2 3" xfId="8516" xr:uid="{0820A7C3-44FE-4323-BE8F-567DF8603216}"/>
    <cellStyle name="Comma 16 2 2 4 2 3" xfId="4544" xr:uid="{6C2D2E53-0EE3-4105-BA5B-CB483E51CB89}"/>
    <cellStyle name="Comma 16 2 2 4 2 3 2" xfId="9841" xr:uid="{A395EBCC-DA68-4AA4-A4F4-579493C7F388}"/>
    <cellStyle name="Comma 16 2 2 4 2 4" xfId="7192" xr:uid="{54E4D04F-BDC8-43E8-AF9A-14029B87DB18}"/>
    <cellStyle name="Comma 16 2 2 4 3" xfId="2691" xr:uid="{408C952C-6C3D-47EF-A933-CC013AF2BD6A}"/>
    <cellStyle name="Comma 16 2 2 4 3 2" xfId="5340" xr:uid="{8B51E1F6-D9D9-4724-9B35-4C50B9B49D67}"/>
    <cellStyle name="Comma 16 2 2 4 3 2 2" xfId="10637" xr:uid="{6798423F-8D10-4AD5-9ED5-75EBB638647D}"/>
    <cellStyle name="Comma 16 2 2 4 3 3" xfId="7988" xr:uid="{36E46EAB-4F22-41E5-8B4D-6FFBBD1B9FC4}"/>
    <cellStyle name="Comma 16 2 2 4 4" xfId="4016" xr:uid="{C7B3C636-D6E2-43C9-9792-A1C78DE79DB4}"/>
    <cellStyle name="Comma 16 2 2 4 4 2" xfId="9313" xr:uid="{3347A72B-2747-4446-AC2D-BB59A0367927}"/>
    <cellStyle name="Comma 16 2 2 4 5" xfId="6664" xr:uid="{F0895B2F-DCB8-4770-A617-08A028D1EA78}"/>
    <cellStyle name="Comma 16 2 2 5" xfId="1483" xr:uid="{BCABB53F-FA44-46F4-B280-51710AE2C934}"/>
    <cellStyle name="Comma 16 2 2 5 2" xfId="2011" xr:uid="{A419F294-71AA-4302-9140-82B9FBD2B3E3}"/>
    <cellStyle name="Comma 16 2 2 5 2 2" xfId="3351" xr:uid="{5DA9D075-71A1-4479-AD32-4007FB473749}"/>
    <cellStyle name="Comma 16 2 2 5 2 2 2" xfId="6000" xr:uid="{DD7C1290-0865-4024-8A9B-74C1BE8E2FBB}"/>
    <cellStyle name="Comma 16 2 2 5 2 2 2 2" xfId="11297" xr:uid="{21E56E30-1413-4EA5-B346-34C43D4C3D8C}"/>
    <cellStyle name="Comma 16 2 2 5 2 2 3" xfId="8648" xr:uid="{7B98FF1E-901F-4EDE-89FC-8CD0B569DB6C}"/>
    <cellStyle name="Comma 16 2 2 5 2 3" xfId="4676" xr:uid="{455FBA6C-EC4E-483A-B7F3-64FC98D3B239}"/>
    <cellStyle name="Comma 16 2 2 5 2 3 2" xfId="9973" xr:uid="{61BCACF8-D339-472C-B506-05BAB6FBBF85}"/>
    <cellStyle name="Comma 16 2 2 5 2 4" xfId="7324" xr:uid="{7D960FD8-7369-4CDE-9DA1-ACCAEE15F8C0}"/>
    <cellStyle name="Comma 16 2 2 5 3" xfId="2823" xr:uid="{B1920310-9DA3-4FCE-9168-47B0A64F0006}"/>
    <cellStyle name="Comma 16 2 2 5 3 2" xfId="5472" xr:uid="{EC4C9683-64D0-43AB-8F21-07D9C8E82013}"/>
    <cellStyle name="Comma 16 2 2 5 3 2 2" xfId="10769" xr:uid="{F922139D-291F-41C9-B39F-921A7DA32D5C}"/>
    <cellStyle name="Comma 16 2 2 5 3 3" xfId="8120" xr:uid="{80983BCB-C6D6-49ED-AD2A-3E7A349B4817}"/>
    <cellStyle name="Comma 16 2 2 5 4" xfId="4148" xr:uid="{BB533711-2EC2-4083-9D0D-139C11DFDE72}"/>
    <cellStyle name="Comma 16 2 2 5 4 2" xfId="9445" xr:uid="{DC6B7550-730D-4D17-AD7D-560DC6DF71F7}"/>
    <cellStyle name="Comma 16 2 2 5 5" xfId="6796" xr:uid="{86345593-0430-4311-A280-C01D802D00F4}"/>
    <cellStyle name="Comma 16 2 2 6" xfId="2295" xr:uid="{D83E4C34-4989-4A8C-AEA6-9B0823412C62}"/>
    <cellStyle name="Comma 16 2 2 6 2" xfId="4944" xr:uid="{A33DA242-C678-4821-B25A-7EEE5591596C}"/>
    <cellStyle name="Comma 16 2 2 6 2 2" xfId="10241" xr:uid="{07F8973F-3D47-4D74-8049-9C4F1507893A}"/>
    <cellStyle name="Comma 16 2 2 6 3" xfId="7592" xr:uid="{D416FF13-22A1-45E2-A7B7-9DFB04DF785F}"/>
    <cellStyle name="Comma 16 2 2 7" xfId="3620" xr:uid="{ABCAB8C6-E9C2-4638-A3C8-7D0B1D95B73F}"/>
    <cellStyle name="Comma 16 2 2 7 2" xfId="8917" xr:uid="{17B91ABC-AA4F-4953-A9EC-133780C8B3BF}"/>
    <cellStyle name="Comma 16 2 2 8" xfId="6268" xr:uid="{063B938D-39E8-4DE1-964D-3BBD1F48AD67}"/>
    <cellStyle name="Comma 16 2 3" xfId="1127" xr:uid="{CF732992-1169-42F4-BA3A-17E9B4965260}"/>
    <cellStyle name="Comma 16 2 3 2" xfId="1661" xr:uid="{1B71D2CE-D579-489C-AF2B-29D30A0A3D6D}"/>
    <cellStyle name="Comma 16 2 3 2 2" xfId="3001" xr:uid="{038EBBF0-1159-46C5-BA7B-2E811928A568}"/>
    <cellStyle name="Comma 16 2 3 2 2 2" xfId="5650" xr:uid="{886EC58C-4C48-4401-947C-2C0E21F85A62}"/>
    <cellStyle name="Comma 16 2 3 2 2 2 2" xfId="10947" xr:uid="{7092D8B2-393F-45CF-B8A6-AABA17597B9B}"/>
    <cellStyle name="Comma 16 2 3 2 2 3" xfId="8298" xr:uid="{B828D336-D896-4E6A-9D90-E97F2A33CAEE}"/>
    <cellStyle name="Comma 16 2 3 2 3" xfId="4326" xr:uid="{FDEF8231-3223-4B3D-900D-128E28BA2A6D}"/>
    <cellStyle name="Comma 16 2 3 2 3 2" xfId="9623" xr:uid="{21621EC4-75BA-44FC-B008-CE32A04F8147}"/>
    <cellStyle name="Comma 16 2 3 2 4" xfId="6974" xr:uid="{2AA328C2-D924-413A-BE30-1156BCDF07B1}"/>
    <cellStyle name="Comma 16 2 3 3" xfId="2473" xr:uid="{AC277413-C7B7-45E3-88F1-BD81B00279E5}"/>
    <cellStyle name="Comma 16 2 3 3 2" xfId="5122" xr:uid="{824B5F05-328F-423A-8B0D-AE6D6B063B4C}"/>
    <cellStyle name="Comma 16 2 3 3 2 2" xfId="10419" xr:uid="{90A46EE8-B239-4DA9-9263-B493C4485408}"/>
    <cellStyle name="Comma 16 2 3 3 3" xfId="7770" xr:uid="{7FDEF10E-AE3E-4A8B-B778-C8CDF17310C1}"/>
    <cellStyle name="Comma 16 2 3 4" xfId="3798" xr:uid="{9B84DF44-B625-4F49-ACA1-9A1E67E63A20}"/>
    <cellStyle name="Comma 16 2 3 4 2" xfId="9095" xr:uid="{BF710D7F-8F67-450D-BAAC-A13C41C7F791}"/>
    <cellStyle name="Comma 16 2 3 5" xfId="6446" xr:uid="{3144C5CC-0910-4EA7-9384-E34CA809E8BB}"/>
    <cellStyle name="Comma 16 2 4" xfId="981" xr:uid="{ED518A9B-91B0-4FA7-B98A-141DC3C190E4}"/>
    <cellStyle name="Comma 16 2 4 2" xfId="1529" xr:uid="{B712796A-906C-4FB7-A78C-FEEE68912DB4}"/>
    <cellStyle name="Comma 16 2 4 2 2" xfId="2869" xr:uid="{3F7ABD3D-4365-4CC2-91E4-60908ED6046E}"/>
    <cellStyle name="Comma 16 2 4 2 2 2" xfId="5518" xr:uid="{D6A3BCE4-8C4B-4549-A34B-305453E9DD2A}"/>
    <cellStyle name="Comma 16 2 4 2 2 2 2" xfId="10815" xr:uid="{812D9C0F-DFEC-4C83-8912-B12AE1ACB483}"/>
    <cellStyle name="Comma 16 2 4 2 2 3" xfId="8166" xr:uid="{991A734B-1A14-432F-8F4B-5CB0AEF44D2B}"/>
    <cellStyle name="Comma 16 2 4 2 3" xfId="4194" xr:uid="{744926E7-7CF8-44B7-9296-22BF71FAE7BC}"/>
    <cellStyle name="Comma 16 2 4 2 3 2" xfId="9491" xr:uid="{2A6E79EB-F9C4-4ED9-BA23-14F592852846}"/>
    <cellStyle name="Comma 16 2 4 2 4" xfId="6842" xr:uid="{07395FD0-B01E-4706-A5D2-AFEDC068451C}"/>
    <cellStyle name="Comma 16 2 4 3" xfId="2341" xr:uid="{D855A9F9-BED2-4493-8679-C179BC163DD7}"/>
    <cellStyle name="Comma 16 2 4 3 2" xfId="4990" xr:uid="{A4CD936E-0260-4E45-9FB9-84EA12901D4C}"/>
    <cellStyle name="Comma 16 2 4 3 2 2" xfId="10287" xr:uid="{78893E6A-5405-4EAC-A821-8B885467823E}"/>
    <cellStyle name="Comma 16 2 4 3 3" xfId="7638" xr:uid="{6CEBB16A-08D6-4433-BF84-52C25F3FAA49}"/>
    <cellStyle name="Comma 16 2 4 4" xfId="3666" xr:uid="{8022DD4D-6704-4B3B-8744-723867CF1BAE}"/>
    <cellStyle name="Comma 16 2 4 4 2" xfId="8963" xr:uid="{4086A2EC-D7E2-4979-B090-2A79D0F72840}"/>
    <cellStyle name="Comma 16 2 4 5" xfId="6314" xr:uid="{A19F6DEA-FA76-4741-86A1-884BA12EEE6A}"/>
    <cellStyle name="Comma 16 2 5" xfId="1265" xr:uid="{BCD59017-D203-4ED5-A4AA-CBB103E3FE1E}"/>
    <cellStyle name="Comma 16 2 5 2" xfId="1793" xr:uid="{F8C5051B-032B-4FCF-8182-5F1D2ED7F0C9}"/>
    <cellStyle name="Comma 16 2 5 2 2" xfId="3133" xr:uid="{669686F4-4BB8-4004-96D8-22192F10EF49}"/>
    <cellStyle name="Comma 16 2 5 2 2 2" xfId="5782" xr:uid="{3C999B7A-4A78-4020-B4D5-78C5DC1F7C3C}"/>
    <cellStyle name="Comma 16 2 5 2 2 2 2" xfId="11079" xr:uid="{3FA78A8A-0771-4038-A6E0-98F11C3CDEB6}"/>
    <cellStyle name="Comma 16 2 5 2 2 3" xfId="8430" xr:uid="{C452A7F8-F5F3-4899-A9E4-933396E23F99}"/>
    <cellStyle name="Comma 16 2 5 2 3" xfId="4458" xr:uid="{24F9B2CB-2C30-4A5E-979C-BB1D2F05B1BF}"/>
    <cellStyle name="Comma 16 2 5 2 3 2" xfId="9755" xr:uid="{FFC2AAAB-9E06-470E-9959-4FDB2FAD1E31}"/>
    <cellStyle name="Comma 16 2 5 2 4" xfId="7106" xr:uid="{71D9E335-49B0-497A-A1D6-A5474406480B}"/>
    <cellStyle name="Comma 16 2 5 3" xfId="2605" xr:uid="{830A57E3-2552-4D2B-931E-9C519C67A4FA}"/>
    <cellStyle name="Comma 16 2 5 3 2" xfId="5254" xr:uid="{AB85765F-BB65-45FA-B561-ABBDD05012B5}"/>
    <cellStyle name="Comma 16 2 5 3 2 2" xfId="10551" xr:uid="{1125F9CF-F959-48DB-B023-DE3CAED257FB}"/>
    <cellStyle name="Comma 16 2 5 3 3" xfId="7902" xr:uid="{04B9EA36-E24C-41BD-8359-4FFCCD9855E4}"/>
    <cellStyle name="Comma 16 2 5 4" xfId="3930" xr:uid="{005B72CF-2B7F-47C8-A550-47D0DE8479BE}"/>
    <cellStyle name="Comma 16 2 5 4 2" xfId="9227" xr:uid="{8DEA8915-4FEE-4921-B938-AEC56E09C85F}"/>
    <cellStyle name="Comma 16 2 5 5" xfId="6578" xr:uid="{2F385ED5-9668-4C2E-B5FB-3E6F35B82558}"/>
    <cellStyle name="Comma 16 2 6" xfId="1397" xr:uid="{FBC1EC40-879C-4BE7-9EBD-D39F0306DF32}"/>
    <cellStyle name="Comma 16 2 6 2" xfId="1925" xr:uid="{3479F8A3-1DBA-4167-A5C8-39CD2C6F0FA2}"/>
    <cellStyle name="Comma 16 2 6 2 2" xfId="3265" xr:uid="{03DC40A1-7746-44B9-87D0-F9D6812C27B8}"/>
    <cellStyle name="Comma 16 2 6 2 2 2" xfId="5914" xr:uid="{0F10DB2D-B12C-4521-BED3-3A170B725529}"/>
    <cellStyle name="Comma 16 2 6 2 2 2 2" xfId="11211" xr:uid="{5A0B3CF6-6E6F-473A-9A97-2D46D1102E2A}"/>
    <cellStyle name="Comma 16 2 6 2 2 3" xfId="8562" xr:uid="{DCD79338-E0AB-4772-B2B3-4654ACE5D4D5}"/>
    <cellStyle name="Comma 16 2 6 2 3" xfId="4590" xr:uid="{9F3336C7-112E-4D7F-8A1F-F80167B673E1}"/>
    <cellStyle name="Comma 16 2 6 2 3 2" xfId="9887" xr:uid="{4E01E55E-A6D8-49E0-B880-458FA8C676FA}"/>
    <cellStyle name="Comma 16 2 6 2 4" xfId="7238" xr:uid="{9E4548B7-D021-40B6-8FDB-D247867B9729}"/>
    <cellStyle name="Comma 16 2 6 3" xfId="2737" xr:uid="{3D272069-2B79-4EEB-8172-3B6CED0F04F8}"/>
    <cellStyle name="Comma 16 2 6 3 2" xfId="5386" xr:uid="{F7DFB239-3F2A-417B-9C0E-E4D306581990}"/>
    <cellStyle name="Comma 16 2 6 3 2 2" xfId="10683" xr:uid="{A9A38B75-D8C1-4D93-8AA6-968E3C0FEC28}"/>
    <cellStyle name="Comma 16 2 6 3 3" xfId="8034" xr:uid="{0CB917E2-B5C2-4431-B9AD-E1F94EB7657C}"/>
    <cellStyle name="Comma 16 2 6 4" xfId="4062" xr:uid="{2C955C43-04F9-4DCE-BB14-A1CF98B5B1F4}"/>
    <cellStyle name="Comma 16 2 6 4 2" xfId="9359" xr:uid="{284CEE30-F396-46FE-9D8A-5510A46D4BBD}"/>
    <cellStyle name="Comma 16 2 6 5" xfId="6710" xr:uid="{29D449C5-DDB2-46E8-9B16-5420B38B26A9}"/>
    <cellStyle name="Comma 16 2 7" xfId="2213" xr:uid="{E79D57F4-F549-4EE0-A1B7-7C69C9D79BA5}"/>
    <cellStyle name="Comma 16 2 7 2" xfId="4862" xr:uid="{00DB5964-6452-4375-97F8-05D89C842F5F}"/>
    <cellStyle name="Comma 16 2 7 2 2" xfId="10159" xr:uid="{5C57F8A1-36C6-4B3C-8399-EDA35B34E6EA}"/>
    <cellStyle name="Comma 16 2 7 3" xfId="7510" xr:uid="{94A1F323-3C01-4FA1-8456-D0B69D161604}"/>
    <cellStyle name="Comma 16 2 8" xfId="3538" xr:uid="{AEB6260C-93EF-41FA-9456-DF59B9545947}"/>
    <cellStyle name="Comma 16 2 8 2" xfId="8835" xr:uid="{6D9DEEB9-1D36-4FFE-A602-0A03389F8A64}"/>
    <cellStyle name="Comma 16 2 9" xfId="6186" xr:uid="{2982047B-99CA-42A4-AB7C-537BA26E7E5C}"/>
    <cellStyle name="Comma 16 3" xfId="886" xr:uid="{49FEDFC3-6B92-4C4B-8641-1E96B6AD4AE2}"/>
    <cellStyle name="Comma 16 3 2" xfId="1196" xr:uid="{82FFA27B-DFA6-4142-BC0A-176882EDF58D}"/>
    <cellStyle name="Comma 16 3 2 2" xfId="1724" xr:uid="{2F7CC33C-6240-482D-8260-54254A4AD5D1}"/>
    <cellStyle name="Comma 16 3 2 2 2" xfId="3064" xr:uid="{B116C241-DB13-4639-964C-6887FD734DD1}"/>
    <cellStyle name="Comma 16 3 2 2 2 2" xfId="5713" xr:uid="{A4A1445B-71E7-4344-90E2-D3C63EAC2005}"/>
    <cellStyle name="Comma 16 3 2 2 2 2 2" xfId="11010" xr:uid="{8607DE41-A873-4DF9-A2A4-63FF80863E07}"/>
    <cellStyle name="Comma 16 3 2 2 2 3" xfId="8361" xr:uid="{5839201E-6717-40FE-9A78-D5CF080473A0}"/>
    <cellStyle name="Comma 16 3 2 2 3" xfId="4389" xr:uid="{1197B447-8721-4B03-8566-53C6F54A852D}"/>
    <cellStyle name="Comma 16 3 2 2 3 2" xfId="9686" xr:uid="{D9995622-7EE7-4937-AA4B-BFAAAB5F2F20}"/>
    <cellStyle name="Comma 16 3 2 2 4" xfId="7037" xr:uid="{9A30E178-1A49-4D9A-A46F-6CFB31AAD0E1}"/>
    <cellStyle name="Comma 16 3 2 3" xfId="2536" xr:uid="{2209A15A-4FA8-4ABF-ABC3-313EA8C0C85A}"/>
    <cellStyle name="Comma 16 3 2 3 2" xfId="5185" xr:uid="{04285422-3EB6-49E1-B93C-938E5310B6C9}"/>
    <cellStyle name="Comma 16 3 2 3 2 2" xfId="10482" xr:uid="{16E2A90D-EFC8-4998-A31F-7B3CB1849A19}"/>
    <cellStyle name="Comma 16 3 2 3 3" xfId="7833" xr:uid="{31D6C56D-51A7-4976-9D54-E34370B6CA72}"/>
    <cellStyle name="Comma 16 3 2 4" xfId="3861" xr:uid="{5E3B10D5-6002-40C1-BA38-0CF9DF64954C}"/>
    <cellStyle name="Comma 16 3 2 4 2" xfId="9158" xr:uid="{2DEDAC98-69CB-47C9-84E4-752D54417025}"/>
    <cellStyle name="Comma 16 3 2 5" xfId="6509" xr:uid="{4B3C871E-758C-42A5-8246-CCE0BC5ECF5E}"/>
    <cellStyle name="Comma 16 3 3" xfId="1053" xr:uid="{B636E173-8F36-4832-8483-C0C87EEC2643}"/>
    <cellStyle name="Comma 16 3 3 2" xfId="1592" xr:uid="{2EA271AD-8F12-4B06-B494-94CA14F32DA6}"/>
    <cellStyle name="Comma 16 3 3 2 2" xfId="2932" xr:uid="{AE790995-B054-4E64-BF2D-B413CCD12F98}"/>
    <cellStyle name="Comma 16 3 3 2 2 2" xfId="5581" xr:uid="{6C40F865-8168-4FBA-BF6B-F78018EBE6DA}"/>
    <cellStyle name="Comma 16 3 3 2 2 2 2" xfId="10878" xr:uid="{99FBB121-2F18-4ECD-B949-47BD67363767}"/>
    <cellStyle name="Comma 16 3 3 2 2 3" xfId="8229" xr:uid="{7C79194F-88A2-429A-8988-42A0DDC3234E}"/>
    <cellStyle name="Comma 16 3 3 2 3" xfId="4257" xr:uid="{A6B31224-CB25-411D-BA6B-FDD9FAB696B1}"/>
    <cellStyle name="Comma 16 3 3 2 3 2" xfId="9554" xr:uid="{9E5FA9A2-315F-4607-BCD7-B98ECBDF214F}"/>
    <cellStyle name="Comma 16 3 3 2 4" xfId="6905" xr:uid="{73ED9FAA-EC63-4E78-9395-8C3A0F62EEAC}"/>
    <cellStyle name="Comma 16 3 3 3" xfId="2404" xr:uid="{E1D06FA5-43BF-4704-B820-3DD027721295}"/>
    <cellStyle name="Comma 16 3 3 3 2" xfId="5053" xr:uid="{91BFC914-3BCF-4DF8-AEE2-DC90AFB34349}"/>
    <cellStyle name="Comma 16 3 3 3 2 2" xfId="10350" xr:uid="{56C80FB1-971F-4859-859E-70D1ABE8B620}"/>
    <cellStyle name="Comma 16 3 3 3 3" xfId="7701" xr:uid="{EEF89654-62E0-4D84-8FB6-9A3D3DFD840A}"/>
    <cellStyle name="Comma 16 3 3 4" xfId="3729" xr:uid="{A0F6273D-A779-4489-9F95-1772BCF797BA}"/>
    <cellStyle name="Comma 16 3 3 4 2" xfId="9026" xr:uid="{5BBDF3D2-5002-41BB-AD59-CA53715A0B71}"/>
    <cellStyle name="Comma 16 3 3 5" xfId="6377" xr:uid="{AFF298FD-4A69-4742-91B7-8B589AEA9F82}"/>
    <cellStyle name="Comma 16 3 4" xfId="1328" xr:uid="{7B23A646-5E86-4D1D-AC27-D08F3C5B8103}"/>
    <cellStyle name="Comma 16 3 4 2" xfId="1856" xr:uid="{654B4DC3-BD54-45ED-BF1D-2ED9733D8F29}"/>
    <cellStyle name="Comma 16 3 4 2 2" xfId="3196" xr:uid="{66DEB90C-F8C9-40AF-A6D6-A23E7283BD8A}"/>
    <cellStyle name="Comma 16 3 4 2 2 2" xfId="5845" xr:uid="{D48CC4FB-BD25-4144-B651-601959C90676}"/>
    <cellStyle name="Comma 16 3 4 2 2 2 2" xfId="11142" xr:uid="{D62C5E62-D5EA-4982-AA88-53C8F248387F}"/>
    <cellStyle name="Comma 16 3 4 2 2 3" xfId="8493" xr:uid="{6ED81E19-3608-4BAE-8339-09B9A9629761}"/>
    <cellStyle name="Comma 16 3 4 2 3" xfId="4521" xr:uid="{7C720F60-8725-41A9-8A50-B934D036844B}"/>
    <cellStyle name="Comma 16 3 4 2 3 2" xfId="9818" xr:uid="{5044D798-9FBC-42BC-B66A-BE41961E794D}"/>
    <cellStyle name="Comma 16 3 4 2 4" xfId="7169" xr:uid="{4E606495-0117-4DAC-AAD1-3404BA39831C}"/>
    <cellStyle name="Comma 16 3 4 3" xfId="2668" xr:uid="{B3092698-3EEE-42E5-954D-D801CC685DDE}"/>
    <cellStyle name="Comma 16 3 4 3 2" xfId="5317" xr:uid="{FDC63542-AAB1-4CFD-8D03-B32387B6CC1F}"/>
    <cellStyle name="Comma 16 3 4 3 2 2" xfId="10614" xr:uid="{A81D0173-00D5-44A1-891E-54C949CA58E9}"/>
    <cellStyle name="Comma 16 3 4 3 3" xfId="7965" xr:uid="{D1C87802-CF90-40FA-A83A-0B8E74E06CEF}"/>
    <cellStyle name="Comma 16 3 4 4" xfId="3993" xr:uid="{9C552418-FA95-4A69-AAC8-2CDB87F45646}"/>
    <cellStyle name="Comma 16 3 4 4 2" xfId="9290" xr:uid="{22D47E85-38AE-4636-AC59-C6F16796757F}"/>
    <cellStyle name="Comma 16 3 4 5" xfId="6641" xr:uid="{64E9BB9E-2FB6-4EBA-95A3-76DA7E2DF618}"/>
    <cellStyle name="Comma 16 3 5" xfId="1460" xr:uid="{6B785D10-B887-4D02-8F33-799456AD5BF2}"/>
    <cellStyle name="Comma 16 3 5 2" xfId="1988" xr:uid="{13202016-3A0F-4601-AE94-CE565983693A}"/>
    <cellStyle name="Comma 16 3 5 2 2" xfId="3328" xr:uid="{00DAA389-F4EB-4928-9366-EEAA3C71F3F6}"/>
    <cellStyle name="Comma 16 3 5 2 2 2" xfId="5977" xr:uid="{A9AF05D0-6C95-4CC1-AA1F-125157D5E82B}"/>
    <cellStyle name="Comma 16 3 5 2 2 2 2" xfId="11274" xr:uid="{3EEDE3D3-16C6-4524-8DAE-C7B30957BCD8}"/>
    <cellStyle name="Comma 16 3 5 2 2 3" xfId="8625" xr:uid="{0CDA3208-0E09-4378-BEBA-C25CB0E36966}"/>
    <cellStyle name="Comma 16 3 5 2 3" xfId="4653" xr:uid="{2D37C2A5-89AD-4988-AFB8-F21B402B5D2A}"/>
    <cellStyle name="Comma 16 3 5 2 3 2" xfId="9950" xr:uid="{9FA4E7B1-52A4-4010-A604-1D728558F37E}"/>
    <cellStyle name="Comma 16 3 5 2 4" xfId="7301" xr:uid="{4E8DD37B-6695-4C80-AE36-FDC470FFF8EA}"/>
    <cellStyle name="Comma 16 3 5 3" xfId="2800" xr:uid="{BD4FA836-BE97-4A53-A8BD-0A670B39B70A}"/>
    <cellStyle name="Comma 16 3 5 3 2" xfId="5449" xr:uid="{37CE0017-33FC-4F19-85EB-74252A7D52DB}"/>
    <cellStyle name="Comma 16 3 5 3 2 2" xfId="10746" xr:uid="{2BDBFA63-E1C5-40EB-AD57-082E42FBF19C}"/>
    <cellStyle name="Comma 16 3 5 3 3" xfId="8097" xr:uid="{34B689EB-4C5B-4093-920A-1B6CD795AE85}"/>
    <cellStyle name="Comma 16 3 5 4" xfId="4125" xr:uid="{304A8BCD-EEDE-4363-9F2B-EED3274BE7BE}"/>
    <cellStyle name="Comma 16 3 5 4 2" xfId="9422" xr:uid="{96483E1A-FE0E-4141-AAAB-C7FDDC3337B7}"/>
    <cellStyle name="Comma 16 3 5 5" xfId="6773" xr:uid="{75A39BEC-059E-49C1-BB9C-84F74243830B}"/>
    <cellStyle name="Comma 16 3 6" xfId="2274" xr:uid="{E9F9913D-690C-4647-A394-93A936CF69ED}"/>
    <cellStyle name="Comma 16 3 6 2" xfId="4923" xr:uid="{E43F9699-BB0E-4552-A0BB-CA5F371EA1E1}"/>
    <cellStyle name="Comma 16 3 6 2 2" xfId="10220" xr:uid="{E303B014-4586-4AA0-9629-EFD543DFD716}"/>
    <cellStyle name="Comma 16 3 6 3" xfId="7571" xr:uid="{A25477B4-55FC-40D3-A4C5-D66E6B73F2F7}"/>
    <cellStyle name="Comma 16 3 7" xfId="3599" xr:uid="{647C4DA8-2710-4DBB-8D4E-036FE90168B6}"/>
    <cellStyle name="Comma 16 3 7 2" xfId="8896" xr:uid="{F81B2665-9AD0-4435-9AFA-6576853312EB}"/>
    <cellStyle name="Comma 16 3 8" xfId="6247" xr:uid="{E01712E1-4A67-43C3-97E7-5F30966A7913}"/>
    <cellStyle name="Comma 16 4" xfId="1104" xr:uid="{1CBFFACC-0A11-4AD3-B01C-5F36C7CCB52D}"/>
    <cellStyle name="Comma 16 4 2" xfId="1638" xr:uid="{D1A1D5F7-FD0F-4E14-BAC2-81B2304A7D88}"/>
    <cellStyle name="Comma 16 4 2 2" xfId="2978" xr:uid="{5D074A5C-7C42-40FE-8147-5704C0673D50}"/>
    <cellStyle name="Comma 16 4 2 2 2" xfId="5627" xr:uid="{02A6AD09-C11E-4A77-A373-D11D964CA9E9}"/>
    <cellStyle name="Comma 16 4 2 2 2 2" xfId="10924" xr:uid="{57365764-8DA9-4519-A7C4-5E5338A82E26}"/>
    <cellStyle name="Comma 16 4 2 2 3" xfId="8275" xr:uid="{5BE2E7EA-67AF-455D-8A63-0FF3E3C3D93A}"/>
    <cellStyle name="Comma 16 4 2 3" xfId="4303" xr:uid="{4EBCBBB3-8B9B-47F8-9162-AFBEA0AD465E}"/>
    <cellStyle name="Comma 16 4 2 3 2" xfId="9600" xr:uid="{9718C2D8-E757-4164-A5F3-70C9840288D4}"/>
    <cellStyle name="Comma 16 4 2 4" xfId="6951" xr:uid="{0824641E-FDE9-45D0-8664-EC97C3B6C4FF}"/>
    <cellStyle name="Comma 16 4 3" xfId="2450" xr:uid="{C114543F-D02A-4051-A621-C972C4D053E2}"/>
    <cellStyle name="Comma 16 4 3 2" xfId="5099" xr:uid="{872AC047-DE17-4FD4-9B25-C7F334B2062A}"/>
    <cellStyle name="Comma 16 4 3 2 2" xfId="10396" xr:uid="{906BAD6D-8ABF-4071-9477-F2D50D301BF3}"/>
    <cellStyle name="Comma 16 4 3 3" xfId="7747" xr:uid="{F4463AE6-631D-46EE-8412-EA0CBA87ADF3}"/>
    <cellStyle name="Comma 16 4 4" xfId="3775" xr:uid="{05BC3FE5-3ED8-4694-9ECF-7EFC1ED3A996}"/>
    <cellStyle name="Comma 16 4 4 2" xfId="9072" xr:uid="{F5747C44-A46C-4708-A392-28DAF2DB1C20}"/>
    <cellStyle name="Comma 16 4 5" xfId="6423" xr:uid="{39F272CA-E038-4790-BD5C-EBA0A13971C1}"/>
    <cellStyle name="Comma 16 5" xfId="958" xr:uid="{E80A3628-1761-4ECC-A520-960BB3570C31}"/>
    <cellStyle name="Comma 16 5 2" xfId="1506" xr:uid="{F981170C-F566-478E-9D97-872808E1677D}"/>
    <cellStyle name="Comma 16 5 2 2" xfId="2846" xr:uid="{CDC648F8-AE19-476E-87D3-08AEFA25542C}"/>
    <cellStyle name="Comma 16 5 2 2 2" xfId="5495" xr:uid="{222BDD7F-547D-4295-AD8E-E91CD3AE75D8}"/>
    <cellStyle name="Comma 16 5 2 2 2 2" xfId="10792" xr:uid="{FF13EB73-1B3D-4439-8A43-15221F1B274B}"/>
    <cellStyle name="Comma 16 5 2 2 3" xfId="8143" xr:uid="{CEFE9F1D-58B6-460B-B22F-65D3F3B164FB}"/>
    <cellStyle name="Comma 16 5 2 3" xfId="4171" xr:uid="{0449F5A2-13C9-4166-8E22-BA6E8102CA6B}"/>
    <cellStyle name="Comma 16 5 2 3 2" xfId="9468" xr:uid="{0076970D-FEAA-4721-918F-AF93DF786EC1}"/>
    <cellStyle name="Comma 16 5 2 4" xfId="6819" xr:uid="{BDF0578C-CB98-4770-8B96-6F610AFCA94F}"/>
    <cellStyle name="Comma 16 5 3" xfId="2318" xr:uid="{92CC0C10-FC79-48DB-B1C1-4F239E433FDF}"/>
    <cellStyle name="Comma 16 5 3 2" xfId="4967" xr:uid="{B8C071DB-5F0E-468F-BA42-01BE0614BAF6}"/>
    <cellStyle name="Comma 16 5 3 2 2" xfId="10264" xr:uid="{94F33188-8955-4137-87B2-4A9197A03990}"/>
    <cellStyle name="Comma 16 5 3 3" xfId="7615" xr:uid="{7ADD16E1-F6DE-4606-9E88-861FEB070AC8}"/>
    <cellStyle name="Comma 16 5 4" xfId="3643" xr:uid="{B55617C0-2A1C-4012-9768-E19A285C3830}"/>
    <cellStyle name="Comma 16 5 4 2" xfId="8940" xr:uid="{7EA19A09-57A4-4DD3-AA51-4C04244E944C}"/>
    <cellStyle name="Comma 16 5 5" xfId="6291" xr:uid="{318EFF42-9419-43CA-8F6F-763026A8E9A9}"/>
    <cellStyle name="Comma 16 6" xfId="1242" xr:uid="{2A05E792-83A0-4BE0-BCE6-CDA67AEB6ACF}"/>
    <cellStyle name="Comma 16 6 2" xfId="1770" xr:uid="{AC93A98B-007F-49FE-9B42-DB1E3416A27B}"/>
    <cellStyle name="Comma 16 6 2 2" xfId="3110" xr:uid="{16C368A4-67DD-4B7D-8C1E-753022E30006}"/>
    <cellStyle name="Comma 16 6 2 2 2" xfId="5759" xr:uid="{B4D1F31B-9B9D-4CBE-AEB1-E6C150E6E060}"/>
    <cellStyle name="Comma 16 6 2 2 2 2" xfId="11056" xr:uid="{EE901AAE-1223-49D0-BC0B-4F4D3225922B}"/>
    <cellStyle name="Comma 16 6 2 2 3" xfId="8407" xr:uid="{8A41E084-1505-4663-B064-B637A986E32C}"/>
    <cellStyle name="Comma 16 6 2 3" xfId="4435" xr:uid="{CF646C5C-3BC2-4BC8-9FF7-DA33751A3AB9}"/>
    <cellStyle name="Comma 16 6 2 3 2" xfId="9732" xr:uid="{A0A72EFC-FAE7-4322-BD22-1F9D0E7190A3}"/>
    <cellStyle name="Comma 16 6 2 4" xfId="7083" xr:uid="{9EE902AE-213D-49E5-AEDB-9804EC0E36E1}"/>
    <cellStyle name="Comma 16 6 3" xfId="2582" xr:uid="{6E7EB7FE-54A6-41AC-AD12-FE0E092C7258}"/>
    <cellStyle name="Comma 16 6 3 2" xfId="5231" xr:uid="{DBB69EC7-90B8-43EF-A4A2-3FA73BBA1DD7}"/>
    <cellStyle name="Comma 16 6 3 2 2" xfId="10528" xr:uid="{059B1F5E-1AB8-4037-B54B-F5A6F4C6A66B}"/>
    <cellStyle name="Comma 16 6 3 3" xfId="7879" xr:uid="{B08BED45-CEDC-460F-AE20-7BEA069F48EF}"/>
    <cellStyle name="Comma 16 6 4" xfId="3907" xr:uid="{05696378-8F4A-419E-BCF0-50DAAC016760}"/>
    <cellStyle name="Comma 16 6 4 2" xfId="9204" xr:uid="{6EDB69CA-8DCD-4013-B4ED-0EFEC936ABD0}"/>
    <cellStyle name="Comma 16 6 5" xfId="6555" xr:uid="{CDF55B1E-EE2A-404A-A5B2-6F8A585B314C}"/>
    <cellStyle name="Comma 16 7" xfId="1374" xr:uid="{EFDB8E29-72CF-4669-BF42-7F879A19700C}"/>
    <cellStyle name="Comma 16 7 2" xfId="1902" xr:uid="{8AD841AF-459F-445C-B0AB-FEA730695305}"/>
    <cellStyle name="Comma 16 7 2 2" xfId="3242" xr:uid="{59720030-03D7-407F-8AFA-263FB8FF5C71}"/>
    <cellStyle name="Comma 16 7 2 2 2" xfId="5891" xr:uid="{8E74CE26-EBAF-4FA7-A82B-0CA3F7D2B39F}"/>
    <cellStyle name="Comma 16 7 2 2 2 2" xfId="11188" xr:uid="{B19EC07E-C593-407F-902A-285FEFA7A673}"/>
    <cellStyle name="Comma 16 7 2 2 3" xfId="8539" xr:uid="{0EE3BF65-0B79-4FB8-8328-B01F8BAF343C}"/>
    <cellStyle name="Comma 16 7 2 3" xfId="4567" xr:uid="{516BDD70-18C3-4FFA-BAAD-326C5B0B9F63}"/>
    <cellStyle name="Comma 16 7 2 3 2" xfId="9864" xr:uid="{C5E2C813-A505-4618-95E3-A467C246A670}"/>
    <cellStyle name="Comma 16 7 2 4" xfId="7215" xr:uid="{AD3F5457-7C6F-4B08-8171-8768C2F33460}"/>
    <cellStyle name="Comma 16 7 3" xfId="2714" xr:uid="{5B87406F-9555-449B-B1D5-4CC780DFBBC1}"/>
    <cellStyle name="Comma 16 7 3 2" xfId="5363" xr:uid="{32986CE7-1B28-4D5A-86FF-FC98E4745F07}"/>
    <cellStyle name="Comma 16 7 3 2 2" xfId="10660" xr:uid="{2877B179-11F3-4274-A5A1-01560DE684FA}"/>
    <cellStyle name="Comma 16 7 3 3" xfId="8011" xr:uid="{8651BF22-F107-4F3F-8D81-0175A6B0A734}"/>
    <cellStyle name="Comma 16 7 4" xfId="4039" xr:uid="{48D3615D-65BA-4E3A-AC3C-1F163BCEB116}"/>
    <cellStyle name="Comma 16 7 4 2" xfId="9336" xr:uid="{0F8337CD-C342-4F85-B4D1-3EBA9C4A8512}"/>
    <cellStyle name="Comma 16 7 5" xfId="6687" xr:uid="{7719868C-5AA2-40E4-BFF0-E593A70122CF}"/>
    <cellStyle name="Comma 16 8" xfId="2194" xr:uid="{EB8C97D2-4AEB-41EB-B169-1BC46FDA25FB}"/>
    <cellStyle name="Comma 16 8 2" xfId="4843" xr:uid="{84FDC340-5177-4071-85CC-A5C90EA70276}"/>
    <cellStyle name="Comma 16 8 2 2" xfId="10140" xr:uid="{13ABE155-CD86-46DC-B9B3-E6DA44697229}"/>
    <cellStyle name="Comma 16 8 3" xfId="7491" xr:uid="{9D80751B-D1B6-483D-B366-6D1A5082E047}"/>
    <cellStyle name="Comma 16 9" xfId="3519" xr:uid="{CB24E5B6-76D5-4532-9301-988B699E2723}"/>
    <cellStyle name="Comma 16 9 2" xfId="8816" xr:uid="{0ED6D0E4-11E8-4422-B894-16B04E5F124C}"/>
    <cellStyle name="Comma 17" xfId="637" xr:uid="{2E0D7743-4BFE-4879-A655-50276358CAF7}"/>
    <cellStyle name="Comma 17 2" xfId="910" xr:uid="{F36FACF4-B3C1-4891-BF87-6D5663E2C6AF}"/>
    <cellStyle name="Comma 17 2 2" xfId="1199" xr:uid="{1FF247D0-6A53-4464-A831-38A1ECC3D9E1}"/>
    <cellStyle name="Comma 17 2 2 2" xfId="1727" xr:uid="{1A802587-AB39-4F0D-94A9-7F493627F89F}"/>
    <cellStyle name="Comma 17 2 2 2 2" xfId="3067" xr:uid="{FBB7555E-D866-49C7-87AD-B792CFA623BC}"/>
    <cellStyle name="Comma 17 2 2 2 2 2" xfId="5716" xr:uid="{8C66023F-4651-4357-BAE8-7EC4016320B4}"/>
    <cellStyle name="Comma 17 2 2 2 2 2 2" xfId="11013" xr:uid="{FB5869CA-231F-4A9A-B557-61ED57721D17}"/>
    <cellStyle name="Comma 17 2 2 2 2 3" xfId="8364" xr:uid="{2923F014-30BA-451F-946A-0C9E1EE0BE8E}"/>
    <cellStyle name="Comma 17 2 2 2 3" xfId="4392" xr:uid="{BD90ABD6-6EF3-4B18-8D07-865AE4303751}"/>
    <cellStyle name="Comma 17 2 2 2 3 2" xfId="9689" xr:uid="{9FF498B7-DCBD-4A20-B559-380332328E4A}"/>
    <cellStyle name="Comma 17 2 2 2 4" xfId="7040" xr:uid="{8EBC32AD-2C8F-4E54-A17B-6C53B072F22C}"/>
    <cellStyle name="Comma 17 2 2 3" xfId="2539" xr:uid="{D469F4D7-9CAC-4FDB-9718-C1A53B333D1A}"/>
    <cellStyle name="Comma 17 2 2 3 2" xfId="5188" xr:uid="{BB85DF92-F84B-466D-AF56-4A59D1F9217A}"/>
    <cellStyle name="Comma 17 2 2 3 2 2" xfId="10485" xr:uid="{E19D1CD4-9F0B-483A-A15B-D710FE3535F3}"/>
    <cellStyle name="Comma 17 2 2 3 3" xfId="7836" xr:uid="{8A10CC7A-BC34-4077-A31F-756C297A8073}"/>
    <cellStyle name="Comma 17 2 2 4" xfId="3864" xr:uid="{63A1E75C-407E-4251-9493-0EF0C30D7648}"/>
    <cellStyle name="Comma 17 2 2 4 2" xfId="9161" xr:uid="{BE611ABF-79A7-4AE4-AC95-7E5ACF0EA565}"/>
    <cellStyle name="Comma 17 2 2 5" xfId="6512" xr:uid="{24AD53E5-AB3F-4EDD-A519-FA5277DEEEBC}"/>
    <cellStyle name="Comma 17 2 3" xfId="1056" xr:uid="{F6EE1B1F-08C0-494B-9A10-FACEEBC54147}"/>
    <cellStyle name="Comma 17 2 3 2" xfId="1595" xr:uid="{86ABAFFB-CD5A-4305-92F3-45E506CCA558}"/>
    <cellStyle name="Comma 17 2 3 2 2" xfId="2935" xr:uid="{2AFD7DED-DC68-4F8E-A594-DD352F911032}"/>
    <cellStyle name="Comma 17 2 3 2 2 2" xfId="5584" xr:uid="{E9578852-3F8A-4D87-B6C4-C191C300FB82}"/>
    <cellStyle name="Comma 17 2 3 2 2 2 2" xfId="10881" xr:uid="{F33A10B5-0FCD-490D-A2B0-2927886250E5}"/>
    <cellStyle name="Comma 17 2 3 2 2 3" xfId="8232" xr:uid="{2AA05B03-0FA3-4F77-94E8-2C39D54A3E2A}"/>
    <cellStyle name="Comma 17 2 3 2 3" xfId="4260" xr:uid="{503638E5-79D2-46DF-9D60-B011B8D67C26}"/>
    <cellStyle name="Comma 17 2 3 2 3 2" xfId="9557" xr:uid="{85EBEE2E-A540-452B-AAEE-793A691938A2}"/>
    <cellStyle name="Comma 17 2 3 2 4" xfId="6908" xr:uid="{9E268C95-E07A-46F8-BF24-0690727679FC}"/>
    <cellStyle name="Comma 17 2 3 3" xfId="2407" xr:uid="{55B9730E-977E-441D-B533-B2D9B7D934D0}"/>
    <cellStyle name="Comma 17 2 3 3 2" xfId="5056" xr:uid="{0A790F25-08F0-4873-B28D-B055B1D9DB7D}"/>
    <cellStyle name="Comma 17 2 3 3 2 2" xfId="10353" xr:uid="{72FA3933-A9A2-49FF-99C1-63B8E1B20B00}"/>
    <cellStyle name="Comma 17 2 3 3 3" xfId="7704" xr:uid="{B6402FC2-2B8B-4175-A667-6D598089D2EC}"/>
    <cellStyle name="Comma 17 2 3 4" xfId="3732" xr:uid="{C764F863-052E-4915-9698-FD103A2FE882}"/>
    <cellStyle name="Comma 17 2 3 4 2" xfId="9029" xr:uid="{34DF05A5-3A7D-429E-98D9-55DE63EF5C6E}"/>
    <cellStyle name="Comma 17 2 3 5" xfId="6380" xr:uid="{8420CFCF-F05B-4C87-927C-7C0FD710D32B}"/>
    <cellStyle name="Comma 17 2 4" xfId="1331" xr:uid="{591ECF90-E536-473F-B363-BED99E677D18}"/>
    <cellStyle name="Comma 17 2 4 2" xfId="1859" xr:uid="{49DC0DA3-8EA5-4861-AB94-65D0F9D77E41}"/>
    <cellStyle name="Comma 17 2 4 2 2" xfId="3199" xr:uid="{B4392CC4-EBDE-4A77-9239-755DC5F768DE}"/>
    <cellStyle name="Comma 17 2 4 2 2 2" xfId="5848" xr:uid="{12334643-F264-4E91-9EC2-202AD0B851C6}"/>
    <cellStyle name="Comma 17 2 4 2 2 2 2" xfId="11145" xr:uid="{8585F52B-1CC9-4911-8732-5925DCA2F6AF}"/>
    <cellStyle name="Comma 17 2 4 2 2 3" xfId="8496" xr:uid="{CA8644B8-23AE-4914-8998-9EB5B1091626}"/>
    <cellStyle name="Comma 17 2 4 2 3" xfId="4524" xr:uid="{2C34C3DE-6D6F-4889-9123-A40EB003A308}"/>
    <cellStyle name="Comma 17 2 4 2 3 2" xfId="9821" xr:uid="{9D51E138-7D82-40F9-BAE6-B9F4983E5D13}"/>
    <cellStyle name="Comma 17 2 4 2 4" xfId="7172" xr:uid="{78F9F7B3-ED6B-4792-B77D-EF99DE8E6078}"/>
    <cellStyle name="Comma 17 2 4 3" xfId="2671" xr:uid="{90E0D0E1-198D-4092-B807-818863C26CF3}"/>
    <cellStyle name="Comma 17 2 4 3 2" xfId="5320" xr:uid="{86A513C8-EDF5-4381-9D37-D1291D0D146B}"/>
    <cellStyle name="Comma 17 2 4 3 2 2" xfId="10617" xr:uid="{7B83B5BC-71A0-411E-AC1E-0A60A7D3AEF1}"/>
    <cellStyle name="Comma 17 2 4 3 3" xfId="7968" xr:uid="{3232F65A-8416-45A3-9934-858B170196F9}"/>
    <cellStyle name="Comma 17 2 4 4" xfId="3996" xr:uid="{DC1F3411-44AB-4F93-803D-05AB29641AC8}"/>
    <cellStyle name="Comma 17 2 4 4 2" xfId="9293" xr:uid="{86ED8D59-BE77-4B32-A14F-0E4C6FA67F84}"/>
    <cellStyle name="Comma 17 2 4 5" xfId="6644" xr:uid="{44BA9136-70DF-49DB-834C-302B0CEC576A}"/>
    <cellStyle name="Comma 17 2 5" xfId="1463" xr:uid="{3A48CCB2-E5BB-4B7C-9C1F-2BB3C60CF0A4}"/>
    <cellStyle name="Comma 17 2 5 2" xfId="1991" xr:uid="{BDA433C6-3E6E-409E-831B-80A1C666FEF6}"/>
    <cellStyle name="Comma 17 2 5 2 2" xfId="3331" xr:uid="{31621888-D0EC-4455-8AE6-409787246C8F}"/>
    <cellStyle name="Comma 17 2 5 2 2 2" xfId="5980" xr:uid="{26A04D72-CE3B-40C6-B8E9-582B4AE47AF8}"/>
    <cellStyle name="Comma 17 2 5 2 2 2 2" xfId="11277" xr:uid="{AE185D3F-14F2-403F-8BD6-3B41DA5DC383}"/>
    <cellStyle name="Comma 17 2 5 2 2 3" xfId="8628" xr:uid="{1F147AAE-8859-4490-A40C-F332FB1C2CE5}"/>
    <cellStyle name="Comma 17 2 5 2 3" xfId="4656" xr:uid="{5A37B1B9-3CC1-4139-972B-8D4B1801C17C}"/>
    <cellStyle name="Comma 17 2 5 2 3 2" xfId="9953" xr:uid="{803618AB-4AA0-4EBD-8965-E3512A9500AD}"/>
    <cellStyle name="Comma 17 2 5 2 4" xfId="7304" xr:uid="{C853B926-CF47-490C-9223-7679A0A4B3FB}"/>
    <cellStyle name="Comma 17 2 5 3" xfId="2803" xr:uid="{421AFE15-8161-4769-B5C3-902D995BF656}"/>
    <cellStyle name="Comma 17 2 5 3 2" xfId="5452" xr:uid="{9651E4EF-DEE8-4A70-914B-8D302FD9DE63}"/>
    <cellStyle name="Comma 17 2 5 3 2 2" xfId="10749" xr:uid="{8B091FA6-25A2-43AF-9DF8-797E86460010}"/>
    <cellStyle name="Comma 17 2 5 3 3" xfId="8100" xr:uid="{BBD4BEBD-8B23-4766-A301-8353936E8841}"/>
    <cellStyle name="Comma 17 2 5 4" xfId="4128" xr:uid="{B8537C3F-9394-47A9-93DC-0E9D1D5C970E}"/>
    <cellStyle name="Comma 17 2 5 4 2" xfId="9425" xr:uid="{F821D6E5-BC4A-4A31-8BDF-777E2084916C}"/>
    <cellStyle name="Comma 17 2 5 5" xfId="6776" xr:uid="{6004ECEB-653D-41E4-B2E9-3C5A4490538B}"/>
    <cellStyle name="Comma 17 2 6" xfId="2277" xr:uid="{CD9CB426-43B4-4B12-8A35-0AA62BF5FE38}"/>
    <cellStyle name="Comma 17 2 6 2" xfId="4926" xr:uid="{7CD1E679-F6CF-42A8-94CE-1110BBBD34D1}"/>
    <cellStyle name="Comma 17 2 6 2 2" xfId="10223" xr:uid="{F5A269E3-435D-4879-AF6C-E232E0F41B15}"/>
    <cellStyle name="Comma 17 2 6 3" xfId="7574" xr:uid="{1B664B42-2ADA-4749-A9C7-B412F23B913C}"/>
    <cellStyle name="Comma 17 2 7" xfId="3602" xr:uid="{8ECCDDC5-AE1B-4BA3-8405-55288AD0827D}"/>
    <cellStyle name="Comma 17 2 7 2" xfId="8899" xr:uid="{04BE8585-06D6-49C2-8B4E-D443457056F1}"/>
    <cellStyle name="Comma 17 2 8" xfId="6250" xr:uid="{3F7F8785-44AD-4254-B81B-01FDCFA4B75B}"/>
    <cellStyle name="Comma 17 3" xfId="1107" xr:uid="{647B8B8C-FE7C-4ECB-8200-5912445891A4}"/>
    <cellStyle name="Comma 17 3 2" xfId="1641" xr:uid="{C064441E-254B-43E5-B059-A84BB0D41949}"/>
    <cellStyle name="Comma 17 3 2 2" xfId="2981" xr:uid="{F189B6F9-8301-42CD-A2F5-8CB36A6C62D1}"/>
    <cellStyle name="Comma 17 3 2 2 2" xfId="5630" xr:uid="{7C122EF1-5919-477E-8E32-B07D9A721BED}"/>
    <cellStyle name="Comma 17 3 2 2 2 2" xfId="10927" xr:uid="{E8A37E46-0284-45EE-946D-66FF7CA45A12}"/>
    <cellStyle name="Comma 17 3 2 2 3" xfId="8278" xr:uid="{0A1F2D45-136B-41A6-8287-11C664B90CD7}"/>
    <cellStyle name="Comma 17 3 2 3" xfId="4306" xr:uid="{055F22AC-B4C5-4F76-8FA8-5049CFA081BB}"/>
    <cellStyle name="Comma 17 3 2 3 2" xfId="9603" xr:uid="{D2576290-7BFA-4E0E-8E70-53F182887D72}"/>
    <cellStyle name="Comma 17 3 2 4" xfId="6954" xr:uid="{8706A166-33CF-408A-ABD3-F388EE7E1DE0}"/>
    <cellStyle name="Comma 17 3 3" xfId="2453" xr:uid="{711E5A25-D5E8-4768-81D8-4C6FD108CEFF}"/>
    <cellStyle name="Comma 17 3 3 2" xfId="5102" xr:uid="{8FF2D20A-5940-45CD-A1C6-7FE02A94CD59}"/>
    <cellStyle name="Comma 17 3 3 2 2" xfId="10399" xr:uid="{B232826B-74D8-4E13-A468-828EF2054323}"/>
    <cellStyle name="Comma 17 3 3 3" xfId="7750" xr:uid="{52F462B4-871A-44B0-BAF2-7A208092B79E}"/>
    <cellStyle name="Comma 17 3 4" xfId="3778" xr:uid="{29CE45AC-D48E-43E6-ADA7-4C5A22A1919F}"/>
    <cellStyle name="Comma 17 3 4 2" xfId="9075" xr:uid="{7222E789-ABE8-4CE1-AC17-5306D4AB7AF5}"/>
    <cellStyle name="Comma 17 3 5" xfId="6426" xr:uid="{99365ACE-04ED-48A9-80AC-D164FACB4F01}"/>
    <cellStyle name="Comma 17 4" xfId="961" xr:uid="{82B16C62-8E9F-440E-B75E-D0F4D10046D5}"/>
    <cellStyle name="Comma 17 4 2" xfId="1509" xr:uid="{1D851084-00BA-447B-A619-F20CE67C570F}"/>
    <cellStyle name="Comma 17 4 2 2" xfId="2849" xr:uid="{747116DB-348A-4880-8EAA-8DA9F39E53BD}"/>
    <cellStyle name="Comma 17 4 2 2 2" xfId="5498" xr:uid="{1BEF169E-2B5A-45EF-BB0F-AABDB1A4AAE2}"/>
    <cellStyle name="Comma 17 4 2 2 2 2" xfId="10795" xr:uid="{CB37AE10-8391-4AD5-9FB3-A35B2E5FD0C5}"/>
    <cellStyle name="Comma 17 4 2 2 3" xfId="8146" xr:uid="{39574414-43E5-4C07-B40B-DCBF92CE06F6}"/>
    <cellStyle name="Comma 17 4 2 3" xfId="4174" xr:uid="{3ED93F05-6D04-456E-959D-04FB298C5BDD}"/>
    <cellStyle name="Comma 17 4 2 3 2" xfId="9471" xr:uid="{3B33AC25-A2E1-442F-9C87-379BDA50EC23}"/>
    <cellStyle name="Comma 17 4 2 4" xfId="6822" xr:uid="{65CB60BD-B1D7-4E84-B8B7-BDFB4BDC0751}"/>
    <cellStyle name="Comma 17 4 3" xfId="2321" xr:uid="{B8D63823-D7E2-41F9-A499-3FFBB95C6F47}"/>
    <cellStyle name="Comma 17 4 3 2" xfId="4970" xr:uid="{5D1742D1-4E3D-4D14-917C-3ACDFBDCBE6E}"/>
    <cellStyle name="Comma 17 4 3 2 2" xfId="10267" xr:uid="{8AC918D7-B7EC-4CC2-A071-A055AABC0666}"/>
    <cellStyle name="Comma 17 4 3 3" xfId="7618" xr:uid="{6B76B06C-4CAB-48DD-8F46-7CECACABD62F}"/>
    <cellStyle name="Comma 17 4 4" xfId="3646" xr:uid="{F29137E3-91B2-401A-89BA-E758FA10815C}"/>
    <cellStyle name="Comma 17 4 4 2" xfId="8943" xr:uid="{141043E5-7FFE-4032-88E7-B285D971FC87}"/>
    <cellStyle name="Comma 17 4 5" xfId="6294" xr:uid="{F9E12CC8-5BA3-4C43-9DC0-622EFD00485C}"/>
    <cellStyle name="Comma 17 5" xfId="1245" xr:uid="{0E8C3FC8-F529-4C33-A7F6-EC9199057BA7}"/>
    <cellStyle name="Comma 17 5 2" xfId="1773" xr:uid="{8504E9EE-2F79-4681-BA79-681D28F311FE}"/>
    <cellStyle name="Comma 17 5 2 2" xfId="3113" xr:uid="{ADF0EF5D-52AA-4B02-9551-13DB32049D7A}"/>
    <cellStyle name="Comma 17 5 2 2 2" xfId="5762" xr:uid="{F3EB0EF5-8721-45B8-AD43-167E6FCCEEB6}"/>
    <cellStyle name="Comma 17 5 2 2 2 2" xfId="11059" xr:uid="{F8138C5B-78BD-4312-9225-16FAEEF874D2}"/>
    <cellStyle name="Comma 17 5 2 2 3" xfId="8410" xr:uid="{285F99B5-2F1C-4EFF-86C7-C29BFA06DC82}"/>
    <cellStyle name="Comma 17 5 2 3" xfId="4438" xr:uid="{C4A315A4-C911-4CFE-96C0-27F49966E728}"/>
    <cellStyle name="Comma 17 5 2 3 2" xfId="9735" xr:uid="{3C6776ED-22F7-498D-AB7D-B510D9BBB1C3}"/>
    <cellStyle name="Comma 17 5 2 4" xfId="7086" xr:uid="{54E0E05A-D205-40E6-9CCC-28C226764CA4}"/>
    <cellStyle name="Comma 17 5 3" xfId="2585" xr:uid="{5640EF4C-B313-4EDF-BD32-A7DEFCE909B2}"/>
    <cellStyle name="Comma 17 5 3 2" xfId="5234" xr:uid="{F4F9D6C9-4CC3-4715-B0B4-EB6E7962EF13}"/>
    <cellStyle name="Comma 17 5 3 2 2" xfId="10531" xr:uid="{CBFE0644-4590-49A7-9400-3411B2BDC3F9}"/>
    <cellStyle name="Comma 17 5 3 3" xfId="7882" xr:uid="{E5304C85-18E6-4006-878B-152AF70A7384}"/>
    <cellStyle name="Comma 17 5 4" xfId="3910" xr:uid="{7DEC55BE-A604-43E4-B8F6-E6B88D5CDABB}"/>
    <cellStyle name="Comma 17 5 4 2" xfId="9207" xr:uid="{2ED16053-CBF0-49CF-BF72-BA116A6A3C27}"/>
    <cellStyle name="Comma 17 5 5" xfId="6558" xr:uid="{10CCAE92-C40F-424D-AC5F-EAC73D1D7834}"/>
    <cellStyle name="Comma 17 6" xfId="1377" xr:uid="{4725569E-FC5F-4E4B-872E-DE28CFD782D6}"/>
    <cellStyle name="Comma 17 6 2" xfId="1905" xr:uid="{3E385A7C-93E1-4AF3-9FC4-B53A3E9F1480}"/>
    <cellStyle name="Comma 17 6 2 2" xfId="3245" xr:uid="{2D46BF91-2FBA-4973-AF75-4EAF68C82AC1}"/>
    <cellStyle name="Comma 17 6 2 2 2" xfId="5894" xr:uid="{5A867484-B4B9-4F2D-845C-14BADD616994}"/>
    <cellStyle name="Comma 17 6 2 2 2 2" xfId="11191" xr:uid="{F91D6735-2976-436B-AF64-E21C1BFDFF65}"/>
    <cellStyle name="Comma 17 6 2 2 3" xfId="8542" xr:uid="{8B8FC0F1-F1B2-4591-AE7F-630E80DECFAE}"/>
    <cellStyle name="Comma 17 6 2 3" xfId="4570" xr:uid="{825ACB36-CF03-4726-9475-21732863303D}"/>
    <cellStyle name="Comma 17 6 2 3 2" xfId="9867" xr:uid="{F9527822-C4A1-4FC1-913E-6A6930F92C41}"/>
    <cellStyle name="Comma 17 6 2 4" xfId="7218" xr:uid="{6BB16C74-7F3D-4499-B6C7-8EEF93642BB8}"/>
    <cellStyle name="Comma 17 6 3" xfId="2717" xr:uid="{C9D1DBDD-EC12-4044-8B3E-F02C0FC49C90}"/>
    <cellStyle name="Comma 17 6 3 2" xfId="5366" xr:uid="{60F7669B-6464-4E69-900D-CFD6F22534EA}"/>
    <cellStyle name="Comma 17 6 3 2 2" xfId="10663" xr:uid="{F3E32435-5246-40A5-9FC5-2ADA86FF1EFB}"/>
    <cellStyle name="Comma 17 6 3 3" xfId="8014" xr:uid="{89E81AA0-F745-4EB8-B22F-0A8DFCC5DF0D}"/>
    <cellStyle name="Comma 17 6 4" xfId="4042" xr:uid="{E1C1F429-B472-4B35-A33F-A4C45C2C02F3}"/>
    <cellStyle name="Comma 17 6 4 2" xfId="9339" xr:uid="{E055194A-8C6E-4A81-8AC2-A2B412A31BBF}"/>
    <cellStyle name="Comma 17 6 5" xfId="6690" xr:uid="{D471F783-48B6-45D2-ADBA-B4787EA82D2E}"/>
    <cellStyle name="Comma 17 7" xfId="2197" xr:uid="{465E9A63-1BB5-4E24-B5C4-429EC9808A41}"/>
    <cellStyle name="Comma 17 7 2" xfId="4846" xr:uid="{916CC19C-1B89-43BB-BAB1-4DBDF64E49B2}"/>
    <cellStyle name="Comma 17 7 2 2" xfId="10143" xr:uid="{8E3F7A94-1011-4551-B467-705A5DE6F786}"/>
    <cellStyle name="Comma 17 7 3" xfId="7494" xr:uid="{F5B9D06F-E340-410E-AEAC-3403446AB0CD}"/>
    <cellStyle name="Comma 17 8" xfId="3522" xr:uid="{EED1A527-3056-4B23-85D6-D331D6EBD1F6}"/>
    <cellStyle name="Comma 17 8 2" xfId="8819" xr:uid="{CC050406-856B-4614-A77D-13E1A15BBBBD}"/>
    <cellStyle name="Comma 17 9" xfId="6170" xr:uid="{374946BE-3BD9-463A-9068-FD540A37348B}"/>
    <cellStyle name="Comma 18" xfId="1080" xr:uid="{7429512B-F6B8-4656-913C-7FA6ACFA095F}"/>
    <cellStyle name="Comma 18 2" xfId="1618" xr:uid="{3490F185-A667-4139-8F0D-3DA0CF3415A3}"/>
    <cellStyle name="Comma 18 2 2" xfId="2958" xr:uid="{511AE157-BDC2-4405-AB8E-0801E0D57969}"/>
    <cellStyle name="Comma 18 2 2 2" xfId="5607" xr:uid="{ABE32810-18D6-4CDE-BA4C-7F981C137246}"/>
    <cellStyle name="Comma 18 2 2 2 2" xfId="10904" xr:uid="{F8A0920A-459F-403F-8E86-4AB9F72BF3E4}"/>
    <cellStyle name="Comma 18 2 2 3" xfId="8255" xr:uid="{A9EEE564-536C-4D1D-84FA-FD8530DE1584}"/>
    <cellStyle name="Comma 18 2 3" xfId="4283" xr:uid="{71890A21-0CD7-4000-9D51-68989CC21CFE}"/>
    <cellStyle name="Comma 18 2 3 2" xfId="9580" xr:uid="{ADE8681C-FAB4-4B50-81F3-8C033289F44C}"/>
    <cellStyle name="Comma 18 2 4" xfId="6931" xr:uid="{08018D78-445C-45C0-BE4D-974950752FF6}"/>
    <cellStyle name="Comma 18 3" xfId="2430" xr:uid="{96551C67-6B42-4BCD-AB4F-A1E3EBB8B26B}"/>
    <cellStyle name="Comma 18 3 2" xfId="5079" xr:uid="{388837FD-F5BA-4F90-946B-6D8A8344BD96}"/>
    <cellStyle name="Comma 18 3 2 2" xfId="10376" xr:uid="{5E986E94-9A19-4890-8E2E-6F3D2F84A3AE}"/>
    <cellStyle name="Comma 18 3 3" xfId="7727" xr:uid="{DD7FC9C5-D7DC-4572-A31F-0DB1A3D31BB5}"/>
    <cellStyle name="Comma 18 4" xfId="3755" xr:uid="{1E0E49FE-18B0-4DF8-BD6D-AA95D50C7449}"/>
    <cellStyle name="Comma 18 4 2" xfId="9052" xr:uid="{AAE38927-D8FD-4BF2-A8EF-B0B1F8701634}"/>
    <cellStyle name="Comma 18 5" xfId="6403" xr:uid="{D35BDC9F-7C81-4E11-A2BB-77A669AF0258}"/>
    <cellStyle name="Comma 19" xfId="933" xr:uid="{A4D68770-D746-402D-A65F-06C02A83FA51}"/>
    <cellStyle name="Comma 19 2" xfId="1486" xr:uid="{AB399BDD-47D6-4DAF-82C7-4074CC65636F}"/>
    <cellStyle name="Comma 19 2 2" xfId="2826" xr:uid="{0015A014-682F-4CD7-B0CB-10D7A10CA5DE}"/>
    <cellStyle name="Comma 19 2 2 2" xfId="5475" xr:uid="{A08EBF49-2EB1-4C24-B8F5-BA292B2DB2B9}"/>
    <cellStyle name="Comma 19 2 2 2 2" xfId="10772" xr:uid="{392AF96F-04EA-441E-A636-59D5ACB4E735}"/>
    <cellStyle name="Comma 19 2 2 3" xfId="8123" xr:uid="{6ED198B6-74EF-4A23-9469-7D1941A2C243}"/>
    <cellStyle name="Comma 19 2 3" xfId="4151" xr:uid="{4B4040AA-4CD0-44BC-97AC-616D37782237}"/>
    <cellStyle name="Comma 19 2 3 2" xfId="9448" xr:uid="{C6B39B4A-4152-449E-A08C-77E40A1996A4}"/>
    <cellStyle name="Comma 19 2 4" xfId="6799" xr:uid="{BDCDB867-93E3-4F75-AAA9-28316F2DBFA1}"/>
    <cellStyle name="Comma 19 3" xfId="2298" xr:uid="{D7DB3D4D-AE79-4003-8D46-5FD09AE7FED0}"/>
    <cellStyle name="Comma 19 3 2" xfId="4947" xr:uid="{669CC8D2-3CD2-4D94-8579-BF844308A697}"/>
    <cellStyle name="Comma 19 3 2 2" xfId="10244" xr:uid="{C9F6C929-441D-44B9-8B9C-E3BAD50EBF3E}"/>
    <cellStyle name="Comma 19 3 3" xfId="7595" xr:uid="{D539C5E2-49CB-4F51-8982-8E35169230B4}"/>
    <cellStyle name="Comma 19 4" xfId="3623" xr:uid="{E3CEF3A3-AB2B-4D79-AFCE-0F10FFC90AB0}"/>
    <cellStyle name="Comma 19 4 2" xfId="8920" xr:uid="{DA17E450-5791-4C3E-9DF8-320D80CC238E}"/>
    <cellStyle name="Comma 19 5" xfId="6271" xr:uid="{87EF6740-7747-4C25-AAE7-1DAB638DD937}"/>
    <cellStyle name="Comma 2" xfId="20" xr:uid="{8037595A-8650-4186-A3F9-E4F7B164D359}"/>
    <cellStyle name="Comma 2 10" xfId="252" xr:uid="{0FEF4100-41B5-4D76-A0D7-2815CAE07162}"/>
    <cellStyle name="Comma 2 10 10" xfId="6087" xr:uid="{4FC21925-BC34-4CEF-909C-C030644E3301}"/>
    <cellStyle name="Comma 2 10 2" xfId="807" xr:uid="{C4EF82B0-A8F6-44A7-8AA1-6FC406CE65ED}"/>
    <cellStyle name="Comma 2 10 2 2" xfId="1168" xr:uid="{FC310A58-A6D4-4BBC-AEE6-D98B2BE8B248}"/>
    <cellStyle name="Comma 2 10 2 2 2" xfId="1700" xr:uid="{2602DD45-4ADE-46A1-8197-DE3106C69256}"/>
    <cellStyle name="Comma 2 10 2 2 2 2" xfId="3040" xr:uid="{AD76FEEF-DE77-4700-99A5-8CEF1D98F4DC}"/>
    <cellStyle name="Comma 2 10 2 2 2 2 2" xfId="5689" xr:uid="{3DD79230-3077-48AB-9CCF-853B62A6E506}"/>
    <cellStyle name="Comma 2 10 2 2 2 2 2 2" xfId="10986" xr:uid="{0198095B-EC71-4A83-9605-9EB2C5D8BB2E}"/>
    <cellStyle name="Comma 2 10 2 2 2 2 3" xfId="8337" xr:uid="{B319F3AF-88EE-47D6-8C53-53886859EE2F}"/>
    <cellStyle name="Comma 2 10 2 2 2 3" xfId="4365" xr:uid="{9964356D-A4C3-46C2-92A5-D32AC5095052}"/>
    <cellStyle name="Comma 2 10 2 2 2 3 2" xfId="9662" xr:uid="{BA1B4DA9-47B3-48F5-8827-E2B36CF3E083}"/>
    <cellStyle name="Comma 2 10 2 2 2 4" xfId="7013" xr:uid="{60F067DD-9E5E-4F19-82CF-FAEFCCFBE124}"/>
    <cellStyle name="Comma 2 10 2 2 3" xfId="2512" xr:uid="{F566C3D1-090F-4825-BF35-5177D72F0F0E}"/>
    <cellStyle name="Comma 2 10 2 2 3 2" xfId="5161" xr:uid="{D6E0998E-A69A-4545-B0FF-4C2D52EF2BF3}"/>
    <cellStyle name="Comma 2 10 2 2 3 2 2" xfId="10458" xr:uid="{D04E8A53-5A03-49AC-98A5-9118B83A9211}"/>
    <cellStyle name="Comma 2 10 2 2 3 3" xfId="7809" xr:uid="{A1C500D0-1CB7-43CC-AD65-AF1BA48D29BD}"/>
    <cellStyle name="Comma 2 10 2 2 4" xfId="3837" xr:uid="{D4A0B58C-5006-4F15-9B5E-FF85A38AB72E}"/>
    <cellStyle name="Comma 2 10 2 2 4 2" xfId="9134" xr:uid="{352DB4FB-9542-4409-991D-1D7C02FAE100}"/>
    <cellStyle name="Comma 2 10 2 2 5" xfId="6485" xr:uid="{17123D27-5755-4FBD-A39E-D2A19D49EC9E}"/>
    <cellStyle name="Comma 2 10 2 3" xfId="1024" xr:uid="{0C03A673-DB63-475E-A5F9-4CA0890A7471}"/>
    <cellStyle name="Comma 2 10 2 3 2" xfId="1568" xr:uid="{80D73B3F-2353-4D75-B52B-09482BA46D84}"/>
    <cellStyle name="Comma 2 10 2 3 2 2" xfId="2908" xr:uid="{9E8A836F-1290-494D-B7D9-8EB72E28FC4C}"/>
    <cellStyle name="Comma 2 10 2 3 2 2 2" xfId="5557" xr:uid="{C9C2D31E-2D82-4EAA-B019-232D79D7532D}"/>
    <cellStyle name="Comma 2 10 2 3 2 2 2 2" xfId="10854" xr:uid="{B39D11A3-0452-46F9-9864-EFC8917EDC81}"/>
    <cellStyle name="Comma 2 10 2 3 2 2 3" xfId="8205" xr:uid="{9DD9E180-E9FF-4839-9374-57937D5D0AC3}"/>
    <cellStyle name="Comma 2 10 2 3 2 3" xfId="4233" xr:uid="{625DCC7E-A6FD-44A8-9162-2311C67FB211}"/>
    <cellStyle name="Comma 2 10 2 3 2 3 2" xfId="9530" xr:uid="{BB179F3A-EC3E-4008-A06F-DE56FE5DD3CD}"/>
    <cellStyle name="Comma 2 10 2 3 2 4" xfId="6881" xr:uid="{245F476B-FFEC-42A2-94DD-EB8990431748}"/>
    <cellStyle name="Comma 2 10 2 3 3" xfId="2380" xr:uid="{305D3A86-2093-486D-ABEA-739D3961676D}"/>
    <cellStyle name="Comma 2 10 2 3 3 2" xfId="5029" xr:uid="{DC0FB354-E4D2-44ED-9146-E24C3367BAF8}"/>
    <cellStyle name="Comma 2 10 2 3 3 2 2" xfId="10326" xr:uid="{1A1846EB-07B4-4653-B8F7-C1FC2050F078}"/>
    <cellStyle name="Comma 2 10 2 3 3 3" xfId="7677" xr:uid="{1665FC7A-7AE8-4A6C-9189-E23D9113736F}"/>
    <cellStyle name="Comma 2 10 2 3 4" xfId="3705" xr:uid="{E5FDDFC2-29DA-4CEB-A800-060D1FCA7281}"/>
    <cellStyle name="Comma 2 10 2 3 4 2" xfId="9002" xr:uid="{66E6D830-BC53-4E48-8861-7A60DDDE4058}"/>
    <cellStyle name="Comma 2 10 2 3 5" xfId="6353" xr:uid="{9CFD9C40-41C2-4968-852F-7905DC0022F7}"/>
    <cellStyle name="Comma 2 10 2 4" xfId="1304" xr:uid="{9BBB9ECC-4A6E-4B95-B39D-15FCF52B7ED3}"/>
    <cellStyle name="Comma 2 10 2 4 2" xfId="1832" xr:uid="{71ABF864-3092-48FD-9586-200EB6CFBC6C}"/>
    <cellStyle name="Comma 2 10 2 4 2 2" xfId="3172" xr:uid="{322D80E1-174E-4253-A733-038AE337AA7B}"/>
    <cellStyle name="Comma 2 10 2 4 2 2 2" xfId="5821" xr:uid="{6FA37CAC-F421-4107-BA6F-0C2795F92FA8}"/>
    <cellStyle name="Comma 2 10 2 4 2 2 2 2" xfId="11118" xr:uid="{60B30BC9-4512-4F41-B29E-D5A3A44A3815}"/>
    <cellStyle name="Comma 2 10 2 4 2 2 3" xfId="8469" xr:uid="{66BFC9D1-2EBD-4096-A15A-8ED8E41F1F1A}"/>
    <cellStyle name="Comma 2 10 2 4 2 3" xfId="4497" xr:uid="{B3918E1E-F7CD-4E07-8EB8-C56BC0A4D946}"/>
    <cellStyle name="Comma 2 10 2 4 2 3 2" xfId="9794" xr:uid="{DB557FD7-5675-4E69-A7A2-762554B757A9}"/>
    <cellStyle name="Comma 2 10 2 4 2 4" xfId="7145" xr:uid="{0725A042-BCD5-42B2-9CE1-872D8CC6E1FD}"/>
    <cellStyle name="Comma 2 10 2 4 3" xfId="2644" xr:uid="{8D6ED628-0A39-4EF3-8D1F-BD61A5F49AD7}"/>
    <cellStyle name="Comma 2 10 2 4 3 2" xfId="5293" xr:uid="{40E6ABF7-FD93-4E21-973A-BB296C381029}"/>
    <cellStyle name="Comma 2 10 2 4 3 2 2" xfId="10590" xr:uid="{C3F78B55-F5CD-4C2E-ACA8-FAC02A68DF22}"/>
    <cellStyle name="Comma 2 10 2 4 3 3" xfId="7941" xr:uid="{8FDD8493-58FD-43B5-9C2B-E61CC1301C97}"/>
    <cellStyle name="Comma 2 10 2 4 4" xfId="3969" xr:uid="{F29EFFCF-3DB0-4379-AA43-1800FCF59F2F}"/>
    <cellStyle name="Comma 2 10 2 4 4 2" xfId="9266" xr:uid="{54B3CAE1-5786-441E-BDE0-1F650D18F160}"/>
    <cellStyle name="Comma 2 10 2 4 5" xfId="6617" xr:uid="{8F01FFF3-F504-4A93-B92B-37579A4B5D31}"/>
    <cellStyle name="Comma 2 10 2 5" xfId="1436" xr:uid="{4472EB60-1C4F-4272-9005-5ED12273D43C}"/>
    <cellStyle name="Comma 2 10 2 5 2" xfId="1964" xr:uid="{63ECC9CA-F2F6-444E-B93E-703A973E5D1C}"/>
    <cellStyle name="Comma 2 10 2 5 2 2" xfId="3304" xr:uid="{822051E5-4702-4A1A-A022-470C0E54869F}"/>
    <cellStyle name="Comma 2 10 2 5 2 2 2" xfId="5953" xr:uid="{0127B3BD-F08D-443F-B73B-64165F6D5807}"/>
    <cellStyle name="Comma 2 10 2 5 2 2 2 2" xfId="11250" xr:uid="{7761E80D-3842-4447-BCFE-49B3A320B97D}"/>
    <cellStyle name="Comma 2 10 2 5 2 2 3" xfId="8601" xr:uid="{FB64E3A3-2A89-49B8-B4B7-5819B965749D}"/>
    <cellStyle name="Comma 2 10 2 5 2 3" xfId="4629" xr:uid="{B4452D9E-D97F-4655-8216-46F09A35B036}"/>
    <cellStyle name="Comma 2 10 2 5 2 3 2" xfId="9926" xr:uid="{0E4FA5A7-BE27-43C7-9D76-F67C376B5D21}"/>
    <cellStyle name="Comma 2 10 2 5 2 4" xfId="7277" xr:uid="{0FC01C70-63A5-416D-AC98-0A7F2DBA3FC3}"/>
    <cellStyle name="Comma 2 10 2 5 3" xfId="2776" xr:uid="{C86728BF-6020-4930-8A6F-6FF447D3BB7E}"/>
    <cellStyle name="Comma 2 10 2 5 3 2" xfId="5425" xr:uid="{1315A65A-D56D-4EB9-9018-B4C8283CED11}"/>
    <cellStyle name="Comma 2 10 2 5 3 2 2" xfId="10722" xr:uid="{BF4C591A-9564-4B84-B071-E9268B5C4DBD}"/>
    <cellStyle name="Comma 2 10 2 5 3 3" xfId="8073" xr:uid="{8987656A-486E-439A-9DE1-FC0FBBC8841D}"/>
    <cellStyle name="Comma 2 10 2 5 4" xfId="4101" xr:uid="{66EDA682-8CA1-4B0D-8D9E-F5733C66A3CA}"/>
    <cellStyle name="Comma 2 10 2 5 4 2" xfId="9398" xr:uid="{E985BB53-DACA-44E3-ACB2-4C176DF9C0B2}"/>
    <cellStyle name="Comma 2 10 2 5 5" xfId="6749" xr:uid="{BBFB9DAD-E7CC-4E38-ADC4-67DE344E4BAB}"/>
    <cellStyle name="Comma 2 10 2 6" xfId="2252" xr:uid="{A751FD59-50A3-43A4-9CFE-F60A0D723D42}"/>
    <cellStyle name="Comma 2 10 2 6 2" xfId="4901" xr:uid="{A2AA984E-158D-42ED-BF98-651F8C361E0D}"/>
    <cellStyle name="Comma 2 10 2 6 2 2" xfId="10198" xr:uid="{C24AD7A5-F815-4286-8E24-E7F983B52391}"/>
    <cellStyle name="Comma 2 10 2 6 3" xfId="7549" xr:uid="{D3F78BF6-AB1A-42AA-A17D-BE972D6346BA}"/>
    <cellStyle name="Comma 2 10 2 7" xfId="3577" xr:uid="{9A659167-107F-4F37-87DE-F575F7CAD170}"/>
    <cellStyle name="Comma 2 10 2 7 2" xfId="8874" xr:uid="{31AE326A-EEE7-4B7E-A277-2EC8A023B841}"/>
    <cellStyle name="Comma 2 10 2 8" xfId="6225" xr:uid="{BD765A6A-432F-4770-AA3C-49B85504D7B7}"/>
    <cellStyle name="Comma 2 10 3" xfId="1144" xr:uid="{A0D86215-BF99-417B-ABAC-D8148A6CAD79}"/>
    <cellStyle name="Comma 2 10 3 2" xfId="1676" xr:uid="{937C71E8-E353-4683-98EA-666FD330E1BB}"/>
    <cellStyle name="Comma 2 10 3 2 2" xfId="3016" xr:uid="{FCEA4732-59EE-4E7D-A72D-540E1E1CA9DF}"/>
    <cellStyle name="Comma 2 10 3 2 2 2" xfId="5665" xr:uid="{837A7399-103B-4321-8786-3C96CB4F8B9A}"/>
    <cellStyle name="Comma 2 10 3 2 2 2 2" xfId="10962" xr:uid="{2D46EAAC-5AAF-4A7D-B6FB-C5DE3379C4EC}"/>
    <cellStyle name="Comma 2 10 3 2 2 3" xfId="8313" xr:uid="{A184F388-4DFC-4B03-B026-C777CE83886D}"/>
    <cellStyle name="Comma 2 10 3 2 3" xfId="4341" xr:uid="{D76DAEEF-70C7-427F-BE03-2CBB840C17C0}"/>
    <cellStyle name="Comma 2 10 3 2 3 2" xfId="9638" xr:uid="{6ED11E92-4280-4F7B-8503-AE1E56DAFAE2}"/>
    <cellStyle name="Comma 2 10 3 2 4" xfId="6989" xr:uid="{ECBAF5A8-3B73-4C29-9DCE-441845160D8F}"/>
    <cellStyle name="Comma 2 10 3 3" xfId="2488" xr:uid="{2C8A9541-D15B-4779-A9D0-9FBFFE087C3D}"/>
    <cellStyle name="Comma 2 10 3 3 2" xfId="5137" xr:uid="{B749BEA9-D5A4-4C1A-A257-A516EBAD8998}"/>
    <cellStyle name="Comma 2 10 3 3 2 2" xfId="10434" xr:uid="{C2CD3940-3586-4855-A1D1-BDAFDCCCAC19}"/>
    <cellStyle name="Comma 2 10 3 3 3" xfId="7785" xr:uid="{DEE20F9E-E5CF-41CC-B6ED-9337950F7501}"/>
    <cellStyle name="Comma 2 10 3 4" xfId="3813" xr:uid="{CA8021B6-08FD-48E2-9996-D859CACB65EB}"/>
    <cellStyle name="Comma 2 10 3 4 2" xfId="9110" xr:uid="{02A83C6C-D318-4CB6-BEC0-6693182860FB}"/>
    <cellStyle name="Comma 2 10 3 5" xfId="6461" xr:uid="{DB5FB9DE-543B-4C00-8BD6-AC79B690805A}"/>
    <cellStyle name="Comma 2 10 4" xfId="1000" xr:uid="{10D0F473-80B7-48A5-AAE2-A9872BE021BE}"/>
    <cellStyle name="Comma 2 10 4 2" xfId="1544" xr:uid="{ABFC1DA8-5D66-4B28-8A6B-0EE3630EEDAD}"/>
    <cellStyle name="Comma 2 10 4 2 2" xfId="2884" xr:uid="{CC159A33-D8A5-47C8-A507-9F476B92E573}"/>
    <cellStyle name="Comma 2 10 4 2 2 2" xfId="5533" xr:uid="{C1A61DAE-77DE-4C8A-AA38-BBB972460650}"/>
    <cellStyle name="Comma 2 10 4 2 2 2 2" xfId="10830" xr:uid="{7EE61DF8-6CE7-4231-B8DF-33B209A7E0D7}"/>
    <cellStyle name="Comma 2 10 4 2 2 3" xfId="8181" xr:uid="{38964D53-C11E-4D0E-A83F-C75CB2A4041A}"/>
    <cellStyle name="Comma 2 10 4 2 3" xfId="4209" xr:uid="{20AF59C6-3FCD-4515-9E1E-0262AB5E7FF8}"/>
    <cellStyle name="Comma 2 10 4 2 3 2" xfId="9506" xr:uid="{80B44B44-539B-4741-A6B9-49F76D9CECB4}"/>
    <cellStyle name="Comma 2 10 4 2 4" xfId="6857" xr:uid="{E7F88B14-ABD0-46CB-B5C7-A67ABA5FB0E9}"/>
    <cellStyle name="Comma 2 10 4 3" xfId="2356" xr:uid="{3986AD92-AE94-41E9-B4CF-196554C683B6}"/>
    <cellStyle name="Comma 2 10 4 3 2" xfId="5005" xr:uid="{95F17D1F-7650-4257-991F-C3F23251181F}"/>
    <cellStyle name="Comma 2 10 4 3 2 2" xfId="10302" xr:uid="{9FD1C054-A0B9-4EE1-A21B-8CAA54052124}"/>
    <cellStyle name="Comma 2 10 4 3 3" xfId="7653" xr:uid="{987E2DB2-8F60-4038-88A3-5AD41092990A}"/>
    <cellStyle name="Comma 2 10 4 4" xfId="3681" xr:uid="{F1FA216A-D324-4477-A6E0-6D073AA9BBF6}"/>
    <cellStyle name="Comma 2 10 4 4 2" xfId="8978" xr:uid="{FD715178-14FD-4017-B89A-F934D383D926}"/>
    <cellStyle name="Comma 2 10 4 5" xfId="6329" xr:uid="{B50F0B8F-C07E-4255-B46C-EFDB0DC64B22}"/>
    <cellStyle name="Comma 2 10 5" xfId="1280" xr:uid="{99263AD6-510E-47D5-8E46-B706F7AB8905}"/>
    <cellStyle name="Comma 2 10 5 2" xfId="1808" xr:uid="{7EFB9D23-1B3F-4B17-A0EA-6F8FDC1FFD1B}"/>
    <cellStyle name="Comma 2 10 5 2 2" xfId="3148" xr:uid="{411C7688-AEC0-45B5-9A2C-11EF858ABC5C}"/>
    <cellStyle name="Comma 2 10 5 2 2 2" xfId="5797" xr:uid="{B8E612C6-8826-4013-90B9-312B2C670D95}"/>
    <cellStyle name="Comma 2 10 5 2 2 2 2" xfId="11094" xr:uid="{B2DE2B82-50D1-41E5-9818-59C3047A88E8}"/>
    <cellStyle name="Comma 2 10 5 2 2 3" xfId="8445" xr:uid="{78D149F2-AAE4-4BA0-9ABA-9C42AD4D6D45}"/>
    <cellStyle name="Comma 2 10 5 2 3" xfId="4473" xr:uid="{C83A5479-0B7D-4326-90A7-7F8B9B23CEE4}"/>
    <cellStyle name="Comma 2 10 5 2 3 2" xfId="9770" xr:uid="{4E5978B3-BD89-4AD4-B3F9-7EAAE65962AB}"/>
    <cellStyle name="Comma 2 10 5 2 4" xfId="7121" xr:uid="{D27EA56C-EEC2-47C7-9D84-61C5DF6209A3}"/>
    <cellStyle name="Comma 2 10 5 3" xfId="2620" xr:uid="{1523F040-604F-4757-AD60-BB4B6C13FEBB}"/>
    <cellStyle name="Comma 2 10 5 3 2" xfId="5269" xr:uid="{5F804ECD-144B-4090-8C86-C9883682B241}"/>
    <cellStyle name="Comma 2 10 5 3 2 2" xfId="10566" xr:uid="{6F265B51-C55C-43F7-8E9B-9FB332D1D4C6}"/>
    <cellStyle name="Comma 2 10 5 3 3" xfId="7917" xr:uid="{BAF67044-0F7E-4B1F-B604-688DFF36CDAF}"/>
    <cellStyle name="Comma 2 10 5 4" xfId="3945" xr:uid="{3AF113AA-9ED2-49F7-A347-6DF69A4B04C4}"/>
    <cellStyle name="Comma 2 10 5 4 2" xfId="9242" xr:uid="{443124D2-6F6B-4D7F-A15B-2B442576D2AE}"/>
    <cellStyle name="Comma 2 10 5 5" xfId="6593" xr:uid="{6AA8B718-5292-416C-89B8-79B8651E6314}"/>
    <cellStyle name="Comma 2 10 6" xfId="1412" xr:uid="{E7B38A88-5B40-451F-AB96-58F4A1481F8D}"/>
    <cellStyle name="Comma 2 10 6 2" xfId="1940" xr:uid="{DB706470-A902-4740-9EFC-1F83431EB11B}"/>
    <cellStyle name="Comma 2 10 6 2 2" xfId="3280" xr:uid="{0329DCEB-3EAF-40CE-A4B2-E44EC304C08B}"/>
    <cellStyle name="Comma 2 10 6 2 2 2" xfId="5929" xr:uid="{73781831-028B-48F5-90FD-513BB98F6F5F}"/>
    <cellStyle name="Comma 2 10 6 2 2 2 2" xfId="11226" xr:uid="{95E1F14A-992A-48E0-8C86-1271788675CD}"/>
    <cellStyle name="Comma 2 10 6 2 2 3" xfId="8577" xr:uid="{262232BF-B1CA-410A-8B50-BC7B15AB063E}"/>
    <cellStyle name="Comma 2 10 6 2 3" xfId="4605" xr:uid="{077489E5-7A75-4166-813F-9BD2D0391A24}"/>
    <cellStyle name="Comma 2 10 6 2 3 2" xfId="9902" xr:uid="{92441EB0-1D3A-41B4-971C-7A92B19E4B3A}"/>
    <cellStyle name="Comma 2 10 6 2 4" xfId="7253" xr:uid="{8E0DF1E8-C5B9-45DF-BD5A-63D8579BFF01}"/>
    <cellStyle name="Comma 2 10 6 3" xfId="2752" xr:uid="{B61FC0F4-84E6-4EFB-B1DE-D3D0BE7B06CB}"/>
    <cellStyle name="Comma 2 10 6 3 2" xfId="5401" xr:uid="{344508CD-B8BB-435E-999F-B20422C56F71}"/>
    <cellStyle name="Comma 2 10 6 3 2 2" xfId="10698" xr:uid="{200D37C2-B2C9-4D2C-9294-E85E9C474899}"/>
    <cellStyle name="Comma 2 10 6 3 3" xfId="8049" xr:uid="{A243284A-6A2F-4CD6-A3C1-8A4D38FCC023}"/>
    <cellStyle name="Comma 2 10 6 4" xfId="4077" xr:uid="{2969ED56-50FF-4824-8F79-7F98B3F6E796}"/>
    <cellStyle name="Comma 2 10 6 4 2" xfId="9374" xr:uid="{8B6EB544-6125-434B-99ED-0B3B67C64D2F}"/>
    <cellStyle name="Comma 2 10 6 5" xfId="6725" xr:uid="{E87C138E-DAC6-4C5E-B14E-BB61639A066C}"/>
    <cellStyle name="Comma 2 10 7" xfId="739" xr:uid="{C0E5398E-56E0-4AA4-B406-8AD67E03A21E}"/>
    <cellStyle name="Comma 2 10 7 2" xfId="2228" xr:uid="{A33BCE93-95D8-418B-AC88-6A131F9EE842}"/>
    <cellStyle name="Comma 2 10 7 2 2" xfId="4877" xr:uid="{291CC27E-E682-46DB-BA92-0818E4255511}"/>
    <cellStyle name="Comma 2 10 7 2 2 2" xfId="10174" xr:uid="{67DBAB55-56E3-4A45-95B8-8CF58E51D8F6}"/>
    <cellStyle name="Comma 2 10 7 2 3" xfId="7525" xr:uid="{74545189-905F-4854-B478-C7151AA1CFB0}"/>
    <cellStyle name="Comma 2 10 7 3" xfId="3553" xr:uid="{B6B7E7C4-E777-4B30-B485-B185927589F5}"/>
    <cellStyle name="Comma 2 10 7 3 2" xfId="8850" xr:uid="{388406EB-CC0E-4CD6-877B-093617FF19D0}"/>
    <cellStyle name="Comma 2 10 7 4" xfId="6201" xr:uid="{C17F27D1-7890-4F46-9FBE-F6E4855035EE}"/>
    <cellStyle name="Comma 2 10 8" xfId="2114" xr:uid="{4F004A33-8B7E-4EEE-92E6-A498234A4294}"/>
    <cellStyle name="Comma 2 10 8 2" xfId="4763" xr:uid="{63289599-8B25-4700-A81E-882B9FD05668}"/>
    <cellStyle name="Comma 2 10 8 2 2" xfId="10060" xr:uid="{33084117-2266-4B5C-A068-B59579A54C2E}"/>
    <cellStyle name="Comma 2 10 8 3" xfId="7411" xr:uid="{AB4716E1-D15F-4BDC-A02E-B3F45D67FCE3}"/>
    <cellStyle name="Comma 2 10 9" xfId="3439" xr:uid="{491B264F-C423-4DF9-A7CD-203B4458D147}"/>
    <cellStyle name="Comma 2 10 9 2" xfId="8736" xr:uid="{13B8E0E8-2400-41ED-B562-CCE39982EA22}"/>
    <cellStyle name="Comma 2 11" xfId="939" xr:uid="{BEC6957F-684E-4626-9B46-799161906CB0}"/>
    <cellStyle name="Comma 2 11 2" xfId="1492" xr:uid="{182151A3-7A8B-4419-857B-CF2BDFA1DCF0}"/>
    <cellStyle name="Comma 2 11 2 2" xfId="2832" xr:uid="{C639D584-CB21-4FD8-82D0-1EBE77DC9635}"/>
    <cellStyle name="Comma 2 11 2 2 2" xfId="5481" xr:uid="{67045ED2-B82F-4573-9631-D7B12D0DF9D0}"/>
    <cellStyle name="Comma 2 11 2 2 2 2" xfId="10778" xr:uid="{1E15C02E-C2FD-4432-9EB0-35781993994F}"/>
    <cellStyle name="Comma 2 11 2 2 3" xfId="8129" xr:uid="{0658E0E9-FA9A-4F11-889E-2E9A5F46DC53}"/>
    <cellStyle name="Comma 2 11 2 3" xfId="4157" xr:uid="{BECA0C2A-E35A-4CFB-B3C9-7E63B9D8BA66}"/>
    <cellStyle name="Comma 2 11 2 3 2" xfId="9454" xr:uid="{058ABC86-84F0-44F8-9ED6-F2C62942FBC7}"/>
    <cellStyle name="Comma 2 11 2 4" xfId="6805" xr:uid="{5B8A4ADF-F9B0-45BE-8EA5-04A039D2328D}"/>
    <cellStyle name="Comma 2 11 3" xfId="2304" xr:uid="{B1CBF4C1-6796-4F78-B4D7-643C386256C8}"/>
    <cellStyle name="Comma 2 11 3 2" xfId="4953" xr:uid="{28F3AB7B-E615-4566-97B8-14C6719414C1}"/>
    <cellStyle name="Comma 2 11 3 2 2" xfId="10250" xr:uid="{EFE397F0-6274-4566-83F1-9A8CFEE2D214}"/>
    <cellStyle name="Comma 2 11 3 3" xfId="7601" xr:uid="{FCF245BB-086D-4CA2-8711-C5C0D596334D}"/>
    <cellStyle name="Comma 2 11 4" xfId="3629" xr:uid="{9B70CC4B-67CD-4DCA-80DF-400A32B96E7F}"/>
    <cellStyle name="Comma 2 11 4 2" xfId="8926" xr:uid="{9C7D9E8F-D9BB-43C6-BB08-044C2FC98338}"/>
    <cellStyle name="Comma 2 11 5" xfId="6277" xr:uid="{E1A1EA7C-2485-4E6C-9F30-7B54FE6EF961}"/>
    <cellStyle name="Comma 2 12" xfId="1228" xr:uid="{C9044A94-0E87-47DB-B9D9-D84BD21EE409}"/>
    <cellStyle name="Comma 2 12 2" xfId="1756" xr:uid="{E8D05E78-7286-4A65-B4E3-9FE68DC8B85B}"/>
    <cellStyle name="Comma 2 12 2 2" xfId="3096" xr:uid="{F5989B33-BF4E-43EF-9DB8-835D713079BB}"/>
    <cellStyle name="Comma 2 12 2 2 2" xfId="5745" xr:uid="{C8D9BFB7-334A-4FF8-B51D-4D573C66C9CD}"/>
    <cellStyle name="Comma 2 12 2 2 2 2" xfId="11042" xr:uid="{9BE6C458-F67E-4C5A-803D-2506C23F7B48}"/>
    <cellStyle name="Comma 2 12 2 2 3" xfId="8393" xr:uid="{9B4C009D-E8F4-46F0-A00F-B500265BB158}"/>
    <cellStyle name="Comma 2 12 2 3" xfId="4421" xr:uid="{675FBAD6-3722-4E10-A1E9-089EF0E1C949}"/>
    <cellStyle name="Comma 2 12 2 3 2" xfId="9718" xr:uid="{1042EB99-ACB5-417E-A404-C090F379AC53}"/>
    <cellStyle name="Comma 2 12 2 4" xfId="7069" xr:uid="{63146CE9-91F3-40EE-AAE7-2FB4A70A93BE}"/>
    <cellStyle name="Comma 2 12 3" xfId="2568" xr:uid="{A7E00569-DBBA-4619-9C49-5981AF0FAF47}"/>
    <cellStyle name="Comma 2 12 3 2" xfId="5217" xr:uid="{BB591353-DA4E-4C7B-BD3C-3DF49159ECE7}"/>
    <cellStyle name="Comma 2 12 3 2 2" xfId="10514" xr:uid="{A2D21EEF-3CCC-4C79-96F6-7B39747F79E7}"/>
    <cellStyle name="Comma 2 12 3 3" xfId="7865" xr:uid="{DCF374D5-867C-477D-B81F-786BC07FF59A}"/>
    <cellStyle name="Comma 2 12 4" xfId="3893" xr:uid="{732B0072-E56B-4933-BE68-525B6376A5E1}"/>
    <cellStyle name="Comma 2 12 4 2" xfId="9190" xr:uid="{1C49AA4A-7808-40ED-BB44-1F3729C7B3DF}"/>
    <cellStyle name="Comma 2 12 5" xfId="6541" xr:uid="{539B5E9A-E7A3-4CD9-8952-82C09DD3E414}"/>
    <cellStyle name="Comma 2 13" xfId="1360" xr:uid="{79CC8CC4-51B2-4878-9380-211BA8A12CBF}"/>
    <cellStyle name="Comma 2 13 2" xfId="1888" xr:uid="{8BDC9C9F-B16B-4EC7-927A-AC7FDEEF53A6}"/>
    <cellStyle name="Comma 2 13 2 2" xfId="3228" xr:uid="{78B47143-FECE-4E58-9E5B-A856580EF62F}"/>
    <cellStyle name="Comma 2 13 2 2 2" xfId="5877" xr:uid="{C2DF5DEB-F2C2-4B61-881D-3E3A3EBEC4B1}"/>
    <cellStyle name="Comma 2 13 2 2 2 2" xfId="11174" xr:uid="{371EC997-45EC-40D1-BF15-320246537E1F}"/>
    <cellStyle name="Comma 2 13 2 2 3" xfId="8525" xr:uid="{369D34DE-24F1-43D8-B1BC-296AB5012E6A}"/>
    <cellStyle name="Comma 2 13 2 3" xfId="4553" xr:uid="{1BECD067-1338-4BEB-AC15-6CD075E9203A}"/>
    <cellStyle name="Comma 2 13 2 3 2" xfId="9850" xr:uid="{CDE232B5-CB34-42A9-BBEC-A505A4CED1FA}"/>
    <cellStyle name="Comma 2 13 2 4" xfId="7201" xr:uid="{E7314FDC-E610-4AF8-AF02-06DC7B6FD22B}"/>
    <cellStyle name="Comma 2 13 3" xfId="2700" xr:uid="{0546CF09-BED2-41D7-BBCB-C5DCCF50EF4D}"/>
    <cellStyle name="Comma 2 13 3 2" xfId="5349" xr:uid="{1AFD1BC6-84B7-4CFF-9BB1-AC78B1274D47}"/>
    <cellStyle name="Comma 2 13 3 2 2" xfId="10646" xr:uid="{48977CE3-2640-4787-8E90-A2D35DC97782}"/>
    <cellStyle name="Comma 2 13 3 3" xfId="7997" xr:uid="{865F80C2-0E91-4676-B6EE-A1206AFA4212}"/>
    <cellStyle name="Comma 2 13 4" xfId="4025" xr:uid="{661CDC28-AA66-4EAF-AB05-42B54EAEDDA3}"/>
    <cellStyle name="Comma 2 13 4 2" xfId="9322" xr:uid="{6E4D859D-E614-4BA5-852E-1BE1698336CF}"/>
    <cellStyle name="Comma 2 13 5" xfId="6673" xr:uid="{667EE49A-48E3-44A5-8C25-10693FD23400}"/>
    <cellStyle name="Comma 2 14" xfId="2016" xr:uid="{49B6270F-048A-4420-84A6-99824E2BE5DD}"/>
    <cellStyle name="Comma 2 14 2" xfId="3354" xr:uid="{086B75E9-73B6-4A8F-AB06-AF21D7CD9AC2}"/>
    <cellStyle name="Comma 2 14 2 2" xfId="6003" xr:uid="{671E41B3-5182-41D9-AA3F-7CC916643DB4}"/>
    <cellStyle name="Comma 2 14 2 2 2" xfId="11300" xr:uid="{219B47AD-E190-4078-8D33-74B2936A174E}"/>
    <cellStyle name="Comma 2 14 2 3" xfId="8651" xr:uid="{E2E841F5-1712-44EC-881F-9216A64D62C6}"/>
    <cellStyle name="Comma 2 14 3" xfId="4679" xr:uid="{5CC0350C-8B25-4C6A-8EE1-4EC39B21916F}"/>
    <cellStyle name="Comma 2 14 3 2" xfId="9976" xr:uid="{0776BA61-A9B2-4DF4-B829-BDB5CE235378}"/>
    <cellStyle name="Comma 2 14 4" xfId="7327" xr:uid="{1310343B-F6F5-486A-9A82-B1079AB75D3B}"/>
    <cellStyle name="Comma 2 15" xfId="2024" xr:uid="{08E5DAFC-7D9D-4722-8BAC-8C8FE9F5A8AB}"/>
    <cellStyle name="Comma 2 15 2" xfId="3359" xr:uid="{E6979922-9FD6-4557-9ED5-104D58A4A23A}"/>
    <cellStyle name="Comma 2 15 2 2" xfId="6008" xr:uid="{A473FDB9-21F9-44F2-98C5-0825AD5EB09E}"/>
    <cellStyle name="Comma 2 15 2 2 2" xfId="11305" xr:uid="{3A11394F-1C06-4EBE-B178-1F43CDB8ACC4}"/>
    <cellStyle name="Comma 2 15 2 3" xfId="8656" xr:uid="{DB75FCDA-89D8-4190-8050-891C8DE7CFA9}"/>
    <cellStyle name="Comma 2 15 3" xfId="4684" xr:uid="{87CE0EB7-F68E-4E71-9A5F-354E10D53692}"/>
    <cellStyle name="Comma 2 15 3 2" xfId="9981" xr:uid="{16BB1BD0-94C8-4AEB-8892-26279BA0DC1B}"/>
    <cellStyle name="Comma 2 15 4" xfId="7332" xr:uid="{582CCA20-2BA0-4BEE-9E5A-275477681F6A}"/>
    <cellStyle name="Comma 2 16" xfId="2047" xr:uid="{4CA5C79E-59C8-4DB5-9CCD-FD95AE984B21}"/>
    <cellStyle name="Comma 2 16 2" xfId="4696" xr:uid="{0D7ABFFD-6FB8-497B-AE9E-BBBE32042F26}"/>
    <cellStyle name="Comma 2 16 2 2" xfId="9993" xr:uid="{85668C8B-A285-4BFB-8ED3-5D9D62EF81DA}"/>
    <cellStyle name="Comma 2 16 3" xfId="7344" xr:uid="{3E42A686-28AB-4875-8218-F3947D405A42}"/>
    <cellStyle name="Comma 2 17" xfId="3372" xr:uid="{227FE1CB-6DDC-452E-BC5D-F343AB120B3F}"/>
    <cellStyle name="Comma 2 17 2" xfId="8669" xr:uid="{A4844771-3F48-45CC-9E36-BE886FDC38EF}"/>
    <cellStyle name="Comma 2 18" xfId="6020" xr:uid="{77E99E2C-A151-4711-B6F1-0CFB14ECEC6F}"/>
    <cellStyle name="Comma 2 2" xfId="26" xr:uid="{8B80F797-BB28-48AF-B298-18DA02E1E80B}"/>
    <cellStyle name="Comma 2 2 10" xfId="1361" xr:uid="{E2FE503E-01EB-40D9-BD03-55A9066C0FA1}"/>
    <cellStyle name="Comma 2 2 10 2" xfId="1889" xr:uid="{1249892F-ED03-4E96-8A23-79060BA459FA}"/>
    <cellStyle name="Comma 2 2 10 2 2" xfId="3229" xr:uid="{40B6598B-938F-4987-A3C7-EF8C039907A9}"/>
    <cellStyle name="Comma 2 2 10 2 2 2" xfId="5878" xr:uid="{71B8AC9E-601D-4EB9-BC48-5F121E545A72}"/>
    <cellStyle name="Comma 2 2 10 2 2 2 2" xfId="11175" xr:uid="{1E9E1955-2E88-41A6-BFA6-257213C968E7}"/>
    <cellStyle name="Comma 2 2 10 2 2 3" xfId="8526" xr:uid="{E4FA1136-A6EE-48F6-8C80-CA8F26E7C260}"/>
    <cellStyle name="Comma 2 2 10 2 3" xfId="4554" xr:uid="{2DDE3F10-3A54-4ED8-AC2D-CB67A62283F7}"/>
    <cellStyle name="Comma 2 2 10 2 3 2" xfId="9851" xr:uid="{352EF926-5AEC-42DC-8740-8935B309D48F}"/>
    <cellStyle name="Comma 2 2 10 2 4" xfId="7202" xr:uid="{FFE8C2AD-96FB-45AE-9154-D747B03F952B}"/>
    <cellStyle name="Comma 2 2 10 3" xfId="2701" xr:uid="{EFA5117A-D1BE-4443-872A-D3683C3990A2}"/>
    <cellStyle name="Comma 2 2 10 3 2" xfId="5350" xr:uid="{FE888E85-F366-4F6F-B315-86BC0D196EAA}"/>
    <cellStyle name="Comma 2 2 10 3 2 2" xfId="10647" xr:uid="{6A020BA1-C8AA-48CF-8FBE-66E4BFB5C208}"/>
    <cellStyle name="Comma 2 2 10 3 3" xfId="7998" xr:uid="{9780E6C2-1DF9-450B-BBFD-36E8AC25BB38}"/>
    <cellStyle name="Comma 2 2 10 4" xfId="4026" xr:uid="{DB673ABC-C536-427D-A984-E5D8944144FE}"/>
    <cellStyle name="Comma 2 2 10 4 2" xfId="9323" xr:uid="{E20487FD-B7D5-4564-A998-E2B73CACCFEE}"/>
    <cellStyle name="Comma 2 2 10 5" xfId="6674" xr:uid="{E4B50D92-E61D-4E4F-B4C0-BAEF68D37123}"/>
    <cellStyle name="Comma 2 2 11" xfId="507" xr:uid="{0C628233-1917-44C3-9624-A49A5A09EFA6}"/>
    <cellStyle name="Comma 2 2 11 2" xfId="2184" xr:uid="{3549196F-5749-4782-ADB2-172F48A724E0}"/>
    <cellStyle name="Comma 2 2 11 2 2" xfId="4833" xr:uid="{4ECFC56F-CB06-4782-81DD-39BE9D826B4F}"/>
    <cellStyle name="Comma 2 2 11 2 2 2" xfId="10130" xr:uid="{0D948257-0D4A-4C53-9E0C-A5135BC93BB4}"/>
    <cellStyle name="Comma 2 2 11 2 3" xfId="7481" xr:uid="{092BEDC1-1142-49AD-A5BB-28BF44361DE2}"/>
    <cellStyle name="Comma 2 2 11 3" xfId="3509" xr:uid="{C5639267-F11B-4721-81F6-0E573BB0D472}"/>
    <cellStyle name="Comma 2 2 11 3 2" xfId="8806" xr:uid="{94BE95B7-B0C5-4C66-9876-2D52C7D52DF0}"/>
    <cellStyle name="Comma 2 2 11 4" xfId="6157" xr:uid="{27516364-D2AE-40EA-B7C9-DB8AB2E5F02F}"/>
    <cellStyle name="Comma 2 2 12" xfId="2026" xr:uid="{8ADCFA33-6F7E-4650-99AC-5D62835F1028}"/>
    <cellStyle name="Comma 2 2 12 2" xfId="3361" xr:uid="{DC463D45-C1E6-438C-A581-E63D43AE1D6E}"/>
    <cellStyle name="Comma 2 2 12 2 2" xfId="6010" xr:uid="{7EC8B99E-3571-46B7-B9A1-C69068232030}"/>
    <cellStyle name="Comma 2 2 12 2 2 2" xfId="11307" xr:uid="{C51929E9-2CF5-4E7C-84D2-F044CAF92989}"/>
    <cellStyle name="Comma 2 2 12 2 3" xfId="8658" xr:uid="{89E938EB-D9BF-4904-A964-33A13F8A652C}"/>
    <cellStyle name="Comma 2 2 12 3" xfId="4686" xr:uid="{E477D826-4E0C-4064-B9AD-53F15948C338}"/>
    <cellStyle name="Comma 2 2 12 3 2" xfId="9983" xr:uid="{C4565CB4-62D2-4FA3-970E-6CC82E27CE05}"/>
    <cellStyle name="Comma 2 2 12 4" xfId="7334" xr:uid="{3BB6FC54-5494-49E6-80BA-1484F552D744}"/>
    <cellStyle name="Comma 2 2 13" xfId="2049" xr:uid="{5D8A2D7F-3CF4-4C8E-9F7D-9D0E7265D124}"/>
    <cellStyle name="Comma 2 2 13 2" xfId="4698" xr:uid="{ED3DF952-C6C8-44D5-B57D-C02A6CBF65D6}"/>
    <cellStyle name="Comma 2 2 13 2 2" xfId="9995" xr:uid="{249BAFB9-0A2A-4D93-91DC-33C49B2DA9A4}"/>
    <cellStyle name="Comma 2 2 13 3" xfId="7346" xr:uid="{F018E2B3-9F80-4F4F-ACF8-7A8B5AEF6CBF}"/>
    <cellStyle name="Comma 2 2 14" xfId="3374" xr:uid="{21E474BA-09E1-4ADF-B38D-4E2900C25923}"/>
    <cellStyle name="Comma 2 2 14 2" xfId="8671" xr:uid="{F33CCA5A-1118-43D8-96FE-1389347A29AC}"/>
    <cellStyle name="Comma 2 2 15" xfId="6022" xr:uid="{F059686F-FA3E-42F1-8812-314E93678E5A}"/>
    <cellStyle name="Comma 2 2 2" xfId="69" xr:uid="{8510FDFD-931E-430C-86E0-3683A22FE95B}"/>
    <cellStyle name="Comma 2 2 2 10" xfId="643" xr:uid="{DD5BD881-14F1-4BE2-B7AA-0D6891413C3D}"/>
    <cellStyle name="Comma 2 2 2 10 2" xfId="2203" xr:uid="{5AB17552-6D1B-4367-953A-DB1505B18B79}"/>
    <cellStyle name="Comma 2 2 2 10 2 2" xfId="4852" xr:uid="{205016EA-BA81-41F3-9350-6FCC0285578F}"/>
    <cellStyle name="Comma 2 2 2 10 2 2 2" xfId="10149" xr:uid="{CE790AB8-5A23-4DCF-8758-1483074E0FBC}"/>
    <cellStyle name="Comma 2 2 2 10 2 3" xfId="7500" xr:uid="{1DFE1410-92EA-49C8-A48C-94C6C0C7AB7D}"/>
    <cellStyle name="Comma 2 2 2 10 3" xfId="3528" xr:uid="{647E7EF5-1E27-458B-9E7B-65D60F5360DB}"/>
    <cellStyle name="Comma 2 2 2 10 3 2" xfId="8825" xr:uid="{3A7CDDD7-35CF-46F2-9C21-CFF780304A4A}"/>
    <cellStyle name="Comma 2 2 2 10 4" xfId="6176" xr:uid="{CF6BAA56-6E34-4558-8738-3534C2D24C26}"/>
    <cellStyle name="Comma 2 2 2 11" xfId="2061" xr:uid="{E784D560-FDEB-4A58-A74E-14F684D2B528}"/>
    <cellStyle name="Comma 2 2 2 11 2" xfId="4710" xr:uid="{D96623DC-A643-4C7C-97B2-9122D7E2D472}"/>
    <cellStyle name="Comma 2 2 2 11 2 2" xfId="10007" xr:uid="{6817B34A-0BA4-4CE4-9727-B79E7A4E69D4}"/>
    <cellStyle name="Comma 2 2 2 11 3" xfId="7358" xr:uid="{8B106B2D-380B-4571-B8EB-20D8EBF50A92}"/>
    <cellStyle name="Comma 2 2 2 12" xfId="3386" xr:uid="{F81B40BD-18C5-446F-9BD4-762B9998282C}"/>
    <cellStyle name="Comma 2 2 2 12 2" xfId="8683" xr:uid="{4243392D-8B27-469C-A157-9A0E98CBC91A}"/>
    <cellStyle name="Comma 2 2 2 13" xfId="6034" xr:uid="{0D40DCDB-ABB3-46AE-A8B2-D9A9591A0EE9}"/>
    <cellStyle name="Comma 2 2 2 2" xfId="301" xr:uid="{2FCF83F1-6D98-4B67-9DF3-6C03931C078D}"/>
    <cellStyle name="Comma 2 2 2 2 10" xfId="3453" xr:uid="{73C30641-BF46-4306-B460-7751E6E09BC5}"/>
    <cellStyle name="Comma 2 2 2 2 10 2" xfId="8750" xr:uid="{92D53240-8179-441B-AC5B-ADDA87288786}"/>
    <cellStyle name="Comma 2 2 2 2 11" xfId="6101" xr:uid="{B1882B0C-4056-4785-BD7A-9D7D60587500}"/>
    <cellStyle name="Comma 2 2 2 2 2" xfId="741" xr:uid="{53A68BCA-BD4E-4A0B-91A4-62939B8E7E5C}"/>
    <cellStyle name="Comma 2 2 2 2 2 10" xfId="6203" xr:uid="{BEB9A6BC-9269-43D7-B467-06DADA0A11E9}"/>
    <cellStyle name="Comma 2 2 2 2 2 2" xfId="742" xr:uid="{6E2A6499-9997-4A79-B0A8-992B047BC75F}"/>
    <cellStyle name="Comma 2 2 2 2 2 2 2" xfId="812" xr:uid="{615E283B-5DE9-49AF-9CBF-47B7B21BE784}"/>
    <cellStyle name="Comma 2 2 2 2 2 2 2 2" xfId="1173" xr:uid="{E5494E84-BE06-4630-81AF-88F80E06E151}"/>
    <cellStyle name="Comma 2 2 2 2 2 2 2 2 2" xfId="1705" xr:uid="{786D6FB7-C054-4656-A5A1-4B165DBB6E09}"/>
    <cellStyle name="Comma 2 2 2 2 2 2 2 2 2 2" xfId="3045" xr:uid="{A764A7BC-995D-4D0E-B822-20565AFACB9A}"/>
    <cellStyle name="Comma 2 2 2 2 2 2 2 2 2 2 2" xfId="5694" xr:uid="{B43ACB72-6214-423D-835A-B4298E4C587E}"/>
    <cellStyle name="Comma 2 2 2 2 2 2 2 2 2 2 2 2" xfId="10991" xr:uid="{3EDA9C06-B095-4205-B590-6921F5C234BD}"/>
    <cellStyle name="Comma 2 2 2 2 2 2 2 2 2 2 3" xfId="8342" xr:uid="{A1551B86-774B-4A9B-9015-40D4ACDE9F23}"/>
    <cellStyle name="Comma 2 2 2 2 2 2 2 2 2 3" xfId="4370" xr:uid="{EB9C0CD5-AB71-480B-8A15-D4D87F8287E6}"/>
    <cellStyle name="Comma 2 2 2 2 2 2 2 2 2 3 2" xfId="9667" xr:uid="{7B7A8421-58FA-431C-B87C-7F70EDAE5076}"/>
    <cellStyle name="Comma 2 2 2 2 2 2 2 2 2 4" xfId="7018" xr:uid="{B4FF444F-961B-4BA3-9560-87EA3D056D4F}"/>
    <cellStyle name="Comma 2 2 2 2 2 2 2 2 3" xfId="2517" xr:uid="{25795DAC-2DB2-425D-99BC-DFDC65AC8B33}"/>
    <cellStyle name="Comma 2 2 2 2 2 2 2 2 3 2" xfId="5166" xr:uid="{D87FE9AC-2641-4531-A6D9-067AA43F23A1}"/>
    <cellStyle name="Comma 2 2 2 2 2 2 2 2 3 2 2" xfId="10463" xr:uid="{483C1268-11FE-4837-A148-A2B1D3C0C2C4}"/>
    <cellStyle name="Comma 2 2 2 2 2 2 2 2 3 3" xfId="7814" xr:uid="{0C7A2ADB-6ECD-4585-8F15-1F2BAAB6A021}"/>
    <cellStyle name="Comma 2 2 2 2 2 2 2 2 4" xfId="3842" xr:uid="{77F8E211-C6A2-44FC-A73B-7DE898A86ABE}"/>
    <cellStyle name="Comma 2 2 2 2 2 2 2 2 4 2" xfId="9139" xr:uid="{0492AE45-1B43-419E-BB0C-DD0DADBCADE4}"/>
    <cellStyle name="Comma 2 2 2 2 2 2 2 2 5" xfId="6490" xr:uid="{DBA8E3C3-6CA0-4DF7-B838-F98E4B2DAF9C}"/>
    <cellStyle name="Comma 2 2 2 2 2 2 2 3" xfId="1029" xr:uid="{0D53F04E-094F-430C-B4ED-58441FD8E782}"/>
    <cellStyle name="Comma 2 2 2 2 2 2 2 3 2" xfId="1573" xr:uid="{7CE00435-551D-4437-8179-A2D54183596A}"/>
    <cellStyle name="Comma 2 2 2 2 2 2 2 3 2 2" xfId="2913" xr:uid="{8F14FD6F-0B13-4042-8E6C-39B7CD2BD137}"/>
    <cellStyle name="Comma 2 2 2 2 2 2 2 3 2 2 2" xfId="5562" xr:uid="{5E52D118-EA57-4ABF-9869-0544D1D9DE19}"/>
    <cellStyle name="Comma 2 2 2 2 2 2 2 3 2 2 2 2" xfId="10859" xr:uid="{EDB4179F-682B-4B03-8D46-FE3F2E7CDEBC}"/>
    <cellStyle name="Comma 2 2 2 2 2 2 2 3 2 2 3" xfId="8210" xr:uid="{0762CD8E-B571-4A66-997E-199007F62EAF}"/>
    <cellStyle name="Comma 2 2 2 2 2 2 2 3 2 3" xfId="4238" xr:uid="{B47408D7-BA7A-41F6-B84B-2BF69692385D}"/>
    <cellStyle name="Comma 2 2 2 2 2 2 2 3 2 3 2" xfId="9535" xr:uid="{70DC5BB9-0B66-44C6-A489-241A8AFE78A7}"/>
    <cellStyle name="Comma 2 2 2 2 2 2 2 3 2 4" xfId="6886" xr:uid="{8B148220-4C8B-4BA0-B23B-F44F4FCBFBDB}"/>
    <cellStyle name="Comma 2 2 2 2 2 2 2 3 3" xfId="2385" xr:uid="{96B49562-2255-4830-8AE0-C7D8F508CF0F}"/>
    <cellStyle name="Comma 2 2 2 2 2 2 2 3 3 2" xfId="5034" xr:uid="{A0E69CBA-7427-4341-B1A7-2E50348CE546}"/>
    <cellStyle name="Comma 2 2 2 2 2 2 2 3 3 2 2" xfId="10331" xr:uid="{664A2277-8981-4EF2-85D4-4FE091691B1B}"/>
    <cellStyle name="Comma 2 2 2 2 2 2 2 3 3 3" xfId="7682" xr:uid="{00B7DAD4-E596-47F1-8BD9-632F6E08A793}"/>
    <cellStyle name="Comma 2 2 2 2 2 2 2 3 4" xfId="3710" xr:uid="{52F47D6C-EC30-4AB5-87B2-16E876F10E00}"/>
    <cellStyle name="Comma 2 2 2 2 2 2 2 3 4 2" xfId="9007" xr:uid="{F102445B-8D35-4CCC-86B1-A8F3A63BC4A0}"/>
    <cellStyle name="Comma 2 2 2 2 2 2 2 3 5" xfId="6358" xr:uid="{EF3A7E90-651B-4E3E-AE5E-485D3B3F2BC6}"/>
    <cellStyle name="Comma 2 2 2 2 2 2 2 4" xfId="1309" xr:uid="{CAF4AF15-7CAA-4CB9-A0A7-2A626DDF2F33}"/>
    <cellStyle name="Comma 2 2 2 2 2 2 2 4 2" xfId="1837" xr:uid="{1B9EC6C6-2A19-442D-9777-89E05C60F2AB}"/>
    <cellStyle name="Comma 2 2 2 2 2 2 2 4 2 2" xfId="3177" xr:uid="{AFB803D0-AA11-45C6-B439-DF22F0C26BCD}"/>
    <cellStyle name="Comma 2 2 2 2 2 2 2 4 2 2 2" xfId="5826" xr:uid="{C6C1990D-ECBC-408D-83B1-127E3C5BDEA3}"/>
    <cellStyle name="Comma 2 2 2 2 2 2 2 4 2 2 2 2" xfId="11123" xr:uid="{0CE973D6-527D-44BE-8088-BE2E2D9F1616}"/>
    <cellStyle name="Comma 2 2 2 2 2 2 2 4 2 2 3" xfId="8474" xr:uid="{DB370AA1-6296-4B47-AC84-94410B2252C3}"/>
    <cellStyle name="Comma 2 2 2 2 2 2 2 4 2 3" xfId="4502" xr:uid="{5B4FA334-F868-4C76-9AE9-5235EDFB8BF3}"/>
    <cellStyle name="Comma 2 2 2 2 2 2 2 4 2 3 2" xfId="9799" xr:uid="{3E62D970-39ED-418C-A919-6F465EFAF2F9}"/>
    <cellStyle name="Comma 2 2 2 2 2 2 2 4 2 4" xfId="7150" xr:uid="{D54350F0-2711-4376-A861-4BE08F5869CB}"/>
    <cellStyle name="Comma 2 2 2 2 2 2 2 4 3" xfId="2649" xr:uid="{691714C8-9FB2-422A-9925-83C16D130000}"/>
    <cellStyle name="Comma 2 2 2 2 2 2 2 4 3 2" xfId="5298" xr:uid="{7207CD5F-C558-4DEB-98B7-A3B89C427042}"/>
    <cellStyle name="Comma 2 2 2 2 2 2 2 4 3 2 2" xfId="10595" xr:uid="{B209BD7F-7456-4C8E-B92B-19269C149E2D}"/>
    <cellStyle name="Comma 2 2 2 2 2 2 2 4 3 3" xfId="7946" xr:uid="{6A9B5B30-E4B1-4AEB-A07C-1BDE587F7877}"/>
    <cellStyle name="Comma 2 2 2 2 2 2 2 4 4" xfId="3974" xr:uid="{6C431A19-4E6F-4FE4-A097-D0BEC6B4D735}"/>
    <cellStyle name="Comma 2 2 2 2 2 2 2 4 4 2" xfId="9271" xr:uid="{944965AE-BB96-439B-9421-F126C16A3847}"/>
    <cellStyle name="Comma 2 2 2 2 2 2 2 4 5" xfId="6622" xr:uid="{DE4A0BA0-959E-4506-8079-11F73CD7BFAF}"/>
    <cellStyle name="Comma 2 2 2 2 2 2 2 5" xfId="1441" xr:uid="{20CF9F3F-E550-4865-9A1A-363A90257935}"/>
    <cellStyle name="Comma 2 2 2 2 2 2 2 5 2" xfId="1969" xr:uid="{458D5F18-0FA3-4FA4-B4F8-AC8235C46CEC}"/>
    <cellStyle name="Comma 2 2 2 2 2 2 2 5 2 2" xfId="3309" xr:uid="{26BB4DF5-896E-4C64-BAF6-6D219160A587}"/>
    <cellStyle name="Comma 2 2 2 2 2 2 2 5 2 2 2" xfId="5958" xr:uid="{3B1F859A-3C6E-4646-B3EC-1EED53A9344D}"/>
    <cellStyle name="Comma 2 2 2 2 2 2 2 5 2 2 2 2" xfId="11255" xr:uid="{AF98C29C-164E-4C5D-8E8F-691D9DAD024C}"/>
    <cellStyle name="Comma 2 2 2 2 2 2 2 5 2 2 3" xfId="8606" xr:uid="{B77CEE45-4836-4516-85FF-E75243B3B354}"/>
    <cellStyle name="Comma 2 2 2 2 2 2 2 5 2 3" xfId="4634" xr:uid="{B86CFE77-9F38-4A95-AE2A-679AFACB9161}"/>
    <cellStyle name="Comma 2 2 2 2 2 2 2 5 2 3 2" xfId="9931" xr:uid="{28372A9C-7DDD-4FEA-A771-5600DF1A20F1}"/>
    <cellStyle name="Comma 2 2 2 2 2 2 2 5 2 4" xfId="7282" xr:uid="{2C0EE1ED-9204-4BC5-B011-6E4F3C326294}"/>
    <cellStyle name="Comma 2 2 2 2 2 2 2 5 3" xfId="2781" xr:uid="{9F3AEE96-5FC9-4061-A9AD-49CF3D8F1B43}"/>
    <cellStyle name="Comma 2 2 2 2 2 2 2 5 3 2" xfId="5430" xr:uid="{A69E8653-361E-44DE-8B81-75B01CB2276D}"/>
    <cellStyle name="Comma 2 2 2 2 2 2 2 5 3 2 2" xfId="10727" xr:uid="{B2D1AB42-150D-4E49-8F0E-B1E7E80A70BF}"/>
    <cellStyle name="Comma 2 2 2 2 2 2 2 5 3 3" xfId="8078" xr:uid="{89E240CA-A245-42FC-A80E-A90969F12176}"/>
    <cellStyle name="Comma 2 2 2 2 2 2 2 5 4" xfId="4106" xr:uid="{AEAE7F5B-D966-475A-BA1D-07D9AFEEB378}"/>
    <cellStyle name="Comma 2 2 2 2 2 2 2 5 4 2" xfId="9403" xr:uid="{DDD58C8C-E018-42C6-9546-19839E8E7F4F}"/>
    <cellStyle name="Comma 2 2 2 2 2 2 2 5 5" xfId="6754" xr:uid="{5DC02A72-8294-4BD5-ACD4-74A8E84E02B0}"/>
    <cellStyle name="Comma 2 2 2 2 2 2 2 6" xfId="2257" xr:uid="{6FE6EBA6-F6A5-4989-A649-F77D7BE2957C}"/>
    <cellStyle name="Comma 2 2 2 2 2 2 2 6 2" xfId="4906" xr:uid="{0D1171C4-CE2D-469C-B410-00C0DA38749A}"/>
    <cellStyle name="Comma 2 2 2 2 2 2 2 6 2 2" xfId="10203" xr:uid="{C77EF773-5136-481C-8477-8303F57351F1}"/>
    <cellStyle name="Comma 2 2 2 2 2 2 2 6 3" xfId="7554" xr:uid="{26A963D3-F57F-4AD6-B688-BDC5A4CDB8F3}"/>
    <cellStyle name="Comma 2 2 2 2 2 2 2 7" xfId="3582" xr:uid="{CF17CC6E-B81C-444B-AE17-DE3F054514B1}"/>
    <cellStyle name="Comma 2 2 2 2 2 2 2 7 2" xfId="8879" xr:uid="{FE4DF623-7C95-41F0-B05E-DB0DFBC05CDE}"/>
    <cellStyle name="Comma 2 2 2 2 2 2 2 8" xfId="6230" xr:uid="{E096967D-E628-4263-AA6B-3F4158E71028}"/>
    <cellStyle name="Comma 2 2 2 2 2 2 3" xfId="1147" xr:uid="{249DAA2A-2A98-4FC1-AC51-87DF82CE2097}"/>
    <cellStyle name="Comma 2 2 2 2 2 2 3 2" xfId="1679" xr:uid="{9578FDB4-50A5-4D0A-8937-F7E30BC4FCBD}"/>
    <cellStyle name="Comma 2 2 2 2 2 2 3 2 2" xfId="3019" xr:uid="{7EB1B9A8-40B0-4E4B-86D2-1AB2F591E35F}"/>
    <cellStyle name="Comma 2 2 2 2 2 2 3 2 2 2" xfId="5668" xr:uid="{6736D90F-C159-435C-8F3F-9B4B48B4DF03}"/>
    <cellStyle name="Comma 2 2 2 2 2 2 3 2 2 2 2" xfId="10965" xr:uid="{07C1129A-1E28-452B-A9CB-D09F601589A5}"/>
    <cellStyle name="Comma 2 2 2 2 2 2 3 2 2 3" xfId="8316" xr:uid="{2EA22724-769B-45FC-B990-73462B740EF9}"/>
    <cellStyle name="Comma 2 2 2 2 2 2 3 2 3" xfId="4344" xr:uid="{5BF3FFF7-7442-4244-B73F-AF2F55A77A92}"/>
    <cellStyle name="Comma 2 2 2 2 2 2 3 2 3 2" xfId="9641" xr:uid="{8266AC09-6569-48C3-AF86-5620D7490367}"/>
    <cellStyle name="Comma 2 2 2 2 2 2 3 2 4" xfId="6992" xr:uid="{BF26D3D6-EB80-4DDA-896D-ADC96C837A78}"/>
    <cellStyle name="Comma 2 2 2 2 2 2 3 3" xfId="2491" xr:uid="{DB517079-7D08-48CC-8DF2-9A8689989C7A}"/>
    <cellStyle name="Comma 2 2 2 2 2 2 3 3 2" xfId="5140" xr:uid="{D5F3D06D-DF91-4E87-A98B-5E51D19091AE}"/>
    <cellStyle name="Comma 2 2 2 2 2 2 3 3 2 2" xfId="10437" xr:uid="{D06EB0B9-9582-4B8C-BE02-15CA6491CFE2}"/>
    <cellStyle name="Comma 2 2 2 2 2 2 3 3 3" xfId="7788" xr:uid="{642776A6-5971-42EC-A49F-C0DB5C729460}"/>
    <cellStyle name="Comma 2 2 2 2 2 2 3 4" xfId="3816" xr:uid="{C6113211-D3A0-4756-9830-09F1F9B06AF5}"/>
    <cellStyle name="Comma 2 2 2 2 2 2 3 4 2" xfId="9113" xr:uid="{6A27B539-B5DE-4D8C-A0D5-1D3FA4BD34B3}"/>
    <cellStyle name="Comma 2 2 2 2 2 2 3 5" xfId="6464" xr:uid="{790721C9-E56F-469D-A005-744842917C54}"/>
    <cellStyle name="Comma 2 2 2 2 2 2 4" xfId="1003" xr:uid="{72B80968-6594-42D0-8272-6AFC0E683CC5}"/>
    <cellStyle name="Comma 2 2 2 2 2 2 4 2" xfId="1547" xr:uid="{1ECEDFC9-2362-4DD6-ACF6-9ED3162E1D3B}"/>
    <cellStyle name="Comma 2 2 2 2 2 2 4 2 2" xfId="2887" xr:uid="{8E0F43DF-9676-4169-A6BB-485D1B973D42}"/>
    <cellStyle name="Comma 2 2 2 2 2 2 4 2 2 2" xfId="5536" xr:uid="{8A2DCF7F-384F-4CD0-85E0-2B1974D6AC75}"/>
    <cellStyle name="Comma 2 2 2 2 2 2 4 2 2 2 2" xfId="10833" xr:uid="{EE1A63A9-7B95-48DB-BA97-EEC6A58DCE7F}"/>
    <cellStyle name="Comma 2 2 2 2 2 2 4 2 2 3" xfId="8184" xr:uid="{36BC3535-3201-433A-8C6D-72DC32D4AD7B}"/>
    <cellStyle name="Comma 2 2 2 2 2 2 4 2 3" xfId="4212" xr:uid="{C2B38FCC-3956-4A0D-B134-42022D3D735E}"/>
    <cellStyle name="Comma 2 2 2 2 2 2 4 2 3 2" xfId="9509" xr:uid="{4CC00AA0-221B-4D7B-A5BD-92F89E0458BC}"/>
    <cellStyle name="Comma 2 2 2 2 2 2 4 2 4" xfId="6860" xr:uid="{32CC410E-EDB6-4B53-B7F1-1F76DFEF3543}"/>
    <cellStyle name="Comma 2 2 2 2 2 2 4 3" xfId="2359" xr:uid="{57EFE133-FDB1-4624-AD81-DE051531E863}"/>
    <cellStyle name="Comma 2 2 2 2 2 2 4 3 2" xfId="5008" xr:uid="{A7ED5F91-B538-4EAA-A27F-5339E3C5A1DD}"/>
    <cellStyle name="Comma 2 2 2 2 2 2 4 3 2 2" xfId="10305" xr:uid="{6ED62072-9C77-4938-9829-03E6367C3C31}"/>
    <cellStyle name="Comma 2 2 2 2 2 2 4 3 3" xfId="7656" xr:uid="{2CBBF0D7-564F-4496-A2BD-70A894FC4B69}"/>
    <cellStyle name="Comma 2 2 2 2 2 2 4 4" xfId="3684" xr:uid="{11B46590-9D92-4DB1-AE7A-F143B2C0987C}"/>
    <cellStyle name="Comma 2 2 2 2 2 2 4 4 2" xfId="8981" xr:uid="{148A33D6-C7AE-4C9F-BE63-AC2299522D76}"/>
    <cellStyle name="Comma 2 2 2 2 2 2 4 5" xfId="6332" xr:uid="{F09AEA5A-41DC-4D6E-AC67-11D36BA7F9A9}"/>
    <cellStyle name="Comma 2 2 2 2 2 2 5" xfId="1283" xr:uid="{1B26FFE1-88C5-4507-A902-31B035D2107D}"/>
    <cellStyle name="Comma 2 2 2 2 2 2 5 2" xfId="1811" xr:uid="{281573EB-1C10-4FEF-BBA6-574A51C4AB8A}"/>
    <cellStyle name="Comma 2 2 2 2 2 2 5 2 2" xfId="3151" xr:uid="{D8A2B70A-0E4B-4A65-89F8-161D11760AD8}"/>
    <cellStyle name="Comma 2 2 2 2 2 2 5 2 2 2" xfId="5800" xr:uid="{9DAE6024-EEE9-4F21-BFFB-1CF30DCCF3D0}"/>
    <cellStyle name="Comma 2 2 2 2 2 2 5 2 2 2 2" xfId="11097" xr:uid="{828968D5-8FF9-4D66-B3B4-ACDAFA68338B}"/>
    <cellStyle name="Comma 2 2 2 2 2 2 5 2 2 3" xfId="8448" xr:uid="{C0DB94E2-E543-4DEA-AE37-7D81990F3E23}"/>
    <cellStyle name="Comma 2 2 2 2 2 2 5 2 3" xfId="4476" xr:uid="{54F1866D-FC53-4DA0-9194-22CD9B3DD490}"/>
    <cellStyle name="Comma 2 2 2 2 2 2 5 2 3 2" xfId="9773" xr:uid="{843FB6F7-E69F-4730-9760-A8DE4B3BD0BD}"/>
    <cellStyle name="Comma 2 2 2 2 2 2 5 2 4" xfId="7124" xr:uid="{B30C349D-63F2-4BAC-9675-2E0714B9DB6A}"/>
    <cellStyle name="Comma 2 2 2 2 2 2 5 3" xfId="2623" xr:uid="{F34A99A1-FAC9-421B-A329-7F04D32A0E79}"/>
    <cellStyle name="Comma 2 2 2 2 2 2 5 3 2" xfId="5272" xr:uid="{E7C9E9E3-3F74-4250-AD06-878C2B94B3E2}"/>
    <cellStyle name="Comma 2 2 2 2 2 2 5 3 2 2" xfId="10569" xr:uid="{93E5A26D-933F-4A2E-8215-BE29028CF3CE}"/>
    <cellStyle name="Comma 2 2 2 2 2 2 5 3 3" xfId="7920" xr:uid="{AF240447-79B0-4126-9845-1CDCFB07B403}"/>
    <cellStyle name="Comma 2 2 2 2 2 2 5 4" xfId="3948" xr:uid="{20CECF21-C6C3-4867-8E81-2C08ADE67EAD}"/>
    <cellStyle name="Comma 2 2 2 2 2 2 5 4 2" xfId="9245" xr:uid="{675CCA9B-B71A-4E3D-A96F-2F2ADD2E372E}"/>
    <cellStyle name="Comma 2 2 2 2 2 2 5 5" xfId="6596" xr:uid="{5C2D30CA-6503-4142-910E-645EFB3EF607}"/>
    <cellStyle name="Comma 2 2 2 2 2 2 6" xfId="1415" xr:uid="{E081354F-E755-4ECE-A46C-73BCFB87087E}"/>
    <cellStyle name="Comma 2 2 2 2 2 2 6 2" xfId="1943" xr:uid="{E7468B54-AB4C-422F-ABD6-3B4DDCCC1B5A}"/>
    <cellStyle name="Comma 2 2 2 2 2 2 6 2 2" xfId="3283" xr:uid="{E4DD93EF-9E75-491C-A397-D3C65444685D}"/>
    <cellStyle name="Comma 2 2 2 2 2 2 6 2 2 2" xfId="5932" xr:uid="{847FEB6F-5847-4084-8C12-2AA0AC219C5F}"/>
    <cellStyle name="Comma 2 2 2 2 2 2 6 2 2 2 2" xfId="11229" xr:uid="{5D84FFD9-A5C9-40BF-82B9-2FB764B69359}"/>
    <cellStyle name="Comma 2 2 2 2 2 2 6 2 2 3" xfId="8580" xr:uid="{85685180-07EC-4DD9-B129-A96C75BC5337}"/>
    <cellStyle name="Comma 2 2 2 2 2 2 6 2 3" xfId="4608" xr:uid="{9D0BD29F-535D-48D5-94CD-DEA845CDFE43}"/>
    <cellStyle name="Comma 2 2 2 2 2 2 6 2 3 2" xfId="9905" xr:uid="{EDBC7D96-8F8B-4B99-904A-533DEC7B4B3B}"/>
    <cellStyle name="Comma 2 2 2 2 2 2 6 2 4" xfId="7256" xr:uid="{B2252DBA-890E-44F6-B414-B807905A3B6C}"/>
    <cellStyle name="Comma 2 2 2 2 2 2 6 3" xfId="2755" xr:uid="{970C106A-A1C9-4368-8963-9237A6B14456}"/>
    <cellStyle name="Comma 2 2 2 2 2 2 6 3 2" xfId="5404" xr:uid="{88BC767F-A0FC-4A9D-A8E5-C8E252F6171C}"/>
    <cellStyle name="Comma 2 2 2 2 2 2 6 3 2 2" xfId="10701" xr:uid="{90FF1491-FE59-40BB-9B19-D4FE0EA14B4E}"/>
    <cellStyle name="Comma 2 2 2 2 2 2 6 3 3" xfId="8052" xr:uid="{6BD37FEB-C1E1-42C5-94D4-2880EAA31260}"/>
    <cellStyle name="Comma 2 2 2 2 2 2 6 4" xfId="4080" xr:uid="{EC6A526D-D8F3-4378-B929-0F70C37A8D0B}"/>
    <cellStyle name="Comma 2 2 2 2 2 2 6 4 2" xfId="9377" xr:uid="{853512BC-5E4A-40D5-95EB-A976D2AA61CD}"/>
    <cellStyle name="Comma 2 2 2 2 2 2 6 5" xfId="6728" xr:uid="{DEF62245-8831-49B6-B777-B2F99901F6AC}"/>
    <cellStyle name="Comma 2 2 2 2 2 2 7" xfId="2231" xr:uid="{63AD6920-2A06-4627-A67F-378D65FDF276}"/>
    <cellStyle name="Comma 2 2 2 2 2 2 7 2" xfId="4880" xr:uid="{4B3BB267-FD55-47D7-8E84-12EB971F64CC}"/>
    <cellStyle name="Comma 2 2 2 2 2 2 7 2 2" xfId="10177" xr:uid="{2BF36835-44BA-492B-BDB4-74F08B3DFC3E}"/>
    <cellStyle name="Comma 2 2 2 2 2 2 7 3" xfId="7528" xr:uid="{98DBA60A-CF63-4D7D-BDEA-D419C510D087}"/>
    <cellStyle name="Comma 2 2 2 2 2 2 8" xfId="3556" xr:uid="{95198C30-1FC9-4B32-9E55-C181C6240C1F}"/>
    <cellStyle name="Comma 2 2 2 2 2 2 8 2" xfId="8853" xr:uid="{AF83624A-4608-48C6-A653-12D43C76EC6A}"/>
    <cellStyle name="Comma 2 2 2 2 2 2 9" xfId="6204" xr:uid="{3FF53CCD-C40D-465C-BC7A-2F2A367347D3}"/>
    <cellStyle name="Comma 2 2 2 2 2 3" xfId="811" xr:uid="{462DCBA4-5104-45B5-8A98-97A7637FBC44}"/>
    <cellStyle name="Comma 2 2 2 2 2 3 2" xfId="1172" xr:uid="{3796D45E-803A-4F0E-A41E-4A3876474151}"/>
    <cellStyle name="Comma 2 2 2 2 2 3 2 2" xfId="1704" xr:uid="{2397BFD4-36FF-4369-BA00-76553739C27C}"/>
    <cellStyle name="Comma 2 2 2 2 2 3 2 2 2" xfId="3044" xr:uid="{68A3F383-0707-4A4D-957D-10E7E9ED2AA4}"/>
    <cellStyle name="Comma 2 2 2 2 2 3 2 2 2 2" xfId="5693" xr:uid="{075154A1-4828-4CA1-907E-5C29E860CF67}"/>
    <cellStyle name="Comma 2 2 2 2 2 3 2 2 2 2 2" xfId="10990" xr:uid="{09FE927E-245C-4281-925A-04D4AB5E598A}"/>
    <cellStyle name="Comma 2 2 2 2 2 3 2 2 2 3" xfId="8341" xr:uid="{6AE398E0-F782-4545-96EC-91A99685682A}"/>
    <cellStyle name="Comma 2 2 2 2 2 3 2 2 3" xfId="4369" xr:uid="{4FD99B58-51BC-4CE7-9BE1-F917BE5683B1}"/>
    <cellStyle name="Comma 2 2 2 2 2 3 2 2 3 2" xfId="9666" xr:uid="{8DAD63DA-BA9C-43BD-8AFF-0DDCE2F8357C}"/>
    <cellStyle name="Comma 2 2 2 2 2 3 2 2 4" xfId="7017" xr:uid="{E0E3174C-8E57-4034-B630-0B30C88E90EF}"/>
    <cellStyle name="Comma 2 2 2 2 2 3 2 3" xfId="2516" xr:uid="{CA3D7BFD-6AD3-414E-9637-23BD651FEFA0}"/>
    <cellStyle name="Comma 2 2 2 2 2 3 2 3 2" xfId="5165" xr:uid="{3D47E1B0-21D5-4CEA-BD33-97D066ABB576}"/>
    <cellStyle name="Comma 2 2 2 2 2 3 2 3 2 2" xfId="10462" xr:uid="{FC438CD1-6A2E-4D6C-89B2-68595C1E30BD}"/>
    <cellStyle name="Comma 2 2 2 2 2 3 2 3 3" xfId="7813" xr:uid="{7864D35D-6A9E-4A13-92A7-BDA74430D76B}"/>
    <cellStyle name="Comma 2 2 2 2 2 3 2 4" xfId="3841" xr:uid="{91CB19D6-CB70-45BA-AB69-687A795186B2}"/>
    <cellStyle name="Comma 2 2 2 2 2 3 2 4 2" xfId="9138" xr:uid="{1DFA02C1-C777-40FA-A8EA-43C57A0B4816}"/>
    <cellStyle name="Comma 2 2 2 2 2 3 2 5" xfId="6489" xr:uid="{8AA4121B-8BCF-4435-978B-EF1733E2562F}"/>
    <cellStyle name="Comma 2 2 2 2 2 3 3" xfId="1028" xr:uid="{4794E8F1-B93A-4425-B557-64E4F7401BA6}"/>
    <cellStyle name="Comma 2 2 2 2 2 3 3 2" xfId="1572" xr:uid="{AC544E58-AE70-4811-80C5-765A3BD50F8D}"/>
    <cellStyle name="Comma 2 2 2 2 2 3 3 2 2" xfId="2912" xr:uid="{B2721981-DA67-4D78-8131-3DB8103131F3}"/>
    <cellStyle name="Comma 2 2 2 2 2 3 3 2 2 2" xfId="5561" xr:uid="{A6AF6C4C-CBC8-418A-96C1-020B507BA0E1}"/>
    <cellStyle name="Comma 2 2 2 2 2 3 3 2 2 2 2" xfId="10858" xr:uid="{C427922A-5742-4EA5-824F-624055C7CA93}"/>
    <cellStyle name="Comma 2 2 2 2 2 3 3 2 2 3" xfId="8209" xr:uid="{8C10F341-C5FB-47A0-89BA-CFD546F52E8B}"/>
    <cellStyle name="Comma 2 2 2 2 2 3 3 2 3" xfId="4237" xr:uid="{C314B116-C33B-4519-A1DC-1C009D0678DE}"/>
    <cellStyle name="Comma 2 2 2 2 2 3 3 2 3 2" xfId="9534" xr:uid="{C67CA942-BA21-461D-8AE2-15DCCB057D5B}"/>
    <cellStyle name="Comma 2 2 2 2 2 3 3 2 4" xfId="6885" xr:uid="{93F9D40F-AEE8-4DE1-916F-6AFE87D096B0}"/>
    <cellStyle name="Comma 2 2 2 2 2 3 3 3" xfId="2384" xr:uid="{AEB6048C-39CA-4912-8C9C-BBE2A8E28391}"/>
    <cellStyle name="Comma 2 2 2 2 2 3 3 3 2" xfId="5033" xr:uid="{3094F85A-D4F6-4CFC-A2E3-CBB254182A47}"/>
    <cellStyle name="Comma 2 2 2 2 2 3 3 3 2 2" xfId="10330" xr:uid="{258839CF-22CA-44D2-9BFB-7657B6351371}"/>
    <cellStyle name="Comma 2 2 2 2 2 3 3 3 3" xfId="7681" xr:uid="{792E7A11-2C70-4040-A0DD-4B86603F51CB}"/>
    <cellStyle name="Comma 2 2 2 2 2 3 3 4" xfId="3709" xr:uid="{1A5F4139-DD72-40E1-B67A-F0C149E3F521}"/>
    <cellStyle name="Comma 2 2 2 2 2 3 3 4 2" xfId="9006" xr:uid="{98149EAA-660B-42C2-8B53-E250268EEEC4}"/>
    <cellStyle name="Comma 2 2 2 2 2 3 3 5" xfId="6357" xr:uid="{8BEF0152-6DD9-4809-8907-ED96CEC229E8}"/>
    <cellStyle name="Comma 2 2 2 2 2 3 4" xfId="1308" xr:uid="{5993582B-9AA6-4347-90BE-490EC97874A5}"/>
    <cellStyle name="Comma 2 2 2 2 2 3 4 2" xfId="1836" xr:uid="{F6896BBF-132B-4024-BD5D-16BC4A8199FB}"/>
    <cellStyle name="Comma 2 2 2 2 2 3 4 2 2" xfId="3176" xr:uid="{C6DAFCD4-2A96-4FA9-AF5A-2504714DF070}"/>
    <cellStyle name="Comma 2 2 2 2 2 3 4 2 2 2" xfId="5825" xr:uid="{FD66C505-F97A-45CB-9BED-8E0593D02F46}"/>
    <cellStyle name="Comma 2 2 2 2 2 3 4 2 2 2 2" xfId="11122" xr:uid="{0985BA9F-E3AC-4A00-B664-9CE646333EDE}"/>
    <cellStyle name="Comma 2 2 2 2 2 3 4 2 2 3" xfId="8473" xr:uid="{295CDB2F-E7BE-48E6-A306-F735A3316AA2}"/>
    <cellStyle name="Comma 2 2 2 2 2 3 4 2 3" xfId="4501" xr:uid="{7162EC58-54CD-4283-B2AF-661CF4B6471C}"/>
    <cellStyle name="Comma 2 2 2 2 2 3 4 2 3 2" xfId="9798" xr:uid="{43EF44C5-F89B-4A5E-A13D-3AD69DE01A67}"/>
    <cellStyle name="Comma 2 2 2 2 2 3 4 2 4" xfId="7149" xr:uid="{B6F34B38-13E3-4A10-826F-EE39555C7AD6}"/>
    <cellStyle name="Comma 2 2 2 2 2 3 4 3" xfId="2648" xr:uid="{12B33514-19C1-49CF-A27E-9D06018DB5A5}"/>
    <cellStyle name="Comma 2 2 2 2 2 3 4 3 2" xfId="5297" xr:uid="{FB6D5778-658F-402F-9CD8-BB09E5E9A10D}"/>
    <cellStyle name="Comma 2 2 2 2 2 3 4 3 2 2" xfId="10594" xr:uid="{40540385-470F-484A-9F63-08FFC08D3F0B}"/>
    <cellStyle name="Comma 2 2 2 2 2 3 4 3 3" xfId="7945" xr:uid="{3B930C32-05D6-43C7-9721-E1AD4CC5A098}"/>
    <cellStyle name="Comma 2 2 2 2 2 3 4 4" xfId="3973" xr:uid="{08AE1D25-3140-4096-8708-23E1F5BE41F7}"/>
    <cellStyle name="Comma 2 2 2 2 2 3 4 4 2" xfId="9270" xr:uid="{74C42F5F-14D9-4D7A-936D-E195CC5622CF}"/>
    <cellStyle name="Comma 2 2 2 2 2 3 4 5" xfId="6621" xr:uid="{484DBCF7-7B99-4833-87A8-C0425FBF8DA1}"/>
    <cellStyle name="Comma 2 2 2 2 2 3 5" xfId="1440" xr:uid="{D0FB2BDD-A660-445C-BBA0-FBEBE9E7EACD}"/>
    <cellStyle name="Comma 2 2 2 2 2 3 5 2" xfId="1968" xr:uid="{B7FFC874-9124-4553-B885-CB602F97782D}"/>
    <cellStyle name="Comma 2 2 2 2 2 3 5 2 2" xfId="3308" xr:uid="{5C15781D-0D80-44E9-86E9-6F9950C1051A}"/>
    <cellStyle name="Comma 2 2 2 2 2 3 5 2 2 2" xfId="5957" xr:uid="{7C28C3BE-5CEF-4EB0-9D87-51655A49AD24}"/>
    <cellStyle name="Comma 2 2 2 2 2 3 5 2 2 2 2" xfId="11254" xr:uid="{9FD3CC3C-2515-42E8-986A-0133BED1FA7A}"/>
    <cellStyle name="Comma 2 2 2 2 2 3 5 2 2 3" xfId="8605" xr:uid="{ABCAE8DF-FA3C-40B4-BF8D-A53525B61BED}"/>
    <cellStyle name="Comma 2 2 2 2 2 3 5 2 3" xfId="4633" xr:uid="{CE358724-4B48-44AB-A0D9-30EAD49548D9}"/>
    <cellStyle name="Comma 2 2 2 2 2 3 5 2 3 2" xfId="9930" xr:uid="{3425CB63-86E6-4D63-8149-FFECE45326ED}"/>
    <cellStyle name="Comma 2 2 2 2 2 3 5 2 4" xfId="7281" xr:uid="{DB2D5A76-1B87-4EDE-969C-2E79405CA903}"/>
    <cellStyle name="Comma 2 2 2 2 2 3 5 3" xfId="2780" xr:uid="{D7D99852-2D3A-48DC-AB29-D1BBFE1DE1A9}"/>
    <cellStyle name="Comma 2 2 2 2 2 3 5 3 2" xfId="5429" xr:uid="{3B47A56F-4EE2-4E8D-820B-F610353782F3}"/>
    <cellStyle name="Comma 2 2 2 2 2 3 5 3 2 2" xfId="10726" xr:uid="{49C77BBE-2AE0-4F4F-8C67-EA7FB753A71C}"/>
    <cellStyle name="Comma 2 2 2 2 2 3 5 3 3" xfId="8077" xr:uid="{41ED8F10-7D39-4868-A7D2-2C0379738596}"/>
    <cellStyle name="Comma 2 2 2 2 2 3 5 4" xfId="4105" xr:uid="{AC79BAE9-3ABD-4A95-A459-526774B75F94}"/>
    <cellStyle name="Comma 2 2 2 2 2 3 5 4 2" xfId="9402" xr:uid="{6D635CFC-9E2B-4B44-8482-B4EB163B3DC4}"/>
    <cellStyle name="Comma 2 2 2 2 2 3 5 5" xfId="6753" xr:uid="{F67E9758-E5DE-4721-AB50-3DB08070A01A}"/>
    <cellStyle name="Comma 2 2 2 2 2 3 6" xfId="2256" xr:uid="{C4BB88DD-982C-4177-8159-EE49E3E3B14B}"/>
    <cellStyle name="Comma 2 2 2 2 2 3 6 2" xfId="4905" xr:uid="{B2F2FCF2-7A12-46FF-8E31-C19291F2C8E1}"/>
    <cellStyle name="Comma 2 2 2 2 2 3 6 2 2" xfId="10202" xr:uid="{A2F250FA-D522-4253-BF9A-17B9F9D016B7}"/>
    <cellStyle name="Comma 2 2 2 2 2 3 6 3" xfId="7553" xr:uid="{11B07E9D-F21A-493D-8AA3-84CB31E2C14B}"/>
    <cellStyle name="Comma 2 2 2 2 2 3 7" xfId="3581" xr:uid="{D9BCEF78-D69B-40C4-88E5-E53E896FE2FD}"/>
    <cellStyle name="Comma 2 2 2 2 2 3 7 2" xfId="8878" xr:uid="{C05A42F6-75CB-4D89-A974-46DD1332FAF0}"/>
    <cellStyle name="Comma 2 2 2 2 2 3 8" xfId="6229" xr:uid="{ECCC212E-67A8-45E0-AB5A-94BA3B288C89}"/>
    <cellStyle name="Comma 2 2 2 2 2 4" xfId="1146" xr:uid="{6DA357A6-8E53-4619-9342-BF6E59F5B60E}"/>
    <cellStyle name="Comma 2 2 2 2 2 4 2" xfId="1678" xr:uid="{A0603995-93D0-4F08-B6B6-569FB97386E6}"/>
    <cellStyle name="Comma 2 2 2 2 2 4 2 2" xfId="3018" xr:uid="{2607E1D8-639F-496E-9A21-3100B8604372}"/>
    <cellStyle name="Comma 2 2 2 2 2 4 2 2 2" xfId="5667" xr:uid="{EB53A76C-5BA2-49D9-A163-7E37672D3A6E}"/>
    <cellStyle name="Comma 2 2 2 2 2 4 2 2 2 2" xfId="10964" xr:uid="{F5E509C1-34CE-40D4-A54A-955FF78D5508}"/>
    <cellStyle name="Comma 2 2 2 2 2 4 2 2 3" xfId="8315" xr:uid="{1F8BD020-C6C5-40F8-B7A9-4F2904A845CC}"/>
    <cellStyle name="Comma 2 2 2 2 2 4 2 3" xfId="4343" xr:uid="{9C4F18CE-D11B-4F7E-AB02-F6AE31436662}"/>
    <cellStyle name="Comma 2 2 2 2 2 4 2 3 2" xfId="9640" xr:uid="{9B41ADE0-B39A-4578-BA13-B6B3CB1F1933}"/>
    <cellStyle name="Comma 2 2 2 2 2 4 2 4" xfId="6991" xr:uid="{C78B5310-7453-4DFD-8DD6-F41863F338B6}"/>
    <cellStyle name="Comma 2 2 2 2 2 4 3" xfId="2490" xr:uid="{0D919D95-BC20-46A1-9F1D-97939DE15B77}"/>
    <cellStyle name="Comma 2 2 2 2 2 4 3 2" xfId="5139" xr:uid="{A948A226-C8AF-4B20-8955-C46490F3D36E}"/>
    <cellStyle name="Comma 2 2 2 2 2 4 3 2 2" xfId="10436" xr:uid="{9C97380F-40C9-4E43-81BF-8B6DB5A49017}"/>
    <cellStyle name="Comma 2 2 2 2 2 4 3 3" xfId="7787" xr:uid="{C9995EC5-EAAD-4CB6-943B-7485E0263A59}"/>
    <cellStyle name="Comma 2 2 2 2 2 4 4" xfId="3815" xr:uid="{84B0B9BC-5113-4D7E-8E41-75D3F4B363D4}"/>
    <cellStyle name="Comma 2 2 2 2 2 4 4 2" xfId="9112" xr:uid="{30627E89-A6E9-4FFE-A005-50F8B6C0427D}"/>
    <cellStyle name="Comma 2 2 2 2 2 4 5" xfId="6463" xr:uid="{E20AAA93-B541-410E-A5D8-1D96A4231EEB}"/>
    <cellStyle name="Comma 2 2 2 2 2 5" xfId="1002" xr:uid="{8ABC86DA-875C-4DE2-AFE0-87FF733B4391}"/>
    <cellStyle name="Comma 2 2 2 2 2 5 2" xfId="1546" xr:uid="{4809134B-2555-462F-B89C-596A67EC0C89}"/>
    <cellStyle name="Comma 2 2 2 2 2 5 2 2" xfId="2886" xr:uid="{461CB6B0-87E2-4B4D-86A6-7EC128409527}"/>
    <cellStyle name="Comma 2 2 2 2 2 5 2 2 2" xfId="5535" xr:uid="{D6E9B1DC-A236-4600-B878-19D661885825}"/>
    <cellStyle name="Comma 2 2 2 2 2 5 2 2 2 2" xfId="10832" xr:uid="{8BCC1298-257F-4791-B313-E0B94483479C}"/>
    <cellStyle name="Comma 2 2 2 2 2 5 2 2 3" xfId="8183" xr:uid="{FA43DD07-95CC-4B4F-8AE8-B9D4CF1F375C}"/>
    <cellStyle name="Comma 2 2 2 2 2 5 2 3" xfId="4211" xr:uid="{634EB303-9FE6-45B0-86EE-7C1DC0C546C5}"/>
    <cellStyle name="Comma 2 2 2 2 2 5 2 3 2" xfId="9508" xr:uid="{7CEEB8FA-BDD9-4CBF-A264-8C1A12DBB14D}"/>
    <cellStyle name="Comma 2 2 2 2 2 5 2 4" xfId="6859" xr:uid="{AB2A118D-5237-4A2F-97A4-73FF818E2D0A}"/>
    <cellStyle name="Comma 2 2 2 2 2 5 3" xfId="2358" xr:uid="{5D2C25AE-6FC9-4727-9FB7-27996AD1A9F3}"/>
    <cellStyle name="Comma 2 2 2 2 2 5 3 2" xfId="5007" xr:uid="{55EEDDD5-E113-422A-9F4A-E56494C1AD91}"/>
    <cellStyle name="Comma 2 2 2 2 2 5 3 2 2" xfId="10304" xr:uid="{CC25AEFA-5AC9-41BA-8C7D-5586B0F55EDF}"/>
    <cellStyle name="Comma 2 2 2 2 2 5 3 3" xfId="7655" xr:uid="{9A2D22EC-8862-47CC-A160-EE9E75019C6B}"/>
    <cellStyle name="Comma 2 2 2 2 2 5 4" xfId="3683" xr:uid="{FC26EB63-9C9B-4114-96D2-143CB10542DF}"/>
    <cellStyle name="Comma 2 2 2 2 2 5 4 2" xfId="8980" xr:uid="{4D903B92-8323-4672-9282-19D5764EF23C}"/>
    <cellStyle name="Comma 2 2 2 2 2 5 5" xfId="6331" xr:uid="{95E88867-FE84-4A32-8F17-B57BDD9A8D16}"/>
    <cellStyle name="Comma 2 2 2 2 2 6" xfId="1282" xr:uid="{F2C5A663-8336-4EB0-8260-73511894C2C2}"/>
    <cellStyle name="Comma 2 2 2 2 2 6 2" xfId="1810" xr:uid="{922372F6-F10F-435E-91E9-832710801D60}"/>
    <cellStyle name="Comma 2 2 2 2 2 6 2 2" xfId="3150" xr:uid="{7DE45B9E-FA10-4D15-84F2-D242243CE37B}"/>
    <cellStyle name="Comma 2 2 2 2 2 6 2 2 2" xfId="5799" xr:uid="{DFCCD538-AC05-4923-96CC-F4E8842FC4F5}"/>
    <cellStyle name="Comma 2 2 2 2 2 6 2 2 2 2" xfId="11096" xr:uid="{0E601EE7-A2A4-44B6-BEDE-F72B6A0F1DA0}"/>
    <cellStyle name="Comma 2 2 2 2 2 6 2 2 3" xfId="8447" xr:uid="{464DC708-468D-41E0-8E12-8478909FE764}"/>
    <cellStyle name="Comma 2 2 2 2 2 6 2 3" xfId="4475" xr:uid="{58E13E32-78F4-4EC3-A8BA-D81C4ED7CE91}"/>
    <cellStyle name="Comma 2 2 2 2 2 6 2 3 2" xfId="9772" xr:uid="{680FDD81-C2BC-4BAB-9814-35638B8DF10E}"/>
    <cellStyle name="Comma 2 2 2 2 2 6 2 4" xfId="7123" xr:uid="{75447335-01B8-42F3-83B7-F591D2359592}"/>
    <cellStyle name="Comma 2 2 2 2 2 6 3" xfId="2622" xr:uid="{AE6AE72B-87FD-43AF-9AFF-B8D30E2D945E}"/>
    <cellStyle name="Comma 2 2 2 2 2 6 3 2" xfId="5271" xr:uid="{40F8006F-A532-43DF-B9AB-5E758D7F0F3C}"/>
    <cellStyle name="Comma 2 2 2 2 2 6 3 2 2" xfId="10568" xr:uid="{08841F1B-9741-4594-8ADA-70811889B783}"/>
    <cellStyle name="Comma 2 2 2 2 2 6 3 3" xfId="7919" xr:uid="{E12404A0-7D0A-4F77-9C7C-834F62A6ED6F}"/>
    <cellStyle name="Comma 2 2 2 2 2 6 4" xfId="3947" xr:uid="{ABF56208-62D1-4721-81DD-56D26882F0F0}"/>
    <cellStyle name="Comma 2 2 2 2 2 6 4 2" xfId="9244" xr:uid="{DC525078-13C0-4FA7-BC2A-EC262D2E7C47}"/>
    <cellStyle name="Comma 2 2 2 2 2 6 5" xfId="6595" xr:uid="{3078119F-94DA-44E9-A381-0A5A27E8193C}"/>
    <cellStyle name="Comma 2 2 2 2 2 7" xfId="1414" xr:uid="{9AC4F54E-D3B7-4D93-96E3-C5A923A750D0}"/>
    <cellStyle name="Comma 2 2 2 2 2 7 2" xfId="1942" xr:uid="{5F4FA14F-A9FC-4DCF-B4E3-37ABD43AB413}"/>
    <cellStyle name="Comma 2 2 2 2 2 7 2 2" xfId="3282" xr:uid="{B51C8869-F31D-42F6-BD79-4F2393428FCF}"/>
    <cellStyle name="Comma 2 2 2 2 2 7 2 2 2" xfId="5931" xr:uid="{E1A7F895-D027-4B8B-9583-B7860059F8B5}"/>
    <cellStyle name="Comma 2 2 2 2 2 7 2 2 2 2" xfId="11228" xr:uid="{B4BD8229-BB29-4530-874E-55B05BF0B115}"/>
    <cellStyle name="Comma 2 2 2 2 2 7 2 2 3" xfId="8579" xr:uid="{C6E7DDB5-C9B5-4136-8C26-FE3B55340700}"/>
    <cellStyle name="Comma 2 2 2 2 2 7 2 3" xfId="4607" xr:uid="{CA721ACB-BA94-462D-8940-916B575FBEA6}"/>
    <cellStyle name="Comma 2 2 2 2 2 7 2 3 2" xfId="9904" xr:uid="{8BB11F1B-D798-4C93-BD0F-6B5D5931F738}"/>
    <cellStyle name="Comma 2 2 2 2 2 7 2 4" xfId="7255" xr:uid="{6C4B36E2-EBDF-4BD9-B8D6-FF270EFAFE4D}"/>
    <cellStyle name="Comma 2 2 2 2 2 7 3" xfId="2754" xr:uid="{1B727329-C756-49DE-B62D-92F05B456136}"/>
    <cellStyle name="Comma 2 2 2 2 2 7 3 2" xfId="5403" xr:uid="{E5D394B6-D056-42DD-B63E-867C714D7F67}"/>
    <cellStyle name="Comma 2 2 2 2 2 7 3 2 2" xfId="10700" xr:uid="{C6101B81-9CB1-4532-B9E9-1A258EAAAD4D}"/>
    <cellStyle name="Comma 2 2 2 2 2 7 3 3" xfId="8051" xr:uid="{40A7E098-898E-494A-9C91-21E988B51D66}"/>
    <cellStyle name="Comma 2 2 2 2 2 7 4" xfId="4079" xr:uid="{14348CB1-2C4A-4AD1-B562-ADBEF7D0CCFA}"/>
    <cellStyle name="Comma 2 2 2 2 2 7 4 2" xfId="9376" xr:uid="{9F35B3DF-DF33-4CDD-AC8B-ED6240551E50}"/>
    <cellStyle name="Comma 2 2 2 2 2 7 5" xfId="6727" xr:uid="{5CEEB1CE-55E2-4E8F-AD53-DA75BD10A71D}"/>
    <cellStyle name="Comma 2 2 2 2 2 8" xfId="2230" xr:uid="{B0FBF1E9-1880-4640-A4BE-A2C1B32F4B51}"/>
    <cellStyle name="Comma 2 2 2 2 2 8 2" xfId="4879" xr:uid="{5FE919C6-1F16-4EC8-ACB6-7C7F0CAA7688}"/>
    <cellStyle name="Comma 2 2 2 2 2 8 2 2" xfId="10176" xr:uid="{65BF3BB4-906C-4171-80C7-9BF77BAB442C}"/>
    <cellStyle name="Comma 2 2 2 2 2 8 3" xfId="7527" xr:uid="{B82B3530-47E4-4267-BE7A-CFB4813ACD5B}"/>
    <cellStyle name="Comma 2 2 2 2 2 9" xfId="3555" xr:uid="{28488160-976B-41C1-ACAF-F9D194B69A3F}"/>
    <cellStyle name="Comma 2 2 2 2 2 9 2" xfId="8852" xr:uid="{971C692C-D525-4D76-83CB-F8FA059D43B7}"/>
    <cellStyle name="Comma 2 2 2 2 3" xfId="804" xr:uid="{8BCAB447-9B17-4E25-95C3-A1174C52000D}"/>
    <cellStyle name="Comma 2 2 2 2 3 2" xfId="1165" xr:uid="{5A864BD7-6B7E-480D-89D8-F73F7B0E81F2}"/>
    <cellStyle name="Comma 2 2 2 2 3 2 2" xfId="1697" xr:uid="{B8DB2967-6642-4050-9E5D-091A2C66ED0F}"/>
    <cellStyle name="Comma 2 2 2 2 3 2 2 2" xfId="3037" xr:uid="{23FB4A6C-5A76-4619-B70D-D63B6296C213}"/>
    <cellStyle name="Comma 2 2 2 2 3 2 2 2 2" xfId="5686" xr:uid="{3744261C-6EFA-46A1-BCB9-857EAD14ADA0}"/>
    <cellStyle name="Comma 2 2 2 2 3 2 2 2 2 2" xfId="10983" xr:uid="{B3F9EE19-1742-4693-858D-277334DDA24D}"/>
    <cellStyle name="Comma 2 2 2 2 3 2 2 2 3" xfId="8334" xr:uid="{3CCABBE4-C4F7-46FE-B2CC-8D84639B3054}"/>
    <cellStyle name="Comma 2 2 2 2 3 2 2 3" xfId="4362" xr:uid="{28736C51-C8C1-46B5-B4FD-4A997122546F}"/>
    <cellStyle name="Comma 2 2 2 2 3 2 2 3 2" xfId="9659" xr:uid="{D07CF34D-A385-4B58-AC8D-4F8CC112D014}"/>
    <cellStyle name="Comma 2 2 2 2 3 2 2 4" xfId="7010" xr:uid="{C36974BE-0761-49BC-9950-EA611E27A22F}"/>
    <cellStyle name="Comma 2 2 2 2 3 2 3" xfId="2509" xr:uid="{00D0D0C6-EFE4-4C3B-9FDC-64663AA23AF7}"/>
    <cellStyle name="Comma 2 2 2 2 3 2 3 2" xfId="5158" xr:uid="{90B3CE74-4C04-4839-87E5-4725B7C3B0D5}"/>
    <cellStyle name="Comma 2 2 2 2 3 2 3 2 2" xfId="10455" xr:uid="{60645D09-E3F8-4BC5-8625-D5C017892322}"/>
    <cellStyle name="Comma 2 2 2 2 3 2 3 3" xfId="7806" xr:uid="{375060A3-1EBB-4D67-B8A3-DF8A814ABFCE}"/>
    <cellStyle name="Comma 2 2 2 2 3 2 4" xfId="3834" xr:uid="{748384F2-6937-41BA-B643-BCE38755F150}"/>
    <cellStyle name="Comma 2 2 2 2 3 2 4 2" xfId="9131" xr:uid="{DAD779F3-75EE-4912-BE38-C2B5255860E7}"/>
    <cellStyle name="Comma 2 2 2 2 3 2 5" xfId="6482" xr:uid="{D00A652E-291A-4D3B-B470-D49BA12FBCD3}"/>
    <cellStyle name="Comma 2 2 2 2 3 3" xfId="1021" xr:uid="{F058FDCB-0766-485B-B4F4-FD2BA34AAD79}"/>
    <cellStyle name="Comma 2 2 2 2 3 3 2" xfId="1565" xr:uid="{C5566F5A-4586-4AB7-A31E-10F9F6D4A089}"/>
    <cellStyle name="Comma 2 2 2 2 3 3 2 2" xfId="2905" xr:uid="{05B7D984-B690-4D8A-98F0-9DA0CE5D73B2}"/>
    <cellStyle name="Comma 2 2 2 2 3 3 2 2 2" xfId="5554" xr:uid="{2CDAFF18-A629-4650-940B-0DEAE0FC140B}"/>
    <cellStyle name="Comma 2 2 2 2 3 3 2 2 2 2" xfId="10851" xr:uid="{B904EE2D-A3DA-4ADE-8C44-D952C1DF9C24}"/>
    <cellStyle name="Comma 2 2 2 2 3 3 2 2 3" xfId="8202" xr:uid="{AB8CCFE7-70D7-4B6F-A047-01A7FA81808E}"/>
    <cellStyle name="Comma 2 2 2 2 3 3 2 3" xfId="4230" xr:uid="{D1589692-352D-464B-B73E-3B1EAAEE4A95}"/>
    <cellStyle name="Comma 2 2 2 2 3 3 2 3 2" xfId="9527" xr:uid="{7C2F4086-3682-4F12-9F4D-9404BCB79D82}"/>
    <cellStyle name="Comma 2 2 2 2 3 3 2 4" xfId="6878" xr:uid="{7830DC8F-BF19-4E5D-B117-0068501085EA}"/>
    <cellStyle name="Comma 2 2 2 2 3 3 3" xfId="2377" xr:uid="{69C77DCB-2C15-455E-AC54-0BB029B84586}"/>
    <cellStyle name="Comma 2 2 2 2 3 3 3 2" xfId="5026" xr:uid="{BC03A661-A161-4641-8581-813F19FE567E}"/>
    <cellStyle name="Comma 2 2 2 2 3 3 3 2 2" xfId="10323" xr:uid="{DB5AEE11-019A-4B43-8DDA-2581961A6071}"/>
    <cellStyle name="Comma 2 2 2 2 3 3 3 3" xfId="7674" xr:uid="{6B430C6D-A72E-405D-957B-50F9A721EE7D}"/>
    <cellStyle name="Comma 2 2 2 2 3 3 4" xfId="3702" xr:uid="{CF527F53-A49B-44A4-AAED-C66E73B5AEB7}"/>
    <cellStyle name="Comma 2 2 2 2 3 3 4 2" xfId="8999" xr:uid="{BC82DBD8-F5EE-4447-A500-9AFF18D95D0E}"/>
    <cellStyle name="Comma 2 2 2 2 3 3 5" xfId="6350" xr:uid="{EFACCA03-3AC9-4B2E-8115-D556F67F5F69}"/>
    <cellStyle name="Comma 2 2 2 2 3 4" xfId="1301" xr:uid="{E1ED1B97-C342-46B9-9877-E070B7E4F572}"/>
    <cellStyle name="Comma 2 2 2 2 3 4 2" xfId="1829" xr:uid="{46F2A7B4-8304-4763-BD82-E220C47F4EB3}"/>
    <cellStyle name="Comma 2 2 2 2 3 4 2 2" xfId="3169" xr:uid="{1ED5145F-476C-4FD6-841D-157E7B5F1371}"/>
    <cellStyle name="Comma 2 2 2 2 3 4 2 2 2" xfId="5818" xr:uid="{0DC9D47B-94D0-4434-B483-D9F7293B0103}"/>
    <cellStyle name="Comma 2 2 2 2 3 4 2 2 2 2" xfId="11115" xr:uid="{E14872DC-BCDF-404A-9BC7-707284E0510E}"/>
    <cellStyle name="Comma 2 2 2 2 3 4 2 2 3" xfId="8466" xr:uid="{27C2496C-1BFC-4A1B-BA64-A181A50FC106}"/>
    <cellStyle name="Comma 2 2 2 2 3 4 2 3" xfId="4494" xr:uid="{F0132568-6C71-4615-ADAE-E83031F9EF7C}"/>
    <cellStyle name="Comma 2 2 2 2 3 4 2 3 2" xfId="9791" xr:uid="{B20D1956-29E4-4D56-A6FE-B3FD0AF1E294}"/>
    <cellStyle name="Comma 2 2 2 2 3 4 2 4" xfId="7142" xr:uid="{AB70D22D-7243-43F5-9A2B-CE440C46787B}"/>
    <cellStyle name="Comma 2 2 2 2 3 4 3" xfId="2641" xr:uid="{6F82C976-F7C6-4104-BA71-CBAFD72DF281}"/>
    <cellStyle name="Comma 2 2 2 2 3 4 3 2" xfId="5290" xr:uid="{1F5F451C-F559-4FB9-A776-A32E9E680381}"/>
    <cellStyle name="Comma 2 2 2 2 3 4 3 2 2" xfId="10587" xr:uid="{781BF98D-BAB3-4BBA-993E-9E8DC56F2863}"/>
    <cellStyle name="Comma 2 2 2 2 3 4 3 3" xfId="7938" xr:uid="{C0D5F16E-E6DE-4B43-BE20-0C5405BAD1AD}"/>
    <cellStyle name="Comma 2 2 2 2 3 4 4" xfId="3966" xr:uid="{4CE4819E-6EEC-4C90-A8DF-112E6A727F52}"/>
    <cellStyle name="Comma 2 2 2 2 3 4 4 2" xfId="9263" xr:uid="{267D0209-157E-40C9-9130-2527381799CC}"/>
    <cellStyle name="Comma 2 2 2 2 3 4 5" xfId="6614" xr:uid="{D49E894E-687F-4AB1-9286-50E0D522DD71}"/>
    <cellStyle name="Comma 2 2 2 2 3 5" xfId="1433" xr:uid="{A9B9AA5B-2871-4DD1-8D21-ED1208FC1DA2}"/>
    <cellStyle name="Comma 2 2 2 2 3 5 2" xfId="1961" xr:uid="{7589898D-5ECF-4E6D-9CDB-DD3CF0140E8F}"/>
    <cellStyle name="Comma 2 2 2 2 3 5 2 2" xfId="3301" xr:uid="{9951159C-BE19-4F4C-948E-34995E2EA6BC}"/>
    <cellStyle name="Comma 2 2 2 2 3 5 2 2 2" xfId="5950" xr:uid="{7BB546DD-14B0-45EB-9B77-958ED77FC315}"/>
    <cellStyle name="Comma 2 2 2 2 3 5 2 2 2 2" xfId="11247" xr:uid="{8F211E30-8116-4342-82BF-86885D520787}"/>
    <cellStyle name="Comma 2 2 2 2 3 5 2 2 3" xfId="8598" xr:uid="{F2A40A15-02BF-4616-9C06-8782BD684DA4}"/>
    <cellStyle name="Comma 2 2 2 2 3 5 2 3" xfId="4626" xr:uid="{1C09AE32-892B-48C4-9D02-B839A16E952E}"/>
    <cellStyle name="Comma 2 2 2 2 3 5 2 3 2" xfId="9923" xr:uid="{6D0D3D5B-B189-47DA-A94D-10DE046AE5E7}"/>
    <cellStyle name="Comma 2 2 2 2 3 5 2 4" xfId="7274" xr:uid="{6B40AEE9-9B65-490F-B855-FD855B64EE3D}"/>
    <cellStyle name="Comma 2 2 2 2 3 5 3" xfId="2773" xr:uid="{FC99E853-FDB2-4745-808D-2322FA020F5C}"/>
    <cellStyle name="Comma 2 2 2 2 3 5 3 2" xfId="5422" xr:uid="{E75680EE-C4DE-48C1-BDAA-131575F96171}"/>
    <cellStyle name="Comma 2 2 2 2 3 5 3 2 2" xfId="10719" xr:uid="{86B1FD82-F2AE-4B04-8857-2EC748B4154A}"/>
    <cellStyle name="Comma 2 2 2 2 3 5 3 3" xfId="8070" xr:uid="{3B29EF5F-5B32-4EE9-83E9-C23EDB91AA6F}"/>
    <cellStyle name="Comma 2 2 2 2 3 5 4" xfId="4098" xr:uid="{4A54172D-883D-42B6-B69C-06E9D08C9843}"/>
    <cellStyle name="Comma 2 2 2 2 3 5 4 2" xfId="9395" xr:uid="{949BA4ED-A3A9-4217-A571-9952B3399A91}"/>
    <cellStyle name="Comma 2 2 2 2 3 5 5" xfId="6746" xr:uid="{4830DF29-2729-447A-BB09-742EEABD73F0}"/>
    <cellStyle name="Comma 2 2 2 2 3 6" xfId="2249" xr:uid="{52056F51-6A1D-456D-B311-262226C7B034}"/>
    <cellStyle name="Comma 2 2 2 2 3 6 2" xfId="4898" xr:uid="{F8227E32-BA31-4D29-BAEC-1E5251C908E2}"/>
    <cellStyle name="Comma 2 2 2 2 3 6 2 2" xfId="10195" xr:uid="{F58F48F4-56D7-4D2F-8597-EE2870AC9B63}"/>
    <cellStyle name="Comma 2 2 2 2 3 6 3" xfId="7546" xr:uid="{57299D13-45D8-4186-AC73-E1EC666F9315}"/>
    <cellStyle name="Comma 2 2 2 2 3 7" xfId="3574" xr:uid="{44131000-DD42-498B-BC18-E9A6C7C0F605}"/>
    <cellStyle name="Comma 2 2 2 2 3 7 2" xfId="8871" xr:uid="{7718E529-0B0D-4F36-8D1F-A21EEB896BF0}"/>
    <cellStyle name="Comma 2 2 2 2 3 8" xfId="6222" xr:uid="{B7152758-DF89-4ABD-8783-FBD0E2D0EFC5}"/>
    <cellStyle name="Comma 2 2 2 2 4" xfId="1141" xr:uid="{ADAA698D-2670-4FD0-810F-619D8C69C4D3}"/>
    <cellStyle name="Comma 2 2 2 2 4 2" xfId="1673" xr:uid="{ED6455C5-D4B7-4BAC-AB60-6473BE983314}"/>
    <cellStyle name="Comma 2 2 2 2 4 2 2" xfId="3013" xr:uid="{D60EC783-F875-46F6-A545-2BEA5B45FB9E}"/>
    <cellStyle name="Comma 2 2 2 2 4 2 2 2" xfId="5662" xr:uid="{89CE0EBB-B042-4A39-BB59-25911FE4C2B7}"/>
    <cellStyle name="Comma 2 2 2 2 4 2 2 2 2" xfId="10959" xr:uid="{106F5A80-F6AC-405A-BA86-F538DCC66DE1}"/>
    <cellStyle name="Comma 2 2 2 2 4 2 2 3" xfId="8310" xr:uid="{151A020A-FE5E-4EEF-ADFE-B1ADE0A6A813}"/>
    <cellStyle name="Comma 2 2 2 2 4 2 3" xfId="4338" xr:uid="{C7820D63-CF97-417B-80AB-91C25F002483}"/>
    <cellStyle name="Comma 2 2 2 2 4 2 3 2" xfId="9635" xr:uid="{2256BE44-868A-4F71-83B9-DF388CB89468}"/>
    <cellStyle name="Comma 2 2 2 2 4 2 4" xfId="6986" xr:uid="{35F5E991-8DAD-488A-8E25-87F5C854B066}"/>
    <cellStyle name="Comma 2 2 2 2 4 3" xfId="2485" xr:uid="{926A581F-817D-4AA4-9094-0B6B49B8779B}"/>
    <cellStyle name="Comma 2 2 2 2 4 3 2" xfId="5134" xr:uid="{44438969-7029-4108-BE9D-D66F14B8E555}"/>
    <cellStyle name="Comma 2 2 2 2 4 3 2 2" xfId="10431" xr:uid="{22C3EC67-7798-42DC-96CA-A6FE6A51BDA2}"/>
    <cellStyle name="Comma 2 2 2 2 4 3 3" xfId="7782" xr:uid="{DF63EB39-7825-4295-9E5E-3E899BFB2725}"/>
    <cellStyle name="Comma 2 2 2 2 4 4" xfId="3810" xr:uid="{9792ED17-C709-471F-A750-02051A7B2405}"/>
    <cellStyle name="Comma 2 2 2 2 4 4 2" xfId="9107" xr:uid="{1C9C5654-EEBD-4DC5-A369-34366138B8E4}"/>
    <cellStyle name="Comma 2 2 2 2 4 5" xfId="6458" xr:uid="{78836857-29C8-4B1A-86F8-6C5438B332EC}"/>
    <cellStyle name="Comma 2 2 2 2 5" xfId="997" xr:uid="{3683664C-B72E-4A08-899D-12FC834A065C}"/>
    <cellStyle name="Comma 2 2 2 2 5 2" xfId="1541" xr:uid="{CE705955-C500-4448-8A64-654C2B9AF871}"/>
    <cellStyle name="Comma 2 2 2 2 5 2 2" xfId="2881" xr:uid="{D6E381C9-B2B5-46E4-A457-498425867BA2}"/>
    <cellStyle name="Comma 2 2 2 2 5 2 2 2" xfId="5530" xr:uid="{FBB8AD7D-783B-4970-91BF-91E1BA55E816}"/>
    <cellStyle name="Comma 2 2 2 2 5 2 2 2 2" xfId="10827" xr:uid="{AEBF781C-BF15-4A49-A2EC-863681BF3523}"/>
    <cellStyle name="Comma 2 2 2 2 5 2 2 3" xfId="8178" xr:uid="{C6C2F253-5AFF-418D-8CE8-E9E4A850D87D}"/>
    <cellStyle name="Comma 2 2 2 2 5 2 3" xfId="4206" xr:uid="{24DBD503-6D4F-4A72-9CA6-9ACA2FA6BD68}"/>
    <cellStyle name="Comma 2 2 2 2 5 2 3 2" xfId="9503" xr:uid="{A7A82717-7193-4CD1-BC2F-D30AE79AA8C2}"/>
    <cellStyle name="Comma 2 2 2 2 5 2 4" xfId="6854" xr:uid="{36D622ED-539D-424D-B5A0-04E380801FB9}"/>
    <cellStyle name="Comma 2 2 2 2 5 3" xfId="2353" xr:uid="{3EDB56F1-4832-4A1E-969B-1A47BE27A4D8}"/>
    <cellStyle name="Comma 2 2 2 2 5 3 2" xfId="5002" xr:uid="{921BB09A-9480-461D-B396-8035959AF3AA}"/>
    <cellStyle name="Comma 2 2 2 2 5 3 2 2" xfId="10299" xr:uid="{EFB90D2E-5E7F-4EE1-ADC2-95D731B95CFF}"/>
    <cellStyle name="Comma 2 2 2 2 5 3 3" xfId="7650" xr:uid="{AC5C637F-607E-432C-829E-3F5548CF859E}"/>
    <cellStyle name="Comma 2 2 2 2 5 4" xfId="3678" xr:uid="{F12DB3D9-3AA6-4E7B-B224-2CF3FC4E0CA5}"/>
    <cellStyle name="Comma 2 2 2 2 5 4 2" xfId="8975" xr:uid="{3D90FC60-A908-44BD-B1C1-D641C422414A}"/>
    <cellStyle name="Comma 2 2 2 2 5 5" xfId="6326" xr:uid="{557E5A4E-AA1A-47FF-98A3-9777F2BFAF8D}"/>
    <cellStyle name="Comma 2 2 2 2 6" xfId="1277" xr:uid="{95D2B8D4-A96A-4738-BA91-B9CB2C106583}"/>
    <cellStyle name="Comma 2 2 2 2 6 2" xfId="1805" xr:uid="{55EDBF04-EECC-4D81-8D6B-340BC8201584}"/>
    <cellStyle name="Comma 2 2 2 2 6 2 2" xfId="3145" xr:uid="{5E720B83-53BA-4B6D-97FA-7B8A20E5D4A2}"/>
    <cellStyle name="Comma 2 2 2 2 6 2 2 2" xfId="5794" xr:uid="{C19E1DF6-6AA0-4E9B-8940-DD14D4FEAB12}"/>
    <cellStyle name="Comma 2 2 2 2 6 2 2 2 2" xfId="11091" xr:uid="{2178314B-7B30-49F2-B253-8DB35CB6DE91}"/>
    <cellStyle name="Comma 2 2 2 2 6 2 2 3" xfId="8442" xr:uid="{14C7017E-CFC8-42C3-92B9-C624BE77C9CB}"/>
    <cellStyle name="Comma 2 2 2 2 6 2 3" xfId="4470" xr:uid="{8DD75159-907D-4F1B-B494-363DEB5E2266}"/>
    <cellStyle name="Comma 2 2 2 2 6 2 3 2" xfId="9767" xr:uid="{FD3A0797-7AEA-457D-821C-0EAC88BDE14A}"/>
    <cellStyle name="Comma 2 2 2 2 6 2 4" xfId="7118" xr:uid="{ACC81527-2831-4904-94B3-47CD20EFC2A9}"/>
    <cellStyle name="Comma 2 2 2 2 6 3" xfId="2617" xr:uid="{ED7B5304-54DE-4244-AB92-121F3E8A3610}"/>
    <cellStyle name="Comma 2 2 2 2 6 3 2" xfId="5266" xr:uid="{1620FB06-F721-4453-ADE7-6D6068A40308}"/>
    <cellStyle name="Comma 2 2 2 2 6 3 2 2" xfId="10563" xr:uid="{AA20C924-7922-4AF4-87D9-FA95E3892F2E}"/>
    <cellStyle name="Comma 2 2 2 2 6 3 3" xfId="7914" xr:uid="{007E714C-CC38-4D0B-B3B7-F20EBBCA7C62}"/>
    <cellStyle name="Comma 2 2 2 2 6 4" xfId="3942" xr:uid="{837B6680-EF8F-4030-82D8-D85BD4B905FC}"/>
    <cellStyle name="Comma 2 2 2 2 6 4 2" xfId="9239" xr:uid="{4916DDB3-2639-4453-961A-691EE91E5CAD}"/>
    <cellStyle name="Comma 2 2 2 2 6 5" xfId="6590" xr:uid="{DE109949-EAFA-4FBF-9E7A-67EE34426DD7}"/>
    <cellStyle name="Comma 2 2 2 2 7" xfId="1409" xr:uid="{A625F7E3-A436-4F02-8786-B2164F073050}"/>
    <cellStyle name="Comma 2 2 2 2 7 2" xfId="1937" xr:uid="{34CD7FE0-37E5-4EAD-AD56-528A918373A8}"/>
    <cellStyle name="Comma 2 2 2 2 7 2 2" xfId="3277" xr:uid="{2C623DAD-C557-4F69-BBB1-CF714A62C332}"/>
    <cellStyle name="Comma 2 2 2 2 7 2 2 2" xfId="5926" xr:uid="{BCCEAF44-9988-49E4-801A-3BB458EEBD2B}"/>
    <cellStyle name="Comma 2 2 2 2 7 2 2 2 2" xfId="11223" xr:uid="{E340CA04-7ED1-471C-A52C-0EB98CF0B464}"/>
    <cellStyle name="Comma 2 2 2 2 7 2 2 3" xfId="8574" xr:uid="{3525997A-C177-4134-9FA6-F646425558A4}"/>
    <cellStyle name="Comma 2 2 2 2 7 2 3" xfId="4602" xr:uid="{0E2A54C4-AED7-428C-B63B-3A82372C64C1}"/>
    <cellStyle name="Comma 2 2 2 2 7 2 3 2" xfId="9899" xr:uid="{15DBFFBB-C97E-4113-8BB7-7F9E1B3B2A97}"/>
    <cellStyle name="Comma 2 2 2 2 7 2 4" xfId="7250" xr:uid="{2A76F7B7-F9C0-4CDC-AF38-6C57677C5371}"/>
    <cellStyle name="Comma 2 2 2 2 7 3" xfId="2749" xr:uid="{A0B9BB9B-F04F-4DE0-8508-F2166A5EAC8B}"/>
    <cellStyle name="Comma 2 2 2 2 7 3 2" xfId="5398" xr:uid="{A270D4D4-7F75-4524-A7A9-33C50B241B6D}"/>
    <cellStyle name="Comma 2 2 2 2 7 3 2 2" xfId="10695" xr:uid="{150ACEE2-428E-45B7-BC15-FE9D022ED3BF}"/>
    <cellStyle name="Comma 2 2 2 2 7 3 3" xfId="8046" xr:uid="{7649597E-D9A3-4CB1-80FD-D002EC01A146}"/>
    <cellStyle name="Comma 2 2 2 2 7 4" xfId="4074" xr:uid="{A678E09C-1AC8-48A6-A982-3B9246634DCD}"/>
    <cellStyle name="Comma 2 2 2 2 7 4 2" xfId="9371" xr:uid="{0556D9C6-1A89-48A9-A063-9BC480A5E830}"/>
    <cellStyle name="Comma 2 2 2 2 7 5" xfId="6722" xr:uid="{E8B47BE3-92DC-4E32-B854-62BC70AA313D}"/>
    <cellStyle name="Comma 2 2 2 2 8" xfId="733" xr:uid="{3900F7DC-236A-4CAC-807D-11D884D13708}"/>
    <cellStyle name="Comma 2 2 2 2 8 2" xfId="2225" xr:uid="{64E4051D-E8C7-41C4-A74B-2F59D8B92D1B}"/>
    <cellStyle name="Comma 2 2 2 2 8 2 2" xfId="4874" xr:uid="{78D24049-F3A3-480F-9D08-2603BABD14C3}"/>
    <cellStyle name="Comma 2 2 2 2 8 2 2 2" xfId="10171" xr:uid="{BDC47516-F677-4E86-9334-EADBF928FA16}"/>
    <cellStyle name="Comma 2 2 2 2 8 2 3" xfId="7522" xr:uid="{2770AE44-C45A-4F50-819B-C0CC903623A2}"/>
    <cellStyle name="Comma 2 2 2 2 8 3" xfId="3550" xr:uid="{2447DAD6-9329-4862-87C8-33827B5BA6F0}"/>
    <cellStyle name="Comma 2 2 2 2 8 3 2" xfId="8847" xr:uid="{7BEE664B-2DFF-4E37-99E2-4364324E02BC}"/>
    <cellStyle name="Comma 2 2 2 2 8 4" xfId="6198" xr:uid="{B1037544-4AD1-421D-BD4D-483E9E1EAE3C}"/>
    <cellStyle name="Comma 2 2 2 2 9" xfId="2128" xr:uid="{3CA3D3E7-EA10-4927-84C7-02137D247ADF}"/>
    <cellStyle name="Comma 2 2 2 2 9 2" xfId="4777" xr:uid="{70BB8668-FE94-4687-8199-3671EC4D6A16}"/>
    <cellStyle name="Comma 2 2 2 2 9 2 2" xfId="10074" xr:uid="{A4780ED5-EF6A-4A7D-B02C-F8D0BAFEE42C}"/>
    <cellStyle name="Comma 2 2 2 2 9 3" xfId="7425" xr:uid="{188AFBE0-00B4-438F-8026-65F3F44B2C93}"/>
    <cellStyle name="Comma 2 2 2 3" xfId="797" xr:uid="{ECB37FF5-EC01-47A9-9DBE-ADC72BBCB565}"/>
    <cellStyle name="Comma 2 2 2 3 2" xfId="1158" xr:uid="{C5B937B9-2CBA-42A5-9922-DAB9CDF9A77C}"/>
    <cellStyle name="Comma 2 2 2 3 2 2" xfId="1690" xr:uid="{C40F9A18-8DE4-4B66-A365-3132554372E9}"/>
    <cellStyle name="Comma 2 2 2 3 2 2 2" xfId="3030" xr:uid="{A5F0DE49-05B0-493A-9D5B-58C8C0614B9F}"/>
    <cellStyle name="Comma 2 2 2 3 2 2 2 2" xfId="5679" xr:uid="{477C05C4-9D83-4A22-BF7C-9E2533234939}"/>
    <cellStyle name="Comma 2 2 2 3 2 2 2 2 2" xfId="10976" xr:uid="{56A9FED2-4D8E-47E3-9734-874A7070FC9D}"/>
    <cellStyle name="Comma 2 2 2 3 2 2 2 3" xfId="8327" xr:uid="{31693046-33DC-427C-B71A-4EDF11823F86}"/>
    <cellStyle name="Comma 2 2 2 3 2 2 3" xfId="4355" xr:uid="{8DD0AC15-6065-4689-B361-21CA3D7D8998}"/>
    <cellStyle name="Comma 2 2 2 3 2 2 3 2" xfId="9652" xr:uid="{C1DBCB71-F1A0-48BE-8DA3-B615E7481F67}"/>
    <cellStyle name="Comma 2 2 2 3 2 2 4" xfId="7003" xr:uid="{D36E89B1-0769-4DD5-9D92-19E33C019B61}"/>
    <cellStyle name="Comma 2 2 2 3 2 3" xfId="2502" xr:uid="{B15EDDA7-DC87-4DFD-953B-B141E0B17CEC}"/>
    <cellStyle name="Comma 2 2 2 3 2 3 2" xfId="5151" xr:uid="{EBB18534-2438-421D-A51A-FD197C7A4E07}"/>
    <cellStyle name="Comma 2 2 2 3 2 3 2 2" xfId="10448" xr:uid="{C3FFB68B-F8C5-49EE-AA02-93B667B26490}"/>
    <cellStyle name="Comma 2 2 2 3 2 3 3" xfId="7799" xr:uid="{03B21F70-BAF9-45D0-85B7-A715F4FFB422}"/>
    <cellStyle name="Comma 2 2 2 3 2 4" xfId="3827" xr:uid="{AE6512C5-591F-4EA2-956B-51FAF36B5F14}"/>
    <cellStyle name="Comma 2 2 2 3 2 4 2" xfId="9124" xr:uid="{24CE9BDB-5DDB-4803-9ABD-1159CE0F6382}"/>
    <cellStyle name="Comma 2 2 2 3 2 5" xfId="6475" xr:uid="{223A1342-57CC-4084-B480-D42EAA1622A0}"/>
    <cellStyle name="Comma 2 2 2 3 3" xfId="1014" xr:uid="{59AF4FB1-9510-4288-9058-6738A85331F3}"/>
    <cellStyle name="Comma 2 2 2 3 3 2" xfId="1558" xr:uid="{89912AEB-261D-40BF-B1F4-3D9F80860504}"/>
    <cellStyle name="Comma 2 2 2 3 3 2 2" xfId="2898" xr:uid="{DF2A822D-6332-440A-93A7-4873764C7F12}"/>
    <cellStyle name="Comma 2 2 2 3 3 2 2 2" xfId="5547" xr:uid="{5ACC2347-D0A4-426D-B2F0-1D264CE871A2}"/>
    <cellStyle name="Comma 2 2 2 3 3 2 2 2 2" xfId="10844" xr:uid="{8B5C8B86-8ED7-4D92-8C5D-22B7BDB4D86F}"/>
    <cellStyle name="Comma 2 2 2 3 3 2 2 3" xfId="8195" xr:uid="{DAEB6E23-8446-4EAC-B161-955F7F89FFBB}"/>
    <cellStyle name="Comma 2 2 2 3 3 2 3" xfId="4223" xr:uid="{0C154C67-492E-47A6-8E19-ED23848A8DCD}"/>
    <cellStyle name="Comma 2 2 2 3 3 2 3 2" xfId="9520" xr:uid="{B485462D-A1C6-43EA-B2C2-3C6C4E3A297E}"/>
    <cellStyle name="Comma 2 2 2 3 3 2 4" xfId="6871" xr:uid="{9884E596-7B57-43B7-A1BB-BEEE63003EFD}"/>
    <cellStyle name="Comma 2 2 2 3 3 3" xfId="2370" xr:uid="{35E223B8-D53F-46DE-A266-8D00D914796B}"/>
    <cellStyle name="Comma 2 2 2 3 3 3 2" xfId="5019" xr:uid="{BA6EA91C-2AA7-491C-9C08-1B2BC0B1C3AC}"/>
    <cellStyle name="Comma 2 2 2 3 3 3 2 2" xfId="10316" xr:uid="{D52725CE-B065-4064-8D6D-59E34E51643D}"/>
    <cellStyle name="Comma 2 2 2 3 3 3 3" xfId="7667" xr:uid="{9E5F2174-4AB0-4827-B02B-45140DEF2D78}"/>
    <cellStyle name="Comma 2 2 2 3 3 4" xfId="3695" xr:uid="{AE4C25A1-4860-480E-AD8E-76BB67ABDE63}"/>
    <cellStyle name="Comma 2 2 2 3 3 4 2" xfId="8992" xr:uid="{A4CCE90B-DA79-4EE5-B840-2DBF81D45DFC}"/>
    <cellStyle name="Comma 2 2 2 3 3 5" xfId="6343" xr:uid="{168211AC-3225-4DDF-8F79-BAD0C5B438C4}"/>
    <cellStyle name="Comma 2 2 2 3 4" xfId="1294" xr:uid="{9BD28F37-8DDD-4123-A5C5-E19841E46CFF}"/>
    <cellStyle name="Comma 2 2 2 3 4 2" xfId="1822" xr:uid="{80E8DB9A-BDD8-40F3-8480-B703854B7A6A}"/>
    <cellStyle name="Comma 2 2 2 3 4 2 2" xfId="3162" xr:uid="{797193B7-E640-4483-A269-69D723525236}"/>
    <cellStyle name="Comma 2 2 2 3 4 2 2 2" xfId="5811" xr:uid="{2D260F5A-1286-44E9-8C33-6A24366FF933}"/>
    <cellStyle name="Comma 2 2 2 3 4 2 2 2 2" xfId="11108" xr:uid="{54C8B24A-6462-4F30-8C56-CA9525D1632C}"/>
    <cellStyle name="Comma 2 2 2 3 4 2 2 3" xfId="8459" xr:uid="{95D81207-9A0B-4464-B254-B6539702A017}"/>
    <cellStyle name="Comma 2 2 2 3 4 2 3" xfId="4487" xr:uid="{A70D0928-BCBA-435B-BAD0-F29E166979CF}"/>
    <cellStyle name="Comma 2 2 2 3 4 2 3 2" xfId="9784" xr:uid="{BFD7ADE7-F224-483C-9214-A58992AB7ACE}"/>
    <cellStyle name="Comma 2 2 2 3 4 2 4" xfId="7135" xr:uid="{B4003692-EF30-4620-80E6-AADA2F22CF65}"/>
    <cellStyle name="Comma 2 2 2 3 4 3" xfId="2634" xr:uid="{41175BC7-EB10-4FE7-9944-34DB70D64F43}"/>
    <cellStyle name="Comma 2 2 2 3 4 3 2" xfId="5283" xr:uid="{54E70209-4C5A-46EE-9004-83786AEE776B}"/>
    <cellStyle name="Comma 2 2 2 3 4 3 2 2" xfId="10580" xr:uid="{B95888E3-22DC-4C73-8DD4-BD549DF57680}"/>
    <cellStyle name="Comma 2 2 2 3 4 3 3" xfId="7931" xr:uid="{6D044327-4670-4288-BF20-566E7D3AEF4C}"/>
    <cellStyle name="Comma 2 2 2 3 4 4" xfId="3959" xr:uid="{D2681FB1-6FDF-47F4-8959-8A61EFD95838}"/>
    <cellStyle name="Comma 2 2 2 3 4 4 2" xfId="9256" xr:uid="{93A4A17E-B949-470A-9A60-69F2C75E10E2}"/>
    <cellStyle name="Comma 2 2 2 3 4 5" xfId="6607" xr:uid="{D447DC73-9F5B-4CB5-9D3F-144618755BE3}"/>
    <cellStyle name="Comma 2 2 2 3 5" xfId="1426" xr:uid="{E3ED6EC1-F861-4756-9CC5-2E7A23789DF6}"/>
    <cellStyle name="Comma 2 2 2 3 5 2" xfId="1954" xr:uid="{37A197A5-B729-4F6E-B583-FA20118DA0B6}"/>
    <cellStyle name="Comma 2 2 2 3 5 2 2" xfId="3294" xr:uid="{6D623CF0-86DD-499A-AA26-89566E3B39B5}"/>
    <cellStyle name="Comma 2 2 2 3 5 2 2 2" xfId="5943" xr:uid="{1D297739-A3C4-499D-9390-69DAFD7249CF}"/>
    <cellStyle name="Comma 2 2 2 3 5 2 2 2 2" xfId="11240" xr:uid="{6721E735-3C70-43A0-A029-CF67A7C71910}"/>
    <cellStyle name="Comma 2 2 2 3 5 2 2 3" xfId="8591" xr:uid="{5D5D6D54-BCEF-4B21-AE9A-9B6E62C1B747}"/>
    <cellStyle name="Comma 2 2 2 3 5 2 3" xfId="4619" xr:uid="{FC972419-D404-4AE1-B926-884B9CD4F0A6}"/>
    <cellStyle name="Comma 2 2 2 3 5 2 3 2" xfId="9916" xr:uid="{C4EDD393-2FB9-4149-B34A-9BDA81F6EA22}"/>
    <cellStyle name="Comma 2 2 2 3 5 2 4" xfId="7267" xr:uid="{03ACEC34-F005-43FE-8FEE-EE6E2D643E1F}"/>
    <cellStyle name="Comma 2 2 2 3 5 3" xfId="2766" xr:uid="{65B18D31-685E-444C-AD48-217C97080742}"/>
    <cellStyle name="Comma 2 2 2 3 5 3 2" xfId="5415" xr:uid="{808F3C1D-AD14-4F9B-B99F-3E8DC2334168}"/>
    <cellStyle name="Comma 2 2 2 3 5 3 2 2" xfId="10712" xr:uid="{1442A6A4-6565-4EE4-83F0-D667C4ABB7B1}"/>
    <cellStyle name="Comma 2 2 2 3 5 3 3" xfId="8063" xr:uid="{12E12F3F-C5DB-47B1-A8B4-0F86578DCEB4}"/>
    <cellStyle name="Comma 2 2 2 3 5 4" xfId="4091" xr:uid="{F29E54EE-F04B-4FD0-B387-42C2C3BA53FE}"/>
    <cellStyle name="Comma 2 2 2 3 5 4 2" xfId="9388" xr:uid="{0AACC234-09CA-4138-9C52-A999DF7AD207}"/>
    <cellStyle name="Comma 2 2 2 3 5 5" xfId="6739" xr:uid="{D6A4F2D4-6511-4FAB-AA07-2283104DCA88}"/>
    <cellStyle name="Comma 2 2 2 3 6" xfId="2242" xr:uid="{E9A2D7A0-ABC6-4B40-84F2-774E5C9B5ACE}"/>
    <cellStyle name="Comma 2 2 2 3 6 2" xfId="4891" xr:uid="{603F5131-676E-44F4-B780-84876F5FF271}"/>
    <cellStyle name="Comma 2 2 2 3 6 2 2" xfId="10188" xr:uid="{446FA539-EAEC-422B-B2DA-7B517F7F5CBD}"/>
    <cellStyle name="Comma 2 2 2 3 6 3" xfId="7539" xr:uid="{08D5A28F-3EFC-4CC1-B186-09130AFA2D50}"/>
    <cellStyle name="Comma 2 2 2 3 7" xfId="3567" xr:uid="{68C83408-F9B5-47D0-806C-1C14668354CE}"/>
    <cellStyle name="Comma 2 2 2 3 7 2" xfId="8864" xr:uid="{DC3E0DFD-F438-447E-8B46-BB6101FBD3B2}"/>
    <cellStyle name="Comma 2 2 2 3 8" xfId="6215" xr:uid="{767079AE-CF14-4575-8DE2-69292097FDCC}"/>
    <cellStyle name="Comma 2 2 2 4" xfId="917" xr:uid="{D43923C6-6428-49CC-87E4-7B56AEE137E6}"/>
    <cellStyle name="Comma 2 2 2 4 2" xfId="1206" xr:uid="{59AECC84-EA70-45C6-9CD4-3AA5A748C85D}"/>
    <cellStyle name="Comma 2 2 2 4 2 2" xfId="1734" xr:uid="{1F2F61FA-6B6E-42AB-B424-72A1661C86ED}"/>
    <cellStyle name="Comma 2 2 2 4 2 2 2" xfId="3074" xr:uid="{46E69A06-F090-4130-AC84-7C8DD9FE6919}"/>
    <cellStyle name="Comma 2 2 2 4 2 2 2 2" xfId="5723" xr:uid="{3F12EF0F-183D-4814-A825-CA8E877C203F}"/>
    <cellStyle name="Comma 2 2 2 4 2 2 2 2 2" xfId="11020" xr:uid="{C836A775-156D-48F6-ABD2-F976F8604C52}"/>
    <cellStyle name="Comma 2 2 2 4 2 2 2 3" xfId="8371" xr:uid="{8134DD65-935A-4505-91C9-48FA95B83EC3}"/>
    <cellStyle name="Comma 2 2 2 4 2 2 3" xfId="4399" xr:uid="{1766952B-0242-4C83-9DC2-7AD86E000C96}"/>
    <cellStyle name="Comma 2 2 2 4 2 2 3 2" xfId="9696" xr:uid="{850399BC-4B58-4360-8D6C-9044CFEE4E7A}"/>
    <cellStyle name="Comma 2 2 2 4 2 2 4" xfId="7047" xr:uid="{32493361-A71E-458B-A3B0-F56F1FB1E3A5}"/>
    <cellStyle name="Comma 2 2 2 4 2 3" xfId="2546" xr:uid="{D2A363CD-293E-46B0-8B71-80F672126B0E}"/>
    <cellStyle name="Comma 2 2 2 4 2 3 2" xfId="5195" xr:uid="{23B6393E-83C0-461C-AC4F-8EE710C6EF5F}"/>
    <cellStyle name="Comma 2 2 2 4 2 3 2 2" xfId="10492" xr:uid="{F539E2A1-80E5-4CD4-85E6-08670B9EE30F}"/>
    <cellStyle name="Comma 2 2 2 4 2 3 3" xfId="7843" xr:uid="{2F5EC30C-90FF-4A28-AA59-53C2DDB94392}"/>
    <cellStyle name="Comma 2 2 2 4 2 4" xfId="3871" xr:uid="{39721D41-7740-4689-82E4-38D6717AAF3D}"/>
    <cellStyle name="Comma 2 2 2 4 2 4 2" xfId="9168" xr:uid="{4CDDA5D0-C29A-4FDC-A585-E13708783F38}"/>
    <cellStyle name="Comma 2 2 2 4 2 5" xfId="6519" xr:uid="{0ECF1D43-45AC-475E-B10D-43C5AA9D0D8A}"/>
    <cellStyle name="Comma 2 2 2 4 3" xfId="1063" xr:uid="{B3E14541-2974-4C78-A484-56813D0C2838}"/>
    <cellStyle name="Comma 2 2 2 4 3 2" xfId="1602" xr:uid="{5734C3A9-6673-4F9C-A9A4-4840311A9B29}"/>
    <cellStyle name="Comma 2 2 2 4 3 2 2" xfId="2942" xr:uid="{AEFB5765-8D04-43C6-9110-46B0EF30681B}"/>
    <cellStyle name="Comma 2 2 2 4 3 2 2 2" xfId="5591" xr:uid="{9FB642FB-3BA4-4ADC-AE0C-2F9F94684EC6}"/>
    <cellStyle name="Comma 2 2 2 4 3 2 2 2 2" xfId="10888" xr:uid="{AA656DCC-73EE-4B14-A66B-433BBB10D010}"/>
    <cellStyle name="Comma 2 2 2 4 3 2 2 3" xfId="8239" xr:uid="{4241EB9F-9E1A-44A3-BD66-86DF2311DDC1}"/>
    <cellStyle name="Comma 2 2 2 4 3 2 3" xfId="4267" xr:uid="{7E66DB8F-FF82-4E3A-AF96-0055347C4F4B}"/>
    <cellStyle name="Comma 2 2 2 4 3 2 3 2" xfId="9564" xr:uid="{2594C335-1E5F-4679-B2E0-E9DA725171A1}"/>
    <cellStyle name="Comma 2 2 2 4 3 2 4" xfId="6915" xr:uid="{1AEC8657-3818-4573-B560-61C2D8142F91}"/>
    <cellStyle name="Comma 2 2 2 4 3 3" xfId="2414" xr:uid="{72DDDA73-BE0D-4077-A6B6-9C9EB75024F7}"/>
    <cellStyle name="Comma 2 2 2 4 3 3 2" xfId="5063" xr:uid="{6D84E265-F562-44E4-8864-657E8148A82E}"/>
    <cellStyle name="Comma 2 2 2 4 3 3 2 2" xfId="10360" xr:uid="{A53463C0-3E3D-4554-8D08-5C3DA51AE2F9}"/>
    <cellStyle name="Comma 2 2 2 4 3 3 3" xfId="7711" xr:uid="{C0C40F54-8755-442B-8E41-8BFC9DB2987C}"/>
    <cellStyle name="Comma 2 2 2 4 3 4" xfId="3739" xr:uid="{69A025AC-4B56-4644-8BED-7B7D0120698D}"/>
    <cellStyle name="Comma 2 2 2 4 3 4 2" xfId="9036" xr:uid="{AABBF755-5F03-472C-B638-A638B7D57327}"/>
    <cellStyle name="Comma 2 2 2 4 3 5" xfId="6387" xr:uid="{CD62A0CE-6B09-4254-9B38-FC65C9FAF71E}"/>
    <cellStyle name="Comma 2 2 2 4 4" xfId="1338" xr:uid="{49D75C05-2C28-40D8-B197-D6FF61926206}"/>
    <cellStyle name="Comma 2 2 2 4 4 2" xfId="1866" xr:uid="{95CC4B88-B6B2-45BA-869C-110C53D2675B}"/>
    <cellStyle name="Comma 2 2 2 4 4 2 2" xfId="3206" xr:uid="{0CDAF9D5-517E-47B4-BB6D-FDC56153250F}"/>
    <cellStyle name="Comma 2 2 2 4 4 2 2 2" xfId="5855" xr:uid="{C7AFC78D-313C-4089-A389-6053F3F1531F}"/>
    <cellStyle name="Comma 2 2 2 4 4 2 2 2 2" xfId="11152" xr:uid="{F92C94F0-46C8-4239-A1AE-3B8084A04346}"/>
    <cellStyle name="Comma 2 2 2 4 4 2 2 3" xfId="8503" xr:uid="{57CDF5BD-2BDF-4E50-8A1F-90ECDF1F9C88}"/>
    <cellStyle name="Comma 2 2 2 4 4 2 3" xfId="4531" xr:uid="{F1571426-2529-43A6-A376-33DA7C7E66F1}"/>
    <cellStyle name="Comma 2 2 2 4 4 2 3 2" xfId="9828" xr:uid="{6E17A62C-28E4-44F4-8C26-4EB317DFC188}"/>
    <cellStyle name="Comma 2 2 2 4 4 2 4" xfId="7179" xr:uid="{113ED4A0-86F2-4291-85AB-3A788966E0D2}"/>
    <cellStyle name="Comma 2 2 2 4 4 3" xfId="2678" xr:uid="{1ED67DE5-A0FA-4481-803D-EDEB9650FAB8}"/>
    <cellStyle name="Comma 2 2 2 4 4 3 2" xfId="5327" xr:uid="{4F2D4FE8-3E23-4BE1-902E-F87AA2812055}"/>
    <cellStyle name="Comma 2 2 2 4 4 3 2 2" xfId="10624" xr:uid="{17D79DBB-E130-4306-9008-4A1D24A6F5A9}"/>
    <cellStyle name="Comma 2 2 2 4 4 3 3" xfId="7975" xr:uid="{B00A7468-A779-438C-B587-359FA3542E11}"/>
    <cellStyle name="Comma 2 2 2 4 4 4" xfId="4003" xr:uid="{87005574-EA64-439D-BF24-4295485C666F}"/>
    <cellStyle name="Comma 2 2 2 4 4 4 2" xfId="9300" xr:uid="{95415061-3752-4E73-A1B9-0FFAD2E1A11A}"/>
    <cellStyle name="Comma 2 2 2 4 4 5" xfId="6651" xr:uid="{22032613-F77B-4C88-8A62-6C5E57C00D7A}"/>
    <cellStyle name="Comma 2 2 2 4 5" xfId="1470" xr:uid="{1823CB3F-6153-40EE-B23C-4FC957AE8096}"/>
    <cellStyle name="Comma 2 2 2 4 5 2" xfId="1998" xr:uid="{BF4F5897-3B92-40D7-A78C-F7C768C0BD13}"/>
    <cellStyle name="Comma 2 2 2 4 5 2 2" xfId="3338" xr:uid="{FC84EF6B-6614-4354-AD94-E63A0B824AB1}"/>
    <cellStyle name="Comma 2 2 2 4 5 2 2 2" xfId="5987" xr:uid="{046E5CAF-A84B-41E5-AFB2-C03C85A14B65}"/>
    <cellStyle name="Comma 2 2 2 4 5 2 2 2 2" xfId="11284" xr:uid="{2E2527D2-8AEB-4399-9C96-0F68F39FC2C8}"/>
    <cellStyle name="Comma 2 2 2 4 5 2 2 3" xfId="8635" xr:uid="{8D6EBADF-0022-4D4A-81E1-A82BE68EACFE}"/>
    <cellStyle name="Comma 2 2 2 4 5 2 3" xfId="4663" xr:uid="{C55B519F-7003-40EB-B3F7-63EE036DC78A}"/>
    <cellStyle name="Comma 2 2 2 4 5 2 3 2" xfId="9960" xr:uid="{999930D4-CF75-47E6-85B7-3D4069EA51DA}"/>
    <cellStyle name="Comma 2 2 2 4 5 2 4" xfId="7311" xr:uid="{900CEAEF-61C5-47C7-9673-F9F54ADCCF34}"/>
    <cellStyle name="Comma 2 2 2 4 5 3" xfId="2810" xr:uid="{0E8EB17A-93E7-46F7-9DF4-27C3FECA7A29}"/>
    <cellStyle name="Comma 2 2 2 4 5 3 2" xfId="5459" xr:uid="{628A1079-C796-461A-B4BD-4C70552C16BB}"/>
    <cellStyle name="Comma 2 2 2 4 5 3 2 2" xfId="10756" xr:uid="{028B4912-36CD-43DC-83E9-DF52E9CF3889}"/>
    <cellStyle name="Comma 2 2 2 4 5 3 3" xfId="8107" xr:uid="{F97EDC89-FF7A-4514-9B0D-806A7C897877}"/>
    <cellStyle name="Comma 2 2 2 4 5 4" xfId="4135" xr:uid="{7CD94FFD-676F-41FD-A78F-C0783DD7F2ED}"/>
    <cellStyle name="Comma 2 2 2 4 5 4 2" xfId="9432" xr:uid="{233AD617-32C8-493A-8C2C-FFAA2B1046D4}"/>
    <cellStyle name="Comma 2 2 2 4 5 5" xfId="6783" xr:uid="{D2D283B0-5B7C-4EC1-BF13-59407751C325}"/>
    <cellStyle name="Comma 2 2 2 4 6" xfId="2284" xr:uid="{4A6FDBCE-6977-449A-9226-B525F078B6CD}"/>
    <cellStyle name="Comma 2 2 2 4 6 2" xfId="4933" xr:uid="{1A725D92-E442-41DC-93CB-6AC05B02F63E}"/>
    <cellStyle name="Comma 2 2 2 4 6 2 2" xfId="10230" xr:uid="{8CFCC3B8-8257-4644-B5C6-8B58DC936233}"/>
    <cellStyle name="Comma 2 2 2 4 6 3" xfId="7581" xr:uid="{A1100321-4D2D-433E-B204-56FD64047873}"/>
    <cellStyle name="Comma 2 2 2 4 7" xfId="3609" xr:uid="{DA99790A-BBA3-4C36-A28D-1267D8EFD6CA}"/>
    <cellStyle name="Comma 2 2 2 4 7 2" xfId="8906" xr:uid="{93DF38E0-4FFC-4DB3-BEC3-0755E03E4CAE}"/>
    <cellStyle name="Comma 2 2 2 4 8" xfId="6257" xr:uid="{A4646699-E694-4D1A-B3A6-D787D1151280}"/>
    <cellStyle name="Comma 2 2 2 5" xfId="713" xr:uid="{519F1358-0836-4DBB-BFDE-1274B5989783}"/>
    <cellStyle name="Comma 2 2 2 5 2" xfId="1134" xr:uid="{E819BAAD-9321-4563-BF48-5C07223C56B7}"/>
    <cellStyle name="Comma 2 2 2 5 2 2" xfId="1666" xr:uid="{A1AE234C-D7C1-47C6-936F-F7874C8F399C}"/>
    <cellStyle name="Comma 2 2 2 5 2 2 2" xfId="3006" xr:uid="{368DE809-B239-42EA-8D93-89B6D20D5780}"/>
    <cellStyle name="Comma 2 2 2 5 2 2 2 2" xfId="5655" xr:uid="{988CFF7B-E85B-4FF4-931C-1B27DBD1490B}"/>
    <cellStyle name="Comma 2 2 2 5 2 2 2 2 2" xfId="10952" xr:uid="{C8EBC712-D73A-4A3E-9350-BC4F3461DC89}"/>
    <cellStyle name="Comma 2 2 2 5 2 2 2 3" xfId="8303" xr:uid="{01043502-F10C-49A2-B723-A70611B4C6D8}"/>
    <cellStyle name="Comma 2 2 2 5 2 2 3" xfId="4331" xr:uid="{9835D76E-2389-4533-ACFF-A8C88F947C8C}"/>
    <cellStyle name="Comma 2 2 2 5 2 2 3 2" xfId="9628" xr:uid="{111F3018-5A74-40E1-AA68-DF8123549B0D}"/>
    <cellStyle name="Comma 2 2 2 5 2 2 4" xfId="6979" xr:uid="{903D4FE3-5BEC-4BFF-A1C2-AC7C324EE007}"/>
    <cellStyle name="Comma 2 2 2 5 2 3" xfId="2478" xr:uid="{C5B1EFC5-304A-4DC9-80C8-DC818C2C162F}"/>
    <cellStyle name="Comma 2 2 2 5 2 3 2" xfId="5127" xr:uid="{8C8C9D09-0FD3-44AE-8A7B-2520334C7408}"/>
    <cellStyle name="Comma 2 2 2 5 2 3 2 2" xfId="10424" xr:uid="{A8D8C79D-662D-488B-A391-50A16EE10DA6}"/>
    <cellStyle name="Comma 2 2 2 5 2 3 3" xfId="7775" xr:uid="{22DC3379-5729-4182-B014-70BB027EFD28}"/>
    <cellStyle name="Comma 2 2 2 5 2 4" xfId="3803" xr:uid="{F20E9579-51E2-403B-BF3F-A20BF157AA52}"/>
    <cellStyle name="Comma 2 2 2 5 2 4 2" xfId="9100" xr:uid="{B1DA1FBB-CA6C-4ED2-A332-EFF3B2310030}"/>
    <cellStyle name="Comma 2 2 2 5 2 5" xfId="6451" xr:uid="{D5E7B3CD-3D6A-44AB-AD7B-48390431C820}"/>
    <cellStyle name="Comma 2 2 2 5 3" xfId="990" xr:uid="{F0FD7656-7A89-4325-95FE-ADCD0EEBE901}"/>
    <cellStyle name="Comma 2 2 2 5 3 2" xfId="1534" xr:uid="{173FC7CF-056E-4F1A-B540-9BF0EA3FD720}"/>
    <cellStyle name="Comma 2 2 2 5 3 2 2" xfId="2874" xr:uid="{8F764005-614D-445A-A730-76A11E09C569}"/>
    <cellStyle name="Comma 2 2 2 5 3 2 2 2" xfId="5523" xr:uid="{9B3A463E-A873-4C1B-B41A-CD20559152F1}"/>
    <cellStyle name="Comma 2 2 2 5 3 2 2 2 2" xfId="10820" xr:uid="{4D332108-9062-467F-9380-BD9928F3574A}"/>
    <cellStyle name="Comma 2 2 2 5 3 2 2 3" xfId="8171" xr:uid="{047D791B-1AA9-4DA4-B879-442EBB0D3F3B}"/>
    <cellStyle name="Comma 2 2 2 5 3 2 3" xfId="4199" xr:uid="{6D98C624-B264-41BC-A109-659891D5FAD6}"/>
    <cellStyle name="Comma 2 2 2 5 3 2 3 2" xfId="9496" xr:uid="{3DCA0B48-BC3B-4A4C-AA74-2A353CDBE09D}"/>
    <cellStyle name="Comma 2 2 2 5 3 2 4" xfId="6847" xr:uid="{9BAA5D0F-852F-46FA-9FA0-85CEDC1F8ED2}"/>
    <cellStyle name="Comma 2 2 2 5 3 3" xfId="2346" xr:uid="{E68108FA-0CD4-457E-9FB6-67877F7F3D6D}"/>
    <cellStyle name="Comma 2 2 2 5 3 3 2" xfId="4995" xr:uid="{D5775E72-F952-4279-9A43-3375FBF0C754}"/>
    <cellStyle name="Comma 2 2 2 5 3 3 2 2" xfId="10292" xr:uid="{8129D686-8B61-4425-AE0B-98C56D82A74C}"/>
    <cellStyle name="Comma 2 2 2 5 3 3 3" xfId="7643" xr:uid="{2A953448-8780-4701-9F0F-99FDC7BE952F}"/>
    <cellStyle name="Comma 2 2 2 5 3 4" xfId="3671" xr:uid="{7B929F34-0A53-4430-A6E2-DD6938956F3A}"/>
    <cellStyle name="Comma 2 2 2 5 3 4 2" xfId="8968" xr:uid="{EBA498F5-19C0-4184-84F0-D8E31009A9F2}"/>
    <cellStyle name="Comma 2 2 2 5 3 5" xfId="6319" xr:uid="{F6E02983-C20E-4316-AE92-6476AA5AC2CA}"/>
    <cellStyle name="Comma 2 2 2 5 4" xfId="1270" xr:uid="{0D2D25C3-5A8B-4164-8FA5-1F17FB1772A9}"/>
    <cellStyle name="Comma 2 2 2 5 4 2" xfId="1798" xr:uid="{4D341724-4939-4A16-8C46-44DA4C8B0884}"/>
    <cellStyle name="Comma 2 2 2 5 4 2 2" xfId="3138" xr:uid="{96F22B53-A1A9-40EB-BD59-C366BF3487FD}"/>
    <cellStyle name="Comma 2 2 2 5 4 2 2 2" xfId="5787" xr:uid="{47DF3B27-3215-4F17-90D3-FA52B8A48BA9}"/>
    <cellStyle name="Comma 2 2 2 5 4 2 2 2 2" xfId="11084" xr:uid="{0F4F84CB-6483-4954-89C3-8AA7FFC9C5A3}"/>
    <cellStyle name="Comma 2 2 2 5 4 2 2 3" xfId="8435" xr:uid="{DD05025D-84C1-4D88-AF80-E2E2114644AA}"/>
    <cellStyle name="Comma 2 2 2 5 4 2 3" xfId="4463" xr:uid="{947E1524-18F7-44A5-856E-926C98115460}"/>
    <cellStyle name="Comma 2 2 2 5 4 2 3 2" xfId="9760" xr:uid="{86CABA48-EDAD-4990-9AE7-80E2F8122133}"/>
    <cellStyle name="Comma 2 2 2 5 4 2 4" xfId="7111" xr:uid="{4F38B613-3EC2-4FD5-8247-82D8E96EF30B}"/>
    <cellStyle name="Comma 2 2 2 5 4 3" xfId="2610" xr:uid="{1819C4FC-8310-4C01-B7EF-CF3292461652}"/>
    <cellStyle name="Comma 2 2 2 5 4 3 2" xfId="5259" xr:uid="{E3D20563-1618-4BC0-B36D-6E6CA65E68C9}"/>
    <cellStyle name="Comma 2 2 2 5 4 3 2 2" xfId="10556" xr:uid="{FF31D01A-CAD2-4776-93CA-21F161D0CAF0}"/>
    <cellStyle name="Comma 2 2 2 5 4 3 3" xfId="7907" xr:uid="{9EE76E3E-855A-4C3D-A012-DCE36AEE325F}"/>
    <cellStyle name="Comma 2 2 2 5 4 4" xfId="3935" xr:uid="{6031D768-C3B8-4217-ABA7-96FD5EFCA9AF}"/>
    <cellStyle name="Comma 2 2 2 5 4 4 2" xfId="9232" xr:uid="{AD0D7E91-80A4-4D43-865F-3C6775CF0E49}"/>
    <cellStyle name="Comma 2 2 2 5 4 5" xfId="6583" xr:uid="{3511DF2F-5592-41A0-B65B-7B47202192F5}"/>
    <cellStyle name="Comma 2 2 2 5 5" xfId="1402" xr:uid="{0362A333-E129-48F3-B8D1-1DDD07896AAB}"/>
    <cellStyle name="Comma 2 2 2 5 5 2" xfId="1930" xr:uid="{76F5209F-32F1-4EDD-8578-B97EF830E6EF}"/>
    <cellStyle name="Comma 2 2 2 5 5 2 2" xfId="3270" xr:uid="{F3EC0C24-A3E6-4DEC-BEAB-8BE591114F05}"/>
    <cellStyle name="Comma 2 2 2 5 5 2 2 2" xfId="5919" xr:uid="{0319EFE0-AD61-4B67-8BA9-439DACA31799}"/>
    <cellStyle name="Comma 2 2 2 5 5 2 2 2 2" xfId="11216" xr:uid="{C3DAD422-8728-4A6F-88CC-515446F04980}"/>
    <cellStyle name="Comma 2 2 2 5 5 2 2 3" xfId="8567" xr:uid="{8666A054-B912-4A27-8C0E-E53EB088E063}"/>
    <cellStyle name="Comma 2 2 2 5 5 2 3" xfId="4595" xr:uid="{284BE756-8BB4-4B7F-9ED9-1032782E93E2}"/>
    <cellStyle name="Comma 2 2 2 5 5 2 3 2" xfId="9892" xr:uid="{684913E0-0CBD-42E7-9B70-5EB5C244FD64}"/>
    <cellStyle name="Comma 2 2 2 5 5 2 4" xfId="7243" xr:uid="{B46B7D61-824C-4A03-9F10-A7D0E1B58D3C}"/>
    <cellStyle name="Comma 2 2 2 5 5 3" xfId="2742" xr:uid="{CE14D9D1-43AE-4225-B21E-D500C43D9B3D}"/>
    <cellStyle name="Comma 2 2 2 5 5 3 2" xfId="5391" xr:uid="{21FF5CFD-E914-42B7-B88A-5FE89C760E66}"/>
    <cellStyle name="Comma 2 2 2 5 5 3 2 2" xfId="10688" xr:uid="{1CFAEF55-B007-4555-8ED8-30EB938A548C}"/>
    <cellStyle name="Comma 2 2 2 5 5 3 3" xfId="8039" xr:uid="{7AF070E7-34EB-4C3B-9C01-02AEDE30C64E}"/>
    <cellStyle name="Comma 2 2 2 5 5 4" xfId="4067" xr:uid="{8E46C59D-6442-4847-A867-38A3F3A56457}"/>
    <cellStyle name="Comma 2 2 2 5 5 4 2" xfId="9364" xr:uid="{A3D7F782-B422-4B9E-BA72-B13722FB9D34}"/>
    <cellStyle name="Comma 2 2 2 5 5 5" xfId="6715" xr:uid="{9C56A574-58E5-4727-B6A3-A47F8E57E413}"/>
    <cellStyle name="Comma 2 2 2 5 6" xfId="2218" xr:uid="{E5B401AD-101B-4FF9-9029-EE16FF888797}"/>
    <cellStyle name="Comma 2 2 2 5 6 2" xfId="4867" xr:uid="{05104490-F5CD-4B7F-A750-D77265252AB0}"/>
    <cellStyle name="Comma 2 2 2 5 6 2 2" xfId="10164" xr:uid="{CDACCCC1-7C44-4785-907F-FA0FDEA2ECF0}"/>
    <cellStyle name="Comma 2 2 2 5 6 3" xfId="7515" xr:uid="{4582C30A-192B-45A5-97EB-15A9E8205236}"/>
    <cellStyle name="Comma 2 2 2 5 7" xfId="3543" xr:uid="{43A377F6-F331-4630-B6B7-86C1CCA3DD57}"/>
    <cellStyle name="Comma 2 2 2 5 7 2" xfId="8840" xr:uid="{5CD46FD2-6081-46D4-B963-32CAA632EEAE}"/>
    <cellStyle name="Comma 2 2 2 5 8" xfId="6191" xr:uid="{5ED5A19E-3E70-4B78-8E19-6CCB3AF30EDA}"/>
    <cellStyle name="Comma 2 2 2 6" xfId="1114" xr:uid="{F8DA2F66-CDA2-4B32-B87C-F08C1FEC1E81}"/>
    <cellStyle name="Comma 2 2 2 6 2" xfId="1648" xr:uid="{D6AF639E-BEB7-4D9B-BE47-1CE93089350A}"/>
    <cellStyle name="Comma 2 2 2 6 2 2" xfId="2988" xr:uid="{738E6919-582C-45F1-9B15-03E00A96896D}"/>
    <cellStyle name="Comma 2 2 2 6 2 2 2" xfId="5637" xr:uid="{DC816141-90B2-47E3-B9C3-8D510F3D4B1B}"/>
    <cellStyle name="Comma 2 2 2 6 2 2 2 2" xfId="10934" xr:uid="{13934E0F-D9C9-445F-9F57-639396995CCC}"/>
    <cellStyle name="Comma 2 2 2 6 2 2 3" xfId="8285" xr:uid="{8114CC45-90E7-4F55-A3CC-9890D71B4149}"/>
    <cellStyle name="Comma 2 2 2 6 2 3" xfId="4313" xr:uid="{76EC9844-29DD-4487-A904-7127CBB1B386}"/>
    <cellStyle name="Comma 2 2 2 6 2 3 2" xfId="9610" xr:uid="{AACF4359-9F85-4857-8F41-B0726C7D8E03}"/>
    <cellStyle name="Comma 2 2 2 6 2 4" xfId="6961" xr:uid="{50D72ABF-0302-487D-94D5-7CD701A599E5}"/>
    <cellStyle name="Comma 2 2 2 6 3" xfId="2460" xr:uid="{8515DD48-804F-4B46-8EBF-937C37E83379}"/>
    <cellStyle name="Comma 2 2 2 6 3 2" xfId="5109" xr:uid="{7E19E058-044B-413E-B9FB-1BC3CE452A10}"/>
    <cellStyle name="Comma 2 2 2 6 3 2 2" xfId="10406" xr:uid="{7546D928-F26B-4E24-9BE7-5180059D13E3}"/>
    <cellStyle name="Comma 2 2 2 6 3 3" xfId="7757" xr:uid="{F2C86ECF-D6D2-48E2-84BD-968A1583AFDE}"/>
    <cellStyle name="Comma 2 2 2 6 4" xfId="3785" xr:uid="{33A1A3F8-4F2E-42E7-B317-D97866EB36BF}"/>
    <cellStyle name="Comma 2 2 2 6 4 2" xfId="9082" xr:uid="{4D18B5A9-E6EE-438E-A8C8-1CD6F9D0C524}"/>
    <cellStyle name="Comma 2 2 2 6 5" xfId="6433" xr:uid="{2C91AD0E-6E32-4EB1-9413-F589406A6A78}"/>
    <cellStyle name="Comma 2 2 2 7" xfId="968" xr:uid="{CB6FDA76-5653-47FB-8C95-E0D39F3C8129}"/>
    <cellStyle name="Comma 2 2 2 7 2" xfId="1516" xr:uid="{152C1FFA-0611-410E-BD4A-07903274E156}"/>
    <cellStyle name="Comma 2 2 2 7 2 2" xfId="2856" xr:uid="{44031416-1B6A-4EF0-B629-A15DF6F068A4}"/>
    <cellStyle name="Comma 2 2 2 7 2 2 2" xfId="5505" xr:uid="{B492CF46-2D89-46DE-9D96-9511496AB17E}"/>
    <cellStyle name="Comma 2 2 2 7 2 2 2 2" xfId="10802" xr:uid="{5281A68C-91A5-4D66-ACF9-9EF1F920B345}"/>
    <cellStyle name="Comma 2 2 2 7 2 2 3" xfId="8153" xr:uid="{49F5CF79-4E90-4B8F-958E-C8151D1CE2CE}"/>
    <cellStyle name="Comma 2 2 2 7 2 3" xfId="4181" xr:uid="{A4F3EDD9-BE8F-4D91-850C-14396BC6F156}"/>
    <cellStyle name="Comma 2 2 2 7 2 3 2" xfId="9478" xr:uid="{E0F5D03E-623B-48C9-8E21-003819AE91F0}"/>
    <cellStyle name="Comma 2 2 2 7 2 4" xfId="6829" xr:uid="{BD334C6D-9855-4F31-8266-F3DFBECF65B6}"/>
    <cellStyle name="Comma 2 2 2 7 3" xfId="2328" xr:uid="{974075D7-0D2D-4C82-85D6-8C5FC17E1165}"/>
    <cellStyle name="Comma 2 2 2 7 3 2" xfId="4977" xr:uid="{20822A17-26A5-4CA0-8FE4-2CE4723DC4C3}"/>
    <cellStyle name="Comma 2 2 2 7 3 2 2" xfId="10274" xr:uid="{A782D2E6-9B3B-4DCD-B3EA-70FFCC17AA85}"/>
    <cellStyle name="Comma 2 2 2 7 3 3" xfId="7625" xr:uid="{ABF8F6B7-A6F4-405B-A1CD-C842AA4C67C0}"/>
    <cellStyle name="Comma 2 2 2 7 4" xfId="3653" xr:uid="{3BA3F662-B2BB-49FD-839A-C015DDFF3675}"/>
    <cellStyle name="Comma 2 2 2 7 4 2" xfId="8950" xr:uid="{CD1E8B1A-1A33-4629-92F4-924F9E5671FC}"/>
    <cellStyle name="Comma 2 2 2 7 5" xfId="6301" xr:uid="{B380CC4E-FBFE-4F20-8ECD-72A81BA0BCEB}"/>
    <cellStyle name="Comma 2 2 2 8" xfId="1252" xr:uid="{7C932280-153D-4053-BADA-4241FE88745B}"/>
    <cellStyle name="Comma 2 2 2 8 2" xfId="1780" xr:uid="{7B9810F7-DB74-4191-B8CF-C9EB39FD969F}"/>
    <cellStyle name="Comma 2 2 2 8 2 2" xfId="3120" xr:uid="{836D188A-6EF3-4040-85FC-4B776EEE379B}"/>
    <cellStyle name="Comma 2 2 2 8 2 2 2" xfId="5769" xr:uid="{12571C6C-650C-413D-937F-3A22FE94148D}"/>
    <cellStyle name="Comma 2 2 2 8 2 2 2 2" xfId="11066" xr:uid="{665C56D0-1229-423A-966B-A19F731A1115}"/>
    <cellStyle name="Comma 2 2 2 8 2 2 3" xfId="8417" xr:uid="{91A5DEB1-3659-4D4A-8492-3EB864B34B66}"/>
    <cellStyle name="Comma 2 2 2 8 2 3" xfId="4445" xr:uid="{6AC9DA3C-0597-45C4-8996-35AACCE5A311}"/>
    <cellStyle name="Comma 2 2 2 8 2 3 2" xfId="9742" xr:uid="{7D96330B-A4A7-46B4-82B6-22F97D2CA6B7}"/>
    <cellStyle name="Comma 2 2 2 8 2 4" xfId="7093" xr:uid="{E710EEAE-6F25-4C15-A0CE-4E43D06F6113}"/>
    <cellStyle name="Comma 2 2 2 8 3" xfId="2592" xr:uid="{F2B400EE-CFDE-4453-A059-760A96BC977A}"/>
    <cellStyle name="Comma 2 2 2 8 3 2" xfId="5241" xr:uid="{A78CDD10-1B51-4B18-8996-CF71F34BEF41}"/>
    <cellStyle name="Comma 2 2 2 8 3 2 2" xfId="10538" xr:uid="{BEB18B33-82FD-4207-B0C4-5A3D798BA942}"/>
    <cellStyle name="Comma 2 2 2 8 3 3" xfId="7889" xr:uid="{3C4DDF3E-B57B-4079-8F89-EB39E1785BF6}"/>
    <cellStyle name="Comma 2 2 2 8 4" xfId="3917" xr:uid="{43138854-829D-4727-8293-8CDB2FA19C6E}"/>
    <cellStyle name="Comma 2 2 2 8 4 2" xfId="9214" xr:uid="{79345B81-A1C3-432F-9D60-A40D217637DB}"/>
    <cellStyle name="Comma 2 2 2 8 5" xfId="6565" xr:uid="{D51AF39D-9981-4B4C-8FDE-A35C2F89FA4C}"/>
    <cellStyle name="Comma 2 2 2 9" xfId="1384" xr:uid="{A120C53E-A01F-4F80-8D94-FA2E4C3D29DB}"/>
    <cellStyle name="Comma 2 2 2 9 2" xfId="1912" xr:uid="{B31E59F9-9428-4F18-A8E1-8CD8AAFFAC87}"/>
    <cellStyle name="Comma 2 2 2 9 2 2" xfId="3252" xr:uid="{BA6103B2-FD88-458C-9D70-F2052D50EB48}"/>
    <cellStyle name="Comma 2 2 2 9 2 2 2" xfId="5901" xr:uid="{5262AA48-1B91-4724-8275-50B9FACD3857}"/>
    <cellStyle name="Comma 2 2 2 9 2 2 2 2" xfId="11198" xr:uid="{D7200389-EFE3-4CF5-9B30-C9E26E120B60}"/>
    <cellStyle name="Comma 2 2 2 9 2 2 3" xfId="8549" xr:uid="{E9AB35E3-E58F-4BC7-A5E6-95B3D52ABD61}"/>
    <cellStyle name="Comma 2 2 2 9 2 3" xfId="4577" xr:uid="{78E54746-1B6F-4EED-9E40-79C5E1B05EA2}"/>
    <cellStyle name="Comma 2 2 2 9 2 3 2" xfId="9874" xr:uid="{F39A9134-C544-45B2-86A0-F0BD6AA51D84}"/>
    <cellStyle name="Comma 2 2 2 9 2 4" xfId="7225" xr:uid="{5AEF355F-5762-4788-A67A-A6F8EEB285F8}"/>
    <cellStyle name="Comma 2 2 2 9 3" xfId="2724" xr:uid="{1D14FDE3-BC64-496A-9FB7-62F7F11BB0A6}"/>
    <cellStyle name="Comma 2 2 2 9 3 2" xfId="5373" xr:uid="{BD5FCCE1-DE39-4650-9FA5-41BB80DE7DF5}"/>
    <cellStyle name="Comma 2 2 2 9 3 2 2" xfId="10670" xr:uid="{CBCB77BC-1921-48BF-9B8A-1A2502E7D3D0}"/>
    <cellStyle name="Comma 2 2 2 9 3 3" xfId="8021" xr:uid="{059B4AAB-73F7-4501-84EA-09837417E518}"/>
    <cellStyle name="Comma 2 2 2 9 4" xfId="4049" xr:uid="{C97E8F00-A8FC-4D91-8F18-D65B28196DA7}"/>
    <cellStyle name="Comma 2 2 2 9 4 2" xfId="9346" xr:uid="{1844DB68-F790-4880-9BBD-AFC25E8CBF98}"/>
    <cellStyle name="Comma 2 2 2 9 5" xfId="6697" xr:uid="{00D8B263-F066-4B0C-B141-24AABF777B7F}"/>
    <cellStyle name="Comma 2 2 3" xfId="112" xr:uid="{AF0A9E51-F4CC-4739-A55F-95A96420EF06}"/>
    <cellStyle name="Comma 2 2 3 10" xfId="6046" xr:uid="{EA58B931-3B35-43E0-8700-F4F117E1FB35}"/>
    <cellStyle name="Comma 2 2 3 2" xfId="344" xr:uid="{258E575E-2E36-44B5-B57E-771D29FD9B18}"/>
    <cellStyle name="Comma 2 2 3 2 2" xfId="1174" xr:uid="{91A230B8-3250-49F6-B722-7B8DB70CF903}"/>
    <cellStyle name="Comma 2 2 3 2 2 2" xfId="1706" xr:uid="{31005B34-253B-4A04-81B6-69F18807612C}"/>
    <cellStyle name="Comma 2 2 3 2 2 2 2" xfId="3046" xr:uid="{374D1610-F1D9-4623-B670-9AD0C081FDE8}"/>
    <cellStyle name="Comma 2 2 3 2 2 2 2 2" xfId="5695" xr:uid="{8063085C-4151-4E8F-94E3-96033BC4B068}"/>
    <cellStyle name="Comma 2 2 3 2 2 2 2 2 2" xfId="10992" xr:uid="{BA8A6907-A5AB-4901-805A-21768063CD00}"/>
    <cellStyle name="Comma 2 2 3 2 2 2 2 3" xfId="8343" xr:uid="{C309C320-917E-48BC-BA61-09617664C93E}"/>
    <cellStyle name="Comma 2 2 3 2 2 2 3" xfId="4371" xr:uid="{E5FC3127-F26F-43EA-95CC-24DEEDC8B9E6}"/>
    <cellStyle name="Comma 2 2 3 2 2 2 3 2" xfId="9668" xr:uid="{F12DFA28-46E5-402A-BE6C-B6108C1539EB}"/>
    <cellStyle name="Comma 2 2 3 2 2 2 4" xfId="7019" xr:uid="{20251AE7-530A-4110-99E1-F031FAC50751}"/>
    <cellStyle name="Comma 2 2 3 2 2 3" xfId="2518" xr:uid="{C21764AD-392E-45CE-9880-8ECF3A099C00}"/>
    <cellStyle name="Comma 2 2 3 2 2 3 2" xfId="5167" xr:uid="{B52AB7C0-CD1E-4E3F-B8FD-28D93F064D9A}"/>
    <cellStyle name="Comma 2 2 3 2 2 3 2 2" xfId="10464" xr:uid="{4E408222-0FE0-4FAC-BAB7-262B059FC845}"/>
    <cellStyle name="Comma 2 2 3 2 2 3 3" xfId="7815" xr:uid="{42955E88-785F-41C3-9FDA-BB013814D7FC}"/>
    <cellStyle name="Comma 2 2 3 2 2 4" xfId="3843" xr:uid="{637CF296-D534-45C8-BA11-DD103525B6EE}"/>
    <cellStyle name="Comma 2 2 3 2 2 4 2" xfId="9140" xr:uid="{8C34D7F8-E4C1-400B-9C30-BE0F4A937D40}"/>
    <cellStyle name="Comma 2 2 3 2 2 5" xfId="6491" xr:uid="{7AF19267-55DC-4E41-BA3D-AFDCBDDCC5E4}"/>
    <cellStyle name="Comma 2 2 3 2 3" xfId="1030" xr:uid="{2F512479-5001-436D-A70E-DA5328619AE5}"/>
    <cellStyle name="Comma 2 2 3 2 3 2" xfId="1574" xr:uid="{AB25AD13-3FDC-4907-96F5-C179D2F27345}"/>
    <cellStyle name="Comma 2 2 3 2 3 2 2" xfId="2914" xr:uid="{5988289C-8FBF-4971-A022-93B071F0BD02}"/>
    <cellStyle name="Comma 2 2 3 2 3 2 2 2" xfId="5563" xr:uid="{50B78106-7ECE-46E1-AE87-777DD2CBBEFA}"/>
    <cellStyle name="Comma 2 2 3 2 3 2 2 2 2" xfId="10860" xr:uid="{41B02A76-F363-43F4-BE6C-3842806E9CF1}"/>
    <cellStyle name="Comma 2 2 3 2 3 2 2 3" xfId="8211" xr:uid="{930A339A-B648-4333-B0D2-C122C62A7437}"/>
    <cellStyle name="Comma 2 2 3 2 3 2 3" xfId="4239" xr:uid="{ADEA176F-6ECF-42B7-889F-25136507D0DE}"/>
    <cellStyle name="Comma 2 2 3 2 3 2 3 2" xfId="9536" xr:uid="{4C616336-5A24-4BAD-86F0-83008BD9EE4A}"/>
    <cellStyle name="Comma 2 2 3 2 3 2 4" xfId="6887" xr:uid="{547B483C-C4ED-4739-93B0-729FD60DF95B}"/>
    <cellStyle name="Comma 2 2 3 2 3 3" xfId="2386" xr:uid="{8CC6D680-07DC-430C-A636-51DD31DDF936}"/>
    <cellStyle name="Comma 2 2 3 2 3 3 2" xfId="5035" xr:uid="{AB3030C4-36AD-43C1-9EA6-11DFF783FB53}"/>
    <cellStyle name="Comma 2 2 3 2 3 3 2 2" xfId="10332" xr:uid="{B2FEB89F-B03F-4F1B-819D-7285E20221B9}"/>
    <cellStyle name="Comma 2 2 3 2 3 3 3" xfId="7683" xr:uid="{3D6DA2D4-1DB2-4778-A768-65F2FE924B01}"/>
    <cellStyle name="Comma 2 2 3 2 3 4" xfId="3711" xr:uid="{51ABE6AC-18F4-4560-B301-810E0AAFE886}"/>
    <cellStyle name="Comma 2 2 3 2 3 4 2" xfId="9008" xr:uid="{74D924F1-02B1-45CD-87C7-AC75112C2A35}"/>
    <cellStyle name="Comma 2 2 3 2 3 5" xfId="6359" xr:uid="{0EDC3676-D4F3-4782-865C-A74D698D9853}"/>
    <cellStyle name="Comma 2 2 3 2 4" xfId="1310" xr:uid="{9617CA72-8188-4045-8415-41D02C1AA66E}"/>
    <cellStyle name="Comma 2 2 3 2 4 2" xfId="1838" xr:uid="{FF502BF2-83CF-479D-8CF9-CAD6F77F524A}"/>
    <cellStyle name="Comma 2 2 3 2 4 2 2" xfId="3178" xr:uid="{40B640DA-B44E-457C-9918-77E59782BA95}"/>
    <cellStyle name="Comma 2 2 3 2 4 2 2 2" xfId="5827" xr:uid="{59DBD605-9E8C-4191-A0D2-45B8258D0AD5}"/>
    <cellStyle name="Comma 2 2 3 2 4 2 2 2 2" xfId="11124" xr:uid="{DD90A740-6BDF-4DB7-ACA1-5CF7C5BBD9FE}"/>
    <cellStyle name="Comma 2 2 3 2 4 2 2 3" xfId="8475" xr:uid="{C4BF50EE-519F-47D9-84CB-6AC9F6FB327D}"/>
    <cellStyle name="Comma 2 2 3 2 4 2 3" xfId="4503" xr:uid="{E4BAF6E0-857F-44C9-B9C2-3AAAC7865633}"/>
    <cellStyle name="Comma 2 2 3 2 4 2 3 2" xfId="9800" xr:uid="{CB233659-D599-4F16-BC7C-065C5F8F39E0}"/>
    <cellStyle name="Comma 2 2 3 2 4 2 4" xfId="7151" xr:uid="{6F82BCCB-66D2-4954-BDA9-F6F0A9AC9455}"/>
    <cellStyle name="Comma 2 2 3 2 4 3" xfId="2650" xr:uid="{19B2321C-09C7-4A19-80B3-F563CD85E286}"/>
    <cellStyle name="Comma 2 2 3 2 4 3 2" xfId="5299" xr:uid="{784307C2-D4A9-401C-91BC-A08BC84919C9}"/>
    <cellStyle name="Comma 2 2 3 2 4 3 2 2" xfId="10596" xr:uid="{74A3B2FC-D5D7-4D1C-B1EF-2BEFC7774C2B}"/>
    <cellStyle name="Comma 2 2 3 2 4 3 3" xfId="7947" xr:uid="{BEE0A0D7-7EDE-4EAC-89D3-DD4640E8B42F}"/>
    <cellStyle name="Comma 2 2 3 2 4 4" xfId="3975" xr:uid="{14282531-221C-483C-A815-EF7C725EF7ED}"/>
    <cellStyle name="Comma 2 2 3 2 4 4 2" xfId="9272" xr:uid="{E59A3686-4DF8-464C-BD62-D012B7A3112E}"/>
    <cellStyle name="Comma 2 2 3 2 4 5" xfId="6623" xr:uid="{3CE84DE4-A640-42D1-AC41-E69FA94A7A31}"/>
    <cellStyle name="Comma 2 2 3 2 5" xfId="1442" xr:uid="{B8274216-8260-43CF-A7A2-0121F007B27D}"/>
    <cellStyle name="Comma 2 2 3 2 5 2" xfId="1970" xr:uid="{698C856E-A278-4E4F-B65A-93D465725507}"/>
    <cellStyle name="Comma 2 2 3 2 5 2 2" xfId="3310" xr:uid="{D70532E1-C39A-41C8-B021-28CA3084E1D4}"/>
    <cellStyle name="Comma 2 2 3 2 5 2 2 2" xfId="5959" xr:uid="{6A4468F0-8778-4396-8A03-DEB5C787A3F4}"/>
    <cellStyle name="Comma 2 2 3 2 5 2 2 2 2" xfId="11256" xr:uid="{A47E3FEB-6AA1-4389-894C-3A316E959DEA}"/>
    <cellStyle name="Comma 2 2 3 2 5 2 2 3" xfId="8607" xr:uid="{6F396A80-E3F2-4C9E-A130-CE9D231EA1E3}"/>
    <cellStyle name="Comma 2 2 3 2 5 2 3" xfId="4635" xr:uid="{D5CB0417-2322-4581-AF41-ADD8B5A94A6D}"/>
    <cellStyle name="Comma 2 2 3 2 5 2 3 2" xfId="9932" xr:uid="{4CD3E216-CC10-42A4-A9E7-33A374C0ABB1}"/>
    <cellStyle name="Comma 2 2 3 2 5 2 4" xfId="7283" xr:uid="{46E01C1C-7219-441B-BB95-DEFBA82A52FB}"/>
    <cellStyle name="Comma 2 2 3 2 5 3" xfId="2782" xr:uid="{08F8C6C3-518C-47D7-A205-A839FF61BA76}"/>
    <cellStyle name="Comma 2 2 3 2 5 3 2" xfId="5431" xr:uid="{FCAE5ABE-5A3E-4CEF-872E-3798B88FF9E6}"/>
    <cellStyle name="Comma 2 2 3 2 5 3 2 2" xfId="10728" xr:uid="{B9E5D62E-0DAB-402F-A662-DEA94F1994BB}"/>
    <cellStyle name="Comma 2 2 3 2 5 3 3" xfId="8079" xr:uid="{AE4C3BAB-144C-4601-BE8C-9472EFEF65D3}"/>
    <cellStyle name="Comma 2 2 3 2 5 4" xfId="4107" xr:uid="{47D37532-0BA5-4868-A072-7C650580D5D9}"/>
    <cellStyle name="Comma 2 2 3 2 5 4 2" xfId="9404" xr:uid="{2254D054-DA95-42BC-AA39-39BE23D8959C}"/>
    <cellStyle name="Comma 2 2 3 2 5 5" xfId="6755" xr:uid="{B84800F8-57ED-4D8B-9499-EC01D56B4863}"/>
    <cellStyle name="Comma 2 2 3 2 6" xfId="813" xr:uid="{D9FE0FD4-95D0-43EB-9890-9604326B9084}"/>
    <cellStyle name="Comma 2 2 3 2 6 2" xfId="2258" xr:uid="{712FEA52-545C-45F5-A8B9-10FE9FB87175}"/>
    <cellStyle name="Comma 2 2 3 2 6 2 2" xfId="4907" xr:uid="{54794E10-FFB0-4634-89D5-E6A264969D2A}"/>
    <cellStyle name="Comma 2 2 3 2 6 2 2 2" xfId="10204" xr:uid="{2E116C01-2810-43C3-8D7D-E42C12BDBCE0}"/>
    <cellStyle name="Comma 2 2 3 2 6 2 3" xfId="7555" xr:uid="{8D7EBB83-267E-4CEA-A73F-A84D2E2230E6}"/>
    <cellStyle name="Comma 2 2 3 2 6 3" xfId="3583" xr:uid="{68C0CECB-70F6-4619-828D-CBD9EEC5C44C}"/>
    <cellStyle name="Comma 2 2 3 2 6 3 2" xfId="8880" xr:uid="{352DDD80-79BB-4274-A949-0BBB91875E99}"/>
    <cellStyle name="Comma 2 2 3 2 6 4" xfId="6231" xr:uid="{3AA7323E-60CA-413D-9C4D-9F76D2AA142B}"/>
    <cellStyle name="Comma 2 2 3 2 7" xfId="2140" xr:uid="{4E2748D5-9E1A-47F6-8561-8C8EB983872A}"/>
    <cellStyle name="Comma 2 2 3 2 7 2" xfId="4789" xr:uid="{1936945B-6881-447A-813D-0E6FEBFC1C36}"/>
    <cellStyle name="Comma 2 2 3 2 7 2 2" xfId="10086" xr:uid="{1A99FD51-4A6C-43EE-8639-C58FACFFBD7F}"/>
    <cellStyle name="Comma 2 2 3 2 7 3" xfId="7437" xr:uid="{3BA2ACB3-761E-499B-AD7F-72FA212F6D56}"/>
    <cellStyle name="Comma 2 2 3 2 8" xfId="3465" xr:uid="{28C2D94F-E836-4C06-927B-FCDA5B14B76B}"/>
    <cellStyle name="Comma 2 2 3 2 8 2" xfId="8762" xr:uid="{C792860B-5172-4C96-8517-8426D28B7A12}"/>
    <cellStyle name="Comma 2 2 3 2 9" xfId="6113" xr:uid="{4A49BD70-17B7-4741-8E92-02596289E6C0}"/>
    <cellStyle name="Comma 2 2 3 3" xfId="1148" xr:uid="{8C237EB1-717A-4060-AD18-8B9EF9378457}"/>
    <cellStyle name="Comma 2 2 3 3 2" xfId="1680" xr:uid="{F70E420A-64B1-4017-9677-1332688ACB48}"/>
    <cellStyle name="Comma 2 2 3 3 2 2" xfId="3020" xr:uid="{33A7E19D-7DD4-403A-B8FF-9E97B0DE6B2C}"/>
    <cellStyle name="Comma 2 2 3 3 2 2 2" xfId="5669" xr:uid="{1B45BBBE-8E0F-4CB1-B624-BDE8D37EEE19}"/>
    <cellStyle name="Comma 2 2 3 3 2 2 2 2" xfId="10966" xr:uid="{D16EDF8F-55F4-4358-A674-DA1B8EBCDC01}"/>
    <cellStyle name="Comma 2 2 3 3 2 2 3" xfId="8317" xr:uid="{F4A9795D-428A-43D0-8EC3-7C0569098E1E}"/>
    <cellStyle name="Comma 2 2 3 3 2 3" xfId="4345" xr:uid="{F3C17FD0-E71D-4E9F-AE37-6EC3628E7D93}"/>
    <cellStyle name="Comma 2 2 3 3 2 3 2" xfId="9642" xr:uid="{20B4013D-E5D1-4E3B-9B8F-15828EEF7410}"/>
    <cellStyle name="Comma 2 2 3 3 2 4" xfId="6993" xr:uid="{24C1F01D-6C7B-4F69-B37B-1EF4D266A6A4}"/>
    <cellStyle name="Comma 2 2 3 3 3" xfId="2492" xr:uid="{172CC6D4-54A7-440F-A9F1-1E891C55A5F4}"/>
    <cellStyle name="Comma 2 2 3 3 3 2" xfId="5141" xr:uid="{932DED5E-003C-4650-8E04-B0AD7BADF611}"/>
    <cellStyle name="Comma 2 2 3 3 3 2 2" xfId="10438" xr:uid="{3586F5CA-F81D-42B2-923F-04965F01B0A2}"/>
    <cellStyle name="Comma 2 2 3 3 3 3" xfId="7789" xr:uid="{F3324747-C44E-445B-92C5-79A38667B488}"/>
    <cellStyle name="Comma 2 2 3 3 4" xfId="3817" xr:uid="{45CCD52F-88B4-4CE7-A557-DE9A6EE6BDAF}"/>
    <cellStyle name="Comma 2 2 3 3 4 2" xfId="9114" xr:uid="{3453632F-FF6F-44D0-AA72-DA825E9151A3}"/>
    <cellStyle name="Comma 2 2 3 3 5" xfId="6465" xr:uid="{240BF2E4-6404-4CFB-943E-EA802C68704C}"/>
    <cellStyle name="Comma 2 2 3 4" xfId="1004" xr:uid="{6FFD44E1-038C-4BB3-BC4A-0625955AF08A}"/>
    <cellStyle name="Comma 2 2 3 4 2" xfId="1548" xr:uid="{B98855A6-CB27-4D2E-B033-C846ED9B823D}"/>
    <cellStyle name="Comma 2 2 3 4 2 2" xfId="2888" xr:uid="{83D61C81-DB3A-4136-A3A3-6B004DE206C9}"/>
    <cellStyle name="Comma 2 2 3 4 2 2 2" xfId="5537" xr:uid="{F1E06C25-5CEA-432C-B9B7-13D5DF44E069}"/>
    <cellStyle name="Comma 2 2 3 4 2 2 2 2" xfId="10834" xr:uid="{7BA5677F-DAAE-45FD-8E53-DFB73F297AB2}"/>
    <cellStyle name="Comma 2 2 3 4 2 2 3" xfId="8185" xr:uid="{EBA2E1A1-A334-474A-AB3B-1556B9071143}"/>
    <cellStyle name="Comma 2 2 3 4 2 3" xfId="4213" xr:uid="{0CE3EEC5-7668-4C6B-B87E-FAE584F9B0D1}"/>
    <cellStyle name="Comma 2 2 3 4 2 3 2" xfId="9510" xr:uid="{A95C7300-D504-4EA1-B40D-09101A1B56DA}"/>
    <cellStyle name="Comma 2 2 3 4 2 4" xfId="6861" xr:uid="{2AE3FEE5-08CD-4046-9B1E-62B313B888C6}"/>
    <cellStyle name="Comma 2 2 3 4 3" xfId="2360" xr:uid="{4198B624-2A6A-46EA-B901-59BB529672B9}"/>
    <cellStyle name="Comma 2 2 3 4 3 2" xfId="5009" xr:uid="{070C4F31-9F84-4882-8C4F-C32215AA78C2}"/>
    <cellStyle name="Comma 2 2 3 4 3 2 2" xfId="10306" xr:uid="{71327EA3-A095-494E-B8AC-82DB5C7917E2}"/>
    <cellStyle name="Comma 2 2 3 4 3 3" xfId="7657" xr:uid="{5DFE167A-0547-490B-B91E-107245A6F998}"/>
    <cellStyle name="Comma 2 2 3 4 4" xfId="3685" xr:uid="{06155956-7BE9-4733-8029-9CE02739344A}"/>
    <cellStyle name="Comma 2 2 3 4 4 2" xfId="8982" xr:uid="{75BCEAE4-92FA-4692-9BB0-AECF91FC4612}"/>
    <cellStyle name="Comma 2 2 3 4 5" xfId="6333" xr:uid="{D2A6E821-51D1-42FC-9D33-514FCC4057C1}"/>
    <cellStyle name="Comma 2 2 3 5" xfId="1284" xr:uid="{98A755BD-AFB0-4BB3-9AC5-A131B2D135EC}"/>
    <cellStyle name="Comma 2 2 3 5 2" xfId="1812" xr:uid="{8D905D01-9507-46F4-A0DB-F7A4D1E679ED}"/>
    <cellStyle name="Comma 2 2 3 5 2 2" xfId="3152" xr:uid="{36002831-AF16-4153-8092-2B633459CB02}"/>
    <cellStyle name="Comma 2 2 3 5 2 2 2" xfId="5801" xr:uid="{BB708FBB-ACD4-4717-9308-B5F35C3E01EB}"/>
    <cellStyle name="Comma 2 2 3 5 2 2 2 2" xfId="11098" xr:uid="{3F506EF8-CC42-4DEE-B5B3-11ABB32DB11F}"/>
    <cellStyle name="Comma 2 2 3 5 2 2 3" xfId="8449" xr:uid="{1B53FED3-7139-4130-B400-97BE43EEF800}"/>
    <cellStyle name="Comma 2 2 3 5 2 3" xfId="4477" xr:uid="{1F6D7F56-D9BF-45BB-8485-2C6ACF556799}"/>
    <cellStyle name="Comma 2 2 3 5 2 3 2" xfId="9774" xr:uid="{5CEBDA10-9C1C-4D7D-8CAE-32CD662C5511}"/>
    <cellStyle name="Comma 2 2 3 5 2 4" xfId="7125" xr:uid="{AD33AB62-B0A7-4C20-8629-EFD6EEB50B6D}"/>
    <cellStyle name="Comma 2 2 3 5 3" xfId="2624" xr:uid="{E9EAD854-3645-49B4-8E35-AE9F86C3ED90}"/>
    <cellStyle name="Comma 2 2 3 5 3 2" xfId="5273" xr:uid="{50629849-A3A8-4172-9919-DC775A092A7E}"/>
    <cellStyle name="Comma 2 2 3 5 3 2 2" xfId="10570" xr:uid="{7A76B8FF-3B63-4170-90DF-217AEFB32DEB}"/>
    <cellStyle name="Comma 2 2 3 5 3 3" xfId="7921" xr:uid="{818068AD-7E4D-48BA-B5DC-9CC5398158BD}"/>
    <cellStyle name="Comma 2 2 3 5 4" xfId="3949" xr:uid="{262739E5-37A3-4072-B331-86F33CC59B1A}"/>
    <cellStyle name="Comma 2 2 3 5 4 2" xfId="9246" xr:uid="{5FF7B5C1-0AA9-4DF3-929D-9B4F56EF05BE}"/>
    <cellStyle name="Comma 2 2 3 5 5" xfId="6597" xr:uid="{8329CD67-0D1E-4384-B5B7-222A01C3EEFF}"/>
    <cellStyle name="Comma 2 2 3 6" xfId="1416" xr:uid="{30BA6514-BD20-41CB-867C-FAC174657F4B}"/>
    <cellStyle name="Comma 2 2 3 6 2" xfId="1944" xr:uid="{7D61C537-A3DF-4D3F-B892-0D7902815A49}"/>
    <cellStyle name="Comma 2 2 3 6 2 2" xfId="3284" xr:uid="{A8DBFFE8-FBB8-4AE6-A78F-F1868B469CCA}"/>
    <cellStyle name="Comma 2 2 3 6 2 2 2" xfId="5933" xr:uid="{B805A5D4-3372-43CD-974D-F2F7CEDB22BE}"/>
    <cellStyle name="Comma 2 2 3 6 2 2 2 2" xfId="11230" xr:uid="{562E5626-8C8A-47F6-9BDF-26D3822D2D55}"/>
    <cellStyle name="Comma 2 2 3 6 2 2 3" xfId="8581" xr:uid="{59AA2CCB-4245-49BD-8491-1772DAED96AF}"/>
    <cellStyle name="Comma 2 2 3 6 2 3" xfId="4609" xr:uid="{AB5E66D8-A8C2-4336-BDFB-48779EBE9DF1}"/>
    <cellStyle name="Comma 2 2 3 6 2 3 2" xfId="9906" xr:uid="{7A79D92A-2BAC-4466-9295-28132ECF243A}"/>
    <cellStyle name="Comma 2 2 3 6 2 4" xfId="7257" xr:uid="{49DCA3E5-BB1E-439C-9EC7-450B73064B1E}"/>
    <cellStyle name="Comma 2 2 3 6 3" xfId="2756" xr:uid="{547EDADB-10CE-422F-ABB5-A024801360CF}"/>
    <cellStyle name="Comma 2 2 3 6 3 2" xfId="5405" xr:uid="{10753991-C42E-44E9-A1EF-86B1EA5D516B}"/>
    <cellStyle name="Comma 2 2 3 6 3 2 2" xfId="10702" xr:uid="{DCDA4BAC-53B0-4128-8C7F-B7F232F38FD7}"/>
    <cellStyle name="Comma 2 2 3 6 3 3" xfId="8053" xr:uid="{AA33F364-3468-47DB-ABB4-B76461E82CA8}"/>
    <cellStyle name="Comma 2 2 3 6 4" xfId="4081" xr:uid="{860377F7-6E37-498A-AB60-280BEF594CD6}"/>
    <cellStyle name="Comma 2 2 3 6 4 2" xfId="9378" xr:uid="{6632C22F-C3E1-43A5-A574-87F7B291D05D}"/>
    <cellStyle name="Comma 2 2 3 6 5" xfId="6729" xr:uid="{6FBEB294-BED5-45DD-BB21-3AD4234A516E}"/>
    <cellStyle name="Comma 2 2 3 7" xfId="743" xr:uid="{02EDD613-A2CE-4AB4-88AF-1EF2D826EF07}"/>
    <cellStyle name="Comma 2 2 3 7 2" xfId="2232" xr:uid="{BB5A4D47-5488-4A58-9CD0-4A436E876F12}"/>
    <cellStyle name="Comma 2 2 3 7 2 2" xfId="4881" xr:uid="{487CC51C-7375-4C27-8CC7-6D58B088DE84}"/>
    <cellStyle name="Comma 2 2 3 7 2 2 2" xfId="10178" xr:uid="{F9C90D2E-9C1C-4295-960E-E752CC2E82DF}"/>
    <cellStyle name="Comma 2 2 3 7 2 3" xfId="7529" xr:uid="{EBDA73A0-CD3F-471D-B23F-148A81AE6CE2}"/>
    <cellStyle name="Comma 2 2 3 7 3" xfId="3557" xr:uid="{610B5C26-65BB-449C-8C41-10EDC22CEADE}"/>
    <cellStyle name="Comma 2 2 3 7 3 2" xfId="8854" xr:uid="{A9DF2D54-599C-42D3-95C0-01C04CBD522C}"/>
    <cellStyle name="Comma 2 2 3 7 4" xfId="6205" xr:uid="{BA07E259-7EEB-4575-8243-D62CE400B1E7}"/>
    <cellStyle name="Comma 2 2 3 8" xfId="2073" xr:uid="{5A0BC3DC-CAD9-4934-8FAA-B17ACE00CC0E}"/>
    <cellStyle name="Comma 2 2 3 8 2" xfId="4722" xr:uid="{46D86FBA-C909-4A12-8D82-253A0253B315}"/>
    <cellStyle name="Comma 2 2 3 8 2 2" xfId="10019" xr:uid="{CFA2FBC2-A3A9-469B-8E14-6205DCFAD538}"/>
    <cellStyle name="Comma 2 2 3 8 3" xfId="7370" xr:uid="{E737683E-8213-4BCC-A3DF-80F2510B52F1}"/>
    <cellStyle name="Comma 2 2 3 9" xfId="3398" xr:uid="{4F220526-2F60-46D6-825E-7DE6FE6F957C}"/>
    <cellStyle name="Comma 2 2 3 9 2" xfId="8695" xr:uid="{5AD3D7E9-AB90-47EA-9809-7CA89D92A129}"/>
    <cellStyle name="Comma 2 2 4" xfId="158" xr:uid="{BDC50786-CF67-47BB-BFF0-CADE31627F80}"/>
    <cellStyle name="Comma 2 2 4 2" xfId="390" xr:uid="{3854177D-1A2D-4F4A-B769-B08BA011F5BC}"/>
    <cellStyle name="Comma 2 2 4 2 2" xfId="1686" xr:uid="{F99CB5A3-E794-479A-B2EC-5FE231C6E6F9}"/>
    <cellStyle name="Comma 2 2 4 2 2 2" xfId="3026" xr:uid="{0ABF103E-6FDE-4688-8CB3-C0EB99E64F33}"/>
    <cellStyle name="Comma 2 2 4 2 2 2 2" xfId="5675" xr:uid="{0EE16378-9B0B-40EE-A07E-5096BFF5DA4F}"/>
    <cellStyle name="Comma 2 2 4 2 2 2 2 2" xfId="10972" xr:uid="{09702847-62A3-40EA-898F-62098FFB44CB}"/>
    <cellStyle name="Comma 2 2 4 2 2 2 3" xfId="8323" xr:uid="{10FF874B-7705-49B3-91C2-9D8F702CC176}"/>
    <cellStyle name="Comma 2 2 4 2 2 3" xfId="4351" xr:uid="{12704244-144B-41FB-ACA5-5A00C049CEA7}"/>
    <cellStyle name="Comma 2 2 4 2 2 3 2" xfId="9648" xr:uid="{B345AA60-2A1D-4D1F-8401-31B195E6EE4A}"/>
    <cellStyle name="Comma 2 2 4 2 2 4" xfId="6999" xr:uid="{1C00DDA3-0D16-4978-BCBA-E1DEA755BF0F}"/>
    <cellStyle name="Comma 2 2 4 2 3" xfId="1154" xr:uid="{B5F55321-9861-4FE9-8D57-971C78981971}"/>
    <cellStyle name="Comma 2 2 4 2 3 2" xfId="2498" xr:uid="{95BAD3AF-C1AC-4D73-802F-213556D1FD13}"/>
    <cellStyle name="Comma 2 2 4 2 3 2 2" xfId="5147" xr:uid="{29E5483F-FFF4-4E73-A15D-ACB0FD05D950}"/>
    <cellStyle name="Comma 2 2 4 2 3 2 2 2" xfId="10444" xr:uid="{0CA16FAA-0A26-4B6C-AB12-7C59DDFEBECA}"/>
    <cellStyle name="Comma 2 2 4 2 3 2 3" xfId="7795" xr:uid="{2E469146-8AC5-47A7-BA94-2753790F472D}"/>
    <cellStyle name="Comma 2 2 4 2 3 3" xfId="3823" xr:uid="{7001D8E9-E7E9-42F2-8538-542B360890DE}"/>
    <cellStyle name="Comma 2 2 4 2 3 3 2" xfId="9120" xr:uid="{73B8382C-FD9C-41AF-B4AC-DDAF6D6041C8}"/>
    <cellStyle name="Comma 2 2 4 2 3 4" xfId="6471" xr:uid="{921E19AC-4C03-42B4-AFE2-923BB185E4E0}"/>
    <cellStyle name="Comma 2 2 4 2 4" xfId="2153" xr:uid="{B74E389F-24E4-4741-AA0F-D8971B3BF5E3}"/>
    <cellStyle name="Comma 2 2 4 2 4 2" xfId="4802" xr:uid="{82CA3CFF-F8F1-42B5-9F82-C9D81AE65767}"/>
    <cellStyle name="Comma 2 2 4 2 4 2 2" xfId="10099" xr:uid="{9B59DAFE-765E-45D1-8F98-13B105CDD332}"/>
    <cellStyle name="Comma 2 2 4 2 4 3" xfId="7450" xr:uid="{8B079E8D-8D2B-43F9-B0DE-5B84686E656D}"/>
    <cellStyle name="Comma 2 2 4 2 5" xfId="3478" xr:uid="{BB3051E5-0B0F-46A6-A9E3-AC16E6CC1389}"/>
    <cellStyle name="Comma 2 2 4 2 5 2" xfId="8775" xr:uid="{FE1F8CD2-2ECF-442A-9367-BF19CB270BA4}"/>
    <cellStyle name="Comma 2 2 4 2 6" xfId="6126" xr:uid="{3C631ABF-9A90-4E8A-B6CB-A54F86E42899}"/>
    <cellStyle name="Comma 2 2 4 3" xfId="1010" xr:uid="{26C49FE1-3BEC-4C99-8539-65DB6FA65D61}"/>
    <cellStyle name="Comma 2 2 4 3 2" xfId="1554" xr:uid="{FC8B6A04-BF11-4432-AEE2-BF6F80F7B0C6}"/>
    <cellStyle name="Comma 2 2 4 3 2 2" xfId="2894" xr:uid="{D4C1F28A-1202-4253-A2C7-8588235BECC1}"/>
    <cellStyle name="Comma 2 2 4 3 2 2 2" xfId="5543" xr:uid="{4FCCFC58-E722-454C-B8BB-07B31375FABE}"/>
    <cellStyle name="Comma 2 2 4 3 2 2 2 2" xfId="10840" xr:uid="{5C31F7BF-E80D-459E-A229-C0CA978EADC9}"/>
    <cellStyle name="Comma 2 2 4 3 2 2 3" xfId="8191" xr:uid="{C33F47EB-9F58-41F9-92D9-7AA536B8C43A}"/>
    <cellStyle name="Comma 2 2 4 3 2 3" xfId="4219" xr:uid="{7EA83E37-9ED1-4B76-BC36-11CE89D2D29F}"/>
    <cellStyle name="Comma 2 2 4 3 2 3 2" xfId="9516" xr:uid="{A0493405-3175-4478-8BA6-DD903BE853FE}"/>
    <cellStyle name="Comma 2 2 4 3 2 4" xfId="6867" xr:uid="{80941D7B-D9E7-4BF1-8E8D-0F9E2B1AE755}"/>
    <cellStyle name="Comma 2 2 4 3 3" xfId="2366" xr:uid="{3A1774CB-F0C5-457E-A126-7BBCC668759A}"/>
    <cellStyle name="Comma 2 2 4 3 3 2" xfId="5015" xr:uid="{FE8F67D5-E2CC-4A2D-A22F-A836842248E3}"/>
    <cellStyle name="Comma 2 2 4 3 3 2 2" xfId="10312" xr:uid="{D906986B-5CF0-4F2C-8D04-F357CABE7870}"/>
    <cellStyle name="Comma 2 2 4 3 3 3" xfId="7663" xr:uid="{E74090C7-C6FE-4362-952B-2A6164892308}"/>
    <cellStyle name="Comma 2 2 4 3 4" xfId="3691" xr:uid="{0DD068E2-5F15-47F2-A48E-6A5D5C395B9F}"/>
    <cellStyle name="Comma 2 2 4 3 4 2" xfId="8988" xr:uid="{E123B16A-F634-401E-AC7F-6E4B17C40BE7}"/>
    <cellStyle name="Comma 2 2 4 3 5" xfId="6339" xr:uid="{833D5903-B03D-4A6E-9419-313832FB1CDA}"/>
    <cellStyle name="Comma 2 2 4 4" xfId="1290" xr:uid="{F05FBD1C-9086-4FC2-9D03-34D9226778A5}"/>
    <cellStyle name="Comma 2 2 4 4 2" xfId="1818" xr:uid="{A0985CFE-0FF1-40A7-A2F2-7819495FFEAB}"/>
    <cellStyle name="Comma 2 2 4 4 2 2" xfId="3158" xr:uid="{43468F13-2CC8-4D24-84A4-E80CC6602A42}"/>
    <cellStyle name="Comma 2 2 4 4 2 2 2" xfId="5807" xr:uid="{3E79FE1B-0ACC-476E-B1DA-64957A227126}"/>
    <cellStyle name="Comma 2 2 4 4 2 2 2 2" xfId="11104" xr:uid="{82CF1836-4B19-44ED-8AB1-805164EE667B}"/>
    <cellStyle name="Comma 2 2 4 4 2 2 3" xfId="8455" xr:uid="{875D2633-0BF2-4790-9B26-EF426B7E3746}"/>
    <cellStyle name="Comma 2 2 4 4 2 3" xfId="4483" xr:uid="{41FF3006-4DA2-40D8-8BEB-9D949E2D11AA}"/>
    <cellStyle name="Comma 2 2 4 4 2 3 2" xfId="9780" xr:uid="{B05E8C5F-DD1F-4B54-ACAF-1F3B91EBE5F3}"/>
    <cellStyle name="Comma 2 2 4 4 2 4" xfId="7131" xr:uid="{513E15E2-5677-499E-9F92-EF0D2403D19D}"/>
    <cellStyle name="Comma 2 2 4 4 3" xfId="2630" xr:uid="{FB0A5EA5-E2BE-4D4C-B3F0-E8EEE142F0E2}"/>
    <cellStyle name="Comma 2 2 4 4 3 2" xfId="5279" xr:uid="{93F27CA1-36F8-4062-B1D3-3064878E0F5F}"/>
    <cellStyle name="Comma 2 2 4 4 3 2 2" xfId="10576" xr:uid="{CDDCC4FE-1B72-4733-B687-B302BA0BA3DB}"/>
    <cellStyle name="Comma 2 2 4 4 3 3" xfId="7927" xr:uid="{A1BBADB1-AC98-459A-8580-66549C5796DA}"/>
    <cellStyle name="Comma 2 2 4 4 4" xfId="3955" xr:uid="{D6671734-E7C2-42A6-9F0F-3FB5461D6B9A}"/>
    <cellStyle name="Comma 2 2 4 4 4 2" xfId="9252" xr:uid="{AB2DA466-EA08-4823-B14A-47757AD87437}"/>
    <cellStyle name="Comma 2 2 4 4 5" xfId="6603" xr:uid="{1A2E5BBA-49BA-4539-AC89-46C87383FFCE}"/>
    <cellStyle name="Comma 2 2 4 5" xfId="1422" xr:uid="{4998B1D8-2B68-416A-BA4E-660B1C013C9D}"/>
    <cellStyle name="Comma 2 2 4 5 2" xfId="1950" xr:uid="{5CE8448C-D978-47E3-B30E-E5E95E8DFB18}"/>
    <cellStyle name="Comma 2 2 4 5 2 2" xfId="3290" xr:uid="{227CA4F7-D29A-4C1A-A032-795E233F2E4E}"/>
    <cellStyle name="Comma 2 2 4 5 2 2 2" xfId="5939" xr:uid="{15211C2F-4F4C-46CA-868E-B3D4F787BF36}"/>
    <cellStyle name="Comma 2 2 4 5 2 2 2 2" xfId="11236" xr:uid="{3D5F6F06-B6BF-4ED2-BA03-DFB21660778E}"/>
    <cellStyle name="Comma 2 2 4 5 2 2 3" xfId="8587" xr:uid="{D2E20D5D-5DB8-4491-93C0-FE027A766B3B}"/>
    <cellStyle name="Comma 2 2 4 5 2 3" xfId="4615" xr:uid="{EB4B8328-12B5-4993-8227-573EBEB8B20A}"/>
    <cellStyle name="Comma 2 2 4 5 2 3 2" xfId="9912" xr:uid="{EC24C823-786A-4396-BC36-F22497B85D76}"/>
    <cellStyle name="Comma 2 2 4 5 2 4" xfId="7263" xr:uid="{70AB6D83-D532-4950-B691-22083DAE8E82}"/>
    <cellStyle name="Comma 2 2 4 5 3" xfId="2762" xr:uid="{978F4166-2703-417C-8F62-8BCC02547CCB}"/>
    <cellStyle name="Comma 2 2 4 5 3 2" xfId="5411" xr:uid="{A6250F0E-48F7-47FF-A4A5-A02A658448BF}"/>
    <cellStyle name="Comma 2 2 4 5 3 2 2" xfId="10708" xr:uid="{788D39E4-42B6-43DF-9274-C69DDBA24EB6}"/>
    <cellStyle name="Comma 2 2 4 5 3 3" xfId="8059" xr:uid="{58B4992F-2D77-446D-9035-0639A1CF3182}"/>
    <cellStyle name="Comma 2 2 4 5 4" xfId="4087" xr:uid="{28383B57-7A2E-4F38-9189-293A7B865E1B}"/>
    <cellStyle name="Comma 2 2 4 5 4 2" xfId="9384" xr:uid="{98FF6EF6-A335-4102-A217-62963F7FBC35}"/>
    <cellStyle name="Comma 2 2 4 5 5" xfId="6735" xr:uid="{F6A1C980-B25B-49E4-9039-276D40544597}"/>
    <cellStyle name="Comma 2 2 4 6" xfId="793" xr:uid="{BE4F37DA-FAAA-400D-A5F3-D437EDE5BB94}"/>
    <cellStyle name="Comma 2 2 4 6 2" xfId="2238" xr:uid="{27157D32-C70D-4CA7-A5FE-A9AB9D897600}"/>
    <cellStyle name="Comma 2 2 4 6 2 2" xfId="4887" xr:uid="{4CF43A66-FCAC-42E6-8B01-41D049FBC239}"/>
    <cellStyle name="Comma 2 2 4 6 2 2 2" xfId="10184" xr:uid="{C665F6AA-94A3-4EF2-A73D-55F16746D138}"/>
    <cellStyle name="Comma 2 2 4 6 2 3" xfId="7535" xr:uid="{C5AC92E5-038D-4819-B6AD-2C7A0ECC8D36}"/>
    <cellStyle name="Comma 2 2 4 6 3" xfId="3563" xr:uid="{FB1D8CB8-2183-4864-9994-AD6B520FAA38}"/>
    <cellStyle name="Comma 2 2 4 6 3 2" xfId="8860" xr:uid="{C22C704C-88E2-40F5-9199-09AB8CEEA1C8}"/>
    <cellStyle name="Comma 2 2 4 6 4" xfId="6211" xr:uid="{44085F12-848F-4831-A47B-A7A6EFBAEC2E}"/>
    <cellStyle name="Comma 2 2 4 7" xfId="2086" xr:uid="{00CFA4B2-4FAE-419A-B3BB-D82CAB4800DD}"/>
    <cellStyle name="Comma 2 2 4 7 2" xfId="4735" xr:uid="{A74330C4-0A63-4D9A-8F8E-A473040C3048}"/>
    <cellStyle name="Comma 2 2 4 7 2 2" xfId="10032" xr:uid="{AF04B682-955D-4D76-8027-4D79552C855D}"/>
    <cellStyle name="Comma 2 2 4 7 3" xfId="7383" xr:uid="{5091F381-E9A5-46F1-A69C-C636B638F6CD}"/>
    <cellStyle name="Comma 2 2 4 8" xfId="3411" xr:uid="{F10B09ED-A7AC-4803-B500-21EFCE724C22}"/>
    <cellStyle name="Comma 2 2 4 8 2" xfId="8708" xr:uid="{81036E32-790F-487D-BDDD-2F0ADD4866C5}"/>
    <cellStyle name="Comma 2 2 4 9" xfId="6059" xr:uid="{3CB62424-09B1-495A-90B8-E96D1A89DE58}"/>
    <cellStyle name="Comma 2 2 5" xfId="201" xr:uid="{7592965E-AE8A-4CF0-874E-1513D6E997D2}"/>
    <cellStyle name="Comma 2 2 5 2" xfId="433" xr:uid="{C006B18E-4DA2-4F82-9A62-880E986E6056}"/>
    <cellStyle name="Comma 2 2 5 2 2" xfId="1713" xr:uid="{DDB22108-AFC4-4213-9CB6-7C6C90166214}"/>
    <cellStyle name="Comma 2 2 5 2 2 2" xfId="3053" xr:uid="{C3E8ADCF-4C72-4CAD-B5CF-0E97D76887D6}"/>
    <cellStyle name="Comma 2 2 5 2 2 2 2" xfId="5702" xr:uid="{F24A7D1D-BE42-419A-849A-A8935A2BC5E3}"/>
    <cellStyle name="Comma 2 2 5 2 2 2 2 2" xfId="10999" xr:uid="{4488269D-BA7D-4E72-AF24-8017F2AC309F}"/>
    <cellStyle name="Comma 2 2 5 2 2 2 3" xfId="8350" xr:uid="{5DA9065E-43A7-442B-9CA6-724C7F5BC4BB}"/>
    <cellStyle name="Comma 2 2 5 2 2 3" xfId="4378" xr:uid="{5CFFF927-9F12-4BD7-B45C-5FF706FB9E1F}"/>
    <cellStyle name="Comma 2 2 5 2 2 3 2" xfId="9675" xr:uid="{347DC56F-6DF4-4054-B0A1-AB13AE67F12E}"/>
    <cellStyle name="Comma 2 2 5 2 2 4" xfId="7026" xr:uid="{C83268F6-A3F4-4989-9CF3-DC91C7F869C9}"/>
    <cellStyle name="Comma 2 2 5 2 3" xfId="1182" xr:uid="{33BBF541-3D02-4064-A3F7-38EA4810D121}"/>
    <cellStyle name="Comma 2 2 5 2 3 2" xfId="2525" xr:uid="{E514647E-1C04-4FF0-A4B9-6093ADA29F7C}"/>
    <cellStyle name="Comma 2 2 5 2 3 2 2" xfId="5174" xr:uid="{A046FF21-EED6-4AB5-8FBB-25CF77AF8C23}"/>
    <cellStyle name="Comma 2 2 5 2 3 2 2 2" xfId="10471" xr:uid="{3B04622E-E2EE-4745-9E1F-C0C612D5B611}"/>
    <cellStyle name="Comma 2 2 5 2 3 2 3" xfId="7822" xr:uid="{E8D1C58C-0AF5-4CBB-8E4D-1A812AB8C860}"/>
    <cellStyle name="Comma 2 2 5 2 3 3" xfId="3850" xr:uid="{CDFE5FD2-CCE6-4938-816C-046859C3B108}"/>
    <cellStyle name="Comma 2 2 5 2 3 3 2" xfId="9147" xr:uid="{B972E019-F4B3-4DF4-B9A3-E026B086AC96}"/>
    <cellStyle name="Comma 2 2 5 2 3 4" xfId="6498" xr:uid="{15533955-54B1-4DBC-B746-C678F2B24E0F}"/>
    <cellStyle name="Comma 2 2 5 2 4" xfId="2165" xr:uid="{31CD1891-9B63-45DC-A34B-0E7717AED5A8}"/>
    <cellStyle name="Comma 2 2 5 2 4 2" xfId="4814" xr:uid="{D8F6C6DE-8C1C-4039-B433-81751FD36468}"/>
    <cellStyle name="Comma 2 2 5 2 4 2 2" xfId="10111" xr:uid="{9C0FDF79-A6AB-4365-8499-6E8830518912}"/>
    <cellStyle name="Comma 2 2 5 2 4 3" xfId="7462" xr:uid="{D1CBDA40-2023-4937-9A7E-0031F9AF0D19}"/>
    <cellStyle name="Comma 2 2 5 2 5" xfId="3490" xr:uid="{FF19A072-28B8-465C-9FF8-E974B00E81D3}"/>
    <cellStyle name="Comma 2 2 5 2 5 2" xfId="8787" xr:uid="{227733D6-C656-4B4A-8D1A-8C9CDF75AEF5}"/>
    <cellStyle name="Comma 2 2 5 2 6" xfId="6138" xr:uid="{28930B3C-CBAA-4199-B76F-802B56A74D8E}"/>
    <cellStyle name="Comma 2 2 5 3" xfId="1038" xr:uid="{D114B296-A9F3-4554-A2CB-71ECDB5AD195}"/>
    <cellStyle name="Comma 2 2 5 3 2" xfId="1581" xr:uid="{8427E77C-8318-46B4-A218-0D504E8C51D7}"/>
    <cellStyle name="Comma 2 2 5 3 2 2" xfId="2921" xr:uid="{071C4E5B-3027-4FCF-A4E5-473379298FC2}"/>
    <cellStyle name="Comma 2 2 5 3 2 2 2" xfId="5570" xr:uid="{0616E096-5453-4C5D-B6EB-D6018D9B951B}"/>
    <cellStyle name="Comma 2 2 5 3 2 2 2 2" xfId="10867" xr:uid="{8663CEDB-F522-4773-95BA-F0BFB864D3CC}"/>
    <cellStyle name="Comma 2 2 5 3 2 2 3" xfId="8218" xr:uid="{E1808108-E8B2-47C1-8268-20AF6D43731A}"/>
    <cellStyle name="Comma 2 2 5 3 2 3" xfId="4246" xr:uid="{F75033E4-FCA3-4C93-BBC6-432EAD518428}"/>
    <cellStyle name="Comma 2 2 5 3 2 3 2" xfId="9543" xr:uid="{1C809BE5-A3FB-4C8B-AA54-04CE4C6A9940}"/>
    <cellStyle name="Comma 2 2 5 3 2 4" xfId="6894" xr:uid="{663D8311-2E36-47A9-821B-0B7A36E086D1}"/>
    <cellStyle name="Comma 2 2 5 3 3" xfId="2393" xr:uid="{9012244C-3226-4A3F-838D-B65ABBA713ED}"/>
    <cellStyle name="Comma 2 2 5 3 3 2" xfId="5042" xr:uid="{2F353D47-2452-4176-82AB-A2E4918DA56E}"/>
    <cellStyle name="Comma 2 2 5 3 3 2 2" xfId="10339" xr:uid="{83D71FD6-5917-4E02-8634-6FE736F9A7EA}"/>
    <cellStyle name="Comma 2 2 5 3 3 3" xfId="7690" xr:uid="{6C69850C-055F-4B96-BC29-A791A3E9B653}"/>
    <cellStyle name="Comma 2 2 5 3 4" xfId="3718" xr:uid="{1DBA28AD-7F88-49B9-91F4-54C23A2E90A3}"/>
    <cellStyle name="Comma 2 2 5 3 4 2" xfId="9015" xr:uid="{2DC9369E-2840-4E2D-B42F-D221199B6F6F}"/>
    <cellStyle name="Comma 2 2 5 3 5" xfId="6366" xr:uid="{0F8583D6-CE20-45CE-83F1-31D5AC6805C9}"/>
    <cellStyle name="Comma 2 2 5 4" xfId="1317" xr:uid="{F613798F-EFC1-46FB-BAC6-6990CD4AA032}"/>
    <cellStyle name="Comma 2 2 5 4 2" xfId="1845" xr:uid="{FAB3960D-AF9C-4E85-9EAD-2E69FD371C6B}"/>
    <cellStyle name="Comma 2 2 5 4 2 2" xfId="3185" xr:uid="{114A1A0B-985B-4BF9-AD32-AFE2D91CC609}"/>
    <cellStyle name="Comma 2 2 5 4 2 2 2" xfId="5834" xr:uid="{D4B6B420-0E8E-4FB3-BFBF-D860EB6F0AC4}"/>
    <cellStyle name="Comma 2 2 5 4 2 2 2 2" xfId="11131" xr:uid="{52C81D30-CE44-4D17-802A-DD1CDBD5F1DA}"/>
    <cellStyle name="Comma 2 2 5 4 2 2 3" xfId="8482" xr:uid="{A0ED130B-D2EB-4B48-98EC-893292DA3244}"/>
    <cellStyle name="Comma 2 2 5 4 2 3" xfId="4510" xr:uid="{5FBAD341-F54E-4791-8782-C8175B1DDA5F}"/>
    <cellStyle name="Comma 2 2 5 4 2 3 2" xfId="9807" xr:uid="{1EF36898-AEF6-40A2-A25A-E3EEE6587B50}"/>
    <cellStyle name="Comma 2 2 5 4 2 4" xfId="7158" xr:uid="{0916F033-DEE1-44C2-B858-F5574AE7AAE8}"/>
    <cellStyle name="Comma 2 2 5 4 3" xfId="2657" xr:uid="{1DAB1C7D-AC29-4BDE-B46C-627888D9A292}"/>
    <cellStyle name="Comma 2 2 5 4 3 2" xfId="5306" xr:uid="{5F655420-4632-4C7B-AA43-249BC95FC58A}"/>
    <cellStyle name="Comma 2 2 5 4 3 2 2" xfId="10603" xr:uid="{FB012BBB-E9E1-424F-80AF-BBC62AC61301}"/>
    <cellStyle name="Comma 2 2 5 4 3 3" xfId="7954" xr:uid="{26C47F96-3212-4E50-B199-87C7839083BC}"/>
    <cellStyle name="Comma 2 2 5 4 4" xfId="3982" xr:uid="{5888FD54-E863-4D3E-A737-6958CB0258BE}"/>
    <cellStyle name="Comma 2 2 5 4 4 2" xfId="9279" xr:uid="{7D5109F0-EED3-4361-9BF4-F02523254946}"/>
    <cellStyle name="Comma 2 2 5 4 5" xfId="6630" xr:uid="{395B52E8-F8D1-474B-9AE8-CA942A8C3B60}"/>
    <cellStyle name="Comma 2 2 5 5" xfId="1449" xr:uid="{F7845E29-C701-4E2F-85DC-BE06FEEC2D90}"/>
    <cellStyle name="Comma 2 2 5 5 2" xfId="1977" xr:uid="{B4D1EDC8-BB2D-4980-8F75-E13D018EB487}"/>
    <cellStyle name="Comma 2 2 5 5 2 2" xfId="3317" xr:uid="{C11C87A7-8037-4E7F-B6DE-46F6B921EA67}"/>
    <cellStyle name="Comma 2 2 5 5 2 2 2" xfId="5966" xr:uid="{BA672521-54C1-4CA8-936D-8366512D4E84}"/>
    <cellStyle name="Comma 2 2 5 5 2 2 2 2" xfId="11263" xr:uid="{612A172C-ADEE-41EE-9AFD-F5EF73E301FD}"/>
    <cellStyle name="Comma 2 2 5 5 2 2 3" xfId="8614" xr:uid="{BAC01332-D905-4DDA-8F52-109B580F1B83}"/>
    <cellStyle name="Comma 2 2 5 5 2 3" xfId="4642" xr:uid="{B561B08F-229B-41ED-9F37-17998623B1AB}"/>
    <cellStyle name="Comma 2 2 5 5 2 3 2" xfId="9939" xr:uid="{0BE92D3E-13ED-4878-818E-6D6C1ECC5A40}"/>
    <cellStyle name="Comma 2 2 5 5 2 4" xfId="7290" xr:uid="{7891FD9D-85FA-4533-BE41-9AB4BDEA50ED}"/>
    <cellStyle name="Comma 2 2 5 5 3" xfId="2789" xr:uid="{A188DF4C-3FA7-42F8-A1A3-DDBAFBAA7E0D}"/>
    <cellStyle name="Comma 2 2 5 5 3 2" xfId="5438" xr:uid="{47ACE3AC-E662-409F-A10D-362954760615}"/>
    <cellStyle name="Comma 2 2 5 5 3 2 2" xfId="10735" xr:uid="{EBC9F1B2-4153-48D8-81DA-FAA7BFCBA11B}"/>
    <cellStyle name="Comma 2 2 5 5 3 3" xfId="8086" xr:uid="{A5EF4C4C-E52B-4500-9AAA-F0D7B98AEC30}"/>
    <cellStyle name="Comma 2 2 5 5 4" xfId="4114" xr:uid="{1A771822-6930-4BCA-BEA6-A00A4A333C45}"/>
    <cellStyle name="Comma 2 2 5 5 4 2" xfId="9411" xr:uid="{A581A1FA-1E19-4A94-B0BF-18656425794A}"/>
    <cellStyle name="Comma 2 2 5 5 5" xfId="6762" xr:uid="{EF265323-1822-4F49-BD3D-8BEAFC24D7AE}"/>
    <cellStyle name="Comma 2 2 5 6" xfId="848" xr:uid="{656AC8DE-6038-44E7-9C2E-6ED4059A3F89}"/>
    <cellStyle name="Comma 2 2 5 6 2" xfId="2265" xr:uid="{7CA4DA36-2E69-49DB-B637-33546EE79639}"/>
    <cellStyle name="Comma 2 2 5 6 2 2" xfId="4914" xr:uid="{273B2C0C-0A91-47F7-923C-300F3E979C16}"/>
    <cellStyle name="Comma 2 2 5 6 2 2 2" xfId="10211" xr:uid="{D337623A-AEE6-442B-A1F5-2696B3AB3E13}"/>
    <cellStyle name="Comma 2 2 5 6 2 3" xfId="7562" xr:uid="{897681BB-BE57-4CF6-8EED-43289A339BB9}"/>
    <cellStyle name="Comma 2 2 5 6 3" xfId="3590" xr:uid="{E9AD2126-9F94-4DB0-8BDC-9FD4564DFEDF}"/>
    <cellStyle name="Comma 2 2 5 6 3 2" xfId="8887" xr:uid="{FBA40240-AF54-42FA-A8CB-16A5938D6147}"/>
    <cellStyle name="Comma 2 2 5 6 4" xfId="6238" xr:uid="{9B4AD3BB-FCCC-44AC-B0E4-A9AD9CCB18C5}"/>
    <cellStyle name="Comma 2 2 5 7" xfId="2098" xr:uid="{CB445C2A-8E08-433D-8B54-B855A2E3C0CD}"/>
    <cellStyle name="Comma 2 2 5 7 2" xfId="4747" xr:uid="{5EF1CE26-2C9C-47B1-8CA5-45D9D336F119}"/>
    <cellStyle name="Comma 2 2 5 7 2 2" xfId="10044" xr:uid="{4CCD95D2-0371-43AB-AE55-AAEF701146A8}"/>
    <cellStyle name="Comma 2 2 5 7 3" xfId="7395" xr:uid="{3609C51A-9E37-43DC-8B10-749062317F11}"/>
    <cellStyle name="Comma 2 2 5 8" xfId="3423" xr:uid="{22B149CC-FF53-48ED-9AC5-406EA0A921BC}"/>
    <cellStyle name="Comma 2 2 5 8 2" xfId="8720" xr:uid="{26A6EBAB-8AA6-43F8-ADC3-F562968E001B}"/>
    <cellStyle name="Comma 2 2 5 9" xfId="6071" xr:uid="{AAD3834B-94FD-4FCD-845D-23996F0B4A8E}"/>
    <cellStyle name="Comma 2 2 6" xfId="258" xr:uid="{EAFDF0C8-60EA-45E4-90B7-886908873B6F}"/>
    <cellStyle name="Comma 2 2 6 2" xfId="1131" xr:uid="{ED73D78F-AA97-4D9B-903E-A70BCC6A8FBA}"/>
    <cellStyle name="Comma 2 2 6 2 2" xfId="1664" xr:uid="{D6AF4EA8-49D3-47B8-A94A-82D8B45E1B56}"/>
    <cellStyle name="Comma 2 2 6 2 2 2" xfId="3004" xr:uid="{50ACA865-98B0-471E-BDD0-1AE43B8C3B80}"/>
    <cellStyle name="Comma 2 2 6 2 2 2 2" xfId="5653" xr:uid="{3BCDED18-29A4-46AE-8A23-F2856461EC1A}"/>
    <cellStyle name="Comma 2 2 6 2 2 2 2 2" xfId="10950" xr:uid="{6DC24065-0C65-4FB0-AA9A-44CAAB0D9A14}"/>
    <cellStyle name="Comma 2 2 6 2 2 2 3" xfId="8301" xr:uid="{A5FD564C-8F7E-4279-82F1-FD072F98C982}"/>
    <cellStyle name="Comma 2 2 6 2 2 3" xfId="4329" xr:uid="{EBF8F6AD-D934-4125-B6C5-18A30F7B6B85}"/>
    <cellStyle name="Comma 2 2 6 2 2 3 2" xfId="9626" xr:uid="{A916EB10-E249-42A4-960C-7F4C31469AA7}"/>
    <cellStyle name="Comma 2 2 6 2 2 4" xfId="6977" xr:uid="{0228FB9D-14BC-46D4-961F-E2EB1E4D4018}"/>
    <cellStyle name="Comma 2 2 6 2 3" xfId="2476" xr:uid="{774414A6-DA02-40FE-BC37-D7311F9C0A2A}"/>
    <cellStyle name="Comma 2 2 6 2 3 2" xfId="5125" xr:uid="{9AC09C97-7A62-4127-B359-B425E8CA9CD9}"/>
    <cellStyle name="Comma 2 2 6 2 3 2 2" xfId="10422" xr:uid="{65232930-F2F6-499E-8804-8981AB253D52}"/>
    <cellStyle name="Comma 2 2 6 2 3 3" xfId="7773" xr:uid="{B17F3892-23D3-47CF-AD3A-12B349A1747C}"/>
    <cellStyle name="Comma 2 2 6 2 4" xfId="3801" xr:uid="{A5CCF823-52B2-4107-8E0C-93344E13B9CC}"/>
    <cellStyle name="Comma 2 2 6 2 4 2" xfId="9098" xr:uid="{700CF086-22F8-4E0E-A75E-99AAEB62D0E3}"/>
    <cellStyle name="Comma 2 2 6 2 5" xfId="6449" xr:uid="{0725571A-CD8E-43B0-8BC7-F646EE8C4FED}"/>
    <cellStyle name="Comma 2 2 6 3" xfId="985" xr:uid="{1B0C4036-096E-4B1C-8F65-25897F4F1E22}"/>
    <cellStyle name="Comma 2 2 6 3 2" xfId="1532" xr:uid="{57066E44-2321-4058-AE2A-03D0EF25CB30}"/>
    <cellStyle name="Comma 2 2 6 3 2 2" xfId="2872" xr:uid="{CD74314B-4FFF-4511-B0BD-56FB338785BB}"/>
    <cellStyle name="Comma 2 2 6 3 2 2 2" xfId="5521" xr:uid="{91041231-6058-4FD3-BBBC-7144517BF097}"/>
    <cellStyle name="Comma 2 2 6 3 2 2 2 2" xfId="10818" xr:uid="{1E5228A3-1791-4F0B-AE12-E241BC7B3EDB}"/>
    <cellStyle name="Comma 2 2 6 3 2 2 3" xfId="8169" xr:uid="{A6D105BE-509B-4222-85FD-3170194F8478}"/>
    <cellStyle name="Comma 2 2 6 3 2 3" xfId="4197" xr:uid="{07431551-8AA9-4D0A-8827-55A78CD8D2D7}"/>
    <cellStyle name="Comma 2 2 6 3 2 3 2" xfId="9494" xr:uid="{4023C319-D537-4161-B5F9-854EBFC65333}"/>
    <cellStyle name="Comma 2 2 6 3 2 4" xfId="6845" xr:uid="{42907020-A43A-46A7-AB0B-E4E97ADB9304}"/>
    <cellStyle name="Comma 2 2 6 3 3" xfId="2344" xr:uid="{BFC96209-06D3-4925-85B0-BE9C3341B62E}"/>
    <cellStyle name="Comma 2 2 6 3 3 2" xfId="4993" xr:uid="{8C817B0F-54A0-4D3B-BD02-0D742DB6FE17}"/>
    <cellStyle name="Comma 2 2 6 3 3 2 2" xfId="10290" xr:uid="{5837056C-A8FD-45F2-BF82-55E1CA6DB2C7}"/>
    <cellStyle name="Comma 2 2 6 3 3 3" xfId="7641" xr:uid="{E9A48BA1-C0CA-4439-986D-19D8CC0D8425}"/>
    <cellStyle name="Comma 2 2 6 3 4" xfId="3669" xr:uid="{62D3B8E3-B3FD-4FF5-B999-4411B2A240E0}"/>
    <cellStyle name="Comma 2 2 6 3 4 2" xfId="8966" xr:uid="{8643FED6-1260-4BA5-A35E-5683200AD042}"/>
    <cellStyle name="Comma 2 2 6 3 5" xfId="6317" xr:uid="{B8DBA095-5EF6-485B-B4A8-4ADE662CDEFB}"/>
    <cellStyle name="Comma 2 2 6 4" xfId="1268" xr:uid="{0EF45D72-79FB-43C4-81B5-910656468167}"/>
    <cellStyle name="Comma 2 2 6 4 2" xfId="1796" xr:uid="{697B175D-9E46-4D5D-AFB2-2F0D212D31CA}"/>
    <cellStyle name="Comma 2 2 6 4 2 2" xfId="3136" xr:uid="{CA714988-0B7F-400E-96AD-58F0D2C63D0A}"/>
    <cellStyle name="Comma 2 2 6 4 2 2 2" xfId="5785" xr:uid="{02C6CF20-E03F-44AC-BE36-1C2D42F4F127}"/>
    <cellStyle name="Comma 2 2 6 4 2 2 2 2" xfId="11082" xr:uid="{9F6A5A9B-6C03-4F53-9827-A42E445647A4}"/>
    <cellStyle name="Comma 2 2 6 4 2 2 3" xfId="8433" xr:uid="{64C2507C-A869-4CB3-BA09-903D9538D0CA}"/>
    <cellStyle name="Comma 2 2 6 4 2 3" xfId="4461" xr:uid="{89897DE9-21C2-4724-B63C-E6BB7DC10617}"/>
    <cellStyle name="Comma 2 2 6 4 2 3 2" xfId="9758" xr:uid="{BF8B9632-EA63-4344-A4BA-94CE54EEC405}"/>
    <cellStyle name="Comma 2 2 6 4 2 4" xfId="7109" xr:uid="{D1AFBAE1-A677-4BD9-B41E-8561C1F03821}"/>
    <cellStyle name="Comma 2 2 6 4 3" xfId="2608" xr:uid="{47C8C6D9-7CAD-4C56-8CC4-05305C50B191}"/>
    <cellStyle name="Comma 2 2 6 4 3 2" xfId="5257" xr:uid="{FD716634-A431-41C7-BE50-59EB8E2AC844}"/>
    <cellStyle name="Comma 2 2 6 4 3 2 2" xfId="10554" xr:uid="{AD081C56-7B74-47F0-85E7-5A9F6AC41C33}"/>
    <cellStyle name="Comma 2 2 6 4 3 3" xfId="7905" xr:uid="{422EB355-81A0-4C16-BAA0-9B5BBDCAD397}"/>
    <cellStyle name="Comma 2 2 6 4 4" xfId="3933" xr:uid="{CF4848C4-65EE-4F3C-89D1-27C1DDF504E6}"/>
    <cellStyle name="Comma 2 2 6 4 4 2" xfId="9230" xr:uid="{1E485FEA-3879-4206-A327-98100A8B8A1D}"/>
    <cellStyle name="Comma 2 2 6 4 5" xfId="6581" xr:uid="{37E551CF-142C-4FBD-A464-8497E45B3899}"/>
    <cellStyle name="Comma 2 2 6 5" xfId="1400" xr:uid="{28C30A27-4F7D-431A-9977-357FF9543E68}"/>
    <cellStyle name="Comma 2 2 6 5 2" xfId="1928" xr:uid="{E01B6A66-2F29-4745-A921-56CD51DBF90A}"/>
    <cellStyle name="Comma 2 2 6 5 2 2" xfId="3268" xr:uid="{A5451824-29E4-457A-9213-AB31FC39381C}"/>
    <cellStyle name="Comma 2 2 6 5 2 2 2" xfId="5917" xr:uid="{79709B02-9D92-4744-9A85-86EA8FF9B0C8}"/>
    <cellStyle name="Comma 2 2 6 5 2 2 2 2" xfId="11214" xr:uid="{8420A6DE-0145-499F-9264-BA5186218A4E}"/>
    <cellStyle name="Comma 2 2 6 5 2 2 3" xfId="8565" xr:uid="{C445C3E3-8D1E-45B0-9F57-9A355B457C3C}"/>
    <cellStyle name="Comma 2 2 6 5 2 3" xfId="4593" xr:uid="{D1EC2AE3-ECF9-429C-A7F9-A448DD380F46}"/>
    <cellStyle name="Comma 2 2 6 5 2 3 2" xfId="9890" xr:uid="{53A305AF-F9A6-4F0A-93AE-B2FD52F1A67D}"/>
    <cellStyle name="Comma 2 2 6 5 2 4" xfId="7241" xr:uid="{2BD0BACD-163D-4341-A70F-402A545DAB59}"/>
    <cellStyle name="Comma 2 2 6 5 3" xfId="2740" xr:uid="{EBA68402-08B4-41B4-B2EA-40BBB4E1B29D}"/>
    <cellStyle name="Comma 2 2 6 5 3 2" xfId="5389" xr:uid="{EA1EC6F2-97A0-4063-9A5A-638566345F05}"/>
    <cellStyle name="Comma 2 2 6 5 3 2 2" xfId="10686" xr:uid="{2B5BC7F0-C0C6-45D8-B26C-4E08D4362741}"/>
    <cellStyle name="Comma 2 2 6 5 3 3" xfId="8037" xr:uid="{10297E7C-6BF0-4585-9039-5E7A86F54563}"/>
    <cellStyle name="Comma 2 2 6 5 4" xfId="4065" xr:uid="{704BADE3-A6BD-4590-8533-3F3DD80060D1}"/>
    <cellStyle name="Comma 2 2 6 5 4 2" xfId="9362" xr:uid="{BF371E61-2B40-4495-8ABB-6AABA39DD323}"/>
    <cellStyle name="Comma 2 2 6 5 5" xfId="6713" xr:uid="{B962E6BA-AA3A-483E-B58F-15AE0907E545}"/>
    <cellStyle name="Comma 2 2 6 6" xfId="687" xr:uid="{667E3692-0CEB-4B33-8359-B0D7F6A42A57}"/>
    <cellStyle name="Comma 2 2 6 6 2" xfId="2216" xr:uid="{DE4AC5EE-AE44-4634-A0D4-7C3FFAB3EA3A}"/>
    <cellStyle name="Comma 2 2 6 6 2 2" xfId="4865" xr:uid="{E756BF48-52A3-447B-9F8C-D84698003F78}"/>
    <cellStyle name="Comma 2 2 6 6 2 2 2" xfId="10162" xr:uid="{4394C8A9-BE18-4ECA-9B5D-08F64DE037BF}"/>
    <cellStyle name="Comma 2 2 6 6 2 3" xfId="7513" xr:uid="{2A78DB5D-2221-4B91-95A8-DB12CE4BC8F9}"/>
    <cellStyle name="Comma 2 2 6 6 3" xfId="3541" xr:uid="{DFE2EA38-367F-4EBB-A56B-2D4C72929222}"/>
    <cellStyle name="Comma 2 2 6 6 3 2" xfId="8838" xr:uid="{2871DA67-C938-44F3-9471-0440373AEF54}"/>
    <cellStyle name="Comma 2 2 6 6 4" xfId="6189" xr:uid="{9DB701CF-BD79-4C23-A3FE-8E85646C2A9B}"/>
    <cellStyle name="Comma 2 2 6 7" xfId="2116" xr:uid="{683C45B3-2143-4FBE-96C8-4165247D7373}"/>
    <cellStyle name="Comma 2 2 6 7 2" xfId="4765" xr:uid="{37ED6639-ACA2-41C6-B15F-6251BA31586D}"/>
    <cellStyle name="Comma 2 2 6 7 2 2" xfId="10062" xr:uid="{653127D2-BB0F-41DE-AE2C-F2F4AB6E392A}"/>
    <cellStyle name="Comma 2 2 6 7 3" xfId="7413" xr:uid="{23F7AF58-AC41-4E0F-A1E5-DB143E4C7653}"/>
    <cellStyle name="Comma 2 2 6 8" xfId="3441" xr:uid="{36E29E19-0090-4885-8C88-D0D7BE9099CA}"/>
    <cellStyle name="Comma 2 2 6 8 2" xfId="8738" xr:uid="{63E4C48B-151A-479C-8880-B9CCC8B57C7F}"/>
    <cellStyle name="Comma 2 2 6 9" xfId="6089" xr:uid="{3D4B64BC-574B-4811-B470-E8071BCFDF82}"/>
    <cellStyle name="Comma 2 2 7" xfId="232" xr:uid="{599F6B0C-A135-4E97-8CCC-C86E5B984C5C}"/>
    <cellStyle name="Comma 2 2 7 2" xfId="463" xr:uid="{F5F3390D-B148-4EEC-938C-6C417C181219}"/>
    <cellStyle name="Comma 2 2 7 2 2" xfId="1625" xr:uid="{BF179485-C460-463C-B0FE-4EB9C6C20F4C}"/>
    <cellStyle name="Comma 2 2 7 2 2 2" xfId="2965" xr:uid="{F34489C3-96ED-4352-8372-79E180B6AC6D}"/>
    <cellStyle name="Comma 2 2 7 2 2 2 2" xfId="5614" xr:uid="{61A93B99-687D-41EA-AAEF-1F85F8B5B06F}"/>
    <cellStyle name="Comma 2 2 7 2 2 2 2 2" xfId="10911" xr:uid="{2BD06A1C-33C9-4E9E-8074-076DDBBD9075}"/>
    <cellStyle name="Comma 2 2 7 2 2 2 3" xfId="8262" xr:uid="{B44406ED-554E-4241-8B89-CBF41A64ED06}"/>
    <cellStyle name="Comma 2 2 7 2 2 3" xfId="4290" xr:uid="{6E7825B0-06D5-4702-9F4B-51669AD62EBE}"/>
    <cellStyle name="Comma 2 2 7 2 2 3 2" xfId="9587" xr:uid="{B2FDC2A4-6A99-4D62-A1C9-A288016D5141}"/>
    <cellStyle name="Comma 2 2 7 2 2 4" xfId="6938" xr:uid="{57A461C2-3CFD-4B09-916A-663C66929F9F}"/>
    <cellStyle name="Comma 2 2 7 2 3" xfId="2175" xr:uid="{6995D375-7874-48CF-998D-70F5109F40A5}"/>
    <cellStyle name="Comma 2 2 7 2 3 2" xfId="4824" xr:uid="{05A8488F-4AAE-41F9-AE25-3CB715980C9E}"/>
    <cellStyle name="Comma 2 2 7 2 3 2 2" xfId="10121" xr:uid="{7581C4B3-3C52-4371-97B4-623B81C188AD}"/>
    <cellStyle name="Comma 2 2 7 2 3 3" xfId="7472" xr:uid="{B467F771-7772-44FA-B39A-4C4BF948A99B}"/>
    <cellStyle name="Comma 2 2 7 2 4" xfId="3500" xr:uid="{D062DA47-A690-4B7E-A10B-48E68A5D949F}"/>
    <cellStyle name="Comma 2 2 7 2 4 2" xfId="8797" xr:uid="{B948A8FB-FF28-4B0F-89A1-1B51B6F045E6}"/>
    <cellStyle name="Comma 2 2 7 2 5" xfId="6148" xr:uid="{09244359-FE03-4012-96D3-0EAD22002943}"/>
    <cellStyle name="Comma 2 2 7 3" xfId="1087" xr:uid="{C3690D72-0797-4EC5-960D-A3447A3B0638}"/>
    <cellStyle name="Comma 2 2 7 3 2" xfId="2437" xr:uid="{3AE5B9A8-391D-4D34-B8D1-30862AC9E42A}"/>
    <cellStyle name="Comma 2 2 7 3 2 2" xfId="5086" xr:uid="{5BF55782-F93B-472E-B3C0-56BC0D179E7E}"/>
    <cellStyle name="Comma 2 2 7 3 2 2 2" xfId="10383" xr:uid="{D9790BB8-B2EF-44E4-833F-406B19719512}"/>
    <cellStyle name="Comma 2 2 7 3 2 3" xfId="7734" xr:uid="{53C90B08-442D-4E36-BD0A-F4B640B120DD}"/>
    <cellStyle name="Comma 2 2 7 3 3" xfId="3762" xr:uid="{7C31DA32-85B8-4AD1-846E-8FC4EAF6CC57}"/>
    <cellStyle name="Comma 2 2 7 3 3 2" xfId="9059" xr:uid="{3BBB1203-5ECA-4486-B7D2-C9AB822DA5C2}"/>
    <cellStyle name="Comma 2 2 7 3 4" xfId="6410" xr:uid="{AAA635DF-3A16-40F7-A8A8-56F6F7A46CB7}"/>
    <cellStyle name="Comma 2 2 7 4" xfId="2108" xr:uid="{150A4ED6-F57C-4D93-8AC2-C4F60CF763AF}"/>
    <cellStyle name="Comma 2 2 7 4 2" xfId="4757" xr:uid="{DACEE8BA-307F-4DB7-82DD-586F07091D78}"/>
    <cellStyle name="Comma 2 2 7 4 2 2" xfId="10054" xr:uid="{B9919F0E-5DA4-4A2E-BDB9-7AF8B8B70C86}"/>
    <cellStyle name="Comma 2 2 7 4 3" xfId="7405" xr:uid="{7708D496-352D-48E1-A9B9-B6E482B8529E}"/>
    <cellStyle name="Comma 2 2 7 5" xfId="3433" xr:uid="{13A85261-7DB5-4051-84D9-5979F93FB80B}"/>
    <cellStyle name="Comma 2 2 7 5 2" xfId="8730" xr:uid="{56294DD6-E096-4F67-B522-126BE046A471}"/>
    <cellStyle name="Comma 2 2 7 6" xfId="6081" xr:uid="{EC14BF1B-B861-4DC6-ACED-67C20FEF6E37}"/>
    <cellStyle name="Comma 2 2 8" xfId="940" xr:uid="{58F85CC2-A501-4B34-9ECD-D6E67DCAEAA9}"/>
    <cellStyle name="Comma 2 2 8 2" xfId="1493" xr:uid="{2A7C0966-9267-4A52-A125-EE0883FF27B6}"/>
    <cellStyle name="Comma 2 2 8 2 2" xfId="2833" xr:uid="{140E4EEC-1F35-43B1-96ED-BF317A5DA226}"/>
    <cellStyle name="Comma 2 2 8 2 2 2" xfId="5482" xr:uid="{D0BC7359-83EA-4484-A01B-DAAFDC25E724}"/>
    <cellStyle name="Comma 2 2 8 2 2 2 2" xfId="10779" xr:uid="{72531F20-2845-4DFF-87D5-3DE5F287B294}"/>
    <cellStyle name="Comma 2 2 8 2 2 3" xfId="8130" xr:uid="{FE2F3016-BEC4-4B29-88D8-3C3A3F48C7D3}"/>
    <cellStyle name="Comma 2 2 8 2 3" xfId="4158" xr:uid="{97793C14-843A-44B9-9971-467431D4D0F7}"/>
    <cellStyle name="Comma 2 2 8 2 3 2" xfId="9455" xr:uid="{4A43ADAE-632F-4476-BE47-1E7A2A110E56}"/>
    <cellStyle name="Comma 2 2 8 2 4" xfId="6806" xr:uid="{8D983558-826A-4B6D-8933-C6DB314D8E77}"/>
    <cellStyle name="Comma 2 2 8 3" xfId="2305" xr:uid="{52FFCAB5-EDCB-4117-981B-EEAAE0537406}"/>
    <cellStyle name="Comma 2 2 8 3 2" xfId="4954" xr:uid="{0E033EA7-D6A3-4C98-932D-6644F7707135}"/>
    <cellStyle name="Comma 2 2 8 3 2 2" xfId="10251" xr:uid="{8146DFB4-01F6-4780-80FD-130247566013}"/>
    <cellStyle name="Comma 2 2 8 3 3" xfId="7602" xr:uid="{F0A3DAC8-574D-48AD-9DD7-D77F364970C4}"/>
    <cellStyle name="Comma 2 2 8 4" xfId="3630" xr:uid="{D255E134-6E6F-4673-85F6-F545DA8C32A6}"/>
    <cellStyle name="Comma 2 2 8 4 2" xfId="8927" xr:uid="{66ED1032-3F32-4860-9FFD-DA7552BF7122}"/>
    <cellStyle name="Comma 2 2 8 5" xfId="6278" xr:uid="{158AB8A8-32AD-47C1-8F05-AB27FA8ED0C2}"/>
    <cellStyle name="Comma 2 2 9" xfId="1229" xr:uid="{898715BB-1959-4037-8FC0-C8E7766A5436}"/>
    <cellStyle name="Comma 2 2 9 2" xfId="1757" xr:uid="{FA4975ED-C1D3-49F8-AD96-C8F4BDC0705C}"/>
    <cellStyle name="Comma 2 2 9 2 2" xfId="3097" xr:uid="{0452A817-9EB4-4A91-888D-56EA070F7FA1}"/>
    <cellStyle name="Comma 2 2 9 2 2 2" xfId="5746" xr:uid="{C80D5175-F53A-4149-B46F-47A379D34372}"/>
    <cellStyle name="Comma 2 2 9 2 2 2 2" xfId="11043" xr:uid="{FF4DFEBD-8541-433D-B5F0-BEE14B9E99DC}"/>
    <cellStyle name="Comma 2 2 9 2 2 3" xfId="8394" xr:uid="{6073D779-805F-4B42-B745-2801CC92D9DE}"/>
    <cellStyle name="Comma 2 2 9 2 3" xfId="4422" xr:uid="{F7D8AE97-358C-4B36-B1C4-E859CCC21E18}"/>
    <cellStyle name="Comma 2 2 9 2 3 2" xfId="9719" xr:uid="{979528A1-619F-4DA7-ABB8-625096E3CE9A}"/>
    <cellStyle name="Comma 2 2 9 2 4" xfId="7070" xr:uid="{68AC99F8-2B85-4DA0-9CB2-80226B91C45D}"/>
    <cellStyle name="Comma 2 2 9 3" xfId="2569" xr:uid="{88FD98A4-3C63-43CD-82E5-E5C98E696D45}"/>
    <cellStyle name="Comma 2 2 9 3 2" xfId="5218" xr:uid="{D23959AE-DE6E-410F-A038-6EAE62EED597}"/>
    <cellStyle name="Comma 2 2 9 3 2 2" xfId="10515" xr:uid="{48593870-B06F-454F-B349-BE3BB358703A}"/>
    <cellStyle name="Comma 2 2 9 3 3" xfId="7866" xr:uid="{F787B852-DC8D-44D1-AFB8-0BC980FFBB4A}"/>
    <cellStyle name="Comma 2 2 9 4" xfId="3894" xr:uid="{36E1A8F9-9585-4A2D-8E9E-80C3478065F8}"/>
    <cellStyle name="Comma 2 2 9 4 2" xfId="9191" xr:uid="{51379742-2EDA-409F-B1CE-8CE7FD9C7CE5}"/>
    <cellStyle name="Comma 2 2 9 5" xfId="6542" xr:uid="{629A0183-C2FF-48C8-A560-996B94FDBD99}"/>
    <cellStyle name="Comma 2 3" xfId="39" xr:uid="{520CAEFD-9A1E-424D-86DC-A367156109CA}"/>
    <cellStyle name="Comma 2 3 10" xfId="2029" xr:uid="{EF413CC9-CE5D-4AEA-A717-81595D7455D8}"/>
    <cellStyle name="Comma 2 3 10 2" xfId="3364" xr:uid="{9485E088-6F71-4892-BC4F-6C39B787DC70}"/>
    <cellStyle name="Comma 2 3 10 2 2" xfId="6013" xr:uid="{9E6A4046-AB9D-43F6-808E-1B8A7229953C}"/>
    <cellStyle name="Comma 2 3 10 2 2 2" xfId="11310" xr:uid="{1F103106-C9AC-4AFC-96D6-0AC5DE10A99C}"/>
    <cellStyle name="Comma 2 3 10 2 3" xfId="8661" xr:uid="{C8490822-89B1-499F-9D8D-E33E064F168B}"/>
    <cellStyle name="Comma 2 3 10 3" xfId="4689" xr:uid="{627ACAAC-5BDC-4FB4-A0B8-ABD9401665A6}"/>
    <cellStyle name="Comma 2 3 10 3 2" xfId="9986" xr:uid="{74A1D914-6DF6-4829-85F7-5F77502AE480}"/>
    <cellStyle name="Comma 2 3 10 4" xfId="7337" xr:uid="{C225B4F1-4C92-44BD-AC1E-50576D71CF12}"/>
    <cellStyle name="Comma 2 3 11" xfId="2052" xr:uid="{53D5B7C2-D89E-4EBB-B271-A882EB5BBE10}"/>
    <cellStyle name="Comma 2 3 11 2" xfId="4701" xr:uid="{0C7C2A01-B650-4B23-8828-7EE9A9CB17C0}"/>
    <cellStyle name="Comma 2 3 11 2 2" xfId="9998" xr:uid="{14C3FB9E-823E-45D4-9593-C693BF036384}"/>
    <cellStyle name="Comma 2 3 11 3" xfId="7349" xr:uid="{A346F1BA-BC9D-4611-AA9B-5BB00A2EB782}"/>
    <cellStyle name="Comma 2 3 12" xfId="3377" xr:uid="{ED9E67E3-FDFC-414B-9C0E-65CED295EDA5}"/>
    <cellStyle name="Comma 2 3 12 2" xfId="8674" xr:uid="{57D8AF5A-B699-4AD0-8468-C6330FA3BEE8}"/>
    <cellStyle name="Comma 2 3 13" xfId="6025" xr:uid="{9E52FB16-D036-4C15-84A8-3DC6C459A220}"/>
    <cellStyle name="Comma 2 3 2" xfId="82" xr:uid="{E3D0FCC4-611A-4AAD-80C4-BD3E6846F14B}"/>
    <cellStyle name="Comma 2 3 2 10" xfId="3389" xr:uid="{D387A1B7-85DB-4720-99F1-BCAF5DF27A51}"/>
    <cellStyle name="Comma 2 3 2 10 2" xfId="8686" xr:uid="{D3BBA720-9A19-4193-82C0-4C5AFC319247}"/>
    <cellStyle name="Comma 2 3 2 11" xfId="6037" xr:uid="{57D63048-E321-4401-A4C0-22797AD5CFC7}"/>
    <cellStyle name="Comma 2 3 2 2" xfId="314" xr:uid="{50D1FDD7-79D0-42EE-8E0C-18D083F5281B}"/>
    <cellStyle name="Comma 2 3 2 2 2" xfId="1207" xr:uid="{4FC86DE6-513A-4EB9-8D43-814B27751EED}"/>
    <cellStyle name="Comma 2 3 2 2 2 2" xfId="1735" xr:uid="{038DA7F2-5C88-40BA-8E9B-FDD08409F272}"/>
    <cellStyle name="Comma 2 3 2 2 2 2 2" xfId="3075" xr:uid="{A65FBA2F-F045-401E-ACBC-319FAAD3784A}"/>
    <cellStyle name="Comma 2 3 2 2 2 2 2 2" xfId="5724" xr:uid="{53928774-21CA-4CA9-A7F5-90DB3477E49A}"/>
    <cellStyle name="Comma 2 3 2 2 2 2 2 2 2" xfId="11021" xr:uid="{30060D5D-79E0-4CA2-8CDE-F4A8AA9A58AD}"/>
    <cellStyle name="Comma 2 3 2 2 2 2 2 3" xfId="8372" xr:uid="{1BBF585B-47A5-4980-BBF0-6E438004A741}"/>
    <cellStyle name="Comma 2 3 2 2 2 2 3" xfId="4400" xr:uid="{087E3571-457B-433D-8B86-FA3B80B461F2}"/>
    <cellStyle name="Comma 2 3 2 2 2 2 3 2" xfId="9697" xr:uid="{5D6C426F-3D36-4DEE-9EC0-FF64B7E0CACB}"/>
    <cellStyle name="Comma 2 3 2 2 2 2 4" xfId="7048" xr:uid="{C47827E9-0AF4-4504-8DAA-49034B526AB5}"/>
    <cellStyle name="Comma 2 3 2 2 2 3" xfId="2547" xr:uid="{8CF8C5F0-C1B1-4755-A90F-D2D6FEBD34BB}"/>
    <cellStyle name="Comma 2 3 2 2 2 3 2" xfId="5196" xr:uid="{ADE57ECD-D720-4994-A53A-FC1751B303D0}"/>
    <cellStyle name="Comma 2 3 2 2 2 3 2 2" xfId="10493" xr:uid="{1E94938B-CF89-4A60-BAC6-FDB88D7E7C02}"/>
    <cellStyle name="Comma 2 3 2 2 2 3 3" xfId="7844" xr:uid="{CEB17F90-D32D-44EF-BBD0-1DFD25363C21}"/>
    <cellStyle name="Comma 2 3 2 2 2 4" xfId="3872" xr:uid="{608EFF1B-9465-4186-A68B-435767345CE6}"/>
    <cellStyle name="Comma 2 3 2 2 2 4 2" xfId="9169" xr:uid="{4E1959F2-71AC-4BD7-B28F-6F05B73FA1B3}"/>
    <cellStyle name="Comma 2 3 2 2 2 5" xfId="6520" xr:uid="{F370FB9E-9CCB-461D-B833-20B53336945B}"/>
    <cellStyle name="Comma 2 3 2 2 3" xfId="1064" xr:uid="{6295D43F-E44F-4783-B921-44B02EA39BBF}"/>
    <cellStyle name="Comma 2 3 2 2 3 2" xfId="1603" xr:uid="{696E0D2C-E81E-49C3-AF9B-996E1204D2E6}"/>
    <cellStyle name="Comma 2 3 2 2 3 2 2" xfId="2943" xr:uid="{D8D93BCB-E7D0-4784-A207-1BAE347E0388}"/>
    <cellStyle name="Comma 2 3 2 2 3 2 2 2" xfId="5592" xr:uid="{16DDEDBD-3F47-4E52-98A5-5EA097CFAE57}"/>
    <cellStyle name="Comma 2 3 2 2 3 2 2 2 2" xfId="10889" xr:uid="{294EE737-9DA5-4B3A-B163-94818EB94DA0}"/>
    <cellStyle name="Comma 2 3 2 2 3 2 2 3" xfId="8240" xr:uid="{861EAD2B-B6F5-48FE-B053-975CCE8C773E}"/>
    <cellStyle name="Comma 2 3 2 2 3 2 3" xfId="4268" xr:uid="{BC08EA7F-728C-4D63-A4F8-020F281E485C}"/>
    <cellStyle name="Comma 2 3 2 2 3 2 3 2" xfId="9565" xr:uid="{A55C6758-69C1-49D4-B01F-9B568F6FC983}"/>
    <cellStyle name="Comma 2 3 2 2 3 2 4" xfId="6916" xr:uid="{B1925314-338B-425A-91A3-B48333F660DD}"/>
    <cellStyle name="Comma 2 3 2 2 3 3" xfId="2415" xr:uid="{74FF0ED9-545D-477B-B815-3892C2741657}"/>
    <cellStyle name="Comma 2 3 2 2 3 3 2" xfId="5064" xr:uid="{728DB2BC-2881-4A2A-8744-3D9C733EBE34}"/>
    <cellStyle name="Comma 2 3 2 2 3 3 2 2" xfId="10361" xr:uid="{2FCE8526-DE1A-434A-AACC-4429F596CA44}"/>
    <cellStyle name="Comma 2 3 2 2 3 3 3" xfId="7712" xr:uid="{EBD2845B-E9C7-4D00-A09D-6B41F47EB4E0}"/>
    <cellStyle name="Comma 2 3 2 2 3 4" xfId="3740" xr:uid="{6B921FA8-2F46-4AD5-9117-008F20EE63C4}"/>
    <cellStyle name="Comma 2 3 2 2 3 4 2" xfId="9037" xr:uid="{9DE97B57-6B61-4669-A34E-807EA133992F}"/>
    <cellStyle name="Comma 2 3 2 2 3 5" xfId="6388" xr:uid="{DCFD40D8-EB39-44B9-B82A-90291D7EB89B}"/>
    <cellStyle name="Comma 2 3 2 2 4" xfId="1339" xr:uid="{CCF7764E-1DCA-4531-9120-BC65F2897076}"/>
    <cellStyle name="Comma 2 3 2 2 4 2" xfId="1867" xr:uid="{5F686CE2-3EE1-47E4-AA8E-5E7AF5BB5DF1}"/>
    <cellStyle name="Comma 2 3 2 2 4 2 2" xfId="3207" xr:uid="{B3EE97B2-21B9-4726-A75E-A1E9A7E2678A}"/>
    <cellStyle name="Comma 2 3 2 2 4 2 2 2" xfId="5856" xr:uid="{25EAE7DD-AE07-4B55-A926-FA9463DEEF42}"/>
    <cellStyle name="Comma 2 3 2 2 4 2 2 2 2" xfId="11153" xr:uid="{BC8A90B5-E8AC-499E-B099-BC9310788E66}"/>
    <cellStyle name="Comma 2 3 2 2 4 2 2 3" xfId="8504" xr:uid="{341C71AE-2F90-4ED5-B884-761F80875868}"/>
    <cellStyle name="Comma 2 3 2 2 4 2 3" xfId="4532" xr:uid="{A6213154-C8B0-4618-BDD6-934A76540B14}"/>
    <cellStyle name="Comma 2 3 2 2 4 2 3 2" xfId="9829" xr:uid="{19A9B2CF-F4A6-4208-B1EC-A939B99ED931}"/>
    <cellStyle name="Comma 2 3 2 2 4 2 4" xfId="7180" xr:uid="{A92B1216-4FE4-4FD8-8940-DFBCC3332FEE}"/>
    <cellStyle name="Comma 2 3 2 2 4 3" xfId="2679" xr:uid="{151E3B5C-CE6E-45BB-918A-74D63EADB9A5}"/>
    <cellStyle name="Comma 2 3 2 2 4 3 2" xfId="5328" xr:uid="{C73CE163-4BEA-4191-9914-FA87AE259898}"/>
    <cellStyle name="Comma 2 3 2 2 4 3 2 2" xfId="10625" xr:uid="{65082159-605D-446C-A72F-BB2C88E4F5C5}"/>
    <cellStyle name="Comma 2 3 2 2 4 3 3" xfId="7976" xr:uid="{75BF0A14-C7EB-4700-B01B-01CC09E20C3A}"/>
    <cellStyle name="Comma 2 3 2 2 4 4" xfId="4004" xr:uid="{5AD6B194-1AC0-4F51-9116-D70B9905A39A}"/>
    <cellStyle name="Comma 2 3 2 2 4 4 2" xfId="9301" xr:uid="{42B93BF7-8DC8-4071-96DB-E9E31313B777}"/>
    <cellStyle name="Comma 2 3 2 2 4 5" xfId="6652" xr:uid="{EFB2691E-A07B-4853-9246-3DA5E42B07C7}"/>
    <cellStyle name="Comma 2 3 2 2 5" xfId="1471" xr:uid="{F69F2D18-DFDF-4CCD-A69B-C2B77CE7D139}"/>
    <cellStyle name="Comma 2 3 2 2 5 2" xfId="1999" xr:uid="{082C6DD7-2BFF-4FF1-B5B4-4176DFC15DEB}"/>
    <cellStyle name="Comma 2 3 2 2 5 2 2" xfId="3339" xr:uid="{18D0503F-A52E-4E20-936B-45214D8666AA}"/>
    <cellStyle name="Comma 2 3 2 2 5 2 2 2" xfId="5988" xr:uid="{1EC3756E-4D36-4784-8508-064D0AFE6009}"/>
    <cellStyle name="Comma 2 3 2 2 5 2 2 2 2" xfId="11285" xr:uid="{7036E479-0F0C-48F6-8958-8EBAFA44DC53}"/>
    <cellStyle name="Comma 2 3 2 2 5 2 2 3" xfId="8636" xr:uid="{31EB6B49-0F53-4B10-BF10-0DCD9CAF071C}"/>
    <cellStyle name="Comma 2 3 2 2 5 2 3" xfId="4664" xr:uid="{DA10F419-3474-4BF8-8A53-C9F50FC799C3}"/>
    <cellStyle name="Comma 2 3 2 2 5 2 3 2" xfId="9961" xr:uid="{BBEBA13F-ED5D-4E54-A4B7-099F4499D057}"/>
    <cellStyle name="Comma 2 3 2 2 5 2 4" xfId="7312" xr:uid="{33871215-94AB-4DBF-8870-A66E842D12C3}"/>
    <cellStyle name="Comma 2 3 2 2 5 3" xfId="2811" xr:uid="{F6261A24-4B71-4C0B-9746-50B2FF974D28}"/>
    <cellStyle name="Comma 2 3 2 2 5 3 2" xfId="5460" xr:uid="{E6BCAC05-B414-42D4-80DE-2402F20ABD11}"/>
    <cellStyle name="Comma 2 3 2 2 5 3 2 2" xfId="10757" xr:uid="{E85F4F0C-B17C-4B6E-83F8-EA392AF11D30}"/>
    <cellStyle name="Comma 2 3 2 2 5 3 3" xfId="8108" xr:uid="{4A61F348-54EC-471C-8D0C-706669411D9C}"/>
    <cellStyle name="Comma 2 3 2 2 5 4" xfId="4136" xr:uid="{441195AE-689D-4094-ABA0-080A324D2234}"/>
    <cellStyle name="Comma 2 3 2 2 5 4 2" xfId="9433" xr:uid="{0871AB46-5A59-4CF4-BC9F-14B1AACB72E2}"/>
    <cellStyle name="Comma 2 3 2 2 5 5" xfId="6784" xr:uid="{D9CF6796-B2EE-4BBA-882A-1E00D7C119BC}"/>
    <cellStyle name="Comma 2 3 2 2 6" xfId="918" xr:uid="{12E16380-08B8-4DEE-AAE0-C32CF9D7E3ED}"/>
    <cellStyle name="Comma 2 3 2 2 6 2" xfId="2285" xr:uid="{5E52BAA6-6BE5-4982-B01F-1E4F687CA759}"/>
    <cellStyle name="Comma 2 3 2 2 6 2 2" xfId="4934" xr:uid="{01F78367-8BF0-48C8-A0FA-4E223AB8F024}"/>
    <cellStyle name="Comma 2 3 2 2 6 2 2 2" xfId="10231" xr:uid="{487B6DCA-44D5-40FB-B125-07D138F7228D}"/>
    <cellStyle name="Comma 2 3 2 2 6 2 3" xfId="7582" xr:uid="{3DAF0F02-AEC6-4221-BB95-1F5110BB3499}"/>
    <cellStyle name="Comma 2 3 2 2 6 3" xfId="3610" xr:uid="{B0DA1B60-BCA1-4222-A6F5-1CBDA211D7B7}"/>
    <cellStyle name="Comma 2 3 2 2 6 3 2" xfId="8907" xr:uid="{69A7E188-AB39-4334-B67B-2AFD6166FE9A}"/>
    <cellStyle name="Comma 2 3 2 2 6 4" xfId="6258" xr:uid="{FFEBAB42-4209-4F96-B53D-1FCC239EF74C}"/>
    <cellStyle name="Comma 2 3 2 2 7" xfId="2131" xr:uid="{5ABEEFA2-3AAF-4D06-9ABD-E5AA5D1B1B14}"/>
    <cellStyle name="Comma 2 3 2 2 7 2" xfId="4780" xr:uid="{A6C1011E-025C-4F89-BA98-A03FAAA71C83}"/>
    <cellStyle name="Comma 2 3 2 2 7 2 2" xfId="10077" xr:uid="{80BE37E5-12F9-4E5F-B3DB-4DB74CB2439A}"/>
    <cellStyle name="Comma 2 3 2 2 7 3" xfId="7428" xr:uid="{B62BA298-D266-4582-84AA-F107ACCD447D}"/>
    <cellStyle name="Comma 2 3 2 2 8" xfId="3456" xr:uid="{352B3142-FE6B-4BB1-BE51-32B875601C06}"/>
    <cellStyle name="Comma 2 3 2 2 8 2" xfId="8753" xr:uid="{F5C76434-52B8-490A-8D56-EC959475D285}"/>
    <cellStyle name="Comma 2 3 2 2 9" xfId="6104" xr:uid="{368115F2-211B-4D19-AE91-A3B0547C1963}"/>
    <cellStyle name="Comma 2 3 2 3" xfId="805" xr:uid="{2DB8B203-B0CD-4A39-8E17-EFF2FE6E9DDE}"/>
    <cellStyle name="Comma 2 3 2 3 2" xfId="1166" xr:uid="{2A987CA2-9D04-45F7-95AE-8CA4F6EDCBBC}"/>
    <cellStyle name="Comma 2 3 2 3 2 2" xfId="1698" xr:uid="{FFB37680-4EE5-426B-87E7-19CB6E9301D9}"/>
    <cellStyle name="Comma 2 3 2 3 2 2 2" xfId="3038" xr:uid="{366C9730-24F6-4EB3-B5A6-C692035CF888}"/>
    <cellStyle name="Comma 2 3 2 3 2 2 2 2" xfId="5687" xr:uid="{9E2A6F1A-B814-4F3C-8B84-55A55B0E8F79}"/>
    <cellStyle name="Comma 2 3 2 3 2 2 2 2 2" xfId="10984" xr:uid="{B13CABCA-8143-4B89-ACE3-57F0AD2638C3}"/>
    <cellStyle name="Comma 2 3 2 3 2 2 2 3" xfId="8335" xr:uid="{1BE1946B-0527-4C31-800B-89BB21F95D4F}"/>
    <cellStyle name="Comma 2 3 2 3 2 2 3" xfId="4363" xr:uid="{46C6FA7E-1B9E-44AC-B7AA-631D45C2004A}"/>
    <cellStyle name="Comma 2 3 2 3 2 2 3 2" xfId="9660" xr:uid="{F0027772-A629-408A-9F05-36643EAD918D}"/>
    <cellStyle name="Comma 2 3 2 3 2 2 4" xfId="7011" xr:uid="{C266CAE1-8DEF-4ED7-BE9A-575C744BBBF0}"/>
    <cellStyle name="Comma 2 3 2 3 2 3" xfId="2510" xr:uid="{D5A02AF4-D064-4604-AE8C-B4F441A5457E}"/>
    <cellStyle name="Comma 2 3 2 3 2 3 2" xfId="5159" xr:uid="{E80D3539-0379-4347-8F05-C86DF6F4D751}"/>
    <cellStyle name="Comma 2 3 2 3 2 3 2 2" xfId="10456" xr:uid="{EDF09858-4047-4C9D-808D-3ABB4994EEED}"/>
    <cellStyle name="Comma 2 3 2 3 2 3 3" xfId="7807" xr:uid="{77C7D7C8-018E-4C27-A3D1-4D86FE456D1C}"/>
    <cellStyle name="Comma 2 3 2 3 2 4" xfId="3835" xr:uid="{CAC74D55-2D8A-4F5B-BF35-C61FC70F3301}"/>
    <cellStyle name="Comma 2 3 2 3 2 4 2" xfId="9132" xr:uid="{ACBE4D93-958D-4AE0-890D-F356BDF4D058}"/>
    <cellStyle name="Comma 2 3 2 3 2 5" xfId="6483" xr:uid="{93093EBC-35A1-4B64-9ACA-C7B65661A999}"/>
    <cellStyle name="Comma 2 3 2 3 3" xfId="1022" xr:uid="{2BA97BA8-AC67-411E-BB98-881C0BD73C12}"/>
    <cellStyle name="Comma 2 3 2 3 3 2" xfId="1566" xr:uid="{FF659998-414C-4BE6-B104-61FB99409C67}"/>
    <cellStyle name="Comma 2 3 2 3 3 2 2" xfId="2906" xr:uid="{FC5EE1BE-D6EC-41D8-B188-634062635381}"/>
    <cellStyle name="Comma 2 3 2 3 3 2 2 2" xfId="5555" xr:uid="{01A6C647-042F-4F69-9729-E53FCA629C7B}"/>
    <cellStyle name="Comma 2 3 2 3 3 2 2 2 2" xfId="10852" xr:uid="{F0D89A89-5D7A-4B88-870B-30C7612BC14C}"/>
    <cellStyle name="Comma 2 3 2 3 3 2 2 3" xfId="8203" xr:uid="{C197FF88-713A-496E-9D9F-E7CA91496888}"/>
    <cellStyle name="Comma 2 3 2 3 3 2 3" xfId="4231" xr:uid="{C82C43A9-4702-4175-B4BE-4803381EA895}"/>
    <cellStyle name="Comma 2 3 2 3 3 2 3 2" xfId="9528" xr:uid="{E6EE435E-4A82-4A54-B90A-C98E76FFF6A8}"/>
    <cellStyle name="Comma 2 3 2 3 3 2 4" xfId="6879" xr:uid="{F7F9BB8E-9DCC-4F26-B1EF-B4CFB3AC7E60}"/>
    <cellStyle name="Comma 2 3 2 3 3 3" xfId="2378" xr:uid="{EC2D0CD8-D4A7-4678-9C9D-AE798EC1EBCE}"/>
    <cellStyle name="Comma 2 3 2 3 3 3 2" xfId="5027" xr:uid="{961DBC89-6C0C-430A-A6EB-E6FD8B1E4FF8}"/>
    <cellStyle name="Comma 2 3 2 3 3 3 2 2" xfId="10324" xr:uid="{2C16D486-1D1A-444D-8654-8B2B8BE120FE}"/>
    <cellStyle name="Comma 2 3 2 3 3 3 3" xfId="7675" xr:uid="{0E7523D5-BECE-463B-B602-C5F1C8763A97}"/>
    <cellStyle name="Comma 2 3 2 3 3 4" xfId="3703" xr:uid="{9AF3EEF3-AEE0-4356-8654-6E9636EBD273}"/>
    <cellStyle name="Comma 2 3 2 3 3 4 2" xfId="9000" xr:uid="{9ADF6F35-E4F9-4004-9073-25C7E0448F7E}"/>
    <cellStyle name="Comma 2 3 2 3 3 5" xfId="6351" xr:uid="{69AF2A26-3B24-4B6D-BAF5-C0E4AA1547B1}"/>
    <cellStyle name="Comma 2 3 2 3 4" xfId="1302" xr:uid="{DCF9B0B1-2E51-41C3-9801-392379713F34}"/>
    <cellStyle name="Comma 2 3 2 3 4 2" xfId="1830" xr:uid="{D4126BC7-811B-495B-85F0-DD95D27C100F}"/>
    <cellStyle name="Comma 2 3 2 3 4 2 2" xfId="3170" xr:uid="{0D385AC1-708D-41D7-BAB7-630E7905BC67}"/>
    <cellStyle name="Comma 2 3 2 3 4 2 2 2" xfId="5819" xr:uid="{29A2C81A-854C-411E-9669-8011221FC040}"/>
    <cellStyle name="Comma 2 3 2 3 4 2 2 2 2" xfId="11116" xr:uid="{CD42263D-2721-4B31-AC88-5F375A5B4F84}"/>
    <cellStyle name="Comma 2 3 2 3 4 2 2 3" xfId="8467" xr:uid="{6B70A954-E8CC-4916-A409-529819C111C3}"/>
    <cellStyle name="Comma 2 3 2 3 4 2 3" xfId="4495" xr:uid="{5E228915-20F5-4C88-931F-D0D527345167}"/>
    <cellStyle name="Comma 2 3 2 3 4 2 3 2" xfId="9792" xr:uid="{602CCAD9-B921-4169-8B20-D9CA70BB28FE}"/>
    <cellStyle name="Comma 2 3 2 3 4 2 4" xfId="7143" xr:uid="{0B533C81-659F-4239-B2B6-26B74966F465}"/>
    <cellStyle name="Comma 2 3 2 3 4 3" xfId="2642" xr:uid="{CDC35C31-BF48-4039-B3C6-401A61B8F639}"/>
    <cellStyle name="Comma 2 3 2 3 4 3 2" xfId="5291" xr:uid="{BD862CE0-5BF3-4B0F-B4EB-E175A6A79965}"/>
    <cellStyle name="Comma 2 3 2 3 4 3 2 2" xfId="10588" xr:uid="{224A28A3-F4C2-44FB-B0D0-6887A41A7442}"/>
    <cellStyle name="Comma 2 3 2 3 4 3 3" xfId="7939" xr:uid="{448C4EC2-9782-412A-A22D-9B82E0175CC0}"/>
    <cellStyle name="Comma 2 3 2 3 4 4" xfId="3967" xr:uid="{FCCFA2A6-6DC7-41B6-A767-C5A2075E74AE}"/>
    <cellStyle name="Comma 2 3 2 3 4 4 2" xfId="9264" xr:uid="{D62A1144-4AEC-43AA-BF26-A13C42225DFD}"/>
    <cellStyle name="Comma 2 3 2 3 4 5" xfId="6615" xr:uid="{5B83C8F0-3D44-4346-8394-E366D2734214}"/>
    <cellStyle name="Comma 2 3 2 3 5" xfId="1434" xr:uid="{C1D90938-4250-4D34-A5FA-06B1DF87B487}"/>
    <cellStyle name="Comma 2 3 2 3 5 2" xfId="1962" xr:uid="{3152A395-D12F-4F60-B965-0AF3CD022921}"/>
    <cellStyle name="Comma 2 3 2 3 5 2 2" xfId="3302" xr:uid="{A7C8F6C5-514B-416C-B451-0095D7EDE72A}"/>
    <cellStyle name="Comma 2 3 2 3 5 2 2 2" xfId="5951" xr:uid="{C2039546-FFAD-473C-8BF9-A00D7069FE52}"/>
    <cellStyle name="Comma 2 3 2 3 5 2 2 2 2" xfId="11248" xr:uid="{6BBFCD0B-51D6-471A-8CA5-3FA86F565D12}"/>
    <cellStyle name="Comma 2 3 2 3 5 2 2 3" xfId="8599" xr:uid="{D557A4E2-F902-4E51-A710-82E0B8314362}"/>
    <cellStyle name="Comma 2 3 2 3 5 2 3" xfId="4627" xr:uid="{C1C3491F-CDA1-44FA-BA28-A0B055E28187}"/>
    <cellStyle name="Comma 2 3 2 3 5 2 3 2" xfId="9924" xr:uid="{9B6861DE-1975-4AD8-8C9B-CB502EA04B03}"/>
    <cellStyle name="Comma 2 3 2 3 5 2 4" xfId="7275" xr:uid="{B29E27B0-EFC1-4E8A-AF6C-808D4C78D102}"/>
    <cellStyle name="Comma 2 3 2 3 5 3" xfId="2774" xr:uid="{C76E4A6F-49C8-415D-BA28-708B7FDE1818}"/>
    <cellStyle name="Comma 2 3 2 3 5 3 2" xfId="5423" xr:uid="{2E77B54F-2AB4-4C9C-B089-821E0BD69DF1}"/>
    <cellStyle name="Comma 2 3 2 3 5 3 2 2" xfId="10720" xr:uid="{98502541-43EF-443D-BB4A-99DF0CDCB5EC}"/>
    <cellStyle name="Comma 2 3 2 3 5 3 3" xfId="8071" xr:uid="{DCB1E493-DCE3-44C0-B3EA-0326FADB86A5}"/>
    <cellStyle name="Comma 2 3 2 3 5 4" xfId="4099" xr:uid="{6C5EF62D-606C-44C7-9255-DFCE2B8AAE8E}"/>
    <cellStyle name="Comma 2 3 2 3 5 4 2" xfId="9396" xr:uid="{B0D05C96-01DF-4627-9B06-FD30D59878A3}"/>
    <cellStyle name="Comma 2 3 2 3 5 5" xfId="6747" xr:uid="{5FFB64E5-C3EA-48E5-AC63-0935AFBD26D3}"/>
    <cellStyle name="Comma 2 3 2 3 6" xfId="2250" xr:uid="{02025F89-9161-4753-BC99-AB190EDBAD31}"/>
    <cellStyle name="Comma 2 3 2 3 6 2" xfId="4899" xr:uid="{E5E5736B-9EB8-43CF-8ACC-CEAF7CC12F1C}"/>
    <cellStyle name="Comma 2 3 2 3 6 2 2" xfId="10196" xr:uid="{3FA4933D-08D7-469B-81FE-09A149CE1E5D}"/>
    <cellStyle name="Comma 2 3 2 3 6 3" xfId="7547" xr:uid="{4DBE8764-051B-4075-8F21-767DBAA77A34}"/>
    <cellStyle name="Comma 2 3 2 3 7" xfId="3575" xr:uid="{1F599377-1B59-4386-A93C-9EBBE2D9FBA4}"/>
    <cellStyle name="Comma 2 3 2 3 7 2" xfId="8872" xr:uid="{B9D823AB-AD76-4E2E-9591-1DEE9A8EA7C3}"/>
    <cellStyle name="Comma 2 3 2 3 8" xfId="6223" xr:uid="{B9DC0BA4-2128-4696-824C-40DC8C7C6464}"/>
    <cellStyle name="Comma 2 3 2 4" xfId="1115" xr:uid="{C330C60D-3668-45A6-8868-FAE64F42470B}"/>
    <cellStyle name="Comma 2 3 2 4 2" xfId="1649" xr:uid="{C6D08A33-568A-48A7-86C9-847027326F35}"/>
    <cellStyle name="Comma 2 3 2 4 2 2" xfId="2989" xr:uid="{E36AA17A-9EE2-4B7C-9E35-754A97ED0D2A}"/>
    <cellStyle name="Comma 2 3 2 4 2 2 2" xfId="5638" xr:uid="{6D69FA19-E1B5-41A1-8A2A-8CFA4E49E6EF}"/>
    <cellStyle name="Comma 2 3 2 4 2 2 2 2" xfId="10935" xr:uid="{1E9FBDC7-0D44-465A-816D-4F8E4E2E600E}"/>
    <cellStyle name="Comma 2 3 2 4 2 2 3" xfId="8286" xr:uid="{0D40E213-7763-4646-8732-76AECBC77CE5}"/>
    <cellStyle name="Comma 2 3 2 4 2 3" xfId="4314" xr:uid="{BD062C26-66F9-4973-85D0-C4CCF12FB91C}"/>
    <cellStyle name="Comma 2 3 2 4 2 3 2" xfId="9611" xr:uid="{3D0A10B5-D795-4BE5-B4F4-D63C339A262C}"/>
    <cellStyle name="Comma 2 3 2 4 2 4" xfId="6962" xr:uid="{B9124E2B-92AA-4790-AA20-80BA5AAB5B51}"/>
    <cellStyle name="Comma 2 3 2 4 3" xfId="2461" xr:uid="{BA9ADFAF-A018-48B3-9195-B384F477322B}"/>
    <cellStyle name="Comma 2 3 2 4 3 2" xfId="5110" xr:uid="{ED4DFCE0-F64F-4307-B571-0E982FDB13DD}"/>
    <cellStyle name="Comma 2 3 2 4 3 2 2" xfId="10407" xr:uid="{BF15A2AA-2D07-492A-8D9C-22360F4DCFFC}"/>
    <cellStyle name="Comma 2 3 2 4 3 3" xfId="7758" xr:uid="{BF8D3982-5D6B-4A7B-8AEA-6C7727CF3C4B}"/>
    <cellStyle name="Comma 2 3 2 4 4" xfId="3786" xr:uid="{7D78DCFF-5909-4AC1-BF9F-C2F5B779D4AC}"/>
    <cellStyle name="Comma 2 3 2 4 4 2" xfId="9083" xr:uid="{A1154DE8-A974-41B1-B940-20F19E222B5E}"/>
    <cellStyle name="Comma 2 3 2 4 5" xfId="6434" xr:uid="{54D39DFE-C88D-4D16-8B35-D13FCD25855F}"/>
    <cellStyle name="Comma 2 3 2 5" xfId="969" xr:uid="{57945693-A39F-4AA6-93D7-F2DD1EF2CEF0}"/>
    <cellStyle name="Comma 2 3 2 5 2" xfId="1517" xr:uid="{93F258F2-0AE2-4680-8799-D6A629DBC4C0}"/>
    <cellStyle name="Comma 2 3 2 5 2 2" xfId="2857" xr:uid="{7A6A226A-E094-445F-87B7-F5AE014E5C77}"/>
    <cellStyle name="Comma 2 3 2 5 2 2 2" xfId="5506" xr:uid="{86E47C16-B313-48BC-94B1-51D1C23998A6}"/>
    <cellStyle name="Comma 2 3 2 5 2 2 2 2" xfId="10803" xr:uid="{35E83DAC-A061-48DB-83DC-F4F24BA053DA}"/>
    <cellStyle name="Comma 2 3 2 5 2 2 3" xfId="8154" xr:uid="{CC6DBDCF-C2B6-449D-9C1E-0CB0614BF1AF}"/>
    <cellStyle name="Comma 2 3 2 5 2 3" xfId="4182" xr:uid="{73E26B5B-B052-402E-B973-6FE901C31C0E}"/>
    <cellStyle name="Comma 2 3 2 5 2 3 2" xfId="9479" xr:uid="{26DCC47A-E41C-4ABF-9523-C5C271DF9D47}"/>
    <cellStyle name="Comma 2 3 2 5 2 4" xfId="6830" xr:uid="{81E1E004-4509-491B-ACC1-FE8A22033756}"/>
    <cellStyle name="Comma 2 3 2 5 3" xfId="2329" xr:uid="{F4EF48F6-DB5B-44F5-A4F0-31BC25881E03}"/>
    <cellStyle name="Comma 2 3 2 5 3 2" xfId="4978" xr:uid="{853B1519-5DB6-4A25-B4AF-6D0F2CABB0CB}"/>
    <cellStyle name="Comma 2 3 2 5 3 2 2" xfId="10275" xr:uid="{D4CA3210-F57F-4E19-B3C4-69FFF92EE5FB}"/>
    <cellStyle name="Comma 2 3 2 5 3 3" xfId="7626" xr:uid="{A5F051C9-05D1-43F2-BCE0-028EACC372A0}"/>
    <cellStyle name="Comma 2 3 2 5 4" xfId="3654" xr:uid="{AEDE50AF-025A-446B-8699-9CE6DC23D455}"/>
    <cellStyle name="Comma 2 3 2 5 4 2" xfId="8951" xr:uid="{6172697B-AB44-4C04-B0BA-DB5A9894ADAC}"/>
    <cellStyle name="Comma 2 3 2 5 5" xfId="6302" xr:uid="{674A9C8E-3C37-409C-8069-62B404ADEECD}"/>
    <cellStyle name="Comma 2 3 2 6" xfId="1253" xr:uid="{69FFAED5-E815-43CC-85BF-F63C8C9CA882}"/>
    <cellStyle name="Comma 2 3 2 6 2" xfId="1781" xr:uid="{529C087C-7426-44F1-B0AA-F280F5309591}"/>
    <cellStyle name="Comma 2 3 2 6 2 2" xfId="3121" xr:uid="{0AA4A6EB-7FAE-44EB-AB2C-D4F965F8A641}"/>
    <cellStyle name="Comma 2 3 2 6 2 2 2" xfId="5770" xr:uid="{78A75EAC-3061-4DCF-8C2A-F7507C4779B1}"/>
    <cellStyle name="Comma 2 3 2 6 2 2 2 2" xfId="11067" xr:uid="{0CAEA64F-09C2-40D2-91FC-2D1E1DBCFD5E}"/>
    <cellStyle name="Comma 2 3 2 6 2 2 3" xfId="8418" xr:uid="{D185BE93-5389-4875-9956-FACD3F5A7EC8}"/>
    <cellStyle name="Comma 2 3 2 6 2 3" xfId="4446" xr:uid="{F0C66D41-26F6-4E2D-A736-D0306213E911}"/>
    <cellStyle name="Comma 2 3 2 6 2 3 2" xfId="9743" xr:uid="{89B98340-99FA-44BD-8C97-51C35C0D8507}"/>
    <cellStyle name="Comma 2 3 2 6 2 4" xfId="7094" xr:uid="{2FD30155-E337-4AF3-B4B8-CE5B8EBA09E5}"/>
    <cellStyle name="Comma 2 3 2 6 3" xfId="2593" xr:uid="{1B54B075-BE38-4B11-9F4A-021780BF3147}"/>
    <cellStyle name="Comma 2 3 2 6 3 2" xfId="5242" xr:uid="{4B6B81BE-9392-418E-BD95-A74FEAAFAF6A}"/>
    <cellStyle name="Comma 2 3 2 6 3 2 2" xfId="10539" xr:uid="{C349ABA5-6E12-4AC6-BD12-B239721D150D}"/>
    <cellStyle name="Comma 2 3 2 6 3 3" xfId="7890" xr:uid="{0F8B036E-9731-44CF-9DB4-1F391D575DD1}"/>
    <cellStyle name="Comma 2 3 2 6 4" xfId="3918" xr:uid="{F1EF93E0-0F2A-4E90-BDC3-226DCF85EC43}"/>
    <cellStyle name="Comma 2 3 2 6 4 2" xfId="9215" xr:uid="{39FDA9E2-6048-4186-9D19-A695FC6D707D}"/>
    <cellStyle name="Comma 2 3 2 6 5" xfId="6566" xr:uid="{2269B696-4BCB-4C53-A668-7F4E00A6032C}"/>
    <cellStyle name="Comma 2 3 2 7" xfId="1385" xr:uid="{58B874DF-51C7-475B-B493-AAE44ADC71FA}"/>
    <cellStyle name="Comma 2 3 2 7 2" xfId="1913" xr:uid="{952F45FA-8902-400C-B52B-7AB4B485B837}"/>
    <cellStyle name="Comma 2 3 2 7 2 2" xfId="3253" xr:uid="{5C852443-1726-40C1-9AA6-70DF9393B943}"/>
    <cellStyle name="Comma 2 3 2 7 2 2 2" xfId="5902" xr:uid="{ADB1156B-4DF3-4430-8062-9ACB7B5C4ABA}"/>
    <cellStyle name="Comma 2 3 2 7 2 2 2 2" xfId="11199" xr:uid="{95A270E6-A9E3-4844-B02C-5FC37DC1ADFE}"/>
    <cellStyle name="Comma 2 3 2 7 2 2 3" xfId="8550" xr:uid="{5888372D-6D09-47B9-942E-7DBB4F89A8B7}"/>
    <cellStyle name="Comma 2 3 2 7 2 3" xfId="4578" xr:uid="{62E1745B-8156-4AB4-B786-E177EAC02DC7}"/>
    <cellStyle name="Comma 2 3 2 7 2 3 2" xfId="9875" xr:uid="{86398640-ED08-4CD7-8D8F-ECC39CF6F512}"/>
    <cellStyle name="Comma 2 3 2 7 2 4" xfId="7226" xr:uid="{75A2ECDA-377F-42C0-9C5A-C7C1FDADD652}"/>
    <cellStyle name="Comma 2 3 2 7 3" xfId="2725" xr:uid="{0F0517AA-A63C-43FD-8A5F-96EB2AEA088C}"/>
    <cellStyle name="Comma 2 3 2 7 3 2" xfId="5374" xr:uid="{FED36945-E844-46C6-AAFF-40AE8337DF1F}"/>
    <cellStyle name="Comma 2 3 2 7 3 2 2" xfId="10671" xr:uid="{2F770A77-E91F-49B7-83E9-7F6A6538DB2E}"/>
    <cellStyle name="Comma 2 3 2 7 3 3" xfId="8022" xr:uid="{6064271F-6F72-4AF8-A228-76317B06028E}"/>
    <cellStyle name="Comma 2 3 2 7 4" xfId="4050" xr:uid="{A81E8020-687A-43DD-A4BE-7093344B2072}"/>
    <cellStyle name="Comma 2 3 2 7 4 2" xfId="9347" xr:uid="{17CF4114-CDBF-4563-8A44-3438B5399C26}"/>
    <cellStyle name="Comma 2 3 2 7 5" xfId="6698" xr:uid="{6949FED6-1830-4249-9964-1209B79C841E}"/>
    <cellStyle name="Comma 2 3 2 8" xfId="644" xr:uid="{27B05AB7-DE5F-43B4-B770-03CBA5425D9F}"/>
    <cellStyle name="Comma 2 3 2 8 2" xfId="2204" xr:uid="{F1274288-88CA-4C2E-8B49-205222CD1614}"/>
    <cellStyle name="Comma 2 3 2 8 2 2" xfId="4853" xr:uid="{C0A130FE-3A76-4FA7-A2B0-FD4AD4C10C3F}"/>
    <cellStyle name="Comma 2 3 2 8 2 2 2" xfId="10150" xr:uid="{D905F773-A057-4761-8D36-1459D81A0024}"/>
    <cellStyle name="Comma 2 3 2 8 2 3" xfId="7501" xr:uid="{153759B3-9700-4E80-96D0-3BB22CD74160}"/>
    <cellStyle name="Comma 2 3 2 8 3" xfId="3529" xr:uid="{3C179EF7-6304-4701-A5F3-EF52275E9666}"/>
    <cellStyle name="Comma 2 3 2 8 3 2" xfId="8826" xr:uid="{D723A691-EEC1-4948-A850-E4FD97AF56FA}"/>
    <cellStyle name="Comma 2 3 2 8 4" xfId="6177" xr:uid="{C1B16789-8ECF-4DAB-B248-DE7705610780}"/>
    <cellStyle name="Comma 2 3 2 9" xfId="2064" xr:uid="{18361856-E7C4-48B5-87AA-33966F12E3A2}"/>
    <cellStyle name="Comma 2 3 2 9 2" xfId="4713" xr:uid="{1555FAE6-49FD-4029-B89A-FEEC21C2CA51}"/>
    <cellStyle name="Comma 2 3 2 9 2 2" xfId="10010" xr:uid="{AE9F926E-1BA2-458E-A4AA-63A8D8846BD9}"/>
    <cellStyle name="Comma 2 3 2 9 3" xfId="7361" xr:uid="{156F8398-7814-40DA-93AF-7DB9E2AF625B}"/>
    <cellStyle name="Comma 2 3 3" xfId="125" xr:uid="{B51CDE24-037A-414C-A7DE-03C741899B10}"/>
    <cellStyle name="Comma 2 3 3 2" xfId="357" xr:uid="{8FA99849-4577-4B39-8B98-ACCF10201654}"/>
    <cellStyle name="Comma 2 3 3 2 2" xfId="1714" xr:uid="{6198AED1-8339-448C-B8E4-69923F196C82}"/>
    <cellStyle name="Comma 2 3 3 2 2 2" xfId="3054" xr:uid="{B60C97B9-2A5C-4F7B-9A66-9F323AB04FD9}"/>
    <cellStyle name="Comma 2 3 3 2 2 2 2" xfId="5703" xr:uid="{E3D49559-E61A-4496-90A4-C0CFDCC07C15}"/>
    <cellStyle name="Comma 2 3 3 2 2 2 2 2" xfId="11000" xr:uid="{DFD278F3-556E-4DA3-9041-004017CF1CA7}"/>
    <cellStyle name="Comma 2 3 3 2 2 2 3" xfId="8351" xr:uid="{6CAC0366-6D5C-4D48-8CF9-8A219A69DBC2}"/>
    <cellStyle name="Comma 2 3 3 2 2 3" xfId="4379" xr:uid="{4872018A-2DE8-4E9E-B6EF-369044310CAB}"/>
    <cellStyle name="Comma 2 3 3 2 2 3 2" xfId="9676" xr:uid="{A7D59FE3-EEBC-4D1B-9B86-DBE3F0CE648E}"/>
    <cellStyle name="Comma 2 3 3 2 2 4" xfId="7027" xr:uid="{F065E42B-EAFE-41D2-8ED4-E26F3AE4839A}"/>
    <cellStyle name="Comma 2 3 3 2 3" xfId="1183" xr:uid="{FFDCF19F-7752-461C-956C-D3C5C2759656}"/>
    <cellStyle name="Comma 2 3 3 2 3 2" xfId="2526" xr:uid="{A4DEC7D1-460D-4613-8B9C-92A2AD8B8EFB}"/>
    <cellStyle name="Comma 2 3 3 2 3 2 2" xfId="5175" xr:uid="{7973CED1-178C-4146-9DEE-A29CEC59728B}"/>
    <cellStyle name="Comma 2 3 3 2 3 2 2 2" xfId="10472" xr:uid="{B367301D-7951-45BF-850B-F44FE3A12F17}"/>
    <cellStyle name="Comma 2 3 3 2 3 2 3" xfId="7823" xr:uid="{4A663842-EE95-4CC5-B5F9-ED45A12119B6}"/>
    <cellStyle name="Comma 2 3 3 2 3 3" xfId="3851" xr:uid="{C3D81C37-8172-4B02-913F-FD9CC5EAC79D}"/>
    <cellStyle name="Comma 2 3 3 2 3 3 2" xfId="9148" xr:uid="{36A566FE-4EB8-4C41-9C40-AAFABEB25694}"/>
    <cellStyle name="Comma 2 3 3 2 3 4" xfId="6499" xr:uid="{6CDEA18D-D278-4463-93BA-9007C863964D}"/>
    <cellStyle name="Comma 2 3 3 2 4" xfId="2143" xr:uid="{CA320FC0-D685-4112-8E32-502D709FF21D}"/>
    <cellStyle name="Comma 2 3 3 2 4 2" xfId="4792" xr:uid="{248F7619-A22A-47D0-A488-DC0940F26561}"/>
    <cellStyle name="Comma 2 3 3 2 4 2 2" xfId="10089" xr:uid="{26F69405-91D3-4E10-8649-C4C2916FF1ED}"/>
    <cellStyle name="Comma 2 3 3 2 4 3" xfId="7440" xr:uid="{E113CD52-453A-4DDC-A46D-C7779F874922}"/>
    <cellStyle name="Comma 2 3 3 2 5" xfId="3468" xr:uid="{22236FE4-44A5-46AF-9BE9-9484B3A8AB33}"/>
    <cellStyle name="Comma 2 3 3 2 5 2" xfId="8765" xr:uid="{47C3B8C7-0878-4065-B94A-51F0BF7C8669}"/>
    <cellStyle name="Comma 2 3 3 2 6" xfId="6116" xr:uid="{B93EC288-8DA1-4767-811B-430BF4DCBE41}"/>
    <cellStyle name="Comma 2 3 3 3" xfId="1039" xr:uid="{F2DEF6B4-0628-4707-A40F-02293E23A59B}"/>
    <cellStyle name="Comma 2 3 3 3 2" xfId="1582" xr:uid="{4AC5B081-19C6-40A2-874B-BE862598F5C8}"/>
    <cellStyle name="Comma 2 3 3 3 2 2" xfId="2922" xr:uid="{18CBB19B-B77C-4CA0-9FE2-D76B0E383B0E}"/>
    <cellStyle name="Comma 2 3 3 3 2 2 2" xfId="5571" xr:uid="{3A31FCE3-D5CF-4BE0-B9B6-5C056D838FCB}"/>
    <cellStyle name="Comma 2 3 3 3 2 2 2 2" xfId="10868" xr:uid="{FFC5F168-193E-4A59-A17E-B73B96C9D191}"/>
    <cellStyle name="Comma 2 3 3 3 2 2 3" xfId="8219" xr:uid="{F6C73E65-AC93-44F2-8FDD-FC027DA461EE}"/>
    <cellStyle name="Comma 2 3 3 3 2 3" xfId="4247" xr:uid="{EBF2B7C7-FD9D-42A5-8F0B-9EE684B2EE8F}"/>
    <cellStyle name="Comma 2 3 3 3 2 3 2" xfId="9544" xr:uid="{84FDA82B-52D8-4E68-9B59-408C2F7DAADE}"/>
    <cellStyle name="Comma 2 3 3 3 2 4" xfId="6895" xr:uid="{241870B1-BCA5-4BC2-BDCA-A104572A79F6}"/>
    <cellStyle name="Comma 2 3 3 3 3" xfId="2394" xr:uid="{486B0547-66BC-4ADA-86A1-5C4AB46E6E77}"/>
    <cellStyle name="Comma 2 3 3 3 3 2" xfId="5043" xr:uid="{01595F4D-98E7-4AF3-8BA7-F2E669795A28}"/>
    <cellStyle name="Comma 2 3 3 3 3 2 2" xfId="10340" xr:uid="{984AE77E-6398-4549-B2B3-3B88BAD1125D}"/>
    <cellStyle name="Comma 2 3 3 3 3 3" xfId="7691" xr:uid="{928E8D9A-913E-40D8-9B8F-38D4DCED88A5}"/>
    <cellStyle name="Comma 2 3 3 3 4" xfId="3719" xr:uid="{4263DCAA-E6F4-4AEC-AC48-986EA6B3EDE5}"/>
    <cellStyle name="Comma 2 3 3 3 4 2" xfId="9016" xr:uid="{76C516EC-3DB0-43D0-8BEA-E885B92DF83F}"/>
    <cellStyle name="Comma 2 3 3 3 5" xfId="6367" xr:uid="{AFE8229D-49CE-4EC8-B9A0-46AD0FB3EF77}"/>
    <cellStyle name="Comma 2 3 3 4" xfId="1318" xr:uid="{E9F6BC54-1D8E-44BE-8EBB-ABAB20DFF02B}"/>
    <cellStyle name="Comma 2 3 3 4 2" xfId="1846" xr:uid="{FEB1207D-CA98-400E-BE45-C25A40168209}"/>
    <cellStyle name="Comma 2 3 3 4 2 2" xfId="3186" xr:uid="{4ACC6E85-7461-461F-8762-86B0F967A009}"/>
    <cellStyle name="Comma 2 3 3 4 2 2 2" xfId="5835" xr:uid="{ED716E39-726F-4A81-98A1-A56102AAA0F5}"/>
    <cellStyle name="Comma 2 3 3 4 2 2 2 2" xfId="11132" xr:uid="{3AE3463E-497E-4F9D-AD07-9EBA6DDF5A4A}"/>
    <cellStyle name="Comma 2 3 3 4 2 2 3" xfId="8483" xr:uid="{5106E3A9-57C9-486D-B14C-427157BD4350}"/>
    <cellStyle name="Comma 2 3 3 4 2 3" xfId="4511" xr:uid="{991FF2C4-E0B8-4D78-A912-C94A29BE57D9}"/>
    <cellStyle name="Comma 2 3 3 4 2 3 2" xfId="9808" xr:uid="{A3FB81E0-EDDF-40B6-817B-12AD20999AFC}"/>
    <cellStyle name="Comma 2 3 3 4 2 4" xfId="7159" xr:uid="{739ECB9E-B8DF-46FF-812B-48FE51CEEFA8}"/>
    <cellStyle name="Comma 2 3 3 4 3" xfId="2658" xr:uid="{86BF957F-EB03-4980-A3A8-5935D0C7657B}"/>
    <cellStyle name="Comma 2 3 3 4 3 2" xfId="5307" xr:uid="{2B15F46B-4E10-4F8B-9348-0DD5E698EAF6}"/>
    <cellStyle name="Comma 2 3 3 4 3 2 2" xfId="10604" xr:uid="{BFB544FE-8DBB-46D4-AF41-E93DA80B8874}"/>
    <cellStyle name="Comma 2 3 3 4 3 3" xfId="7955" xr:uid="{44D25CC1-6899-4CA5-993E-0F1AF35285DD}"/>
    <cellStyle name="Comma 2 3 3 4 4" xfId="3983" xr:uid="{C319C646-DE02-4BC9-BEE2-B265E0F35B5A}"/>
    <cellStyle name="Comma 2 3 3 4 4 2" xfId="9280" xr:uid="{24FF22E1-BEEE-42FB-B13E-B829A9F25BAD}"/>
    <cellStyle name="Comma 2 3 3 4 5" xfId="6631" xr:uid="{AEFD45C4-97E9-4D36-86C2-9C70A715E192}"/>
    <cellStyle name="Comma 2 3 3 5" xfId="1450" xr:uid="{E10BBC13-D216-4B18-8ED0-D553DB87AC03}"/>
    <cellStyle name="Comma 2 3 3 5 2" xfId="1978" xr:uid="{F65284E0-FE8C-4F94-A97A-A996F552C2E7}"/>
    <cellStyle name="Comma 2 3 3 5 2 2" xfId="3318" xr:uid="{8959989C-FBC5-441C-9DFD-625EDF2A1B74}"/>
    <cellStyle name="Comma 2 3 3 5 2 2 2" xfId="5967" xr:uid="{7F1AB346-AB73-4ACA-B7B5-320477DED453}"/>
    <cellStyle name="Comma 2 3 3 5 2 2 2 2" xfId="11264" xr:uid="{D7ECA6F7-93D5-4EA1-B2CB-0C99AFCF4F45}"/>
    <cellStyle name="Comma 2 3 3 5 2 2 3" xfId="8615" xr:uid="{4DD922C9-8D20-4B32-96CD-80B90B56E5BF}"/>
    <cellStyle name="Comma 2 3 3 5 2 3" xfId="4643" xr:uid="{F88FFDFC-18AE-4DD5-91C5-2D7297599A02}"/>
    <cellStyle name="Comma 2 3 3 5 2 3 2" xfId="9940" xr:uid="{A39FD04D-DCF8-432F-A664-4811B32A081A}"/>
    <cellStyle name="Comma 2 3 3 5 2 4" xfId="7291" xr:uid="{5CAE28DA-786A-4C00-9FEA-AFB29D8AD43C}"/>
    <cellStyle name="Comma 2 3 3 5 3" xfId="2790" xr:uid="{CA98F480-EA81-4436-8B4B-F415744291FA}"/>
    <cellStyle name="Comma 2 3 3 5 3 2" xfId="5439" xr:uid="{9FAC115D-FE0E-4B7F-8548-863E141F14CE}"/>
    <cellStyle name="Comma 2 3 3 5 3 2 2" xfId="10736" xr:uid="{CC1E60A6-AD37-4260-8470-D4C7239BE0B7}"/>
    <cellStyle name="Comma 2 3 3 5 3 3" xfId="8087" xr:uid="{6ABB7F4E-EDE5-4ADD-878C-16BEFEBCC7A2}"/>
    <cellStyle name="Comma 2 3 3 5 4" xfId="4115" xr:uid="{D15178FB-1FCE-45EA-918C-2E5445E18F4E}"/>
    <cellStyle name="Comma 2 3 3 5 4 2" xfId="9412" xr:uid="{4EA92EFD-EC58-4CDE-958B-512C4F742645}"/>
    <cellStyle name="Comma 2 3 3 5 5" xfId="6763" xr:uid="{EFAA411F-308C-4D37-9619-1722F4C968DD}"/>
    <cellStyle name="Comma 2 3 3 6" xfId="849" xr:uid="{94DEF9F7-624C-4850-AB9D-EF3FBCF93C34}"/>
    <cellStyle name="Comma 2 3 3 6 2" xfId="2266" xr:uid="{79AD6A9E-9465-44B9-9B64-663CABFB306C}"/>
    <cellStyle name="Comma 2 3 3 6 2 2" xfId="4915" xr:uid="{21073E39-EFE5-4C24-A1C3-C9404530CF2D}"/>
    <cellStyle name="Comma 2 3 3 6 2 2 2" xfId="10212" xr:uid="{34DCB6F6-D41A-4B3B-A6B0-5D2E15F53323}"/>
    <cellStyle name="Comma 2 3 3 6 2 3" xfId="7563" xr:uid="{4F8A76D7-6C2C-4C9F-B5AF-AEDA4FD6197F}"/>
    <cellStyle name="Comma 2 3 3 6 3" xfId="3591" xr:uid="{F9C1E44E-3041-45B8-9A15-4856C16A3230}"/>
    <cellStyle name="Comma 2 3 3 6 3 2" xfId="8888" xr:uid="{3503587B-B9D4-4018-ACAD-D34F2ADD9F9C}"/>
    <cellStyle name="Comma 2 3 3 6 4" xfId="6239" xr:uid="{4C927DC6-F254-4015-BC2C-8E60B27977F2}"/>
    <cellStyle name="Comma 2 3 3 7" xfId="2076" xr:uid="{5E354337-2A04-4187-9207-75F5FA1AA450}"/>
    <cellStyle name="Comma 2 3 3 7 2" xfId="4725" xr:uid="{18252C93-0595-4D5B-AA43-BEE4FDCEBE33}"/>
    <cellStyle name="Comma 2 3 3 7 2 2" xfId="10022" xr:uid="{0AB6D16D-0997-47D4-917A-D4FC25C6B6EA}"/>
    <cellStyle name="Comma 2 3 3 7 3" xfId="7373" xr:uid="{9C2E4E20-2B0F-45BB-BB1E-654492ACD29E}"/>
    <cellStyle name="Comma 2 3 3 8" xfId="3401" xr:uid="{427901AE-341A-4B7D-B455-094A243564AA}"/>
    <cellStyle name="Comma 2 3 3 8 2" xfId="8698" xr:uid="{A820461C-2AED-492B-8BF3-FB01EBA2189A}"/>
    <cellStyle name="Comma 2 3 3 9" xfId="6049" xr:uid="{6AD8E9CA-A22F-488E-A65F-7CFCDD3D4B3D}"/>
    <cellStyle name="Comma 2 3 4" xfId="171" xr:uid="{DED28402-F32B-405D-A31B-D70416B12EDF}"/>
    <cellStyle name="Comma 2 3 4 2" xfId="403" xr:uid="{ADE089C2-D438-488D-84F9-4CD442ECD97F}"/>
    <cellStyle name="Comma 2 3 4 2 2" xfId="1674" xr:uid="{2FC64A8E-9559-4ED1-8053-3FB2F1055D62}"/>
    <cellStyle name="Comma 2 3 4 2 2 2" xfId="3014" xr:uid="{1F89DAC9-09E8-4F57-8F3B-450D4AB2C86E}"/>
    <cellStyle name="Comma 2 3 4 2 2 2 2" xfId="5663" xr:uid="{0FE333C5-4D87-4B1C-BF47-CEC91531907F}"/>
    <cellStyle name="Comma 2 3 4 2 2 2 2 2" xfId="10960" xr:uid="{B0224409-F71E-4DAE-A3AC-3F5CD7F0AB3D}"/>
    <cellStyle name="Comma 2 3 4 2 2 2 3" xfId="8311" xr:uid="{CCBC96AD-52E9-4C61-84F7-BFC5FB60AA8B}"/>
    <cellStyle name="Comma 2 3 4 2 2 3" xfId="4339" xr:uid="{06842B28-D91F-48C9-8BC8-99B5AABA3B10}"/>
    <cellStyle name="Comma 2 3 4 2 2 3 2" xfId="9636" xr:uid="{9391DD59-288C-432A-80EE-7D0877F566DB}"/>
    <cellStyle name="Comma 2 3 4 2 2 4" xfId="6987" xr:uid="{EE794E87-FBE7-4F52-B5C1-6F7F66EEB421}"/>
    <cellStyle name="Comma 2 3 4 2 3" xfId="1142" xr:uid="{74B4AF97-C1EF-41FF-B212-44A40F6C7C23}"/>
    <cellStyle name="Comma 2 3 4 2 3 2" xfId="2486" xr:uid="{E88C5A8E-812C-4674-8EF3-6A404AEB83F0}"/>
    <cellStyle name="Comma 2 3 4 2 3 2 2" xfId="5135" xr:uid="{F3E165DA-7351-47AA-839F-CF3BB33F4D29}"/>
    <cellStyle name="Comma 2 3 4 2 3 2 2 2" xfId="10432" xr:uid="{74471A08-7BE0-4D62-9C80-AAF3DACF2BB4}"/>
    <cellStyle name="Comma 2 3 4 2 3 2 3" xfId="7783" xr:uid="{367939F0-A8A6-4E44-8891-C155DF7B77DB}"/>
    <cellStyle name="Comma 2 3 4 2 3 3" xfId="3811" xr:uid="{EF235EDB-BBCE-4789-86CD-6E402383D7E9}"/>
    <cellStyle name="Comma 2 3 4 2 3 3 2" xfId="9108" xr:uid="{D3BA96D4-507B-46B2-8E49-3E62F336756E}"/>
    <cellStyle name="Comma 2 3 4 2 3 4" xfId="6459" xr:uid="{D7A0D5D6-8D1E-4504-A90C-988E07CD14A9}"/>
    <cellStyle name="Comma 2 3 4 2 4" xfId="2156" xr:uid="{8373D111-1D1F-480F-B5DE-4B86469B5E84}"/>
    <cellStyle name="Comma 2 3 4 2 4 2" xfId="4805" xr:uid="{19974813-ABD9-4118-A7DF-CAEEBB045D56}"/>
    <cellStyle name="Comma 2 3 4 2 4 2 2" xfId="10102" xr:uid="{289AE3DC-D9DD-45AB-BCF6-8D3056D8A890}"/>
    <cellStyle name="Comma 2 3 4 2 4 3" xfId="7453" xr:uid="{27607A89-371B-41F0-B0FB-8076F8DB4ECE}"/>
    <cellStyle name="Comma 2 3 4 2 5" xfId="3481" xr:uid="{2899EC0D-E518-41DF-9AB8-E30ACEE1EBF3}"/>
    <cellStyle name="Comma 2 3 4 2 5 2" xfId="8778" xr:uid="{DA0235AB-3DE9-4DB3-93F9-EB775493D263}"/>
    <cellStyle name="Comma 2 3 4 2 6" xfId="6129" xr:uid="{FB95A086-58C1-4DC7-A4E9-850BD723D96A}"/>
    <cellStyle name="Comma 2 3 4 3" xfId="998" xr:uid="{FB8C2DC9-1516-4DDA-8811-A643E2695E75}"/>
    <cellStyle name="Comma 2 3 4 3 2" xfId="1542" xr:uid="{86937838-8526-41D4-AA02-4B4E830C6FE7}"/>
    <cellStyle name="Comma 2 3 4 3 2 2" xfId="2882" xr:uid="{92935C97-A0CF-4806-816B-32D0C3271E0E}"/>
    <cellStyle name="Comma 2 3 4 3 2 2 2" xfId="5531" xr:uid="{F0C61951-23E9-4CB7-B14C-032AC0F83C52}"/>
    <cellStyle name="Comma 2 3 4 3 2 2 2 2" xfId="10828" xr:uid="{C0BE7CD3-218D-4118-9416-7DA639F26156}"/>
    <cellStyle name="Comma 2 3 4 3 2 2 3" xfId="8179" xr:uid="{D1EFEAAC-A8D9-4A10-BFB7-69DFD2C11D50}"/>
    <cellStyle name="Comma 2 3 4 3 2 3" xfId="4207" xr:uid="{DD438556-6042-4337-B439-0B752A9B84B3}"/>
    <cellStyle name="Comma 2 3 4 3 2 3 2" xfId="9504" xr:uid="{53D29795-F3B8-4457-A5E9-86B1E2B2E0F4}"/>
    <cellStyle name="Comma 2 3 4 3 2 4" xfId="6855" xr:uid="{B6CE450C-9319-4A65-90F5-ECEB2C0B3F72}"/>
    <cellStyle name="Comma 2 3 4 3 3" xfId="2354" xr:uid="{2848A1E3-9BFD-46A4-9A6C-C27D725C0320}"/>
    <cellStyle name="Comma 2 3 4 3 3 2" xfId="5003" xr:uid="{8A7A7DFB-5105-48F9-A25C-E0A05BD16CF3}"/>
    <cellStyle name="Comma 2 3 4 3 3 2 2" xfId="10300" xr:uid="{9CDB83D3-2048-44AF-AFC2-0BCB3C22141B}"/>
    <cellStyle name="Comma 2 3 4 3 3 3" xfId="7651" xr:uid="{D73F9DE5-6655-448D-A3C0-8022F0604DB2}"/>
    <cellStyle name="Comma 2 3 4 3 4" xfId="3679" xr:uid="{19F67B06-4B40-4B2C-8624-DEC2F2021627}"/>
    <cellStyle name="Comma 2 3 4 3 4 2" xfId="8976" xr:uid="{571F9DAC-2C72-4171-A15E-92E7D6416659}"/>
    <cellStyle name="Comma 2 3 4 3 5" xfId="6327" xr:uid="{61A2CCE0-6566-4FEE-8CC1-A46AF9FEB0E0}"/>
    <cellStyle name="Comma 2 3 4 4" xfId="1278" xr:uid="{E802953E-F6E5-44DB-8CE0-61E4A4930957}"/>
    <cellStyle name="Comma 2 3 4 4 2" xfId="1806" xr:uid="{6EA4B413-C1DD-4C5E-B4A5-539273BECA92}"/>
    <cellStyle name="Comma 2 3 4 4 2 2" xfId="3146" xr:uid="{6729CDD3-D979-4485-AE45-41847327F7B9}"/>
    <cellStyle name="Comma 2 3 4 4 2 2 2" xfId="5795" xr:uid="{5287C783-2EB7-46C6-ABEC-6BF33458E0EC}"/>
    <cellStyle name="Comma 2 3 4 4 2 2 2 2" xfId="11092" xr:uid="{D7E88F18-885D-41AA-AB35-B11DD8BC1479}"/>
    <cellStyle name="Comma 2 3 4 4 2 2 3" xfId="8443" xr:uid="{E7511603-63DB-4464-9062-119396DBF4C6}"/>
    <cellStyle name="Comma 2 3 4 4 2 3" xfId="4471" xr:uid="{E867BDFC-3508-4D98-9072-666AEE930B21}"/>
    <cellStyle name="Comma 2 3 4 4 2 3 2" xfId="9768" xr:uid="{60E0DCF0-6E6D-4175-A7E9-3826BD33781A}"/>
    <cellStyle name="Comma 2 3 4 4 2 4" xfId="7119" xr:uid="{635E51E0-E479-485D-AA78-FA9A0F142F92}"/>
    <cellStyle name="Comma 2 3 4 4 3" xfId="2618" xr:uid="{239E4CC9-3466-437F-BD1D-6BCA1CD668DF}"/>
    <cellStyle name="Comma 2 3 4 4 3 2" xfId="5267" xr:uid="{DE8F6796-B7B6-4F38-B868-7A21C7897E41}"/>
    <cellStyle name="Comma 2 3 4 4 3 2 2" xfId="10564" xr:uid="{E86E942C-44FD-4A7E-A619-41ED5EFF388E}"/>
    <cellStyle name="Comma 2 3 4 4 3 3" xfId="7915" xr:uid="{E589C9B1-F221-4600-927C-FAB009465DB8}"/>
    <cellStyle name="Comma 2 3 4 4 4" xfId="3943" xr:uid="{C1D2EDB1-E36D-46BE-BB17-5E9523723727}"/>
    <cellStyle name="Comma 2 3 4 4 4 2" xfId="9240" xr:uid="{F7DDC9DC-BC3F-4359-BC8A-2D74BCF084CB}"/>
    <cellStyle name="Comma 2 3 4 4 5" xfId="6591" xr:uid="{681F68A7-049E-42FE-9E76-AF3472FFC654}"/>
    <cellStyle name="Comma 2 3 4 5" xfId="1410" xr:uid="{2B5A9ECA-743F-4BEC-B3DD-D232901DFABD}"/>
    <cellStyle name="Comma 2 3 4 5 2" xfId="1938" xr:uid="{37329AF5-84F6-4CE6-9530-4DB405787BFF}"/>
    <cellStyle name="Comma 2 3 4 5 2 2" xfId="3278" xr:uid="{BDFA6FFC-EB88-4AAC-AE81-387E6540754D}"/>
    <cellStyle name="Comma 2 3 4 5 2 2 2" xfId="5927" xr:uid="{09E1A7B0-1689-46CF-A302-8B0D84C6004D}"/>
    <cellStyle name="Comma 2 3 4 5 2 2 2 2" xfId="11224" xr:uid="{90DC8C6E-9718-44A6-ACC7-5467E9FBD780}"/>
    <cellStyle name="Comma 2 3 4 5 2 2 3" xfId="8575" xr:uid="{843335C5-CA33-4306-9D5D-90B0FA8656B8}"/>
    <cellStyle name="Comma 2 3 4 5 2 3" xfId="4603" xr:uid="{B11BC996-C098-4743-A504-65D4D1D9417E}"/>
    <cellStyle name="Comma 2 3 4 5 2 3 2" xfId="9900" xr:uid="{AA782306-348C-44E0-BE0B-625A02F30AD5}"/>
    <cellStyle name="Comma 2 3 4 5 2 4" xfId="7251" xr:uid="{DC0246E6-5E7B-41D7-B9C5-A134A0E68758}"/>
    <cellStyle name="Comma 2 3 4 5 3" xfId="2750" xr:uid="{3C17761C-82DF-4329-AA83-D439B6C913FE}"/>
    <cellStyle name="Comma 2 3 4 5 3 2" xfId="5399" xr:uid="{FC7BC8D8-36E7-46F4-9B2B-A8C2F3064498}"/>
    <cellStyle name="Comma 2 3 4 5 3 2 2" xfId="10696" xr:uid="{891CD89D-C7C6-46E9-AF8E-F4CFF6602694}"/>
    <cellStyle name="Comma 2 3 4 5 3 3" xfId="8047" xr:uid="{E5BF8643-BD96-48F4-B4E3-1AE8F911300E}"/>
    <cellStyle name="Comma 2 3 4 5 4" xfId="4075" xr:uid="{C47F0AD8-DB12-4A04-8AE7-732A5CBDA1C1}"/>
    <cellStyle name="Comma 2 3 4 5 4 2" xfId="9372" xr:uid="{BB3BAA8B-8A3A-4266-B3CA-DC51041372F8}"/>
    <cellStyle name="Comma 2 3 4 5 5" xfId="6723" xr:uid="{331C2268-D648-45C6-975F-6223BD5B86E1}"/>
    <cellStyle name="Comma 2 3 4 6" xfId="736" xr:uid="{4C710429-8EDA-42D3-8BBD-D123A9A9B407}"/>
    <cellStyle name="Comma 2 3 4 6 2" xfId="2226" xr:uid="{FEAB5B8C-9A64-4032-9313-127395D6B851}"/>
    <cellStyle name="Comma 2 3 4 6 2 2" xfId="4875" xr:uid="{92BFACBE-3E7F-45E4-B70E-70FF1F42F6EE}"/>
    <cellStyle name="Comma 2 3 4 6 2 2 2" xfId="10172" xr:uid="{072044F5-E716-4785-8DE3-44E7BD4149F1}"/>
    <cellStyle name="Comma 2 3 4 6 2 3" xfId="7523" xr:uid="{713406C0-4863-4D74-A148-0D8BD2812740}"/>
    <cellStyle name="Comma 2 3 4 6 3" xfId="3551" xr:uid="{DD647832-F463-4FEA-8733-988B82EE956C}"/>
    <cellStyle name="Comma 2 3 4 6 3 2" xfId="8848" xr:uid="{6AA4EE2F-4C29-469C-B475-068AD1A2EEE6}"/>
    <cellStyle name="Comma 2 3 4 6 4" xfId="6199" xr:uid="{F12A4D66-8B97-49BC-9D27-E086806897AE}"/>
    <cellStyle name="Comma 2 3 4 7" xfId="2089" xr:uid="{D0B4E521-3FA5-4C8D-98EE-069BCD3814E4}"/>
    <cellStyle name="Comma 2 3 4 7 2" xfId="4738" xr:uid="{30EF6C3E-105E-4E3C-812E-B148C6C640D7}"/>
    <cellStyle name="Comma 2 3 4 7 2 2" xfId="10035" xr:uid="{10621327-BC62-46AA-8D6E-45BF92385AEA}"/>
    <cellStyle name="Comma 2 3 4 7 3" xfId="7386" xr:uid="{7C51A803-E7CB-424A-B26C-AEA955410DB7}"/>
    <cellStyle name="Comma 2 3 4 8" xfId="3414" xr:uid="{9812DB77-B22F-4838-9226-C9360AE3854D}"/>
    <cellStyle name="Comma 2 3 4 8 2" xfId="8711" xr:uid="{21D27B1C-C3B7-4805-9460-75532520F3A0}"/>
    <cellStyle name="Comma 2 3 4 9" xfId="6062" xr:uid="{2453F91E-A1AF-42F1-B723-A77D1BEADD6D}"/>
    <cellStyle name="Comma 2 3 5" xfId="214" xr:uid="{FA90A0D9-FD33-4459-961A-8F582B992FDB}"/>
    <cellStyle name="Comma 2 3 5 2" xfId="446" xr:uid="{32E29228-4EC0-4CBC-A56D-5036DBE87678}"/>
    <cellStyle name="Comma 2 3 5 2 2" xfId="1626" xr:uid="{3148798D-C4BE-4F4C-B43B-AEDCCC41AC32}"/>
    <cellStyle name="Comma 2 3 5 2 2 2" xfId="2966" xr:uid="{CC326FE6-3807-4B22-A3C3-64BBB213B8D0}"/>
    <cellStyle name="Comma 2 3 5 2 2 2 2" xfId="5615" xr:uid="{F40183A6-3DBC-4254-B2FA-23F18CD30377}"/>
    <cellStyle name="Comma 2 3 5 2 2 2 2 2" xfId="10912" xr:uid="{2012B4F9-9943-4A43-A704-363267EB0F5B}"/>
    <cellStyle name="Comma 2 3 5 2 2 2 3" xfId="8263" xr:uid="{58EF92CB-9A29-478E-BA81-AD05B989881F}"/>
    <cellStyle name="Comma 2 3 5 2 2 3" xfId="4291" xr:uid="{B20B4663-7F7F-4C37-9D42-11DDC459D89E}"/>
    <cellStyle name="Comma 2 3 5 2 2 3 2" xfId="9588" xr:uid="{5F886798-93E1-4E53-B6E8-60473E4C16E5}"/>
    <cellStyle name="Comma 2 3 5 2 2 4" xfId="6939" xr:uid="{D82C6201-57CD-4FBA-8C95-2602342477B7}"/>
    <cellStyle name="Comma 2 3 5 2 3" xfId="2168" xr:uid="{A3D4718C-D09F-494C-822B-B44F7DBC3255}"/>
    <cellStyle name="Comma 2 3 5 2 3 2" xfId="4817" xr:uid="{5AC50C2E-7EB9-41E8-B160-33AE7C339E0D}"/>
    <cellStyle name="Comma 2 3 5 2 3 2 2" xfId="10114" xr:uid="{7DD558DA-D4FF-4D05-8C13-475382CAEE59}"/>
    <cellStyle name="Comma 2 3 5 2 3 3" xfId="7465" xr:uid="{3F46A3AF-3A33-43AA-B1F6-A445E3DEDC2C}"/>
    <cellStyle name="Comma 2 3 5 2 4" xfId="3493" xr:uid="{F7B9BBE4-C54A-41A8-A314-DCAB2EF28F28}"/>
    <cellStyle name="Comma 2 3 5 2 4 2" xfId="8790" xr:uid="{32FF3D72-E49A-46FB-ADEB-D1C431487321}"/>
    <cellStyle name="Comma 2 3 5 2 5" xfId="6141" xr:uid="{19775DFD-1B93-444F-B91C-B96B16260B5E}"/>
    <cellStyle name="Comma 2 3 5 3" xfId="1088" xr:uid="{CC36C520-F4B6-4B8C-8F27-5498BC7298EA}"/>
    <cellStyle name="Comma 2 3 5 3 2" xfId="2438" xr:uid="{3B58C9E0-D00E-4239-B94C-154167F3CB96}"/>
    <cellStyle name="Comma 2 3 5 3 2 2" xfId="5087" xr:uid="{3E6BC1E2-DEF5-4FC1-A069-304CF3E8EC9B}"/>
    <cellStyle name="Comma 2 3 5 3 2 2 2" xfId="10384" xr:uid="{84324AD9-8B5A-4650-A8BF-DDE470E5B881}"/>
    <cellStyle name="Comma 2 3 5 3 2 3" xfId="7735" xr:uid="{04C811E8-1AB4-4A5A-A695-89ACB126A493}"/>
    <cellStyle name="Comma 2 3 5 3 3" xfId="3763" xr:uid="{77F467B4-1437-4A6F-8D82-07388239A797}"/>
    <cellStyle name="Comma 2 3 5 3 3 2" xfId="9060" xr:uid="{A0A595D8-AFC2-4100-973B-EBE83B459B86}"/>
    <cellStyle name="Comma 2 3 5 3 4" xfId="6411" xr:uid="{DA74F210-97E3-4A40-8F19-94E825D7FF0A}"/>
    <cellStyle name="Comma 2 3 5 4" xfId="2101" xr:uid="{468BEBB7-F2D9-46E9-8008-7FE5E02C6A89}"/>
    <cellStyle name="Comma 2 3 5 4 2" xfId="4750" xr:uid="{A2D9760D-323D-498D-8504-2736E53B27A0}"/>
    <cellStyle name="Comma 2 3 5 4 2 2" xfId="10047" xr:uid="{E657857A-C096-4786-9E9F-A01563DA6646}"/>
    <cellStyle name="Comma 2 3 5 4 3" xfId="7398" xr:uid="{1E8AA916-23D0-4AD5-A8AB-81CD4701487F}"/>
    <cellStyle name="Comma 2 3 5 5" xfId="3426" xr:uid="{0C394676-EEB2-4BE0-A646-C2C44436662B}"/>
    <cellStyle name="Comma 2 3 5 5 2" xfId="8723" xr:uid="{4CEA9846-1A6A-456B-99A0-816EB2B39356}"/>
    <cellStyle name="Comma 2 3 5 6" xfId="6074" xr:uid="{50AFE9E4-CDC4-4244-99D9-99C81C3F35B6}"/>
    <cellStyle name="Comma 2 3 6" xfId="271" xr:uid="{4345898D-2BBA-473E-9E81-6A1F02EE211F}"/>
    <cellStyle name="Comma 2 3 6 2" xfId="1494" xr:uid="{29D80D7E-5820-4529-88B5-DDC2EFEC2A76}"/>
    <cellStyle name="Comma 2 3 6 2 2" xfId="2834" xr:uid="{08D35C3A-8452-4F3F-9227-8412CB154F6E}"/>
    <cellStyle name="Comma 2 3 6 2 2 2" xfId="5483" xr:uid="{BA7FF1C2-834F-4433-8BE0-608928F78ECB}"/>
    <cellStyle name="Comma 2 3 6 2 2 2 2" xfId="10780" xr:uid="{E46618CF-284C-4674-A13C-348F2CCE739D}"/>
    <cellStyle name="Comma 2 3 6 2 2 3" xfId="8131" xr:uid="{674D311F-442F-4D77-AAE2-8BCD75604E43}"/>
    <cellStyle name="Comma 2 3 6 2 3" xfId="4159" xr:uid="{E3F938B4-1C28-41C5-91E1-15424ED9BF61}"/>
    <cellStyle name="Comma 2 3 6 2 3 2" xfId="9456" xr:uid="{25522786-E704-41F4-9829-13A21EF23C69}"/>
    <cellStyle name="Comma 2 3 6 2 4" xfId="6807" xr:uid="{24E6E29A-476C-411C-980A-1277915EAFA8}"/>
    <cellStyle name="Comma 2 3 6 3" xfId="941" xr:uid="{0E2D844C-A8C0-4758-82B7-A8994951A79F}"/>
    <cellStyle name="Comma 2 3 6 3 2" xfId="2306" xr:uid="{D1710939-A931-4737-B21A-310969315075}"/>
    <cellStyle name="Comma 2 3 6 3 2 2" xfId="4955" xr:uid="{78BF27B7-1439-4AA1-ABA1-DBAD5B9DAEC0}"/>
    <cellStyle name="Comma 2 3 6 3 2 2 2" xfId="10252" xr:uid="{2E0AE86B-8902-4FE3-BD90-2CE1C0DE5203}"/>
    <cellStyle name="Comma 2 3 6 3 2 3" xfId="7603" xr:uid="{7A5D270E-6AA4-4A12-991E-F42F0EAB5BC5}"/>
    <cellStyle name="Comma 2 3 6 3 3" xfId="3631" xr:uid="{24F599F2-691E-4FF2-97CA-24287E9BCBA2}"/>
    <cellStyle name="Comma 2 3 6 3 3 2" xfId="8928" xr:uid="{CBCD564E-BF5A-4E66-83B3-26E2CD35A787}"/>
    <cellStyle name="Comma 2 3 6 3 4" xfId="6279" xr:uid="{6BA0D72A-7B24-4DF2-92FD-F0B8CDBD54BB}"/>
    <cellStyle name="Comma 2 3 6 4" xfId="2119" xr:uid="{09C8C94D-7EBC-4B4C-A9C9-F8E31E3C5985}"/>
    <cellStyle name="Comma 2 3 6 4 2" xfId="4768" xr:uid="{0B9D8F5E-4F69-4928-8446-5E810385F86A}"/>
    <cellStyle name="Comma 2 3 6 4 2 2" xfId="10065" xr:uid="{32EA9533-6F83-48F3-A203-F9D19A0175C5}"/>
    <cellStyle name="Comma 2 3 6 4 3" xfId="7416" xr:uid="{48DF18C5-6BC0-4095-9F01-A9954D19951B}"/>
    <cellStyle name="Comma 2 3 6 5" xfId="3444" xr:uid="{A29A4201-45F3-4B9B-B9BA-C084C155C1A5}"/>
    <cellStyle name="Comma 2 3 6 5 2" xfId="8741" xr:uid="{FCFC80D7-F009-4656-B7B1-582E1C76C1A7}"/>
    <cellStyle name="Comma 2 3 6 6" xfId="6092" xr:uid="{89FBBACC-87E8-4228-91C0-7E0B3AF9E87E}"/>
    <cellStyle name="Comma 2 3 7" xfId="1230" xr:uid="{FA93726F-2FC0-40D1-8CF0-F1884EF1457A}"/>
    <cellStyle name="Comma 2 3 7 2" xfId="1758" xr:uid="{729DDA7B-F41C-4687-BD51-54FAF5693954}"/>
    <cellStyle name="Comma 2 3 7 2 2" xfId="3098" xr:uid="{B0070299-4351-4084-9332-CF23DC09CC4B}"/>
    <cellStyle name="Comma 2 3 7 2 2 2" xfId="5747" xr:uid="{DDC8BD09-22DE-49D6-A1A6-FF5FBAFA7BEC}"/>
    <cellStyle name="Comma 2 3 7 2 2 2 2" xfId="11044" xr:uid="{E5DCD99A-4EC5-4127-86EB-9385FC8D69BA}"/>
    <cellStyle name="Comma 2 3 7 2 2 3" xfId="8395" xr:uid="{BD9AAF47-2083-4D78-9CEE-EFBA4D091533}"/>
    <cellStyle name="Comma 2 3 7 2 3" xfId="4423" xr:uid="{C1A51FED-DFAA-4F6C-8FCE-A1794CC7B818}"/>
    <cellStyle name="Comma 2 3 7 2 3 2" xfId="9720" xr:uid="{6B73D993-C7FC-4A3F-9069-0D30E4D89752}"/>
    <cellStyle name="Comma 2 3 7 2 4" xfId="7071" xr:uid="{0135AB8A-744A-4D6E-8653-AAE2B133A4E6}"/>
    <cellStyle name="Comma 2 3 7 3" xfId="2570" xr:uid="{4D0E55F1-1266-4771-B1A0-3315FCBEA4B9}"/>
    <cellStyle name="Comma 2 3 7 3 2" xfId="5219" xr:uid="{24395F83-77D7-4AFB-9199-286FADDAF50B}"/>
    <cellStyle name="Comma 2 3 7 3 2 2" xfId="10516" xr:uid="{B07DDBE3-3C3D-4DDA-BED3-2FD88F8C0428}"/>
    <cellStyle name="Comma 2 3 7 3 3" xfId="7867" xr:uid="{FF2620CF-87BB-450D-A54A-D14855077E0D}"/>
    <cellStyle name="Comma 2 3 7 4" xfId="3895" xr:uid="{EA157651-BBDB-4910-A8FE-BB4D1452EFE6}"/>
    <cellStyle name="Comma 2 3 7 4 2" xfId="9192" xr:uid="{8E377A47-32FB-428E-9002-03C547D8E16B}"/>
    <cellStyle name="Comma 2 3 7 5" xfId="6543" xr:uid="{9609D7CA-3276-4326-935B-1C0AE579B922}"/>
    <cellStyle name="Comma 2 3 8" xfId="1362" xr:uid="{B691B59A-D9BC-4A85-B8CF-BD80F9F2CA82}"/>
    <cellStyle name="Comma 2 3 8 2" xfId="1890" xr:uid="{8C7719DD-E98C-4728-B58B-C585C523B838}"/>
    <cellStyle name="Comma 2 3 8 2 2" xfId="3230" xr:uid="{4B275017-7C58-4144-A1E2-754A4F27830A}"/>
    <cellStyle name="Comma 2 3 8 2 2 2" xfId="5879" xr:uid="{C7ABF372-C047-4342-830F-AEE42266CBFB}"/>
    <cellStyle name="Comma 2 3 8 2 2 2 2" xfId="11176" xr:uid="{28EB86BD-CFC2-4BA8-927D-5A2F14F5B255}"/>
    <cellStyle name="Comma 2 3 8 2 2 3" xfId="8527" xr:uid="{D3F99ED9-E7EC-4077-A32C-30C35ABED40B}"/>
    <cellStyle name="Comma 2 3 8 2 3" xfId="4555" xr:uid="{C85BCCBC-3CF4-4738-B0A5-039C3A509E50}"/>
    <cellStyle name="Comma 2 3 8 2 3 2" xfId="9852" xr:uid="{27FEA5B6-BF89-4761-87FA-B0429130D191}"/>
    <cellStyle name="Comma 2 3 8 2 4" xfId="7203" xr:uid="{51E8F5DB-9DF2-479F-92C8-7D79FF0083DC}"/>
    <cellStyle name="Comma 2 3 8 3" xfId="2702" xr:uid="{006E4C22-FCF1-4E45-808C-E2AA83F64329}"/>
    <cellStyle name="Comma 2 3 8 3 2" xfId="5351" xr:uid="{290E4151-8677-4A20-8505-91459533796B}"/>
    <cellStyle name="Comma 2 3 8 3 2 2" xfId="10648" xr:uid="{DE21B34E-5E83-4637-A268-9A2E21021D5D}"/>
    <cellStyle name="Comma 2 3 8 3 3" xfId="7999" xr:uid="{17FB195C-DAE7-4C61-9CBD-17E95132C643}"/>
    <cellStyle name="Comma 2 3 8 4" xfId="4027" xr:uid="{AD311922-7515-4302-9630-DE6DC02E4F29}"/>
    <cellStyle name="Comma 2 3 8 4 2" xfId="9324" xr:uid="{32293465-BC85-4C46-BDDE-D08E08C0B91D}"/>
    <cellStyle name="Comma 2 3 8 5" xfId="6675" xr:uid="{0CBD7A82-1231-4306-9ACA-AF497BD63809}"/>
    <cellStyle name="Comma 2 3 9" xfId="508" xr:uid="{D9B94334-9FAA-424A-A574-030EBC40A6D3}"/>
    <cellStyle name="Comma 2 3 9 2" xfId="2185" xr:uid="{D3F364F9-B03D-494D-AD8D-41C22D665483}"/>
    <cellStyle name="Comma 2 3 9 2 2" xfId="4834" xr:uid="{DC8F7058-9649-450B-8C26-18213385191F}"/>
    <cellStyle name="Comma 2 3 9 2 2 2" xfId="10131" xr:uid="{0EEFD161-4484-46E5-BB95-AF95D11AAB9A}"/>
    <cellStyle name="Comma 2 3 9 2 3" xfId="7482" xr:uid="{4A7358B8-9F3A-4006-9AC5-5F09E3F7EA05}"/>
    <cellStyle name="Comma 2 3 9 3" xfId="3510" xr:uid="{8603EF77-FFCA-4804-B346-FC642718C895}"/>
    <cellStyle name="Comma 2 3 9 3 2" xfId="8807" xr:uid="{B333F60C-8FAC-4E5B-88F7-34E1C8D2F865}"/>
    <cellStyle name="Comma 2 3 9 4" xfId="6158" xr:uid="{E90147E8-5078-4E05-B515-035FF4CC22C6}"/>
    <cellStyle name="Comma 2 4" xfId="63" xr:uid="{80A95902-86F2-4077-B01F-3C0E2889DC9E}"/>
    <cellStyle name="Comma 2 4 10" xfId="2059" xr:uid="{494A9BFA-8BD4-499A-94DA-20D29A61AFBA}"/>
    <cellStyle name="Comma 2 4 10 2" xfId="4708" xr:uid="{466F5E1C-3865-4840-8673-E59AEBE20D35}"/>
    <cellStyle name="Comma 2 4 10 2 2" xfId="10005" xr:uid="{3BCF29D8-3DFD-4371-85C2-E7C1708B1C37}"/>
    <cellStyle name="Comma 2 4 10 3" xfId="7356" xr:uid="{BD3A188C-D92B-4296-9437-C22875AB4BA2}"/>
    <cellStyle name="Comma 2 4 11" xfId="3384" xr:uid="{526BA2CE-9CAB-48DF-BF45-90264202BC69}"/>
    <cellStyle name="Comma 2 4 11 2" xfId="8681" xr:uid="{D17D6EDA-4AE2-412A-A2A8-A9CDCC8EE824}"/>
    <cellStyle name="Comma 2 4 12" xfId="6032" xr:uid="{212119FF-F4D4-4C07-A5AF-B57D808F51AD}"/>
    <cellStyle name="Comma 2 4 2" xfId="295" xr:uid="{80BD8B37-D05A-4C3E-A343-869A80E1BAA6}"/>
    <cellStyle name="Comma 2 4 2 10" xfId="3451" xr:uid="{7C0ACBA2-08A9-4099-BD3C-49F2B63FA591}"/>
    <cellStyle name="Comma 2 4 2 10 2" xfId="8748" xr:uid="{4773AA51-2A2A-4935-8927-A4A2E90AC21D}"/>
    <cellStyle name="Comma 2 4 2 11" xfId="6099" xr:uid="{FB69FC77-D0F6-4C46-BCE6-675309EDB221}"/>
    <cellStyle name="Comma 2 4 2 2" xfId="929" xr:uid="{2EEBE8D6-1BC9-4AFC-80FD-89CF184F2D97}"/>
    <cellStyle name="Comma 2 4 2 2 2" xfId="1220" xr:uid="{7BA90F8A-C0ED-4AD5-A3BE-9ED820391FFF}"/>
    <cellStyle name="Comma 2 4 2 2 2 2" xfId="1748" xr:uid="{92F3D67F-AA0B-4152-91E8-B4CB4959AE88}"/>
    <cellStyle name="Comma 2 4 2 2 2 2 2" xfId="3088" xr:uid="{7E723C60-CDC7-4B64-B35D-30B4B77F35E3}"/>
    <cellStyle name="Comma 2 4 2 2 2 2 2 2" xfId="5737" xr:uid="{12700810-12B2-4318-A37B-513AF7444FB0}"/>
    <cellStyle name="Comma 2 4 2 2 2 2 2 2 2" xfId="11034" xr:uid="{E1FFBD2F-7663-4810-AF42-1094826E99CD}"/>
    <cellStyle name="Comma 2 4 2 2 2 2 2 3" xfId="8385" xr:uid="{94FD1FA4-D153-439F-9592-84FE539C68D6}"/>
    <cellStyle name="Comma 2 4 2 2 2 2 3" xfId="4413" xr:uid="{7525B04F-68E5-4218-8748-E36A626855DC}"/>
    <cellStyle name="Comma 2 4 2 2 2 2 3 2" xfId="9710" xr:uid="{8F43E446-BFC5-4E75-889E-394A58FD8C46}"/>
    <cellStyle name="Comma 2 4 2 2 2 2 4" xfId="7061" xr:uid="{7E1CE44D-492E-411F-806B-B007F19C6C42}"/>
    <cellStyle name="Comma 2 4 2 2 2 3" xfId="2560" xr:uid="{DC3EBD49-805D-41A2-B541-07F6BE754039}"/>
    <cellStyle name="Comma 2 4 2 2 2 3 2" xfId="5209" xr:uid="{28952ADC-0F11-4B04-B42C-1A56CECAB1CE}"/>
    <cellStyle name="Comma 2 4 2 2 2 3 2 2" xfId="10506" xr:uid="{6FC8EAD0-63B5-4588-9D91-7B8C8EF345DD}"/>
    <cellStyle name="Comma 2 4 2 2 2 3 3" xfId="7857" xr:uid="{3EFE7791-3096-45C0-A8ED-FF36DC296D50}"/>
    <cellStyle name="Comma 2 4 2 2 2 4" xfId="3885" xr:uid="{CDE1020E-3CE9-4CC5-BE63-4AA61243884F}"/>
    <cellStyle name="Comma 2 4 2 2 2 4 2" xfId="9182" xr:uid="{6AF1F95D-6919-4118-8577-8E30F73952E9}"/>
    <cellStyle name="Comma 2 4 2 2 2 5" xfId="6533" xr:uid="{B5F8437E-05FE-4779-B372-36B557CF5F03}"/>
    <cellStyle name="Comma 2 4 2 2 3" xfId="1077" xr:uid="{88BF3488-B05A-46AF-89D4-98509D141911}"/>
    <cellStyle name="Comma 2 4 2 2 3 2" xfId="1616" xr:uid="{CDC8DFCF-1B16-4F35-AB8D-10DE4F3EA344}"/>
    <cellStyle name="Comma 2 4 2 2 3 2 2" xfId="2956" xr:uid="{4D5589E0-9431-4437-AC57-E4AD50F974F4}"/>
    <cellStyle name="Comma 2 4 2 2 3 2 2 2" xfId="5605" xr:uid="{FF2BDD9C-06D2-415B-A1AF-8F705FDE9C10}"/>
    <cellStyle name="Comma 2 4 2 2 3 2 2 2 2" xfId="10902" xr:uid="{7BA526EF-742F-4B45-AC97-DF094EAD9D6C}"/>
    <cellStyle name="Comma 2 4 2 2 3 2 2 3" xfId="8253" xr:uid="{B3665C0E-C82B-4A03-9A3D-319B24C0E69F}"/>
    <cellStyle name="Comma 2 4 2 2 3 2 3" xfId="4281" xr:uid="{77365069-DDCE-43F2-BB8D-B56AC08F6896}"/>
    <cellStyle name="Comma 2 4 2 2 3 2 3 2" xfId="9578" xr:uid="{527C3503-A9A9-42F1-9B0E-EC3FD6CF67FE}"/>
    <cellStyle name="Comma 2 4 2 2 3 2 4" xfId="6929" xr:uid="{60202C21-2781-4C32-9843-AEF225CBD462}"/>
    <cellStyle name="Comma 2 4 2 2 3 3" xfId="2428" xr:uid="{ECA8A3B4-A783-4D6D-95A8-A986DA033122}"/>
    <cellStyle name="Comma 2 4 2 2 3 3 2" xfId="5077" xr:uid="{29748332-FEC2-403A-BB4C-962C8528D31A}"/>
    <cellStyle name="Comma 2 4 2 2 3 3 2 2" xfId="10374" xr:uid="{6451BF37-12D7-4F9A-8830-5A0A1B171A64}"/>
    <cellStyle name="Comma 2 4 2 2 3 3 3" xfId="7725" xr:uid="{A29D20FF-781D-475E-B0D8-E4F9F0A15C56}"/>
    <cellStyle name="Comma 2 4 2 2 3 4" xfId="3753" xr:uid="{B74EAA92-90F1-4A11-B1E5-156D68E6A09F}"/>
    <cellStyle name="Comma 2 4 2 2 3 4 2" xfId="9050" xr:uid="{1AEE8CBC-1E03-4F0C-937A-DCA381A2551C}"/>
    <cellStyle name="Comma 2 4 2 2 3 5" xfId="6401" xr:uid="{8155B505-CB79-4D18-A265-2532A12B9EFB}"/>
    <cellStyle name="Comma 2 4 2 2 4" xfId="1352" xr:uid="{41CC4906-95AB-469B-809F-9AB7BFED541C}"/>
    <cellStyle name="Comma 2 4 2 2 4 2" xfId="1880" xr:uid="{2A5E1BF9-4E79-40B9-9A5E-B20D1BF329E0}"/>
    <cellStyle name="Comma 2 4 2 2 4 2 2" xfId="3220" xr:uid="{5832226C-68D4-4808-81E0-F2D4378C25DE}"/>
    <cellStyle name="Comma 2 4 2 2 4 2 2 2" xfId="5869" xr:uid="{AC600ECF-C713-45B7-91BC-E2960AA12C60}"/>
    <cellStyle name="Comma 2 4 2 2 4 2 2 2 2" xfId="11166" xr:uid="{A52BAC00-FB06-456F-A057-A7B530C0867A}"/>
    <cellStyle name="Comma 2 4 2 2 4 2 2 3" xfId="8517" xr:uid="{82ECDAB2-1A76-486A-B5C6-78498F35EA74}"/>
    <cellStyle name="Comma 2 4 2 2 4 2 3" xfId="4545" xr:uid="{77A5A66B-62A9-4D32-BD9C-57AC532E6CBA}"/>
    <cellStyle name="Comma 2 4 2 2 4 2 3 2" xfId="9842" xr:uid="{F8A840AD-75C3-4577-9859-7769DCA9846C}"/>
    <cellStyle name="Comma 2 4 2 2 4 2 4" xfId="7193" xr:uid="{DD76FFA1-C7D5-478D-A581-800CA1BF9216}"/>
    <cellStyle name="Comma 2 4 2 2 4 3" xfId="2692" xr:uid="{0140520E-D9A0-4389-B2DC-2A5D0F1F9403}"/>
    <cellStyle name="Comma 2 4 2 2 4 3 2" xfId="5341" xr:uid="{86D844F3-D839-4CCE-A07F-B0FEF98814EB}"/>
    <cellStyle name="Comma 2 4 2 2 4 3 2 2" xfId="10638" xr:uid="{C17AB5FE-F49D-4145-BDED-BB69ECA95CCA}"/>
    <cellStyle name="Comma 2 4 2 2 4 3 3" xfId="7989" xr:uid="{06CAC7BB-A15B-4C87-8FAF-9A2883949CA8}"/>
    <cellStyle name="Comma 2 4 2 2 4 4" xfId="4017" xr:uid="{892270C7-323F-4F72-AB5F-BCD3E105FA53}"/>
    <cellStyle name="Comma 2 4 2 2 4 4 2" xfId="9314" xr:uid="{9109FDAA-77F8-4AA7-8A69-AA3EF0F569BF}"/>
    <cellStyle name="Comma 2 4 2 2 4 5" xfId="6665" xr:uid="{9775B746-FE97-4688-9589-B3498868059A}"/>
    <cellStyle name="Comma 2 4 2 2 5" xfId="1484" xr:uid="{8C90DA9D-75E2-4D85-8F98-9742D94E977C}"/>
    <cellStyle name="Comma 2 4 2 2 5 2" xfId="2012" xr:uid="{26481E46-4C65-4910-B2FE-4DC1A0F464E0}"/>
    <cellStyle name="Comma 2 4 2 2 5 2 2" xfId="3352" xr:uid="{00CED3CE-2B0E-46A1-B931-E9EFBB2214E5}"/>
    <cellStyle name="Comma 2 4 2 2 5 2 2 2" xfId="6001" xr:uid="{6D1F20A4-5ABB-45B3-A6CE-7B1E18FF7C86}"/>
    <cellStyle name="Comma 2 4 2 2 5 2 2 2 2" xfId="11298" xr:uid="{CC36A6DA-30E5-44EC-AFFA-2C19DE78AB84}"/>
    <cellStyle name="Comma 2 4 2 2 5 2 2 3" xfId="8649" xr:uid="{87C7A783-D266-4ADC-94DB-F5A5D5BA9163}"/>
    <cellStyle name="Comma 2 4 2 2 5 2 3" xfId="4677" xr:uid="{B994FCD8-7BFC-46E4-8564-C2C12FD70F8D}"/>
    <cellStyle name="Comma 2 4 2 2 5 2 3 2" xfId="9974" xr:uid="{4FB93792-330F-4EBF-BE49-50ECE6408877}"/>
    <cellStyle name="Comma 2 4 2 2 5 2 4" xfId="7325" xr:uid="{7A776471-4A25-46BD-9FFD-CB4004034EEA}"/>
    <cellStyle name="Comma 2 4 2 2 5 3" xfId="2824" xr:uid="{2CE56122-E4BD-4B35-83D2-1752C91FF2EF}"/>
    <cellStyle name="Comma 2 4 2 2 5 3 2" xfId="5473" xr:uid="{4EB82629-7CEA-4A01-B400-D3B1387B7583}"/>
    <cellStyle name="Comma 2 4 2 2 5 3 2 2" xfId="10770" xr:uid="{2319652A-E70C-41C4-99AF-9B08F359C8D5}"/>
    <cellStyle name="Comma 2 4 2 2 5 3 3" xfId="8121" xr:uid="{03A859E7-0E09-41D3-B01A-0DE1799A9AA3}"/>
    <cellStyle name="Comma 2 4 2 2 5 4" xfId="4149" xr:uid="{B9F66D79-AF11-499D-807A-623B5DB83E17}"/>
    <cellStyle name="Comma 2 4 2 2 5 4 2" xfId="9446" xr:uid="{2A81AA6F-960C-48E4-B55B-B9BC66C947D7}"/>
    <cellStyle name="Comma 2 4 2 2 5 5" xfId="6797" xr:uid="{1F1C8133-22F9-4A97-BFB4-B90E34BFE300}"/>
    <cellStyle name="Comma 2 4 2 2 6" xfId="2296" xr:uid="{1EB865C2-3EB7-45E2-BFEE-E494B856D15B}"/>
    <cellStyle name="Comma 2 4 2 2 6 2" xfId="4945" xr:uid="{BD98A88C-5505-4109-950D-F2EEC915BF28}"/>
    <cellStyle name="Comma 2 4 2 2 6 2 2" xfId="10242" xr:uid="{821DF0A8-21B2-4E0A-ABA1-3077BD79B2A4}"/>
    <cellStyle name="Comma 2 4 2 2 6 3" xfId="7593" xr:uid="{A1595430-590D-4B90-8044-DA6885803E69}"/>
    <cellStyle name="Comma 2 4 2 2 7" xfId="3621" xr:uid="{66C4566A-872C-4189-81F9-F07F9DF7A55C}"/>
    <cellStyle name="Comma 2 4 2 2 7 2" xfId="8918" xr:uid="{86CECD50-67EF-4659-9C46-643C57046FB4}"/>
    <cellStyle name="Comma 2 4 2 2 8" xfId="6269" xr:uid="{2AB79275-4758-470B-B86B-28087D9B9643}"/>
    <cellStyle name="Comma 2 4 2 3" xfId="798" xr:uid="{056A7067-9CF0-42F0-A08D-016D4C87234C}"/>
    <cellStyle name="Comma 2 4 2 3 2" xfId="1159" xr:uid="{8A90C1FF-83A7-425B-A756-F47AA8DE0992}"/>
    <cellStyle name="Comma 2 4 2 3 2 2" xfId="1691" xr:uid="{A60E8999-C8F6-47FB-9353-B380FAF427C0}"/>
    <cellStyle name="Comma 2 4 2 3 2 2 2" xfId="3031" xr:uid="{7123B0AA-22B8-4745-8DD4-7D3846C93487}"/>
    <cellStyle name="Comma 2 4 2 3 2 2 2 2" xfId="5680" xr:uid="{17C9EAD1-62EA-46C8-9DB3-97920F5B570D}"/>
    <cellStyle name="Comma 2 4 2 3 2 2 2 2 2" xfId="10977" xr:uid="{9CED0080-9203-4A53-A7B0-7DB9BAC2C732}"/>
    <cellStyle name="Comma 2 4 2 3 2 2 2 3" xfId="8328" xr:uid="{78C1517E-0B5F-44D4-9C92-5C8C9F883AD0}"/>
    <cellStyle name="Comma 2 4 2 3 2 2 3" xfId="4356" xr:uid="{6F6634A9-5B8E-4383-AE19-1BDBE9337552}"/>
    <cellStyle name="Comma 2 4 2 3 2 2 3 2" xfId="9653" xr:uid="{DD30ADE4-2F28-462B-B99F-5A58B5773176}"/>
    <cellStyle name="Comma 2 4 2 3 2 2 4" xfId="7004" xr:uid="{715514AE-29AD-4DF7-AA73-43C20824526C}"/>
    <cellStyle name="Comma 2 4 2 3 2 3" xfId="2503" xr:uid="{1E083124-BB7A-4A7C-B8EE-DFCBC4A41E2C}"/>
    <cellStyle name="Comma 2 4 2 3 2 3 2" xfId="5152" xr:uid="{4F14CDA9-841A-40BD-B8CD-74D687C984ED}"/>
    <cellStyle name="Comma 2 4 2 3 2 3 2 2" xfId="10449" xr:uid="{9B0B6DC4-0747-4FAC-B38E-5EC9979BE2B9}"/>
    <cellStyle name="Comma 2 4 2 3 2 3 3" xfId="7800" xr:uid="{3943123C-E79A-4C9F-AF8F-F16370F95125}"/>
    <cellStyle name="Comma 2 4 2 3 2 4" xfId="3828" xr:uid="{420FFDEB-6454-434A-89B3-8609287E0C66}"/>
    <cellStyle name="Comma 2 4 2 3 2 4 2" xfId="9125" xr:uid="{E1FBCA89-3A32-4E60-8EFC-4AE08275277E}"/>
    <cellStyle name="Comma 2 4 2 3 2 5" xfId="6476" xr:uid="{A8D097DC-E8A8-417E-B86E-F6A3C5CD02F4}"/>
    <cellStyle name="Comma 2 4 2 3 3" xfId="1015" xr:uid="{0711F37F-5B20-4942-BAAE-72004D0E7E6C}"/>
    <cellStyle name="Comma 2 4 2 3 3 2" xfId="1559" xr:uid="{15F5B06E-D403-41B1-8008-DD033595A3F6}"/>
    <cellStyle name="Comma 2 4 2 3 3 2 2" xfId="2899" xr:uid="{1B67C0B7-014C-45F0-B83D-609454028F2F}"/>
    <cellStyle name="Comma 2 4 2 3 3 2 2 2" xfId="5548" xr:uid="{11F48198-19E5-49CE-B27B-8FD964841E73}"/>
    <cellStyle name="Comma 2 4 2 3 3 2 2 2 2" xfId="10845" xr:uid="{A4585B2F-23A7-4DF8-B7AB-FDB0F512493A}"/>
    <cellStyle name="Comma 2 4 2 3 3 2 2 3" xfId="8196" xr:uid="{B8A6ECC4-7A71-4863-9321-7E1FD745F109}"/>
    <cellStyle name="Comma 2 4 2 3 3 2 3" xfId="4224" xr:uid="{084C75BC-EFD6-4D36-AEE1-997EE8B13A3A}"/>
    <cellStyle name="Comma 2 4 2 3 3 2 3 2" xfId="9521" xr:uid="{D1A629A2-8198-403A-957D-587CE6154C83}"/>
    <cellStyle name="Comma 2 4 2 3 3 2 4" xfId="6872" xr:uid="{81559B38-9515-41C7-91FE-A9836AB2348C}"/>
    <cellStyle name="Comma 2 4 2 3 3 3" xfId="2371" xr:uid="{F3853767-65DC-4F88-AC4E-7F181BBCB554}"/>
    <cellStyle name="Comma 2 4 2 3 3 3 2" xfId="5020" xr:uid="{59C76C39-6EBA-4BB9-912E-0915C24695C7}"/>
    <cellStyle name="Comma 2 4 2 3 3 3 2 2" xfId="10317" xr:uid="{D7C96395-1731-4E29-868C-A7FF961FC224}"/>
    <cellStyle name="Comma 2 4 2 3 3 3 3" xfId="7668" xr:uid="{87B2737E-2468-4D1C-8989-2128E3BE2ADE}"/>
    <cellStyle name="Comma 2 4 2 3 3 4" xfId="3696" xr:uid="{A56CAB3F-A032-4267-935C-B17AC36D104C}"/>
    <cellStyle name="Comma 2 4 2 3 3 4 2" xfId="8993" xr:uid="{0C309B11-00FA-4CCD-AE68-E48DA23ABC89}"/>
    <cellStyle name="Comma 2 4 2 3 3 5" xfId="6344" xr:uid="{687733C1-503E-4765-B02D-D05A82685C29}"/>
    <cellStyle name="Comma 2 4 2 3 4" xfId="1295" xr:uid="{C403BA0F-0A09-4EB4-80E5-C8ED8F485F52}"/>
    <cellStyle name="Comma 2 4 2 3 4 2" xfId="1823" xr:uid="{DB958CD4-95F0-4FA3-B4D6-C9520CDD88B9}"/>
    <cellStyle name="Comma 2 4 2 3 4 2 2" xfId="3163" xr:uid="{791D32C7-4065-4833-B448-3E61EA6F7552}"/>
    <cellStyle name="Comma 2 4 2 3 4 2 2 2" xfId="5812" xr:uid="{BA6A17C5-BA2A-4221-9A6A-DB632D70F893}"/>
    <cellStyle name="Comma 2 4 2 3 4 2 2 2 2" xfId="11109" xr:uid="{1AAC06A3-8751-46F4-9AED-0011C842C2BF}"/>
    <cellStyle name="Comma 2 4 2 3 4 2 2 3" xfId="8460" xr:uid="{5FF48809-1FBB-46E2-A422-4DA2D12A7D7F}"/>
    <cellStyle name="Comma 2 4 2 3 4 2 3" xfId="4488" xr:uid="{0209F1EC-D1CF-494C-8917-5296AA1104CA}"/>
    <cellStyle name="Comma 2 4 2 3 4 2 3 2" xfId="9785" xr:uid="{580AA75A-AD15-4C07-B37D-4EDD0DA3D073}"/>
    <cellStyle name="Comma 2 4 2 3 4 2 4" xfId="7136" xr:uid="{1A13ADE2-0350-478C-9BBD-B57C3473CA9E}"/>
    <cellStyle name="Comma 2 4 2 3 4 3" xfId="2635" xr:uid="{FB7CF513-CF39-4994-B921-9E4C449C49BE}"/>
    <cellStyle name="Comma 2 4 2 3 4 3 2" xfId="5284" xr:uid="{F9EE734E-45A5-4070-AB81-9D2C9E2EBC91}"/>
    <cellStyle name="Comma 2 4 2 3 4 3 2 2" xfId="10581" xr:uid="{4F4C8379-D618-41CB-AB66-2F08FB85E9F7}"/>
    <cellStyle name="Comma 2 4 2 3 4 3 3" xfId="7932" xr:uid="{82C6C257-28E5-45A1-BB73-CE433C5C8C3D}"/>
    <cellStyle name="Comma 2 4 2 3 4 4" xfId="3960" xr:uid="{6EBE65A8-D450-4F16-BC1E-4BE460432C27}"/>
    <cellStyle name="Comma 2 4 2 3 4 4 2" xfId="9257" xr:uid="{19005547-80D5-467E-98CA-121D179376E9}"/>
    <cellStyle name="Comma 2 4 2 3 4 5" xfId="6608" xr:uid="{504CDF3B-A542-4E2B-9C9F-CEADE5924442}"/>
    <cellStyle name="Comma 2 4 2 3 5" xfId="1427" xr:uid="{7BAF680D-6C28-438D-8569-69770510CEC3}"/>
    <cellStyle name="Comma 2 4 2 3 5 2" xfId="1955" xr:uid="{6DBF7E6C-5256-46A7-938B-2F80BCA97761}"/>
    <cellStyle name="Comma 2 4 2 3 5 2 2" xfId="3295" xr:uid="{67954B2C-4674-46F4-8C0F-73C587498FE5}"/>
    <cellStyle name="Comma 2 4 2 3 5 2 2 2" xfId="5944" xr:uid="{1025CA41-1999-40EC-B49F-118EB9C5E56A}"/>
    <cellStyle name="Comma 2 4 2 3 5 2 2 2 2" xfId="11241" xr:uid="{E5B0FF0C-ADED-4D86-934E-437A2DA30D71}"/>
    <cellStyle name="Comma 2 4 2 3 5 2 2 3" xfId="8592" xr:uid="{DBA3BEA0-303C-4976-91F3-0DD5C8361C03}"/>
    <cellStyle name="Comma 2 4 2 3 5 2 3" xfId="4620" xr:uid="{635F278C-2FE5-498B-B4F1-C5F947347932}"/>
    <cellStyle name="Comma 2 4 2 3 5 2 3 2" xfId="9917" xr:uid="{37F8DCE3-7E50-48BD-9F95-3489BED0A6F2}"/>
    <cellStyle name="Comma 2 4 2 3 5 2 4" xfId="7268" xr:uid="{9943269A-922C-49DC-A1D5-066554C2FDD4}"/>
    <cellStyle name="Comma 2 4 2 3 5 3" xfId="2767" xr:uid="{0692F16B-E8BF-4CD0-99AB-B5EC5CFEEB96}"/>
    <cellStyle name="Comma 2 4 2 3 5 3 2" xfId="5416" xr:uid="{13B33929-9CD4-4947-B6CE-6CDDC0703FBD}"/>
    <cellStyle name="Comma 2 4 2 3 5 3 2 2" xfId="10713" xr:uid="{05CEA2A0-C951-4A65-BAFF-A94748CBF287}"/>
    <cellStyle name="Comma 2 4 2 3 5 3 3" xfId="8064" xr:uid="{E47AF35E-CD64-4ABF-B9B1-E97A49B059AC}"/>
    <cellStyle name="Comma 2 4 2 3 5 4" xfId="4092" xr:uid="{A5513354-D799-4142-9085-136310B661C2}"/>
    <cellStyle name="Comma 2 4 2 3 5 4 2" xfId="9389" xr:uid="{F3EC0514-A5DD-4D83-84E5-898FA00B3F9F}"/>
    <cellStyle name="Comma 2 4 2 3 5 5" xfId="6740" xr:uid="{02E1AEC8-9F6C-43CB-9A72-2DD21776E3BA}"/>
    <cellStyle name="Comma 2 4 2 3 6" xfId="2243" xr:uid="{9B57173C-77C9-4BA5-93F5-AE3DB9DB3B59}"/>
    <cellStyle name="Comma 2 4 2 3 6 2" xfId="4892" xr:uid="{600A736B-4115-461A-82B9-347F5AD63EFE}"/>
    <cellStyle name="Comma 2 4 2 3 6 2 2" xfId="10189" xr:uid="{F36A2D44-EA9A-47F3-955C-631E1B3191D0}"/>
    <cellStyle name="Comma 2 4 2 3 6 3" xfId="7540" xr:uid="{40635E4B-862A-4CE4-9778-D0DFFE288FB5}"/>
    <cellStyle name="Comma 2 4 2 3 7" xfId="3568" xr:uid="{C3621823-90FA-4DDA-98A9-083635662BA6}"/>
    <cellStyle name="Comma 2 4 2 3 7 2" xfId="8865" xr:uid="{C301D384-2E25-4CE2-BE60-8FB16E1FFD36}"/>
    <cellStyle name="Comma 2 4 2 3 8" xfId="6216" xr:uid="{F6114DB0-ADD0-4FD6-962B-F3B0008D811B}"/>
    <cellStyle name="Comma 2 4 2 4" xfId="1128" xr:uid="{58A2048A-755C-452B-8120-24AD5B79D065}"/>
    <cellStyle name="Comma 2 4 2 4 2" xfId="1662" xr:uid="{0740D16E-B49F-4C28-82E7-D1C372D7F279}"/>
    <cellStyle name="Comma 2 4 2 4 2 2" xfId="3002" xr:uid="{D8ECC183-1C74-4D05-A82F-32F99DA28B87}"/>
    <cellStyle name="Comma 2 4 2 4 2 2 2" xfId="5651" xr:uid="{88856660-4B33-4B4D-B901-FA26AB87AFAB}"/>
    <cellStyle name="Comma 2 4 2 4 2 2 2 2" xfId="10948" xr:uid="{7C1D11CD-E718-4C3E-8F0B-F80C8D7592F4}"/>
    <cellStyle name="Comma 2 4 2 4 2 2 3" xfId="8299" xr:uid="{DBFB5F09-6E87-4FE0-B5D1-DA6FDA64D0B6}"/>
    <cellStyle name="Comma 2 4 2 4 2 3" xfId="4327" xr:uid="{5CF623C0-4DD4-4364-BB74-58CBD3E96EEA}"/>
    <cellStyle name="Comma 2 4 2 4 2 3 2" xfId="9624" xr:uid="{050F0626-1920-43C1-9267-F8D3110AEA88}"/>
    <cellStyle name="Comma 2 4 2 4 2 4" xfId="6975" xr:uid="{E30F3F55-D42E-44DF-8925-EFC43B8CF0B8}"/>
    <cellStyle name="Comma 2 4 2 4 3" xfId="2474" xr:uid="{D8DBD649-5ACD-44C8-8AD2-C22A0922B819}"/>
    <cellStyle name="Comma 2 4 2 4 3 2" xfId="5123" xr:uid="{BE718907-0E91-44BD-92CD-E962D93A85A7}"/>
    <cellStyle name="Comma 2 4 2 4 3 2 2" xfId="10420" xr:uid="{2A3161FE-CA13-4E29-97BB-FE16E886680B}"/>
    <cellStyle name="Comma 2 4 2 4 3 3" xfId="7771" xr:uid="{0D6956DC-2429-4F1B-9D5C-19BD6E2E9EA9}"/>
    <cellStyle name="Comma 2 4 2 4 4" xfId="3799" xr:uid="{B84FE8EE-7E73-4235-8F5E-76657A5BDCDE}"/>
    <cellStyle name="Comma 2 4 2 4 4 2" xfId="9096" xr:uid="{39A819CF-B8EA-4A56-9415-B35EFCDC50E8}"/>
    <cellStyle name="Comma 2 4 2 4 5" xfId="6447" xr:uid="{275CB7AC-490C-4F50-BF26-59483CB44E15}"/>
    <cellStyle name="Comma 2 4 2 5" xfId="982" xr:uid="{D695B50B-EEC4-4626-A5AF-5B8CD426FC62}"/>
    <cellStyle name="Comma 2 4 2 5 2" xfId="1530" xr:uid="{2D0F2179-30FA-4FDB-A2F2-1DC6C4BAEAA2}"/>
    <cellStyle name="Comma 2 4 2 5 2 2" xfId="2870" xr:uid="{015E111A-E45D-4F43-AF54-FBF25F5A98C4}"/>
    <cellStyle name="Comma 2 4 2 5 2 2 2" xfId="5519" xr:uid="{092A146B-DB70-4072-BF1C-3E5E6B76EC35}"/>
    <cellStyle name="Comma 2 4 2 5 2 2 2 2" xfId="10816" xr:uid="{4EB61DAB-B4F3-45ED-8406-DE5DFD804109}"/>
    <cellStyle name="Comma 2 4 2 5 2 2 3" xfId="8167" xr:uid="{2C2DC3A5-4F44-4A05-ADAD-D1066CEC5789}"/>
    <cellStyle name="Comma 2 4 2 5 2 3" xfId="4195" xr:uid="{CB7F7CDE-CA5B-433B-BF10-2B789DCF6C6F}"/>
    <cellStyle name="Comma 2 4 2 5 2 3 2" xfId="9492" xr:uid="{FA809ACC-E6C7-42E6-90AE-C7CEEE66254D}"/>
    <cellStyle name="Comma 2 4 2 5 2 4" xfId="6843" xr:uid="{E6F13CA2-273D-4856-92FE-411F703FCD2B}"/>
    <cellStyle name="Comma 2 4 2 5 3" xfId="2342" xr:uid="{C2665208-7E54-41BA-B5CB-4BD52094EC4D}"/>
    <cellStyle name="Comma 2 4 2 5 3 2" xfId="4991" xr:uid="{57902D21-C7E1-4958-ABCD-8D1A49FBC332}"/>
    <cellStyle name="Comma 2 4 2 5 3 2 2" xfId="10288" xr:uid="{DB0ACA7E-EA30-4DB3-8161-35C11AE04210}"/>
    <cellStyle name="Comma 2 4 2 5 3 3" xfId="7639" xr:uid="{4E0DEE37-BEEB-42B2-ADBC-B387A1679BF2}"/>
    <cellStyle name="Comma 2 4 2 5 4" xfId="3667" xr:uid="{3491C2D2-5E90-4E18-998C-5655E9E68064}"/>
    <cellStyle name="Comma 2 4 2 5 4 2" xfId="8964" xr:uid="{B0220795-7E09-48A0-B441-11E74F82B5D6}"/>
    <cellStyle name="Comma 2 4 2 5 5" xfId="6315" xr:uid="{8C5913CE-7A5C-4BD4-8DB3-CF5B4E22BC30}"/>
    <cellStyle name="Comma 2 4 2 6" xfId="1266" xr:uid="{5272FE12-A3AA-4AFC-BF96-B6F57EE55A19}"/>
    <cellStyle name="Comma 2 4 2 6 2" xfId="1794" xr:uid="{531D55AA-B02F-4CBF-AE62-0D8959346EBC}"/>
    <cellStyle name="Comma 2 4 2 6 2 2" xfId="3134" xr:uid="{9E7BFC7A-0FBC-48AC-A1C4-219C822A22A5}"/>
    <cellStyle name="Comma 2 4 2 6 2 2 2" xfId="5783" xr:uid="{1B4ED122-5CCD-4C34-B5E2-0A86492C299E}"/>
    <cellStyle name="Comma 2 4 2 6 2 2 2 2" xfId="11080" xr:uid="{BBF8C59D-5D21-4CDA-824A-BBB17F658B31}"/>
    <cellStyle name="Comma 2 4 2 6 2 2 3" xfId="8431" xr:uid="{E98AFF62-E01D-4086-B8F6-B46D68A2E7AE}"/>
    <cellStyle name="Comma 2 4 2 6 2 3" xfId="4459" xr:uid="{D8DC61B4-3E29-4172-A3A6-63D873B85DAE}"/>
    <cellStyle name="Comma 2 4 2 6 2 3 2" xfId="9756" xr:uid="{E3B0E276-9D29-4D25-9229-29594FA5DEEA}"/>
    <cellStyle name="Comma 2 4 2 6 2 4" xfId="7107" xr:uid="{8C67896F-1B53-4309-8CEC-DFC098A05435}"/>
    <cellStyle name="Comma 2 4 2 6 3" xfId="2606" xr:uid="{97009911-997F-4A9B-B9BE-B27D66A8255A}"/>
    <cellStyle name="Comma 2 4 2 6 3 2" xfId="5255" xr:uid="{E4F9490B-01A5-42F3-AC5A-8C34D3F29996}"/>
    <cellStyle name="Comma 2 4 2 6 3 2 2" xfId="10552" xr:uid="{024BEF83-D8EC-473D-B38D-35AA5AC65CC5}"/>
    <cellStyle name="Comma 2 4 2 6 3 3" xfId="7903" xr:uid="{E46EDDDA-D45C-42AB-AB6A-9EB7F1C8B7BB}"/>
    <cellStyle name="Comma 2 4 2 6 4" xfId="3931" xr:uid="{8F5FB033-39FD-47A4-A229-8447D72F274D}"/>
    <cellStyle name="Comma 2 4 2 6 4 2" xfId="9228" xr:uid="{2B81E686-EF38-40C4-B78F-DCDAE7A55039}"/>
    <cellStyle name="Comma 2 4 2 6 5" xfId="6579" xr:uid="{25344316-BF86-4DC5-A5AE-9E533D107A77}"/>
    <cellStyle name="Comma 2 4 2 7" xfId="1398" xr:uid="{61421C7E-9EEC-4C2C-B86A-6BB0BBC605D6}"/>
    <cellStyle name="Comma 2 4 2 7 2" xfId="1926" xr:uid="{D124C9B1-F053-46EC-BAB8-4429F43D9142}"/>
    <cellStyle name="Comma 2 4 2 7 2 2" xfId="3266" xr:uid="{EDFA3A56-A4CB-4FCA-8588-A8A4C9C65650}"/>
    <cellStyle name="Comma 2 4 2 7 2 2 2" xfId="5915" xr:uid="{58836719-6C31-4EAF-AB95-B1310116B3B7}"/>
    <cellStyle name="Comma 2 4 2 7 2 2 2 2" xfId="11212" xr:uid="{FE1D42EF-8930-462E-B5FF-D91F3EBB1A32}"/>
    <cellStyle name="Comma 2 4 2 7 2 2 3" xfId="8563" xr:uid="{5C3169F9-02B3-4952-90F1-FE4B068AD4BC}"/>
    <cellStyle name="Comma 2 4 2 7 2 3" xfId="4591" xr:uid="{3C8E6352-7108-4A78-9B00-85CB2909EC11}"/>
    <cellStyle name="Comma 2 4 2 7 2 3 2" xfId="9888" xr:uid="{F1D49307-8FC5-4979-A90B-55284C70AF4D}"/>
    <cellStyle name="Comma 2 4 2 7 2 4" xfId="7239" xr:uid="{5231D18C-83EF-41B9-85D6-8BA15711B8DD}"/>
    <cellStyle name="Comma 2 4 2 7 3" xfId="2738" xr:uid="{B7D3303F-1505-49A1-880C-D87ED65FF506}"/>
    <cellStyle name="Comma 2 4 2 7 3 2" xfId="5387" xr:uid="{99695650-E0F7-45B6-A5D9-E02096830339}"/>
    <cellStyle name="Comma 2 4 2 7 3 2 2" xfId="10684" xr:uid="{2E9B0C28-D1F3-41C1-BA92-FA64F54DFFF4}"/>
    <cellStyle name="Comma 2 4 2 7 3 3" xfId="8035" xr:uid="{F1252112-FEE0-4D05-AC84-5070485E1C50}"/>
    <cellStyle name="Comma 2 4 2 7 4" xfId="4063" xr:uid="{A015F734-55F5-42FA-AA50-BC3914EF28D5}"/>
    <cellStyle name="Comma 2 4 2 7 4 2" xfId="9360" xr:uid="{BF24AA15-B77B-4585-8AD3-CB1324F730D2}"/>
    <cellStyle name="Comma 2 4 2 7 5" xfId="6711" xr:uid="{87DB4C68-FCF1-4116-A407-24F1AD52B73C}"/>
    <cellStyle name="Comma 2 4 2 8" xfId="654" xr:uid="{0B951822-C71C-49FF-B59C-1B662A17BFD6}"/>
    <cellStyle name="Comma 2 4 2 8 2" xfId="2214" xr:uid="{21C8DE3D-33D1-4758-B3E3-BD13EA488F43}"/>
    <cellStyle name="Comma 2 4 2 8 2 2" xfId="4863" xr:uid="{82A2CF7F-2465-42F9-BB26-90301E48ED01}"/>
    <cellStyle name="Comma 2 4 2 8 2 2 2" xfId="10160" xr:uid="{CAFB4BA5-C3F5-40AD-8464-2DD7BFCD9516}"/>
    <cellStyle name="Comma 2 4 2 8 2 3" xfId="7511" xr:uid="{D6201427-FBB5-42BA-9119-8495EE8C9F25}"/>
    <cellStyle name="Comma 2 4 2 8 3" xfId="3539" xr:uid="{F874DD2C-3E4D-4C9C-9B51-0B161F488835}"/>
    <cellStyle name="Comma 2 4 2 8 3 2" xfId="8836" xr:uid="{43C97F40-1874-4CC4-B988-84ACEF9CB4F1}"/>
    <cellStyle name="Comma 2 4 2 8 4" xfId="6187" xr:uid="{FEB24BEC-07A6-4142-BEB9-92A8C9CC17BE}"/>
    <cellStyle name="Comma 2 4 2 9" xfId="2126" xr:uid="{6852C4BC-2362-4BB2-AA3B-789066FF5180}"/>
    <cellStyle name="Comma 2 4 2 9 2" xfId="4775" xr:uid="{7CB09D7E-D27C-4C82-9651-A7FBCE87F81E}"/>
    <cellStyle name="Comma 2 4 2 9 2 2" xfId="10072" xr:uid="{EB63E0B3-6C99-4578-A150-54AD4150FC39}"/>
    <cellStyle name="Comma 2 4 2 9 3" xfId="7423" xr:uid="{D1CBEB4A-609C-4AD4-87CD-D49EC51F51E3}"/>
    <cellStyle name="Comma 2 4 3" xfId="887" xr:uid="{F699D22C-D32F-41B3-B367-98310AB972A9}"/>
    <cellStyle name="Comma 2 4 3 2" xfId="1197" xr:uid="{FF10FA28-23E2-4428-99E5-2FE0861794FA}"/>
    <cellStyle name="Comma 2 4 3 2 2" xfId="1725" xr:uid="{DBDE1A6C-344D-4541-8FC9-38B02A8AE6F3}"/>
    <cellStyle name="Comma 2 4 3 2 2 2" xfId="3065" xr:uid="{92B8E9B0-141D-4D78-91E6-3A7F10A7A8CC}"/>
    <cellStyle name="Comma 2 4 3 2 2 2 2" xfId="5714" xr:uid="{B18CFABB-A154-43B6-AEEE-1765E450FD13}"/>
    <cellStyle name="Comma 2 4 3 2 2 2 2 2" xfId="11011" xr:uid="{5FBDED94-DD39-4C12-B66F-68C6E5C34B35}"/>
    <cellStyle name="Comma 2 4 3 2 2 2 3" xfId="8362" xr:uid="{60E9157A-09D1-477D-A02A-AFF772B6B840}"/>
    <cellStyle name="Comma 2 4 3 2 2 3" xfId="4390" xr:uid="{6B02F019-651D-4606-AAB9-80C82B08CCF7}"/>
    <cellStyle name="Comma 2 4 3 2 2 3 2" xfId="9687" xr:uid="{DFE03123-EA44-4A7C-AA23-CB205238BCE6}"/>
    <cellStyle name="Comma 2 4 3 2 2 4" xfId="7038" xr:uid="{1A8C78C7-F10C-40E7-AE7A-0D5DF56A0DD2}"/>
    <cellStyle name="Comma 2 4 3 2 3" xfId="2537" xr:uid="{46B32086-729F-4129-8952-B4A177DB99CF}"/>
    <cellStyle name="Comma 2 4 3 2 3 2" xfId="5186" xr:uid="{843E692B-541F-42CF-84D2-C7D82C1311F3}"/>
    <cellStyle name="Comma 2 4 3 2 3 2 2" xfId="10483" xr:uid="{9731F57E-4E89-4AC0-9BD7-52E66F1AE208}"/>
    <cellStyle name="Comma 2 4 3 2 3 3" xfId="7834" xr:uid="{056D5D28-9BF3-474F-B058-7E2468B16FE3}"/>
    <cellStyle name="Comma 2 4 3 2 4" xfId="3862" xr:uid="{B7456133-B33C-4423-8284-AE9BCF4EDBD7}"/>
    <cellStyle name="Comma 2 4 3 2 4 2" xfId="9159" xr:uid="{1AD7CDF7-551D-40CC-86AE-9A9B157C1079}"/>
    <cellStyle name="Comma 2 4 3 2 5" xfId="6510" xr:uid="{B4DF8068-0DA6-4C5D-A306-47845D8BD05A}"/>
    <cellStyle name="Comma 2 4 3 3" xfId="1054" xr:uid="{BE03151D-8279-4127-A781-2B4FE257B4C2}"/>
    <cellStyle name="Comma 2 4 3 3 2" xfId="1593" xr:uid="{70D6E7AB-0DC8-4D94-909B-3BA1C54CE375}"/>
    <cellStyle name="Comma 2 4 3 3 2 2" xfId="2933" xr:uid="{CDA13CEC-8548-47F4-8E53-946E12BF78EB}"/>
    <cellStyle name="Comma 2 4 3 3 2 2 2" xfId="5582" xr:uid="{CAD5A674-D96A-4EBB-8F4E-47634AD6C141}"/>
    <cellStyle name="Comma 2 4 3 3 2 2 2 2" xfId="10879" xr:uid="{B0A88501-C52E-46B5-B90E-9D35567F87F8}"/>
    <cellStyle name="Comma 2 4 3 3 2 2 3" xfId="8230" xr:uid="{5A6C27F9-6209-4455-97E7-71D2F23520C2}"/>
    <cellStyle name="Comma 2 4 3 3 2 3" xfId="4258" xr:uid="{927FB25E-0C5E-4999-86F5-524987DE813C}"/>
    <cellStyle name="Comma 2 4 3 3 2 3 2" xfId="9555" xr:uid="{20297562-7992-43EE-BC6E-305471025964}"/>
    <cellStyle name="Comma 2 4 3 3 2 4" xfId="6906" xr:uid="{2DD00BCC-2AA1-4436-918C-1573FA99914A}"/>
    <cellStyle name="Comma 2 4 3 3 3" xfId="2405" xr:uid="{21466EE3-8FC5-464A-871B-493E411B92DA}"/>
    <cellStyle name="Comma 2 4 3 3 3 2" xfId="5054" xr:uid="{1D8DB1FC-316B-413B-9EEA-E62D582418B3}"/>
    <cellStyle name="Comma 2 4 3 3 3 2 2" xfId="10351" xr:uid="{48C14E94-8421-4926-81EA-DC0AA3178E7A}"/>
    <cellStyle name="Comma 2 4 3 3 3 3" xfId="7702" xr:uid="{7ECC8F8B-CDF9-46ED-B5A4-2B0A5DB13285}"/>
    <cellStyle name="Comma 2 4 3 3 4" xfId="3730" xr:uid="{07EE6CE3-3774-4780-93DE-6D9F9EAA07CC}"/>
    <cellStyle name="Comma 2 4 3 3 4 2" xfId="9027" xr:uid="{FE1E9F58-44B2-48C4-83D7-AFA63ECBF766}"/>
    <cellStyle name="Comma 2 4 3 3 5" xfId="6378" xr:uid="{61147611-9DD2-4B7B-B3CF-AB5AA24A0335}"/>
    <cellStyle name="Comma 2 4 3 4" xfId="1329" xr:uid="{AB1C0BC3-B550-48E1-B0CF-EDE009204B73}"/>
    <cellStyle name="Comma 2 4 3 4 2" xfId="1857" xr:uid="{F4332227-59A5-4BA1-8EE5-BCF3CF6CB172}"/>
    <cellStyle name="Comma 2 4 3 4 2 2" xfId="3197" xr:uid="{12DD70A5-D783-48D0-A83A-FB9152361A19}"/>
    <cellStyle name="Comma 2 4 3 4 2 2 2" xfId="5846" xr:uid="{45F29E2C-D487-4894-BF58-B3F2ADA3F592}"/>
    <cellStyle name="Comma 2 4 3 4 2 2 2 2" xfId="11143" xr:uid="{ED79215D-BB12-4524-88B9-2EBD238C50AF}"/>
    <cellStyle name="Comma 2 4 3 4 2 2 3" xfId="8494" xr:uid="{192FBDF8-642A-4CE7-B7CD-AF11E3B68745}"/>
    <cellStyle name="Comma 2 4 3 4 2 3" xfId="4522" xr:uid="{E14FE4EC-CD74-4834-9E2F-110BCB4D3B4D}"/>
    <cellStyle name="Comma 2 4 3 4 2 3 2" xfId="9819" xr:uid="{1F21D0C3-6812-43C3-AA17-564002022514}"/>
    <cellStyle name="Comma 2 4 3 4 2 4" xfId="7170" xr:uid="{DE97364F-6FAA-408B-9DA9-DA279D1A4C0B}"/>
    <cellStyle name="Comma 2 4 3 4 3" xfId="2669" xr:uid="{8D7440A7-C157-4AC3-A8EF-58113B4975F0}"/>
    <cellStyle name="Comma 2 4 3 4 3 2" xfId="5318" xr:uid="{800EE968-1835-448F-8AE1-623489EF8D71}"/>
    <cellStyle name="Comma 2 4 3 4 3 2 2" xfId="10615" xr:uid="{69332D2D-AB44-4016-AB02-B898AAA41904}"/>
    <cellStyle name="Comma 2 4 3 4 3 3" xfId="7966" xr:uid="{94F9AC14-2D09-4445-981B-6310AD311DA1}"/>
    <cellStyle name="Comma 2 4 3 4 4" xfId="3994" xr:uid="{379C0C61-749E-48D8-8A15-41A0F93E36EA}"/>
    <cellStyle name="Comma 2 4 3 4 4 2" xfId="9291" xr:uid="{B65C6DEF-AF5E-46BD-97C7-ACA99847735C}"/>
    <cellStyle name="Comma 2 4 3 4 5" xfId="6642" xr:uid="{18C32A3B-520C-434D-9C2F-3FF30825E32D}"/>
    <cellStyle name="Comma 2 4 3 5" xfId="1461" xr:uid="{92B934B9-3F16-4EDF-AE70-F5C351162DB3}"/>
    <cellStyle name="Comma 2 4 3 5 2" xfId="1989" xr:uid="{EBFC7E25-4ED0-43C5-BB7D-1D72682960C2}"/>
    <cellStyle name="Comma 2 4 3 5 2 2" xfId="3329" xr:uid="{61C59276-F3E0-4FD0-8DED-D7286C511F39}"/>
    <cellStyle name="Comma 2 4 3 5 2 2 2" xfId="5978" xr:uid="{EB27D1CB-562D-4162-9991-7FFA3DEEB7B8}"/>
    <cellStyle name="Comma 2 4 3 5 2 2 2 2" xfId="11275" xr:uid="{F00F1200-066B-4D03-990C-4379B91095BB}"/>
    <cellStyle name="Comma 2 4 3 5 2 2 3" xfId="8626" xr:uid="{C4044394-F413-4CF0-9970-C0D142711AAD}"/>
    <cellStyle name="Comma 2 4 3 5 2 3" xfId="4654" xr:uid="{29FECC05-B137-4222-AE02-7EE9EC0D5B33}"/>
    <cellStyle name="Comma 2 4 3 5 2 3 2" xfId="9951" xr:uid="{84B97B6E-EA9F-4904-BB75-40C372BBA49F}"/>
    <cellStyle name="Comma 2 4 3 5 2 4" xfId="7302" xr:uid="{6A3DD467-2E8D-4637-AB6B-A3EC35ACDCCE}"/>
    <cellStyle name="Comma 2 4 3 5 3" xfId="2801" xr:uid="{653A5626-6ED9-48ED-ABE0-28CAC6B92EA0}"/>
    <cellStyle name="Comma 2 4 3 5 3 2" xfId="5450" xr:uid="{8AACF7C4-0DC7-4EB6-AD3E-0FAB1685CC25}"/>
    <cellStyle name="Comma 2 4 3 5 3 2 2" xfId="10747" xr:uid="{1ED3D6C2-F4A6-479F-9DC1-FB94C8D1C179}"/>
    <cellStyle name="Comma 2 4 3 5 3 3" xfId="8098" xr:uid="{DC31BA59-7155-47CF-8E21-DD872F8BDC6C}"/>
    <cellStyle name="Comma 2 4 3 5 4" xfId="4126" xr:uid="{1E8BC7B4-852D-48B1-AD12-BDD36E550399}"/>
    <cellStyle name="Comma 2 4 3 5 4 2" xfId="9423" xr:uid="{EAE08458-F162-497E-BD8C-4551E47D1D42}"/>
    <cellStyle name="Comma 2 4 3 5 5" xfId="6774" xr:uid="{9684C3B6-538A-497D-80E6-E72E9A456087}"/>
    <cellStyle name="Comma 2 4 3 6" xfId="2275" xr:uid="{5EFFC2AE-3BE1-4492-90CE-7FA041705542}"/>
    <cellStyle name="Comma 2 4 3 6 2" xfId="4924" xr:uid="{9AFF3103-8C72-4904-B096-915F84DB89D7}"/>
    <cellStyle name="Comma 2 4 3 6 2 2" xfId="10221" xr:uid="{071F1F29-E565-48A5-85E5-7FB3FDC5FBA0}"/>
    <cellStyle name="Comma 2 4 3 6 3" xfId="7572" xr:uid="{4A7A62F9-EA24-4CD7-B0AF-D9157C0C698B}"/>
    <cellStyle name="Comma 2 4 3 7" xfId="3600" xr:uid="{64EC2093-AA6B-4019-ABE9-00058C99AC69}"/>
    <cellStyle name="Comma 2 4 3 7 2" xfId="8897" xr:uid="{7C5381A4-30F0-4091-AEA5-C1E3A5F83956}"/>
    <cellStyle name="Comma 2 4 3 8" xfId="6248" xr:uid="{AAEFF0CA-865B-43DD-9A8C-1FA8C1619161}"/>
    <cellStyle name="Comma 2 4 4" xfId="715" xr:uid="{82B01262-A186-4CCC-8F9A-1D773DD8333B}"/>
    <cellStyle name="Comma 2 4 4 2" xfId="1135" xr:uid="{C0BCAED4-05FD-4FAA-A54E-E62976793C29}"/>
    <cellStyle name="Comma 2 4 4 2 2" xfId="1667" xr:uid="{CF5DB9E3-CD94-4F30-9F32-C5588E2FF773}"/>
    <cellStyle name="Comma 2 4 4 2 2 2" xfId="3007" xr:uid="{F58C0068-C9AC-4EBD-BE3C-20B931C2DBE9}"/>
    <cellStyle name="Comma 2 4 4 2 2 2 2" xfId="5656" xr:uid="{2B80E633-1E71-4F83-86BD-2E9AF9DD108C}"/>
    <cellStyle name="Comma 2 4 4 2 2 2 2 2" xfId="10953" xr:uid="{BF5D6DCA-B994-448D-9D8D-B0AC352D1A0F}"/>
    <cellStyle name="Comma 2 4 4 2 2 2 3" xfId="8304" xr:uid="{CF0BFDC9-0FE2-4444-AFCC-D2E6AA4AB548}"/>
    <cellStyle name="Comma 2 4 4 2 2 3" xfId="4332" xr:uid="{1518C3DC-47CB-4CBC-B651-BF498F2976E3}"/>
    <cellStyle name="Comma 2 4 4 2 2 3 2" xfId="9629" xr:uid="{76B80BC8-F0D3-48B7-A58C-121062AD752D}"/>
    <cellStyle name="Comma 2 4 4 2 2 4" xfId="6980" xr:uid="{8550CE19-8F3D-4CA7-9996-3CCAD43F622B}"/>
    <cellStyle name="Comma 2 4 4 2 3" xfId="2479" xr:uid="{803B9751-075F-4E9E-93E7-D20E0A78A072}"/>
    <cellStyle name="Comma 2 4 4 2 3 2" xfId="5128" xr:uid="{357FEA6D-3C22-422B-A4CC-CFD08F7C83CA}"/>
    <cellStyle name="Comma 2 4 4 2 3 2 2" xfId="10425" xr:uid="{25F7931E-1BD6-4D1A-B205-1689882C0B6A}"/>
    <cellStyle name="Comma 2 4 4 2 3 3" xfId="7776" xr:uid="{7F29717B-C98A-4514-B9AF-599F4EDEBA56}"/>
    <cellStyle name="Comma 2 4 4 2 4" xfId="3804" xr:uid="{15E84651-6DF0-433F-A968-84178DC33C1E}"/>
    <cellStyle name="Comma 2 4 4 2 4 2" xfId="9101" xr:uid="{BA23C18B-DDD8-42A0-AD87-89BDDB9ACAC5}"/>
    <cellStyle name="Comma 2 4 4 2 5" xfId="6452" xr:uid="{F3BA8432-BB92-4DF8-89F9-4B02ED2328CE}"/>
    <cellStyle name="Comma 2 4 4 3" xfId="991" xr:uid="{18563B2E-5486-43D7-82A1-BDED3538A0A6}"/>
    <cellStyle name="Comma 2 4 4 3 2" xfId="1535" xr:uid="{C7F5D353-0B5B-425A-BA94-2BD6EEE1B09C}"/>
    <cellStyle name="Comma 2 4 4 3 2 2" xfId="2875" xr:uid="{3795C414-36EC-4EE5-AF2A-F930D04816CD}"/>
    <cellStyle name="Comma 2 4 4 3 2 2 2" xfId="5524" xr:uid="{2EFF0592-92FF-4CF0-8EF5-5CCB372A4C59}"/>
    <cellStyle name="Comma 2 4 4 3 2 2 2 2" xfId="10821" xr:uid="{C521DD2A-9DCB-465C-9CF5-B1E97E03E157}"/>
    <cellStyle name="Comma 2 4 4 3 2 2 3" xfId="8172" xr:uid="{F8A752BE-950F-4C83-AE55-DE5D7E1DD83B}"/>
    <cellStyle name="Comma 2 4 4 3 2 3" xfId="4200" xr:uid="{331BF626-9292-4DC6-812B-8227B8458577}"/>
    <cellStyle name="Comma 2 4 4 3 2 3 2" xfId="9497" xr:uid="{1523EC4B-A491-4383-9376-A02440CBDF2C}"/>
    <cellStyle name="Comma 2 4 4 3 2 4" xfId="6848" xr:uid="{2B20CBB5-5BD1-4785-83CB-9A536BAFE931}"/>
    <cellStyle name="Comma 2 4 4 3 3" xfId="2347" xr:uid="{C6FE9D69-A03B-4FF5-8AE4-04EC8E4BC7BE}"/>
    <cellStyle name="Comma 2 4 4 3 3 2" xfId="4996" xr:uid="{E52E66AE-D3D7-4E88-B76A-7C84EA13D7E5}"/>
    <cellStyle name="Comma 2 4 4 3 3 2 2" xfId="10293" xr:uid="{14857FCF-7814-4949-93F9-816B7C30A747}"/>
    <cellStyle name="Comma 2 4 4 3 3 3" xfId="7644" xr:uid="{F327F744-FCE6-4789-8027-F2B113FACD5E}"/>
    <cellStyle name="Comma 2 4 4 3 4" xfId="3672" xr:uid="{832B07AA-0B91-41CE-863A-DCA8EC57351E}"/>
    <cellStyle name="Comma 2 4 4 3 4 2" xfId="8969" xr:uid="{1D864784-8175-4A25-B7B5-9FC29DFE2376}"/>
    <cellStyle name="Comma 2 4 4 3 5" xfId="6320" xr:uid="{46A41877-3DFC-4C4B-BFFC-1592182D2A11}"/>
    <cellStyle name="Comma 2 4 4 4" xfId="1271" xr:uid="{F79643FD-D781-4363-89B6-B7725D3F0B19}"/>
    <cellStyle name="Comma 2 4 4 4 2" xfId="1799" xr:uid="{468A0470-144D-4A24-9EA7-B883F8B64546}"/>
    <cellStyle name="Comma 2 4 4 4 2 2" xfId="3139" xr:uid="{A976B463-7511-4BE6-A35A-60D1AD80DA2B}"/>
    <cellStyle name="Comma 2 4 4 4 2 2 2" xfId="5788" xr:uid="{C83D54D5-F9E4-47AA-80A5-F2C601EA917E}"/>
    <cellStyle name="Comma 2 4 4 4 2 2 2 2" xfId="11085" xr:uid="{0A7F47AD-39B6-4326-9A38-2D5A482C66EA}"/>
    <cellStyle name="Comma 2 4 4 4 2 2 3" xfId="8436" xr:uid="{F01FB474-F001-4F28-B615-20E3E7D17308}"/>
    <cellStyle name="Comma 2 4 4 4 2 3" xfId="4464" xr:uid="{DB0EBBAE-3252-4B4D-85E5-C56ABD31F3EE}"/>
    <cellStyle name="Comma 2 4 4 4 2 3 2" xfId="9761" xr:uid="{C4890CDA-ABD3-44D4-99D7-8F96C4EBCFB8}"/>
    <cellStyle name="Comma 2 4 4 4 2 4" xfId="7112" xr:uid="{5386A31F-0753-468C-A159-214E70EDDFD2}"/>
    <cellStyle name="Comma 2 4 4 4 3" xfId="2611" xr:uid="{61B0EF6F-E8C7-4EF6-9A43-ECEE6DAE71DE}"/>
    <cellStyle name="Comma 2 4 4 4 3 2" xfId="5260" xr:uid="{AF0C4A79-F1D4-4144-836E-1AE5823CA864}"/>
    <cellStyle name="Comma 2 4 4 4 3 2 2" xfId="10557" xr:uid="{ED850D89-C3C1-486E-8572-9043658784BA}"/>
    <cellStyle name="Comma 2 4 4 4 3 3" xfId="7908" xr:uid="{F9760445-1C11-4700-95B7-4F4C8A15CA46}"/>
    <cellStyle name="Comma 2 4 4 4 4" xfId="3936" xr:uid="{3B30C7FA-0001-4C7A-8EB4-8D5991F37178}"/>
    <cellStyle name="Comma 2 4 4 4 4 2" xfId="9233" xr:uid="{87DD4835-C163-4820-9256-A2B8029EFD87}"/>
    <cellStyle name="Comma 2 4 4 4 5" xfId="6584" xr:uid="{27B17954-82E6-4104-A02A-F3A6E11EF498}"/>
    <cellStyle name="Comma 2 4 4 5" xfId="1403" xr:uid="{5094EA2A-A289-44F5-90F9-EB144A6CDD58}"/>
    <cellStyle name="Comma 2 4 4 5 2" xfId="1931" xr:uid="{FD3DD75F-C03D-46EF-AF12-528859092600}"/>
    <cellStyle name="Comma 2 4 4 5 2 2" xfId="3271" xr:uid="{9EF68632-EA36-4B5E-B5C6-1B10C1DEBC63}"/>
    <cellStyle name="Comma 2 4 4 5 2 2 2" xfId="5920" xr:uid="{418FFA04-EC1B-453D-9E3D-95D8A1518EDA}"/>
    <cellStyle name="Comma 2 4 4 5 2 2 2 2" xfId="11217" xr:uid="{6C72877C-1763-4C00-A67D-95ED71FA71A2}"/>
    <cellStyle name="Comma 2 4 4 5 2 2 3" xfId="8568" xr:uid="{25F65746-DCF7-442F-9201-2C2F786227CD}"/>
    <cellStyle name="Comma 2 4 4 5 2 3" xfId="4596" xr:uid="{FAB4E828-E216-428A-A076-225D3974B545}"/>
    <cellStyle name="Comma 2 4 4 5 2 3 2" xfId="9893" xr:uid="{5E28467F-44BF-4B02-B7A6-E3D929806406}"/>
    <cellStyle name="Comma 2 4 4 5 2 4" xfId="7244" xr:uid="{607BB965-E22E-44B7-83EA-5F54045C0400}"/>
    <cellStyle name="Comma 2 4 4 5 3" xfId="2743" xr:uid="{224D6436-0144-41E8-A3AB-539A3C5E0316}"/>
    <cellStyle name="Comma 2 4 4 5 3 2" xfId="5392" xr:uid="{D9827398-8B3E-414C-8ADE-EFC726EBC245}"/>
    <cellStyle name="Comma 2 4 4 5 3 2 2" xfId="10689" xr:uid="{3C25F0E7-8DF8-4CB3-B2EC-671C3C9A3FE3}"/>
    <cellStyle name="Comma 2 4 4 5 3 3" xfId="8040" xr:uid="{DA0FB8C7-9145-4443-8165-8A1502B4AD07}"/>
    <cellStyle name="Comma 2 4 4 5 4" xfId="4068" xr:uid="{76DE3C46-0043-428F-A5B9-4E5D95B6F832}"/>
    <cellStyle name="Comma 2 4 4 5 4 2" xfId="9365" xr:uid="{80ACEC24-8E0E-4E08-92A8-C19A822A409A}"/>
    <cellStyle name="Comma 2 4 4 5 5" xfId="6716" xr:uid="{6F3221F5-7F3D-41B8-916E-675C8D03E9CB}"/>
    <cellStyle name="Comma 2 4 4 6" xfId="2219" xr:uid="{18BF86F1-FB89-4892-BF1A-F3FB8C64F332}"/>
    <cellStyle name="Comma 2 4 4 6 2" xfId="4868" xr:uid="{4FD863CC-D1E7-4BCA-B659-95C71AE97CE3}"/>
    <cellStyle name="Comma 2 4 4 6 2 2" xfId="10165" xr:uid="{13D43705-644B-45D6-B092-3E61A6D6F02C}"/>
    <cellStyle name="Comma 2 4 4 6 3" xfId="7516" xr:uid="{DEFFB9E4-81F6-47C2-A55A-CDB55AAD1A9C}"/>
    <cellStyle name="Comma 2 4 4 7" xfId="3544" xr:uid="{02123334-6768-4D1A-876B-F2E56A04F6D0}"/>
    <cellStyle name="Comma 2 4 4 7 2" xfId="8841" xr:uid="{02EC4304-4E90-42EB-B360-FFDDFC286B36}"/>
    <cellStyle name="Comma 2 4 4 8" xfId="6192" xr:uid="{BB3E0CA9-ABB5-4DAA-9F55-A1D6EB916E06}"/>
    <cellStyle name="Comma 2 4 5" xfId="1105" xr:uid="{E5351266-CB1A-4AA9-A159-714F7D632FBD}"/>
    <cellStyle name="Comma 2 4 5 2" xfId="1639" xr:uid="{29F9318B-ADF1-4A23-9EB3-CA660C377EBE}"/>
    <cellStyle name="Comma 2 4 5 2 2" xfId="2979" xr:uid="{C88C6CCA-B492-4961-89DF-FB4E287FECB3}"/>
    <cellStyle name="Comma 2 4 5 2 2 2" xfId="5628" xr:uid="{6A6523E1-1635-4823-A8CE-50BE9CA1DAFA}"/>
    <cellStyle name="Comma 2 4 5 2 2 2 2" xfId="10925" xr:uid="{D19AF796-281B-4E2B-8407-CD629FC0018E}"/>
    <cellStyle name="Comma 2 4 5 2 2 3" xfId="8276" xr:uid="{F11D92AF-F546-4B41-9E5A-6B604EB660E1}"/>
    <cellStyle name="Comma 2 4 5 2 3" xfId="4304" xr:uid="{B8ABBE20-868A-4895-9810-F134D0D81E0E}"/>
    <cellStyle name="Comma 2 4 5 2 3 2" xfId="9601" xr:uid="{6A306017-6659-405D-8FD0-7733BBBA328C}"/>
    <cellStyle name="Comma 2 4 5 2 4" xfId="6952" xr:uid="{6FF5C1AB-6FB2-4B40-B5D0-99EC4578F1AB}"/>
    <cellStyle name="Comma 2 4 5 3" xfId="2451" xr:uid="{35BA28B9-71FD-4533-A874-4FAB5A3B9856}"/>
    <cellStyle name="Comma 2 4 5 3 2" xfId="5100" xr:uid="{CCC9300B-4174-4B2D-88BA-688C8233DAA7}"/>
    <cellStyle name="Comma 2 4 5 3 2 2" xfId="10397" xr:uid="{CDEDA4AB-F638-4917-9971-BA79CBE053EE}"/>
    <cellStyle name="Comma 2 4 5 3 3" xfId="7748" xr:uid="{0178C3D4-FB15-494F-8883-AC0C42E29D43}"/>
    <cellStyle name="Comma 2 4 5 4" xfId="3776" xr:uid="{CD0D52DB-67A5-4D2F-9DFA-E9BBD7018508}"/>
    <cellStyle name="Comma 2 4 5 4 2" xfId="9073" xr:uid="{5AAFE62B-BF08-44AE-A9FE-905348235449}"/>
    <cellStyle name="Comma 2 4 5 5" xfId="6424" xr:uid="{303B845F-818B-4E4F-BCBB-F5DCA0FF788A}"/>
    <cellStyle name="Comma 2 4 6" xfId="959" xr:uid="{EAE5AF18-0B69-4D96-A4B5-02D72580A95B}"/>
    <cellStyle name="Comma 2 4 6 2" xfId="1507" xr:uid="{51D5894E-84A3-4D17-924D-1ACE045AAD2A}"/>
    <cellStyle name="Comma 2 4 6 2 2" xfId="2847" xr:uid="{EF9CF38C-4BA2-4A3A-B843-873434CF31C4}"/>
    <cellStyle name="Comma 2 4 6 2 2 2" xfId="5496" xr:uid="{3327A693-5237-4748-9CA6-D4735C547CF9}"/>
    <cellStyle name="Comma 2 4 6 2 2 2 2" xfId="10793" xr:uid="{68D05305-C7A4-41B1-AAA8-06EBB804D99E}"/>
    <cellStyle name="Comma 2 4 6 2 2 3" xfId="8144" xr:uid="{FA48BFDE-6A30-44AA-8D6A-D451BF513C09}"/>
    <cellStyle name="Comma 2 4 6 2 3" xfId="4172" xr:uid="{E98758C2-56F4-4BF2-BA32-BB8E1E71D085}"/>
    <cellStyle name="Comma 2 4 6 2 3 2" xfId="9469" xr:uid="{B4E8FFD6-21AE-46F4-A517-DFEE042A9EB2}"/>
    <cellStyle name="Comma 2 4 6 2 4" xfId="6820" xr:uid="{35908757-2434-4A23-850A-E616C3010BA0}"/>
    <cellStyle name="Comma 2 4 6 3" xfId="2319" xr:uid="{5369357E-7592-4113-93A9-27FB063A3A64}"/>
    <cellStyle name="Comma 2 4 6 3 2" xfId="4968" xr:uid="{576BF4F9-F948-4547-B491-4C13EC03B92C}"/>
    <cellStyle name="Comma 2 4 6 3 2 2" xfId="10265" xr:uid="{FCDE6FA4-2D00-45F0-BD8B-FD0187A6CC18}"/>
    <cellStyle name="Comma 2 4 6 3 3" xfId="7616" xr:uid="{EDC3DB9C-95DE-4188-87C9-6784B2FCAA80}"/>
    <cellStyle name="Comma 2 4 6 4" xfId="3644" xr:uid="{544A77B8-EC25-4440-8691-02FBC4F6FE83}"/>
    <cellStyle name="Comma 2 4 6 4 2" xfId="8941" xr:uid="{BCEFB3A9-856F-4353-AE45-DC2EB2E7C4BD}"/>
    <cellStyle name="Comma 2 4 6 5" xfId="6292" xr:uid="{79423CDD-A2E3-47E8-A8E6-483309E06AF7}"/>
    <cellStyle name="Comma 2 4 7" xfId="1243" xr:uid="{D02D7D01-AAD8-4DB2-A35C-6931361042E2}"/>
    <cellStyle name="Comma 2 4 7 2" xfId="1771" xr:uid="{D09AE3AF-429B-4BD0-B2D7-4B775926C57C}"/>
    <cellStyle name="Comma 2 4 7 2 2" xfId="3111" xr:uid="{1DBF4AE4-2DD1-420A-85D0-DF5988AD60A7}"/>
    <cellStyle name="Comma 2 4 7 2 2 2" xfId="5760" xr:uid="{3F991DED-F34B-4929-B7D9-007AC2C6F576}"/>
    <cellStyle name="Comma 2 4 7 2 2 2 2" xfId="11057" xr:uid="{6D18AA86-D0FF-445E-BB14-9C56BB7EB2F2}"/>
    <cellStyle name="Comma 2 4 7 2 2 3" xfId="8408" xr:uid="{38090EE9-FE6A-4789-AB03-89C6805C06FD}"/>
    <cellStyle name="Comma 2 4 7 2 3" xfId="4436" xr:uid="{406604B0-CBBA-4048-B9DA-8D78F8227ADF}"/>
    <cellStyle name="Comma 2 4 7 2 3 2" xfId="9733" xr:uid="{20E63A62-B89E-40C8-AF52-7782FBC7584D}"/>
    <cellStyle name="Comma 2 4 7 2 4" xfId="7084" xr:uid="{3A2CDE61-BC63-4B54-B5B6-62F751D21504}"/>
    <cellStyle name="Comma 2 4 7 3" xfId="2583" xr:uid="{345B2EE1-20B5-4C84-AF69-8564FB227F9A}"/>
    <cellStyle name="Comma 2 4 7 3 2" xfId="5232" xr:uid="{2F59F0AC-059E-4222-B144-45FC97573C03}"/>
    <cellStyle name="Comma 2 4 7 3 2 2" xfId="10529" xr:uid="{669CE7A1-7858-4F32-AC6F-8E67DC2254DC}"/>
    <cellStyle name="Comma 2 4 7 3 3" xfId="7880" xr:uid="{0DED5A69-27BC-44A2-BA02-A6477C44FEC1}"/>
    <cellStyle name="Comma 2 4 7 4" xfId="3908" xr:uid="{BAC8D44F-1E5C-4BD0-884C-C113B5AA1170}"/>
    <cellStyle name="Comma 2 4 7 4 2" xfId="9205" xr:uid="{DAFA07A8-5DAE-47BC-9C73-5A375A5EF0AC}"/>
    <cellStyle name="Comma 2 4 7 5" xfId="6556" xr:uid="{5D027FF6-006D-4840-84F7-D3C989AD8D1A}"/>
    <cellStyle name="Comma 2 4 8" xfId="1375" xr:uid="{E14E2475-9A00-4D5E-BA73-7C9031380048}"/>
    <cellStyle name="Comma 2 4 8 2" xfId="1903" xr:uid="{FA578614-3F60-4504-B391-B1F4EDC79250}"/>
    <cellStyle name="Comma 2 4 8 2 2" xfId="3243" xr:uid="{A2AB35F2-4FB5-496D-8202-8D41FE2229D6}"/>
    <cellStyle name="Comma 2 4 8 2 2 2" xfId="5892" xr:uid="{92AC0F18-96A0-4220-BC28-37D86AF2002E}"/>
    <cellStyle name="Comma 2 4 8 2 2 2 2" xfId="11189" xr:uid="{3982058D-79BC-4FD9-83A5-01D0F126122D}"/>
    <cellStyle name="Comma 2 4 8 2 2 3" xfId="8540" xr:uid="{5519B65C-9342-40BB-B77C-8D228DB72847}"/>
    <cellStyle name="Comma 2 4 8 2 3" xfId="4568" xr:uid="{ED23C041-DC47-4002-ABFE-CCD2187E7239}"/>
    <cellStyle name="Comma 2 4 8 2 3 2" xfId="9865" xr:uid="{2954F81A-C2F2-4CB8-B87D-F1B3629C989E}"/>
    <cellStyle name="Comma 2 4 8 2 4" xfId="7216" xr:uid="{6AB0A3D3-93A8-484A-ABE9-9802E6D04B28}"/>
    <cellStyle name="Comma 2 4 8 3" xfId="2715" xr:uid="{85B2B3E4-ACB8-4FC1-B062-B3017AE0E454}"/>
    <cellStyle name="Comma 2 4 8 3 2" xfId="5364" xr:uid="{69235695-0CD0-4AF9-B23B-D45930275126}"/>
    <cellStyle name="Comma 2 4 8 3 2 2" xfId="10661" xr:uid="{CA736B14-2A28-49D8-BAF3-3259CAC3721C}"/>
    <cellStyle name="Comma 2 4 8 3 3" xfId="8012" xr:uid="{B01928D6-56C1-4375-A4FE-0D16D7F3AA18}"/>
    <cellStyle name="Comma 2 4 8 4" xfId="4040" xr:uid="{0F56B21C-1F96-471C-8778-944EA91C8B6E}"/>
    <cellStyle name="Comma 2 4 8 4 2" xfId="9337" xr:uid="{66D61678-182F-4BCF-9F3F-76CEA1319066}"/>
    <cellStyle name="Comma 2 4 8 5" xfId="6688" xr:uid="{19D6A158-A76B-475D-A41F-6FC947453049}"/>
    <cellStyle name="Comma 2 4 9" xfId="610" xr:uid="{5353D48F-D77F-4674-83A4-8AF8A9B87D84}"/>
    <cellStyle name="Comma 2 4 9 2" xfId="2195" xr:uid="{E3381AAC-3C55-4DD7-B3B8-4B616BE2AFEC}"/>
    <cellStyle name="Comma 2 4 9 2 2" xfId="4844" xr:uid="{430879A4-7AF0-450E-8DCD-34DB32758689}"/>
    <cellStyle name="Comma 2 4 9 2 2 2" xfId="10141" xr:uid="{3A780849-E2ED-495B-977E-E255A74CCF29}"/>
    <cellStyle name="Comma 2 4 9 2 3" xfId="7492" xr:uid="{A82F96E3-ECBA-4DA8-AFCC-1AE4446D427A}"/>
    <cellStyle name="Comma 2 4 9 3" xfId="3520" xr:uid="{858F9F5B-C883-4ADD-B88B-29E665DE1CE7}"/>
    <cellStyle name="Comma 2 4 9 3 2" xfId="8817" xr:uid="{C531FB28-9D8C-46B3-A8D9-354A5361366C}"/>
    <cellStyle name="Comma 2 4 9 4" xfId="6168" xr:uid="{F7D0266B-FD66-4407-AE93-E9E41B1EE0F2}"/>
    <cellStyle name="Comma 2 5" xfId="6" xr:uid="{77AFC8BE-ECEF-4498-B3D7-11D7241152D3}"/>
    <cellStyle name="Comma 2 5 10" xfId="2044" xr:uid="{34A6E675-F24D-4AA5-BFE6-4A194E9BCFC5}"/>
    <cellStyle name="Comma 2 5 10 2" xfId="4693" xr:uid="{2A71220A-8C38-421A-8326-A4484EBABCA9}"/>
    <cellStyle name="Comma 2 5 10 2 2" xfId="9990" xr:uid="{EE92BFE0-C929-4C04-9F0A-A5D9662CFA46}"/>
    <cellStyle name="Comma 2 5 10 3" xfId="7341" xr:uid="{11A2661E-8D2B-4238-9EFF-0ACB17DFE80E}"/>
    <cellStyle name="Comma 2 5 11" xfId="3369" xr:uid="{CC30CED0-380D-4E78-B1EB-5DD63232C0CF}"/>
    <cellStyle name="Comma 2 5 11 2" xfId="8666" xr:uid="{63139B51-967C-43CD-B57C-1AF6D6569AB9}"/>
    <cellStyle name="Comma 2 5 12" xfId="6017" xr:uid="{BB3FFBC3-1F64-4349-8293-502C3D2E9E42}"/>
    <cellStyle name="Comma 2 5 2" xfId="12" xr:uid="{EAE440C2-BBD3-44C6-997D-B6A2F7F047CF}"/>
    <cellStyle name="Comma 2 5 2 10" xfId="2045" xr:uid="{BB6309DE-B306-4523-AD29-A42235639969}"/>
    <cellStyle name="Comma 2 5 2 10 2" xfId="4694" xr:uid="{754D188F-D9DC-477E-8AE6-17796064CE72}"/>
    <cellStyle name="Comma 2 5 2 10 2 2" xfId="9991" xr:uid="{8B189C1C-DDA4-4A4D-A5C5-A4C63DEA79BD}"/>
    <cellStyle name="Comma 2 5 2 10 3" xfId="7342" xr:uid="{4C13C3C5-8D83-4711-B4F2-8639A0F1DAC0}"/>
    <cellStyle name="Comma 2 5 2 11" xfId="3370" xr:uid="{540F848A-0E27-4C39-A4C1-6A5028811FC5}"/>
    <cellStyle name="Comma 2 5 2 11 2" xfId="8667" xr:uid="{39C887A3-3777-4DD3-A516-2BDA79134824}"/>
    <cellStyle name="Comma 2 5 2 12" xfId="6018" xr:uid="{A9C3D682-C2ED-47F2-AC16-1ED053CDBEDD}"/>
    <cellStyle name="Comma 2 5 2 2" xfId="32" xr:uid="{167CE886-FAAE-401F-9F04-90FE6F9014A3}"/>
    <cellStyle name="Comma 2 5 2 2 10" xfId="3375" xr:uid="{E3B2B2D0-AFB2-45FA-B2AE-EBDD1E22C689}"/>
    <cellStyle name="Comma 2 5 2 2 10 2" xfId="8672" xr:uid="{585AA7F5-E3F6-4DE4-AEC1-6F200D20F9BC}"/>
    <cellStyle name="Comma 2 5 2 2 11" xfId="6023" xr:uid="{0072F4DC-3D1F-4896-897E-F1D62B2A30A8}"/>
    <cellStyle name="Comma 2 5 2 2 2" xfId="75" xr:uid="{5F8ADE8B-7BAF-4E72-9201-C5E0D8260263}"/>
    <cellStyle name="Comma 2 5 2 2 2 2" xfId="307" xr:uid="{4FB3AAF2-3965-487A-A160-540DE4B263F4}"/>
    <cellStyle name="Comma 2 5 2 2 2 2 2" xfId="2129" xr:uid="{91443D10-5A90-42F5-A5FE-C3CABEE0B5DC}"/>
    <cellStyle name="Comma 2 5 2 2 2 2 2 2" xfId="4778" xr:uid="{83535C61-E03B-4252-8F39-8C579E47F5DE}"/>
    <cellStyle name="Comma 2 5 2 2 2 2 2 2 2" xfId="10075" xr:uid="{9E91AC74-5748-42D0-A594-0DEAB476AD4D}"/>
    <cellStyle name="Comma 2 5 2 2 2 2 2 3" xfId="7426" xr:uid="{433E4824-100E-4634-A1EB-3318D56D3C40}"/>
    <cellStyle name="Comma 2 5 2 2 2 2 3" xfId="3454" xr:uid="{BD8D927C-89C8-4843-835D-97C9114D09B8}"/>
    <cellStyle name="Comma 2 5 2 2 2 2 3 2" xfId="8751" xr:uid="{ACF406FB-8A6A-45F7-8761-1682646348E6}"/>
    <cellStyle name="Comma 2 5 2 2 2 2 4" xfId="6102" xr:uid="{A16A445F-BEB9-4D4F-8FDC-DA7067C291C6}"/>
    <cellStyle name="Comma 2 5 2 2 2 3" xfId="1696" xr:uid="{7641CE1C-A8CE-40BE-86FA-A5174F4BD7CA}"/>
    <cellStyle name="Comma 2 5 2 2 2 3 2" xfId="3036" xr:uid="{0B135FFC-9AB4-47BF-908C-05C0F5F02779}"/>
    <cellStyle name="Comma 2 5 2 2 2 3 2 2" xfId="5685" xr:uid="{70FC6442-AB09-454B-8EE6-63BC386EF3D4}"/>
    <cellStyle name="Comma 2 5 2 2 2 3 2 2 2" xfId="10982" xr:uid="{872785E4-A500-405A-9E51-69EAA09BDA6C}"/>
    <cellStyle name="Comma 2 5 2 2 2 3 2 3" xfId="8333" xr:uid="{93846B8D-B637-471E-BD03-BB470C97543D}"/>
    <cellStyle name="Comma 2 5 2 2 2 3 3" xfId="4361" xr:uid="{7CA28BFB-6AFC-487F-87CD-18CF3202D7B0}"/>
    <cellStyle name="Comma 2 5 2 2 2 3 3 2" xfId="9658" xr:uid="{7D513ADD-831B-4899-9427-60C1093C136A}"/>
    <cellStyle name="Comma 2 5 2 2 2 3 4" xfId="7009" xr:uid="{1A0B21DE-A026-483F-BD6B-5881CF75FA3A}"/>
    <cellStyle name="Comma 2 5 2 2 2 4" xfId="2062" xr:uid="{9B2F9727-1924-4415-BAD9-707E408EEF10}"/>
    <cellStyle name="Comma 2 5 2 2 2 4 2" xfId="4711" xr:uid="{B67D71BB-F954-4026-A759-57DC9E6E73E8}"/>
    <cellStyle name="Comma 2 5 2 2 2 4 2 2" xfId="10008" xr:uid="{F07E33FF-58D1-4C82-B276-B895E4E512E9}"/>
    <cellStyle name="Comma 2 5 2 2 2 4 3" xfId="7359" xr:uid="{E64E651E-DFE1-4D6D-BCDE-1626D006950E}"/>
    <cellStyle name="Comma 2 5 2 2 2 5" xfId="3387" xr:uid="{C594C365-3A71-4974-8274-2AE69473B1D5}"/>
    <cellStyle name="Comma 2 5 2 2 2 5 2" xfId="8684" xr:uid="{6450B082-AC94-4A0A-BBD1-35902EEA8D07}"/>
    <cellStyle name="Comma 2 5 2 2 2 6" xfId="6035" xr:uid="{8AB5C904-37E4-433C-9519-6DDF178F35CF}"/>
    <cellStyle name="Comma 2 5 2 2 3" xfId="118" xr:uid="{961C64F4-54FA-4407-8CC5-9D480D3A020F}"/>
    <cellStyle name="Comma 2 5 2 2 3 2" xfId="350" xr:uid="{AE5A99A9-CD8E-403A-A556-4C696C744165}"/>
    <cellStyle name="Comma 2 5 2 2 3 2 2" xfId="2141" xr:uid="{3CF7031A-3C67-4158-AEE9-A494AB3D099F}"/>
    <cellStyle name="Comma 2 5 2 2 3 2 2 2" xfId="4790" xr:uid="{6EE09923-4E38-4E72-8B56-2DF62134755D}"/>
    <cellStyle name="Comma 2 5 2 2 3 2 2 2 2" xfId="10087" xr:uid="{0512A2F1-5A96-4A00-8CE4-1F92F9F95195}"/>
    <cellStyle name="Comma 2 5 2 2 3 2 2 3" xfId="7438" xr:uid="{9CDAA642-1737-4ACF-AE76-700BE85175AB}"/>
    <cellStyle name="Comma 2 5 2 2 3 2 3" xfId="3466" xr:uid="{303A00E4-9E4A-4462-811C-4A8D25C4ABF0}"/>
    <cellStyle name="Comma 2 5 2 2 3 2 3 2" xfId="8763" xr:uid="{859CC7A7-8C9B-45D9-BEC0-0AF27590780F}"/>
    <cellStyle name="Comma 2 5 2 2 3 2 4" xfId="6114" xr:uid="{F4E88D94-5AE3-4BBD-A541-039992FA8B12}"/>
    <cellStyle name="Comma 2 5 2 2 3 3" xfId="2074" xr:uid="{2F64EA71-5897-425E-8885-0A37ACD3AEA2}"/>
    <cellStyle name="Comma 2 5 2 2 3 3 2" xfId="4723" xr:uid="{0B9BB8B2-6D23-4CE3-9DE3-5C474B56ED43}"/>
    <cellStyle name="Comma 2 5 2 2 3 3 2 2" xfId="10020" xr:uid="{025CFFBC-50F9-4ABB-AD34-FFEB2F1E94AA}"/>
    <cellStyle name="Comma 2 5 2 2 3 3 3" xfId="7371" xr:uid="{709F5128-56E9-4684-889C-84D00DDA9561}"/>
    <cellStyle name="Comma 2 5 2 2 3 4" xfId="3399" xr:uid="{B6E9AD3A-9F29-47BD-8362-E26E63C087A8}"/>
    <cellStyle name="Comma 2 5 2 2 3 4 2" xfId="8696" xr:uid="{4547B920-3FD8-460E-B0F5-4FDE6402B18B}"/>
    <cellStyle name="Comma 2 5 2 2 3 5" xfId="6047" xr:uid="{9D5079AF-C51C-460C-AB8C-F61577F9466E}"/>
    <cellStyle name="Comma 2 5 2 2 4" xfId="164" xr:uid="{9F8509F3-3979-45E8-BCCE-69246D42BE09}"/>
    <cellStyle name="Comma 2 5 2 2 4 2" xfId="396" xr:uid="{A81D4764-1761-448A-883D-3B2EA799A8E6}"/>
    <cellStyle name="Comma 2 5 2 2 4 2 2" xfId="2154" xr:uid="{858BB032-1C09-4B82-BE0A-4B55ECE25247}"/>
    <cellStyle name="Comma 2 5 2 2 4 2 2 2" xfId="4803" xr:uid="{D4B371D5-5D02-4076-93B3-65F117C8E0A8}"/>
    <cellStyle name="Comma 2 5 2 2 4 2 2 2 2" xfId="10100" xr:uid="{FB6FCD0E-50A9-4AED-8C4C-7E1D4F744AA0}"/>
    <cellStyle name="Comma 2 5 2 2 4 2 2 3" xfId="7451" xr:uid="{F9D601B7-07FB-4544-A5EC-A2AFCE35662B}"/>
    <cellStyle name="Comma 2 5 2 2 4 2 3" xfId="3479" xr:uid="{850D665F-AC3A-4A13-9EAE-30AA75702C20}"/>
    <cellStyle name="Comma 2 5 2 2 4 2 3 2" xfId="8776" xr:uid="{FD656314-CC79-4B1E-8F01-BDECF7FF3B95}"/>
    <cellStyle name="Comma 2 5 2 2 4 2 4" xfId="6127" xr:uid="{5B9AC12D-BDB0-4532-9F81-E9DD78D4E9F2}"/>
    <cellStyle name="Comma 2 5 2 2 4 3" xfId="2087" xr:uid="{3D34E9C6-52AD-41D7-9CB4-1D32B66E3A39}"/>
    <cellStyle name="Comma 2 5 2 2 4 3 2" xfId="4736" xr:uid="{003EC9C9-79DB-42B3-9F61-C6F59B317D93}"/>
    <cellStyle name="Comma 2 5 2 2 4 3 2 2" xfId="10033" xr:uid="{8EA6DF8A-B45B-458E-A685-B544AAD95D49}"/>
    <cellStyle name="Comma 2 5 2 2 4 3 3" xfId="7384" xr:uid="{48743DEA-F053-4A0B-92A1-17664948D2D9}"/>
    <cellStyle name="Comma 2 5 2 2 4 4" xfId="3412" xr:uid="{A6882637-7107-4086-9D42-FD46D7FAB37C}"/>
    <cellStyle name="Comma 2 5 2 2 4 4 2" xfId="8709" xr:uid="{2BB3F902-61AB-4FEB-BEDE-20A946B33CB9}"/>
    <cellStyle name="Comma 2 5 2 2 4 5" xfId="6060" xr:uid="{404C2F69-8FAB-4941-9D63-FC25F7148E31}"/>
    <cellStyle name="Comma 2 5 2 2 5" xfId="207" xr:uid="{84ED9164-8A06-4110-94AA-C72016DBFF56}"/>
    <cellStyle name="Comma 2 5 2 2 5 2" xfId="439" xr:uid="{04930E4A-9B3C-4021-9264-63534FEF1B5D}"/>
    <cellStyle name="Comma 2 5 2 2 5 2 2" xfId="2166" xr:uid="{6A7779C0-B8A4-4F83-8137-4654F154C18C}"/>
    <cellStyle name="Comma 2 5 2 2 5 2 2 2" xfId="4815" xr:uid="{C32E2F2D-BF3D-47E2-8380-D403D488554C}"/>
    <cellStyle name="Comma 2 5 2 2 5 2 2 2 2" xfId="10112" xr:uid="{9ED5E872-3721-48F5-A02F-62AB85C068DE}"/>
    <cellStyle name="Comma 2 5 2 2 5 2 2 3" xfId="7463" xr:uid="{1861015C-8EBA-4D9B-9F65-D3E1055D95A3}"/>
    <cellStyle name="Comma 2 5 2 2 5 2 3" xfId="3491" xr:uid="{B62DA73F-1A34-420A-9353-491AE3707EC5}"/>
    <cellStyle name="Comma 2 5 2 2 5 2 3 2" xfId="8788" xr:uid="{B4C81849-5642-4572-A8B1-C673ACE09208}"/>
    <cellStyle name="Comma 2 5 2 2 5 2 4" xfId="6139" xr:uid="{4148B009-5E74-448E-B609-2513B7BA93BC}"/>
    <cellStyle name="Comma 2 5 2 2 5 3" xfId="2099" xr:uid="{B4D27119-C329-469E-AFE9-FE983E37D792}"/>
    <cellStyle name="Comma 2 5 2 2 5 3 2" xfId="4748" xr:uid="{533F701E-7EAA-4F3D-B13D-FE8F52D8B036}"/>
    <cellStyle name="Comma 2 5 2 2 5 3 2 2" xfId="10045" xr:uid="{A12AE10F-E6C2-473F-B0A4-38D028E4FCA8}"/>
    <cellStyle name="Comma 2 5 2 2 5 3 3" xfId="7396" xr:uid="{4D874FDD-2972-40FB-92BC-7A5D64F5497A}"/>
    <cellStyle name="Comma 2 5 2 2 5 4" xfId="3424" xr:uid="{78879E18-018F-4EF8-BAB4-4E0609A1EF62}"/>
    <cellStyle name="Comma 2 5 2 2 5 4 2" xfId="8721" xr:uid="{6A087C89-AC58-4ABA-9612-F0009C5AC597}"/>
    <cellStyle name="Comma 2 5 2 2 5 5" xfId="6072" xr:uid="{C939F1E7-6F20-46A3-98BD-2B8660DFA12E}"/>
    <cellStyle name="Comma 2 5 2 2 6" xfId="264" xr:uid="{458C0833-6F27-48BB-B29D-D5023EFE5070}"/>
    <cellStyle name="Comma 2 5 2 2 6 2" xfId="2117" xr:uid="{67C33D25-4952-4E71-8CAD-42987C9A38BD}"/>
    <cellStyle name="Comma 2 5 2 2 6 2 2" xfId="4766" xr:uid="{ABCAB7ED-0A5F-4151-B069-A97CCF67C95C}"/>
    <cellStyle name="Comma 2 5 2 2 6 2 2 2" xfId="10063" xr:uid="{47E51518-201E-440B-B62D-FB16669C82EC}"/>
    <cellStyle name="Comma 2 5 2 2 6 2 3" xfId="7414" xr:uid="{09EF7948-A5D1-4AC3-AF8C-36E7B7471E7F}"/>
    <cellStyle name="Comma 2 5 2 2 6 3" xfId="3442" xr:uid="{2E1429F4-EB7B-4013-B551-F9EC9E12F192}"/>
    <cellStyle name="Comma 2 5 2 2 6 3 2" xfId="8739" xr:uid="{B40511AC-4BF4-465D-95CA-DD468AA5BB18}"/>
    <cellStyle name="Comma 2 5 2 2 6 4" xfId="6090" xr:uid="{82228787-0709-42D1-AEB9-E158212D8926}"/>
    <cellStyle name="Comma 2 5 2 2 7" xfId="1164" xr:uid="{78C85C5D-C94E-47EF-8D8C-E17DB75BA03A}"/>
    <cellStyle name="Comma 2 5 2 2 7 2" xfId="2508" xr:uid="{3AC079D5-833E-4D19-A267-CD45D48F8D10}"/>
    <cellStyle name="Comma 2 5 2 2 7 2 2" xfId="5157" xr:uid="{CC8C03A6-E9B5-423F-9356-BA36E50F18D2}"/>
    <cellStyle name="Comma 2 5 2 2 7 2 2 2" xfId="10454" xr:uid="{434D02EA-DC20-4F02-9968-7D2F08507431}"/>
    <cellStyle name="Comma 2 5 2 2 7 2 3" xfId="7805" xr:uid="{FB8B0335-B9CF-4390-AAB2-63B89F23BF52}"/>
    <cellStyle name="Comma 2 5 2 2 7 3" xfId="3833" xr:uid="{E209DAED-0FF8-436D-A2F1-09BF629E16EB}"/>
    <cellStyle name="Comma 2 5 2 2 7 3 2" xfId="9130" xr:uid="{82D9428C-EAAE-4D8B-B8EB-0E44EBB8DC6C}"/>
    <cellStyle name="Comma 2 5 2 2 7 4" xfId="6481" xr:uid="{4A7782F1-4E37-4FE6-A5A3-DB3E02D21DCF}"/>
    <cellStyle name="Comma 2 5 2 2 8" xfId="2027" xr:uid="{A245CD7C-EC22-4FAF-B724-7D6D5449B9A1}"/>
    <cellStyle name="Comma 2 5 2 2 8 2" xfId="3362" xr:uid="{B11D5054-0434-422E-A93E-0B5D682655AC}"/>
    <cellStyle name="Comma 2 5 2 2 8 2 2" xfId="6011" xr:uid="{0D1431A9-AE10-4105-BE5A-A6DCFEC70409}"/>
    <cellStyle name="Comma 2 5 2 2 8 2 2 2" xfId="11308" xr:uid="{0D42B08D-319E-4B45-A4F1-A424DB199ADF}"/>
    <cellStyle name="Comma 2 5 2 2 8 2 3" xfId="8659" xr:uid="{7EA1FD1A-AB2F-4C19-902B-AFCA30AB1960}"/>
    <cellStyle name="Comma 2 5 2 2 8 3" xfId="4687" xr:uid="{F08A882F-242B-4C88-A97B-0441B0A414C6}"/>
    <cellStyle name="Comma 2 5 2 2 8 3 2" xfId="9984" xr:uid="{8C8CC0CD-E90A-44F4-ADDC-EE612D53194C}"/>
    <cellStyle name="Comma 2 5 2 2 8 4" xfId="7335" xr:uid="{38660279-8BAB-4942-8A88-01BA4F977D52}"/>
    <cellStyle name="Comma 2 5 2 2 9" xfId="2050" xr:uid="{5886CA1D-2F5B-4284-9564-A37F46B19696}"/>
    <cellStyle name="Comma 2 5 2 2 9 2" xfId="4699" xr:uid="{A5B47CFB-B34A-4581-82B1-99EFF39CE40C}"/>
    <cellStyle name="Comma 2 5 2 2 9 2 2" xfId="9996" xr:uid="{480344B1-D321-4E01-903E-27F2C0769E61}"/>
    <cellStyle name="Comma 2 5 2 2 9 3" xfId="7347" xr:uid="{C713B86C-E4EF-456D-ADB3-BEA832E76631}"/>
    <cellStyle name="Comma 2 5 2 3" xfId="56" xr:uid="{C2667CF2-30D6-4F5A-A2FF-8EAA136F3094}"/>
    <cellStyle name="Comma 2 5 2 3 2" xfId="288" xr:uid="{D6F616AC-9229-4EB6-80BF-3ED7201CA1AB}"/>
    <cellStyle name="Comma 2 5 2 3 2 2" xfId="1564" xr:uid="{4C0FEFD0-50F4-4F94-83EB-0B13EDADF34B}"/>
    <cellStyle name="Comma 2 5 2 3 2 2 2" xfId="2904" xr:uid="{3D809D01-B254-46DE-9A96-CAD56A72905A}"/>
    <cellStyle name="Comma 2 5 2 3 2 2 2 2" xfId="5553" xr:uid="{2AD7BAFF-889B-439D-9AFC-B8220AA3B118}"/>
    <cellStyle name="Comma 2 5 2 3 2 2 2 2 2" xfId="10850" xr:uid="{28C7DEB8-9551-407D-ACF2-300A95F0FA58}"/>
    <cellStyle name="Comma 2 5 2 3 2 2 2 3" xfId="8201" xr:uid="{70ADB897-E1AD-4EAB-86D0-361C01F7BECB}"/>
    <cellStyle name="Comma 2 5 2 3 2 2 3" xfId="4229" xr:uid="{C75B0728-03D7-4D1F-864E-3EC2FA3C03EC}"/>
    <cellStyle name="Comma 2 5 2 3 2 2 3 2" xfId="9526" xr:uid="{9EFD7986-1A25-413B-AFA6-33852C462C28}"/>
    <cellStyle name="Comma 2 5 2 3 2 2 4" xfId="6877" xr:uid="{005EA323-FA85-4E0C-8264-8C8591967541}"/>
    <cellStyle name="Comma 2 5 2 3 2 3" xfId="2124" xr:uid="{DD5F29EF-6742-4C67-9656-F6F51EE7A395}"/>
    <cellStyle name="Comma 2 5 2 3 2 3 2" xfId="4773" xr:uid="{1D6AC7C5-A625-47BF-8EFC-0C5134C3C11C}"/>
    <cellStyle name="Comma 2 5 2 3 2 3 2 2" xfId="10070" xr:uid="{BD798360-3C3C-453E-8008-AC79985F3784}"/>
    <cellStyle name="Comma 2 5 2 3 2 3 3" xfId="7421" xr:uid="{54295354-CFE9-4DEF-BFE7-849B7F05D9ED}"/>
    <cellStyle name="Comma 2 5 2 3 2 4" xfId="3449" xr:uid="{DB0A8860-A102-48DD-9752-1B6D2D6BF9A2}"/>
    <cellStyle name="Comma 2 5 2 3 2 4 2" xfId="8746" xr:uid="{CE4ABEB5-2907-4745-84F3-6598245A708C}"/>
    <cellStyle name="Comma 2 5 2 3 2 5" xfId="6097" xr:uid="{903950D1-4DAA-4AEA-8191-4F1BDFC23CD4}"/>
    <cellStyle name="Comma 2 5 2 3 3" xfId="1020" xr:uid="{F2D83F47-F921-497C-84EA-D4855590679E}"/>
    <cellStyle name="Comma 2 5 2 3 3 2" xfId="2376" xr:uid="{6D4327E1-298D-43D4-BF89-3F2A7F784649}"/>
    <cellStyle name="Comma 2 5 2 3 3 2 2" xfId="5025" xr:uid="{181BFBCA-0611-4792-B921-D2401409A93A}"/>
    <cellStyle name="Comma 2 5 2 3 3 2 2 2" xfId="10322" xr:uid="{CF69E80E-8A1B-4A72-9D27-5C525F7C4016}"/>
    <cellStyle name="Comma 2 5 2 3 3 2 3" xfId="7673" xr:uid="{3CF566D4-05F0-4C7C-8753-C6DA269C05EE}"/>
    <cellStyle name="Comma 2 5 2 3 3 3" xfId="3701" xr:uid="{F25F55DF-1660-4633-BCCD-88DC70E8A1A0}"/>
    <cellStyle name="Comma 2 5 2 3 3 3 2" xfId="8998" xr:uid="{6F9B8D06-705D-4703-91EA-780B09929F44}"/>
    <cellStyle name="Comma 2 5 2 3 3 4" xfId="6349" xr:uid="{F88B710E-13F5-4642-BAE2-56E1A5DCDE4E}"/>
    <cellStyle name="Comma 2 5 2 3 4" xfId="2057" xr:uid="{E8700C1E-FD12-45C8-B6B6-C5AFC6BDCE66}"/>
    <cellStyle name="Comma 2 5 2 3 4 2" xfId="4706" xr:uid="{8D5BD24A-CB6D-49DF-9523-8A19D1BBD93B}"/>
    <cellStyle name="Comma 2 5 2 3 4 2 2" xfId="10003" xr:uid="{F0782A1F-E819-4F30-A0D3-B0EE31062FC6}"/>
    <cellStyle name="Comma 2 5 2 3 4 3" xfId="7354" xr:uid="{107A54F4-9925-4995-9213-9BAA5596D133}"/>
    <cellStyle name="Comma 2 5 2 3 5" xfId="3382" xr:uid="{9A4EE299-7B1B-4B99-82C5-EF49651D4FCB}"/>
    <cellStyle name="Comma 2 5 2 3 5 2" xfId="8679" xr:uid="{C5E2C6F5-FB6A-4A55-8603-96C721E3252F}"/>
    <cellStyle name="Comma 2 5 2 3 6" xfId="6030" xr:uid="{7E13FF93-4C62-4EBB-8E11-1BB19F04C2FF}"/>
    <cellStyle name="Comma 2 5 2 4" xfId="99" xr:uid="{A316926A-1AA1-4899-AC46-51384086815A}"/>
    <cellStyle name="Comma 2 5 2 4 2" xfId="331" xr:uid="{33C5027A-7633-489F-8118-FDDA89825648}"/>
    <cellStyle name="Comma 2 5 2 4 2 2" xfId="1828" xr:uid="{A76BD734-FB32-428A-A70B-C272FEE245EF}"/>
    <cellStyle name="Comma 2 5 2 4 2 2 2" xfId="3168" xr:uid="{A44E64EC-3B29-45B5-B1B2-AA0DFB6D9DF1}"/>
    <cellStyle name="Comma 2 5 2 4 2 2 2 2" xfId="5817" xr:uid="{324BCAB0-889D-40EC-B855-2CB61A771508}"/>
    <cellStyle name="Comma 2 5 2 4 2 2 2 2 2" xfId="11114" xr:uid="{2021212D-92C8-495E-ADF8-2D1BFDD1C5B3}"/>
    <cellStyle name="Comma 2 5 2 4 2 2 2 3" xfId="8465" xr:uid="{3A9DC4FC-3797-4FA7-A816-AE1593973618}"/>
    <cellStyle name="Comma 2 5 2 4 2 2 3" xfId="4493" xr:uid="{7EDBB4C6-AF84-4231-B2AE-3CC1F7297D0A}"/>
    <cellStyle name="Comma 2 5 2 4 2 2 3 2" xfId="9790" xr:uid="{F9D2B32F-48DB-41FD-8B1E-8F0831F429BD}"/>
    <cellStyle name="Comma 2 5 2 4 2 2 4" xfId="7141" xr:uid="{3963CC5F-2362-4240-8E22-C20DBF7D4B27}"/>
    <cellStyle name="Comma 2 5 2 4 2 3" xfId="2136" xr:uid="{52FA6500-CA07-4BF2-8FB2-4E3C630E9758}"/>
    <cellStyle name="Comma 2 5 2 4 2 3 2" xfId="4785" xr:uid="{F6C453A9-BF85-4609-BDA4-111FDFDFA5D9}"/>
    <cellStyle name="Comma 2 5 2 4 2 3 2 2" xfId="10082" xr:uid="{5DC9B170-C1FD-4726-9D9E-3D58D833DFFC}"/>
    <cellStyle name="Comma 2 5 2 4 2 3 3" xfId="7433" xr:uid="{955D6895-AFC7-423E-9E1B-4F91BB6CFCA8}"/>
    <cellStyle name="Comma 2 5 2 4 2 4" xfId="3461" xr:uid="{A3B71218-0075-4F05-9909-13E152F1F86E}"/>
    <cellStyle name="Comma 2 5 2 4 2 4 2" xfId="8758" xr:uid="{38D914E9-BDFC-423E-A6E0-22D048B11DE9}"/>
    <cellStyle name="Comma 2 5 2 4 2 5" xfId="6109" xr:uid="{D34F3934-8A98-46B7-BF23-6E40BFDD5160}"/>
    <cellStyle name="Comma 2 5 2 4 3" xfId="1300" xr:uid="{5BDB0A12-853B-4C3D-B8CE-821D4FDF8F30}"/>
    <cellStyle name="Comma 2 5 2 4 3 2" xfId="2640" xr:uid="{891E5477-ACCA-4689-A7FE-0B53E84B40A6}"/>
    <cellStyle name="Comma 2 5 2 4 3 2 2" xfId="5289" xr:uid="{0EEDD900-143A-47EF-9A5D-57913D5EB8A1}"/>
    <cellStyle name="Comma 2 5 2 4 3 2 2 2" xfId="10586" xr:uid="{80D75051-1EA3-4572-8F79-C0FD0718CDA2}"/>
    <cellStyle name="Comma 2 5 2 4 3 2 3" xfId="7937" xr:uid="{0A03F495-FD42-4C82-8693-55EBCA07C89F}"/>
    <cellStyle name="Comma 2 5 2 4 3 3" xfId="3965" xr:uid="{3B74529A-8439-46BE-85DE-21D3F6839A8D}"/>
    <cellStyle name="Comma 2 5 2 4 3 3 2" xfId="9262" xr:uid="{9877A9AB-EEA7-4212-BA3A-5A7957DAD0BA}"/>
    <cellStyle name="Comma 2 5 2 4 3 4" xfId="6613" xr:uid="{D94C8461-45B1-4186-A866-66DD7B45728D}"/>
    <cellStyle name="Comma 2 5 2 4 4" xfId="2069" xr:uid="{B0D9EC93-06DF-45E5-9F27-58BDA93CBC91}"/>
    <cellStyle name="Comma 2 5 2 4 4 2" xfId="4718" xr:uid="{0B3A0B46-C98A-422D-9196-F222C6A810AD}"/>
    <cellStyle name="Comma 2 5 2 4 4 2 2" xfId="10015" xr:uid="{658CC81E-77F4-4DB9-90D9-8E9CCB089CC7}"/>
    <cellStyle name="Comma 2 5 2 4 4 3" xfId="7366" xr:uid="{BFA5F4F1-4062-4064-8307-0EF65A9CE1EF}"/>
    <cellStyle name="Comma 2 5 2 4 5" xfId="3394" xr:uid="{C0614B73-25CD-4E57-9C49-2A9812FEBC7A}"/>
    <cellStyle name="Comma 2 5 2 4 5 2" xfId="8691" xr:uid="{17E15959-9C21-46E9-A71B-9056B5864494}"/>
    <cellStyle name="Comma 2 5 2 4 6" xfId="6042" xr:uid="{BEF4C50A-4BD9-4959-AB1A-25960C89FE46}"/>
    <cellStyle name="Comma 2 5 2 5" xfId="145" xr:uid="{F4E61F07-B310-4D84-A89E-88DE9EC1F02F}"/>
    <cellStyle name="Comma 2 5 2 5 2" xfId="377" xr:uid="{42D05263-348B-40CD-A19D-D139FC419BCC}"/>
    <cellStyle name="Comma 2 5 2 5 2 2" xfId="1960" xr:uid="{E4737638-C63C-4154-A04C-8ACBEE65EC09}"/>
    <cellStyle name="Comma 2 5 2 5 2 2 2" xfId="3300" xr:uid="{36F1FA44-7EF8-4187-AF19-EE3682CEF4E2}"/>
    <cellStyle name="Comma 2 5 2 5 2 2 2 2" xfId="5949" xr:uid="{79382798-FB8A-4E65-976E-D8CBE0BFE2C5}"/>
    <cellStyle name="Comma 2 5 2 5 2 2 2 2 2" xfId="11246" xr:uid="{3BBC576F-632E-4DE8-AA63-A4310935916D}"/>
    <cellStyle name="Comma 2 5 2 5 2 2 2 3" xfId="8597" xr:uid="{23736B1C-77A9-4BB6-9F34-214AB6A073BC}"/>
    <cellStyle name="Comma 2 5 2 5 2 2 3" xfId="4625" xr:uid="{B4B5951C-5398-4A24-9F61-525C40DE0E1C}"/>
    <cellStyle name="Comma 2 5 2 5 2 2 3 2" xfId="9922" xr:uid="{258FB32A-452C-4F5D-8F7A-EE4E72BB45E7}"/>
    <cellStyle name="Comma 2 5 2 5 2 2 4" xfId="7273" xr:uid="{E0C42518-1420-4EA8-8CA2-6C429923C94D}"/>
    <cellStyle name="Comma 2 5 2 5 2 3" xfId="2149" xr:uid="{3112A0D5-D987-4B2E-BC3F-36BDF9752D68}"/>
    <cellStyle name="Comma 2 5 2 5 2 3 2" xfId="4798" xr:uid="{128B1C0E-95C2-482F-93C5-59CB326A993F}"/>
    <cellStyle name="Comma 2 5 2 5 2 3 2 2" xfId="10095" xr:uid="{E2BFB1EB-1E23-4DD2-AC90-16629965AAA5}"/>
    <cellStyle name="Comma 2 5 2 5 2 3 3" xfId="7446" xr:uid="{351C754F-1713-4775-8E16-E71B837D5AB1}"/>
    <cellStyle name="Comma 2 5 2 5 2 4" xfId="3474" xr:uid="{82547A9B-E5EA-4404-9707-E16BF30C3E4F}"/>
    <cellStyle name="Comma 2 5 2 5 2 4 2" xfId="8771" xr:uid="{D784BA42-4AE0-4329-AEE5-F716F82822CB}"/>
    <cellStyle name="Comma 2 5 2 5 2 5" xfId="6122" xr:uid="{26BFDF4C-C40F-4456-9D43-F6EC5B968040}"/>
    <cellStyle name="Comma 2 5 2 5 3" xfId="1432" xr:uid="{B9147D5D-D3F7-4873-A337-A3ACF0D60486}"/>
    <cellStyle name="Comma 2 5 2 5 3 2" xfId="2772" xr:uid="{1F9D63C9-3524-40C4-A7F0-1794715A375C}"/>
    <cellStyle name="Comma 2 5 2 5 3 2 2" xfId="5421" xr:uid="{E7236298-99DF-41ED-A26C-B0DEECC88A5B}"/>
    <cellStyle name="Comma 2 5 2 5 3 2 2 2" xfId="10718" xr:uid="{E9BC5CB2-C8F2-4318-8B2C-63163636A386}"/>
    <cellStyle name="Comma 2 5 2 5 3 2 3" xfId="8069" xr:uid="{82C8CE76-83A2-4693-8C4E-92F9CAA53B10}"/>
    <cellStyle name="Comma 2 5 2 5 3 3" xfId="4097" xr:uid="{D8460FE0-3707-4518-957D-2F29FC803BF7}"/>
    <cellStyle name="Comma 2 5 2 5 3 3 2" xfId="9394" xr:uid="{9606D206-0C3B-4DFA-9F8D-DD7C68DB7443}"/>
    <cellStyle name="Comma 2 5 2 5 3 4" xfId="6745" xr:uid="{9368E8F4-35EA-428D-8D33-A6563B627C7C}"/>
    <cellStyle name="Comma 2 5 2 5 4" xfId="2082" xr:uid="{F92432D3-274F-462C-B4C1-BBC0DFE761F3}"/>
    <cellStyle name="Comma 2 5 2 5 4 2" xfId="4731" xr:uid="{22B860E5-A197-4686-B6B0-89EB5248B798}"/>
    <cellStyle name="Comma 2 5 2 5 4 2 2" xfId="10028" xr:uid="{BB4151A1-62B6-4D33-A0FA-BC95186EA687}"/>
    <cellStyle name="Comma 2 5 2 5 4 3" xfId="7379" xr:uid="{1E0E6AB6-9863-4FF4-943A-56734C9A285C}"/>
    <cellStyle name="Comma 2 5 2 5 5" xfId="3407" xr:uid="{72BB6B3A-BDE1-4E7F-A994-AFB5DD8DF63E}"/>
    <cellStyle name="Comma 2 5 2 5 5 2" xfId="8704" xr:uid="{92B73625-E85F-4CED-B81F-EC67A8609CC4}"/>
    <cellStyle name="Comma 2 5 2 5 6" xfId="6055" xr:uid="{11F1CD3C-2224-480B-AA52-1655A857188B}"/>
    <cellStyle name="Comma 2 5 2 6" xfId="188" xr:uid="{79902BE5-7BE2-4A74-A6CC-2DA39960F051}"/>
    <cellStyle name="Comma 2 5 2 6 2" xfId="420" xr:uid="{DB798546-1B3B-4E5D-A989-B89DA0A8E312}"/>
    <cellStyle name="Comma 2 5 2 6 2 2" xfId="2161" xr:uid="{FF087EC7-22A4-406D-875C-2980B76A18D0}"/>
    <cellStyle name="Comma 2 5 2 6 2 2 2" xfId="4810" xr:uid="{56F1F85C-FD30-4D0D-80E4-1E3FB122F18D}"/>
    <cellStyle name="Comma 2 5 2 6 2 2 2 2" xfId="10107" xr:uid="{C83C98B4-56D6-4345-B8FC-AD841B1ADF5C}"/>
    <cellStyle name="Comma 2 5 2 6 2 2 3" xfId="7458" xr:uid="{2E25C829-29CD-43EC-BE51-03855AE266BB}"/>
    <cellStyle name="Comma 2 5 2 6 2 3" xfId="3486" xr:uid="{F90FAD7B-65C2-4209-94E1-8613AFC0C525}"/>
    <cellStyle name="Comma 2 5 2 6 2 3 2" xfId="8783" xr:uid="{A20F0E43-D1AF-4469-A06A-66277CDE1C0C}"/>
    <cellStyle name="Comma 2 5 2 6 2 4" xfId="6134" xr:uid="{7AFB3CDA-84A2-466D-A06C-8EBD15278B69}"/>
    <cellStyle name="Comma 2 5 2 6 3" xfId="2094" xr:uid="{C510DC17-FF14-4E11-A38D-DEB60F8B0DE5}"/>
    <cellStyle name="Comma 2 5 2 6 3 2" xfId="4743" xr:uid="{C85F67AA-7B61-42AF-814A-FC5BB00AD836}"/>
    <cellStyle name="Comma 2 5 2 6 3 2 2" xfId="10040" xr:uid="{829560D1-39A0-4EC6-8DE2-1374F0E07377}"/>
    <cellStyle name="Comma 2 5 2 6 3 3" xfId="7391" xr:uid="{97CF79C1-1810-4644-B887-CBFD50E4142D}"/>
    <cellStyle name="Comma 2 5 2 6 4" xfId="3419" xr:uid="{AB21456B-7D07-49F4-81EB-9EAECEC5FB77}"/>
    <cellStyle name="Comma 2 5 2 6 4 2" xfId="8716" xr:uid="{E26E03D4-7517-4986-B567-F354493D64B7}"/>
    <cellStyle name="Comma 2 5 2 6 5" xfId="6067" xr:uid="{A3AC0826-B694-4781-A6D0-DA012FAACEBF}"/>
    <cellStyle name="Comma 2 5 2 7" xfId="245" xr:uid="{72095A9D-C02E-4F1C-BB2C-2153BBE41AC9}"/>
    <cellStyle name="Comma 2 5 2 7 2" xfId="2112" xr:uid="{5F8A0A0F-FA85-4951-ACC5-CDBD4A6D5BDB}"/>
    <cellStyle name="Comma 2 5 2 7 2 2" xfId="4761" xr:uid="{A87A5C74-5A13-4B22-8FD1-08F412E7CAFD}"/>
    <cellStyle name="Comma 2 5 2 7 2 2 2" xfId="10058" xr:uid="{9C26CF85-77CD-45A2-A3C4-4B8AB676300C}"/>
    <cellStyle name="Comma 2 5 2 7 2 3" xfId="7409" xr:uid="{144D4D6D-85B0-4B43-97F1-BF9FE995E8C1}"/>
    <cellStyle name="Comma 2 5 2 7 3" xfId="3437" xr:uid="{CA89C63D-9468-48E7-810A-652A3331B2CA}"/>
    <cellStyle name="Comma 2 5 2 7 3 2" xfId="8734" xr:uid="{A0F1E52C-4F9E-48ED-A297-0C61686A5C95}"/>
    <cellStyle name="Comma 2 5 2 7 4" xfId="6085" xr:uid="{9E5AB571-4621-48FD-9720-A279509D5105}"/>
    <cellStyle name="Comma 2 5 2 8" xfId="803" xr:uid="{6C990919-425E-47B5-AECE-09A9FB49A6DE}"/>
    <cellStyle name="Comma 2 5 2 8 2" xfId="2248" xr:uid="{071769BE-82DF-4E58-BDF0-66E37BE9A04E}"/>
    <cellStyle name="Comma 2 5 2 8 2 2" xfId="4897" xr:uid="{010F6253-FF33-4F2E-AAD4-F8F97957991E}"/>
    <cellStyle name="Comma 2 5 2 8 2 2 2" xfId="10194" xr:uid="{B692BAC5-6661-4AF5-B34D-F25C4F931D94}"/>
    <cellStyle name="Comma 2 5 2 8 2 3" xfId="7545" xr:uid="{03021886-F52A-4162-ADD3-596AD3DD1782}"/>
    <cellStyle name="Comma 2 5 2 8 3" xfId="3573" xr:uid="{1431AE64-5F88-4DE5-A091-59B86407D2FF}"/>
    <cellStyle name="Comma 2 5 2 8 3 2" xfId="8870" xr:uid="{AF451360-F52D-4A53-8C27-58F316018121}"/>
    <cellStyle name="Comma 2 5 2 8 4" xfId="6221" xr:uid="{C31A6EA9-5930-42E3-9998-E32663898C4E}"/>
    <cellStyle name="Comma 2 5 2 9" xfId="2022" xr:uid="{9A5F2C03-0B62-4011-B0BC-81551E93D0E5}"/>
    <cellStyle name="Comma 2 5 2 9 2" xfId="3357" xr:uid="{F269871F-06FA-4C12-B8C7-3F3F10E93134}"/>
    <cellStyle name="Comma 2 5 2 9 2 2" xfId="6006" xr:uid="{102B0625-6AD0-47B4-B594-BB06C3C2ADF0}"/>
    <cellStyle name="Comma 2 5 2 9 2 2 2" xfId="11303" xr:uid="{57347E93-401B-45A0-87EE-5E2B792DD0CC}"/>
    <cellStyle name="Comma 2 5 2 9 2 3" xfId="8654" xr:uid="{82C7C83F-2B46-43BF-A658-C63E54D3DFE1}"/>
    <cellStyle name="Comma 2 5 2 9 3" xfId="4682" xr:uid="{CB4067BC-23B7-4B43-8861-6FA629A5C948}"/>
    <cellStyle name="Comma 2 5 2 9 3 2" xfId="9979" xr:uid="{CCB8ABFB-3944-4C8F-BE4C-7593985171AD}"/>
    <cellStyle name="Comma 2 5 2 9 4" xfId="7330" xr:uid="{4DC594AE-C9AE-4B71-B820-E4DC81D5D082}"/>
    <cellStyle name="Comma 2 5 3" xfId="916" xr:uid="{282032F4-511B-4AE1-B5C0-146F515F8C9C}"/>
    <cellStyle name="Comma 2 5 3 2" xfId="1205" xr:uid="{EA55D0A2-ABF2-4C2B-B499-E325A1BB9C32}"/>
    <cellStyle name="Comma 2 5 3 2 2" xfId="1733" xr:uid="{EB3AEC7B-F19B-461C-BED7-1A151C6D8282}"/>
    <cellStyle name="Comma 2 5 3 2 2 2" xfId="3073" xr:uid="{897A88B1-EF4D-4B23-AE70-A9CD1E2E5043}"/>
    <cellStyle name="Comma 2 5 3 2 2 2 2" xfId="5722" xr:uid="{B9104B31-6A1F-4394-9C20-ADD1EB9BA10D}"/>
    <cellStyle name="Comma 2 5 3 2 2 2 2 2" xfId="11019" xr:uid="{62631FB5-07C0-44CC-806F-9D38A1CF3692}"/>
    <cellStyle name="Comma 2 5 3 2 2 2 3" xfId="8370" xr:uid="{385E7A3B-050E-41F5-A1FB-8A8C4EC56B02}"/>
    <cellStyle name="Comma 2 5 3 2 2 3" xfId="4398" xr:uid="{B5F37345-BA6F-420B-A568-154D0AAFBEC0}"/>
    <cellStyle name="Comma 2 5 3 2 2 3 2" xfId="9695" xr:uid="{8755F8EA-472E-430E-8F17-AC9524B102A9}"/>
    <cellStyle name="Comma 2 5 3 2 2 4" xfId="7046" xr:uid="{6A7CB6A4-334F-41C9-B820-5BC887D14D37}"/>
    <cellStyle name="Comma 2 5 3 2 3" xfId="2545" xr:uid="{F3C7B27C-8942-4A08-96E4-A4C7C3F4438B}"/>
    <cellStyle name="Comma 2 5 3 2 3 2" xfId="5194" xr:uid="{1526E6FF-0C06-4382-A0CC-8666D3AB8FE5}"/>
    <cellStyle name="Comma 2 5 3 2 3 2 2" xfId="10491" xr:uid="{46138D48-FB58-4AE3-A9AC-1E8C53E7E53F}"/>
    <cellStyle name="Comma 2 5 3 2 3 3" xfId="7842" xr:uid="{DD1B39C5-D6EE-4A57-AA68-80A41FD0FFB6}"/>
    <cellStyle name="Comma 2 5 3 2 4" xfId="3870" xr:uid="{27A09AA1-7B1D-45B4-8E38-D83A00372690}"/>
    <cellStyle name="Comma 2 5 3 2 4 2" xfId="9167" xr:uid="{C2101B5F-2781-4D71-9D54-251D153C68A1}"/>
    <cellStyle name="Comma 2 5 3 2 5" xfId="6518" xr:uid="{97E8A7E4-336B-43D8-A501-E6F0A073A753}"/>
    <cellStyle name="Comma 2 5 3 3" xfId="1062" xr:uid="{483EAFBC-4704-4A11-ADA1-5A9F5F839105}"/>
    <cellStyle name="Comma 2 5 3 3 2" xfId="1601" xr:uid="{397071C3-3437-44A2-BED5-4B2CDC59303B}"/>
    <cellStyle name="Comma 2 5 3 3 2 2" xfId="2941" xr:uid="{BE831B8B-7A60-449A-8E6A-E417296D319D}"/>
    <cellStyle name="Comma 2 5 3 3 2 2 2" xfId="5590" xr:uid="{6AFCB2A5-C50A-4816-9F71-FB773A1783F4}"/>
    <cellStyle name="Comma 2 5 3 3 2 2 2 2" xfId="10887" xr:uid="{3FEADBDC-9E2F-4FF6-83ED-1F9D7E675245}"/>
    <cellStyle name="Comma 2 5 3 3 2 2 3" xfId="8238" xr:uid="{5797272A-199D-487C-9DD5-7E8B4BE8C8A0}"/>
    <cellStyle name="Comma 2 5 3 3 2 3" xfId="4266" xr:uid="{3DEB0FF6-0529-4C5A-86FA-70FA228D89A3}"/>
    <cellStyle name="Comma 2 5 3 3 2 3 2" xfId="9563" xr:uid="{6E0E9702-781D-498F-B8DB-5A1FBAC725C9}"/>
    <cellStyle name="Comma 2 5 3 3 2 4" xfId="6914" xr:uid="{EBBB2E67-F4F7-443F-AEBA-7703559CCE03}"/>
    <cellStyle name="Comma 2 5 3 3 3" xfId="2413" xr:uid="{E19731F6-5E50-4739-BF60-7D9F86F4795E}"/>
    <cellStyle name="Comma 2 5 3 3 3 2" xfId="5062" xr:uid="{A9D1FC5D-5059-4310-A807-AF616178483C}"/>
    <cellStyle name="Comma 2 5 3 3 3 2 2" xfId="10359" xr:uid="{F6729CB9-E805-4497-8347-CA95DE8C1355}"/>
    <cellStyle name="Comma 2 5 3 3 3 3" xfId="7710" xr:uid="{1EAB63D2-CB0B-4878-877B-2A88D1C038B1}"/>
    <cellStyle name="Comma 2 5 3 3 4" xfId="3738" xr:uid="{2CDAA94A-AFF8-4A0E-8F25-EB3E0374B7DE}"/>
    <cellStyle name="Comma 2 5 3 3 4 2" xfId="9035" xr:uid="{8E1B2943-8276-4525-8A6B-63ABD6FBEA4D}"/>
    <cellStyle name="Comma 2 5 3 3 5" xfId="6386" xr:uid="{913DE39E-8111-4886-87AA-E1E8A0E1CB67}"/>
    <cellStyle name="Comma 2 5 3 4" xfId="1337" xr:uid="{F0C3B9B5-3343-4AA6-A7FB-539EB317EFD3}"/>
    <cellStyle name="Comma 2 5 3 4 2" xfId="1865" xr:uid="{0572D8F5-EEC9-4347-AD24-4632D60F677C}"/>
    <cellStyle name="Comma 2 5 3 4 2 2" xfId="3205" xr:uid="{0EFCCCD3-D869-4B67-B325-D9C0578D89A0}"/>
    <cellStyle name="Comma 2 5 3 4 2 2 2" xfId="5854" xr:uid="{BC715FE5-A339-4CAE-8600-38174A84636A}"/>
    <cellStyle name="Comma 2 5 3 4 2 2 2 2" xfId="11151" xr:uid="{0C07CF4E-65C4-48DC-AE72-CB2EE40A9059}"/>
    <cellStyle name="Comma 2 5 3 4 2 2 3" xfId="8502" xr:uid="{BFFA3B16-EAB4-4181-9E10-36A55FD12AAF}"/>
    <cellStyle name="Comma 2 5 3 4 2 3" xfId="4530" xr:uid="{20CD2C73-BA4D-4A6D-BE75-51D05F477CB2}"/>
    <cellStyle name="Comma 2 5 3 4 2 3 2" xfId="9827" xr:uid="{631DF4C8-4602-4302-A2CC-4ABD17166686}"/>
    <cellStyle name="Comma 2 5 3 4 2 4" xfId="7178" xr:uid="{D56B5EE5-C58E-4A7D-9D43-DEE7ADCD34A9}"/>
    <cellStyle name="Comma 2 5 3 4 3" xfId="2677" xr:uid="{21BE58AE-A5BA-435D-8485-AC008C2AED1D}"/>
    <cellStyle name="Comma 2 5 3 4 3 2" xfId="5326" xr:uid="{96921627-04B2-4E3A-91A1-E92659D84968}"/>
    <cellStyle name="Comma 2 5 3 4 3 2 2" xfId="10623" xr:uid="{1EB62582-B78B-41CE-98EC-039E164F110E}"/>
    <cellStyle name="Comma 2 5 3 4 3 3" xfId="7974" xr:uid="{9CE8E8BC-4015-48E9-90F5-03AB8CE0EF78}"/>
    <cellStyle name="Comma 2 5 3 4 4" xfId="4002" xr:uid="{680ED78B-C340-454C-98B0-AEF64C8128FA}"/>
    <cellStyle name="Comma 2 5 3 4 4 2" xfId="9299" xr:uid="{A92022EC-490E-4A41-91B8-AD2B104FB3B8}"/>
    <cellStyle name="Comma 2 5 3 4 5" xfId="6650" xr:uid="{9BAA1776-F43C-4366-AC53-0A53ABAD4FE0}"/>
    <cellStyle name="Comma 2 5 3 5" xfId="1469" xr:uid="{BF897492-C503-4E6A-87AF-A5C9815E3311}"/>
    <cellStyle name="Comma 2 5 3 5 2" xfId="1997" xr:uid="{90AF1872-C392-4591-93FE-3ED9C9DE048C}"/>
    <cellStyle name="Comma 2 5 3 5 2 2" xfId="3337" xr:uid="{97E55AAE-FF59-4A14-BCEB-A5ED88CC2808}"/>
    <cellStyle name="Comma 2 5 3 5 2 2 2" xfId="5986" xr:uid="{26BCE1BB-526B-495F-B7A0-3A97908926CA}"/>
    <cellStyle name="Comma 2 5 3 5 2 2 2 2" xfId="11283" xr:uid="{8430A681-3358-4343-A723-8D8CFB0ED5BC}"/>
    <cellStyle name="Comma 2 5 3 5 2 2 3" xfId="8634" xr:uid="{307B7981-EB75-4785-9E62-43DE5716759A}"/>
    <cellStyle name="Comma 2 5 3 5 2 3" xfId="4662" xr:uid="{BD2BDB0A-B3FF-4FC6-8CEB-6D94227EDC73}"/>
    <cellStyle name="Comma 2 5 3 5 2 3 2" xfId="9959" xr:uid="{68A5BE8A-75AF-4295-8CFC-892FEDA77106}"/>
    <cellStyle name="Comma 2 5 3 5 2 4" xfId="7310" xr:uid="{D26CEC5E-2F15-4FFB-824B-87F437198028}"/>
    <cellStyle name="Comma 2 5 3 5 3" xfId="2809" xr:uid="{9B5DA743-6F41-4695-90CD-B25AB2C82CAA}"/>
    <cellStyle name="Comma 2 5 3 5 3 2" xfId="5458" xr:uid="{1E87DAEB-BFA2-4A81-A837-93657F94B468}"/>
    <cellStyle name="Comma 2 5 3 5 3 2 2" xfId="10755" xr:uid="{1E74AB10-1E8F-4142-9393-78A88632C79A}"/>
    <cellStyle name="Comma 2 5 3 5 3 3" xfId="8106" xr:uid="{94813A83-316E-4007-B953-5A4C1A62FB5A}"/>
    <cellStyle name="Comma 2 5 3 5 4" xfId="4134" xr:uid="{75E0B6A0-D360-4627-B3E5-7B88048C888A}"/>
    <cellStyle name="Comma 2 5 3 5 4 2" xfId="9431" xr:uid="{EA3052FC-D8D1-4757-900B-9F1A0DC00B6E}"/>
    <cellStyle name="Comma 2 5 3 5 5" xfId="6782" xr:uid="{FE9C308C-B537-4537-80BD-7C5D4569941F}"/>
    <cellStyle name="Comma 2 5 3 6" xfId="2283" xr:uid="{C07D3FCE-35BD-415D-811F-51A85E7843B8}"/>
    <cellStyle name="Comma 2 5 3 6 2" xfId="4932" xr:uid="{65B3183C-6D8E-4442-BC51-CC305B37164B}"/>
    <cellStyle name="Comma 2 5 3 6 2 2" xfId="10229" xr:uid="{305089D6-70A0-48A9-B671-D077C21FBCE3}"/>
    <cellStyle name="Comma 2 5 3 6 3" xfId="7580" xr:uid="{C91EA07B-AB5F-4F25-BA8C-B8C6DDEC9C18}"/>
    <cellStyle name="Comma 2 5 3 7" xfId="3608" xr:uid="{F5F22069-161F-4D54-828E-731FBA3871D1}"/>
    <cellStyle name="Comma 2 5 3 7 2" xfId="8905" xr:uid="{AF8A9C47-FE5E-4DF8-9644-FA1AA61D2274}"/>
    <cellStyle name="Comma 2 5 3 8" xfId="6256" xr:uid="{3BDA474F-18BC-4E37-BDAD-E0E38987E44E}"/>
    <cellStyle name="Comma 2 5 4" xfId="730" xr:uid="{E7547F3D-4F48-43D5-A438-7376DA3F07A9}"/>
    <cellStyle name="Comma 2 5 4 2" xfId="1140" xr:uid="{0BB60A3C-0737-4187-B0F6-6756744F7163}"/>
    <cellStyle name="Comma 2 5 4 2 2" xfId="1672" xr:uid="{62B4BC85-66DB-4A69-9D88-F678D1C01757}"/>
    <cellStyle name="Comma 2 5 4 2 2 2" xfId="3012" xr:uid="{2942ABF7-1FC3-4FAD-8CD2-C1A26EC89660}"/>
    <cellStyle name="Comma 2 5 4 2 2 2 2" xfId="5661" xr:uid="{EE8B9295-F4D3-474B-942F-2F46470F081D}"/>
    <cellStyle name="Comma 2 5 4 2 2 2 2 2" xfId="10958" xr:uid="{3132D9F5-FF14-4677-8E51-53C2F0D07B52}"/>
    <cellStyle name="Comma 2 5 4 2 2 2 3" xfId="8309" xr:uid="{DBC59C32-8E8F-44B8-B129-DC9790862A82}"/>
    <cellStyle name="Comma 2 5 4 2 2 3" xfId="4337" xr:uid="{91564040-0B71-4860-8799-8BBF695D5D07}"/>
    <cellStyle name="Comma 2 5 4 2 2 3 2" xfId="9634" xr:uid="{0B6BBE8C-579E-4AEF-B182-758EAE2D3F22}"/>
    <cellStyle name="Comma 2 5 4 2 2 4" xfId="6985" xr:uid="{6FD4BA4F-3A3C-4FF2-BF7C-B1B5F0E00DE7}"/>
    <cellStyle name="Comma 2 5 4 2 3" xfId="2484" xr:uid="{C3D8B67F-A83A-40E5-A7BE-40E53CD4A016}"/>
    <cellStyle name="Comma 2 5 4 2 3 2" xfId="5133" xr:uid="{D833CCFD-285A-46F7-BF13-7FB2A99827EA}"/>
    <cellStyle name="Comma 2 5 4 2 3 2 2" xfId="10430" xr:uid="{7CBC0383-BEC1-4FD5-A55E-22DA02ADDE05}"/>
    <cellStyle name="Comma 2 5 4 2 3 3" xfId="7781" xr:uid="{7FD342A4-9C73-4613-8851-0ACCB0D2C66A}"/>
    <cellStyle name="Comma 2 5 4 2 4" xfId="3809" xr:uid="{D85E1F0D-B379-47C7-A75E-800F84DD35F8}"/>
    <cellStyle name="Comma 2 5 4 2 4 2" xfId="9106" xr:uid="{8786ED16-6093-460B-A104-2EEDAFD8A0A3}"/>
    <cellStyle name="Comma 2 5 4 2 5" xfId="6457" xr:uid="{B0AEFAEC-5F3E-4642-9DF5-3C3AB8FC041B}"/>
    <cellStyle name="Comma 2 5 4 3" xfId="996" xr:uid="{148AA180-B98E-4443-816C-00EB48974320}"/>
    <cellStyle name="Comma 2 5 4 3 2" xfId="1540" xr:uid="{AD2B3D2B-B232-4ED5-AB36-04463303BC9B}"/>
    <cellStyle name="Comma 2 5 4 3 2 2" xfId="2880" xr:uid="{78F3D523-F930-4E70-85CE-2FDECAC550AD}"/>
    <cellStyle name="Comma 2 5 4 3 2 2 2" xfId="5529" xr:uid="{37AB9454-4BC7-4A2F-9482-0B6CA27E6F7D}"/>
    <cellStyle name="Comma 2 5 4 3 2 2 2 2" xfId="10826" xr:uid="{5D6AE382-D7BC-4333-862F-EE8ADCA157B0}"/>
    <cellStyle name="Comma 2 5 4 3 2 2 3" xfId="8177" xr:uid="{05798D31-BAF0-4D3F-BA48-60465B9E2787}"/>
    <cellStyle name="Comma 2 5 4 3 2 3" xfId="4205" xr:uid="{BA8C2291-2D33-4305-9A4F-43825AE7EF5D}"/>
    <cellStyle name="Comma 2 5 4 3 2 3 2" xfId="9502" xr:uid="{C58F36FE-1647-4825-A52E-56690144513B}"/>
    <cellStyle name="Comma 2 5 4 3 2 4" xfId="6853" xr:uid="{7309B8D2-DC0C-4F95-9DC8-14D0BEE45A90}"/>
    <cellStyle name="Comma 2 5 4 3 3" xfId="2352" xr:uid="{2A5BA482-BB67-4792-8B20-EBF0BC775039}"/>
    <cellStyle name="Comma 2 5 4 3 3 2" xfId="5001" xr:uid="{5BD23B76-0819-4CB3-9825-2273A53AF21A}"/>
    <cellStyle name="Comma 2 5 4 3 3 2 2" xfId="10298" xr:uid="{7BFA0949-809B-468E-AFA6-B555C0040DE9}"/>
    <cellStyle name="Comma 2 5 4 3 3 3" xfId="7649" xr:uid="{99C023D4-1154-4184-BC96-350D0936FBAF}"/>
    <cellStyle name="Comma 2 5 4 3 4" xfId="3677" xr:uid="{885DF6D3-BA13-47FD-AAAD-F83C4A8B9B00}"/>
    <cellStyle name="Comma 2 5 4 3 4 2" xfId="8974" xr:uid="{2FCDAB8A-6230-454E-965C-A0916D082414}"/>
    <cellStyle name="Comma 2 5 4 3 5" xfId="6325" xr:uid="{37A062FB-7227-4F4E-9AF4-DAC00C02E18B}"/>
    <cellStyle name="Comma 2 5 4 4" xfId="1276" xr:uid="{DA52F74A-30FA-4C85-9759-803358C60741}"/>
    <cellStyle name="Comma 2 5 4 4 2" xfId="1804" xr:uid="{622CC4AF-F426-4459-9A01-3C558CA56542}"/>
    <cellStyle name="Comma 2 5 4 4 2 2" xfId="3144" xr:uid="{EE60CD88-0151-47B2-A2D8-BC7EF0673A26}"/>
    <cellStyle name="Comma 2 5 4 4 2 2 2" xfId="5793" xr:uid="{2355C365-5FF1-4BD8-B18A-119CDCD47153}"/>
    <cellStyle name="Comma 2 5 4 4 2 2 2 2" xfId="11090" xr:uid="{17B2BDC1-2F8C-4ECB-BBC6-B798832771AC}"/>
    <cellStyle name="Comma 2 5 4 4 2 2 3" xfId="8441" xr:uid="{084CBEC1-55C5-4D4B-932F-675170EE2B9C}"/>
    <cellStyle name="Comma 2 5 4 4 2 3" xfId="4469" xr:uid="{0F076C5A-6153-418C-98D1-F0B272DE284C}"/>
    <cellStyle name="Comma 2 5 4 4 2 3 2" xfId="9766" xr:uid="{A4164907-D7C2-459F-8824-18B589CB77B5}"/>
    <cellStyle name="Comma 2 5 4 4 2 4" xfId="7117" xr:uid="{187A89B9-26CE-4733-8215-FE7209B2DF70}"/>
    <cellStyle name="Comma 2 5 4 4 3" xfId="2616" xr:uid="{B4882861-8EE9-4F90-A4B6-EAA6818FCED0}"/>
    <cellStyle name="Comma 2 5 4 4 3 2" xfId="5265" xr:uid="{E49EF750-6F9B-4B6B-9B6C-A5F8E57737A3}"/>
    <cellStyle name="Comma 2 5 4 4 3 2 2" xfId="10562" xr:uid="{78604AC8-D943-4447-B64E-4A1E76864BE2}"/>
    <cellStyle name="Comma 2 5 4 4 3 3" xfId="7913" xr:uid="{A9587226-A4CA-4A3D-BB31-2B9E9643758A}"/>
    <cellStyle name="Comma 2 5 4 4 4" xfId="3941" xr:uid="{3D28A37D-0EC7-4B18-B445-A26831AA34D5}"/>
    <cellStyle name="Comma 2 5 4 4 4 2" xfId="9238" xr:uid="{1AA360B1-3460-456F-8304-2B9DCAC468AD}"/>
    <cellStyle name="Comma 2 5 4 4 5" xfId="6589" xr:uid="{7DD17121-7F87-4BF8-BE5D-0AF44FA852A1}"/>
    <cellStyle name="Comma 2 5 4 5" xfId="1408" xr:uid="{86FFB188-DCD7-4A17-8F8D-8858BAE9BD70}"/>
    <cellStyle name="Comma 2 5 4 5 2" xfId="1936" xr:uid="{1FDF072D-13D7-452E-9A28-6FD36FD59773}"/>
    <cellStyle name="Comma 2 5 4 5 2 2" xfId="3276" xr:uid="{F1771B63-6213-4D9F-BDAB-9A636B369D57}"/>
    <cellStyle name="Comma 2 5 4 5 2 2 2" xfId="5925" xr:uid="{14A1B9B7-567E-4BA2-A86E-0D4F2426FE8D}"/>
    <cellStyle name="Comma 2 5 4 5 2 2 2 2" xfId="11222" xr:uid="{3E9A42B9-961B-4C93-8433-D84941375BE5}"/>
    <cellStyle name="Comma 2 5 4 5 2 2 3" xfId="8573" xr:uid="{66F8C46D-FC23-41AA-9796-2E5E3FFA949D}"/>
    <cellStyle name="Comma 2 5 4 5 2 3" xfId="4601" xr:uid="{9618B34B-BD75-4F11-BFF0-BE7DB89A3BF9}"/>
    <cellStyle name="Comma 2 5 4 5 2 3 2" xfId="9898" xr:uid="{9C461C6A-0387-4FBD-9993-CB8D069E0F28}"/>
    <cellStyle name="Comma 2 5 4 5 2 4" xfId="7249" xr:uid="{4EE9247C-9015-476F-A146-220CE5C464FE}"/>
    <cellStyle name="Comma 2 5 4 5 3" xfId="2748" xr:uid="{B0C27A47-AEF6-403B-997F-CC38A54F3497}"/>
    <cellStyle name="Comma 2 5 4 5 3 2" xfId="5397" xr:uid="{AC614913-DFC6-4291-A4BF-53B1FE449E10}"/>
    <cellStyle name="Comma 2 5 4 5 3 2 2" xfId="10694" xr:uid="{7926CF61-8085-41B9-B575-B94DC3FEFBF3}"/>
    <cellStyle name="Comma 2 5 4 5 3 3" xfId="8045" xr:uid="{B6230594-C76E-41DC-BFD0-51FC42855EDE}"/>
    <cellStyle name="Comma 2 5 4 5 4" xfId="4073" xr:uid="{78E12AC3-A760-4808-855D-AF92107CE9A2}"/>
    <cellStyle name="Comma 2 5 4 5 4 2" xfId="9370" xr:uid="{C45621AA-5C38-416B-84F9-18D18189065F}"/>
    <cellStyle name="Comma 2 5 4 5 5" xfId="6721" xr:uid="{DA2D74F9-7DF0-4E77-B7A4-453702F91F1A}"/>
    <cellStyle name="Comma 2 5 4 6" xfId="2224" xr:uid="{F5F30EE0-A425-45DF-810D-BF69B5E0AD27}"/>
    <cellStyle name="Comma 2 5 4 6 2" xfId="4873" xr:uid="{F08AE382-22E4-4A97-9686-F2311FE5B827}"/>
    <cellStyle name="Comma 2 5 4 6 2 2" xfId="10170" xr:uid="{5EBC3666-51F6-4E2E-A1E0-8A96FFB7E12D}"/>
    <cellStyle name="Comma 2 5 4 6 3" xfId="7521" xr:uid="{4A8F76F7-BF6A-41D0-A09F-E6EC2E9E3529}"/>
    <cellStyle name="Comma 2 5 4 7" xfId="3549" xr:uid="{ABAF859E-D3AA-49E3-93F5-63362ADDC8AA}"/>
    <cellStyle name="Comma 2 5 4 7 2" xfId="8846" xr:uid="{9C27BE1B-D26E-4B62-BFC9-8D525E2024D8}"/>
    <cellStyle name="Comma 2 5 4 8" xfId="6197" xr:uid="{691B8DD4-5DCC-4B37-B1DE-378A7AE4EF32}"/>
    <cellStyle name="Comma 2 5 5" xfId="1113" xr:uid="{21EAB32B-D2EC-4C76-8592-2CCBA982ED2F}"/>
    <cellStyle name="Comma 2 5 5 2" xfId="1647" xr:uid="{AB3D7D0D-439E-45FD-8287-CE93D8F00B09}"/>
    <cellStyle name="Comma 2 5 5 2 2" xfId="2987" xr:uid="{C6104F77-C30A-472F-8920-28283AE39227}"/>
    <cellStyle name="Comma 2 5 5 2 2 2" xfId="5636" xr:uid="{679BFACB-0EB8-4D28-A9D2-3FB6A12E4BF1}"/>
    <cellStyle name="Comma 2 5 5 2 2 2 2" xfId="10933" xr:uid="{C87651D9-D92C-4357-91FB-A6A9386BB3D4}"/>
    <cellStyle name="Comma 2 5 5 2 2 3" xfId="8284" xr:uid="{25560A98-62EF-41AA-90D6-836792149EFB}"/>
    <cellStyle name="Comma 2 5 5 2 3" xfId="4312" xr:uid="{446ADA65-BBFB-4CCB-A4A0-1FEC285EB013}"/>
    <cellStyle name="Comma 2 5 5 2 3 2" xfId="9609" xr:uid="{34257C7A-63CF-4626-8A2A-C1C13CA129A1}"/>
    <cellStyle name="Comma 2 5 5 2 4" xfId="6960" xr:uid="{F7DB46FB-6FFC-4EC4-A15B-96DC65D0407F}"/>
    <cellStyle name="Comma 2 5 5 3" xfId="2459" xr:uid="{E6BB42D3-0E77-45AA-8979-0AE233716578}"/>
    <cellStyle name="Comma 2 5 5 3 2" xfId="5108" xr:uid="{D3C36C0D-AA8D-48E7-AAB7-7AC2FD92DB59}"/>
    <cellStyle name="Comma 2 5 5 3 2 2" xfId="10405" xr:uid="{D5FD0561-0C43-43C2-B16D-0ABA0FB24BB3}"/>
    <cellStyle name="Comma 2 5 5 3 3" xfId="7756" xr:uid="{01FCB81C-62BB-4781-8868-0308B31A1C2B}"/>
    <cellStyle name="Comma 2 5 5 4" xfId="3784" xr:uid="{A3F6CA0D-0563-4727-8EB1-D3903D2E6350}"/>
    <cellStyle name="Comma 2 5 5 4 2" xfId="9081" xr:uid="{DFEB21B2-4070-41F0-AEBC-4D01476F4697}"/>
    <cellStyle name="Comma 2 5 5 5" xfId="6432" xr:uid="{85E8B64F-A357-42D5-A42B-BF0E6B2D161D}"/>
    <cellStyle name="Comma 2 5 6" xfId="967" xr:uid="{02424EBE-C4EA-4C64-8E4F-5973BCF301B9}"/>
    <cellStyle name="Comma 2 5 6 2" xfId="1515" xr:uid="{36AFEDDB-C708-4009-AA5C-77681692D1DE}"/>
    <cellStyle name="Comma 2 5 6 2 2" xfId="2855" xr:uid="{882FCD19-E70E-4F17-894A-8BFB1A5A7F83}"/>
    <cellStyle name="Comma 2 5 6 2 2 2" xfId="5504" xr:uid="{53276A8D-6711-40F5-8C08-2D29AE35F55D}"/>
    <cellStyle name="Comma 2 5 6 2 2 2 2" xfId="10801" xr:uid="{5B839AC4-30C0-45ED-858A-C18445FA485F}"/>
    <cellStyle name="Comma 2 5 6 2 2 3" xfId="8152" xr:uid="{7486ADEF-2156-41A0-9D07-A61126B5D219}"/>
    <cellStyle name="Comma 2 5 6 2 3" xfId="4180" xr:uid="{82F723EA-9254-4952-BFD5-6596AB72CC27}"/>
    <cellStyle name="Comma 2 5 6 2 3 2" xfId="9477" xr:uid="{DB444E6C-A670-4BB2-8BFE-B03B55A1FBCC}"/>
    <cellStyle name="Comma 2 5 6 2 4" xfId="6828" xr:uid="{8AB028D7-14CB-490C-B222-D447CAB0D578}"/>
    <cellStyle name="Comma 2 5 6 3" xfId="2327" xr:uid="{426B59CC-7635-42AF-9CB8-98B353F06641}"/>
    <cellStyle name="Comma 2 5 6 3 2" xfId="4976" xr:uid="{B8E0E06F-2989-4128-B3D9-4DF8FC66E118}"/>
    <cellStyle name="Comma 2 5 6 3 2 2" xfId="10273" xr:uid="{7946FDD0-8581-4F00-BAC9-CFB553192107}"/>
    <cellStyle name="Comma 2 5 6 3 3" xfId="7624" xr:uid="{04F6905A-21E9-48DD-81B8-BBFB4C6739AB}"/>
    <cellStyle name="Comma 2 5 6 4" xfId="3652" xr:uid="{41684F05-5880-4D93-8A39-63A82E7B8778}"/>
    <cellStyle name="Comma 2 5 6 4 2" xfId="8949" xr:uid="{90334D19-B7E3-4739-AC79-4BF0DC5B6599}"/>
    <cellStyle name="Comma 2 5 6 5" xfId="6300" xr:uid="{24160550-75FC-4601-8376-B7CF9F8D47EF}"/>
    <cellStyle name="Comma 2 5 7" xfId="1251" xr:uid="{58C608C5-55D8-4012-94C1-9C9224CB33B9}"/>
    <cellStyle name="Comma 2 5 7 2" xfId="1779" xr:uid="{E026F80F-DCD9-44A4-B945-AAB849BAB487}"/>
    <cellStyle name="Comma 2 5 7 2 2" xfId="3119" xr:uid="{B082453E-69F9-4BA0-BC1D-75583AC945EE}"/>
    <cellStyle name="Comma 2 5 7 2 2 2" xfId="5768" xr:uid="{2C92D9F2-E713-4080-BE4F-CCF87B274B82}"/>
    <cellStyle name="Comma 2 5 7 2 2 2 2" xfId="11065" xr:uid="{9B941C3D-E743-495C-A9D4-D3759ECB5814}"/>
    <cellStyle name="Comma 2 5 7 2 2 3" xfId="8416" xr:uid="{0D3C21FA-C20F-462A-8129-91DF6DD39181}"/>
    <cellStyle name="Comma 2 5 7 2 3" xfId="4444" xr:uid="{65DC6ADB-3CA9-476B-8C9F-898F2F6E4C59}"/>
    <cellStyle name="Comma 2 5 7 2 3 2" xfId="9741" xr:uid="{D2DA470F-4A2A-4DC5-849F-64C2FDE56108}"/>
    <cellStyle name="Comma 2 5 7 2 4" xfId="7092" xr:uid="{3E90AF38-B86E-4C8E-B159-C1BAEA33F121}"/>
    <cellStyle name="Comma 2 5 7 3" xfId="2591" xr:uid="{083AD80F-0B13-4BC0-B1E2-11588925D704}"/>
    <cellStyle name="Comma 2 5 7 3 2" xfId="5240" xr:uid="{EA2D4A90-A3C3-4164-895E-6A0FB18D7A13}"/>
    <cellStyle name="Comma 2 5 7 3 2 2" xfId="10537" xr:uid="{BDAA94C7-45AC-4A75-9230-13ED92B8044F}"/>
    <cellStyle name="Comma 2 5 7 3 3" xfId="7888" xr:uid="{812891BB-D61A-468B-A69C-2C7AD3A32516}"/>
    <cellStyle name="Comma 2 5 7 4" xfId="3916" xr:uid="{DBC42BE9-37C5-4F48-8649-BEB0E6484061}"/>
    <cellStyle name="Comma 2 5 7 4 2" xfId="9213" xr:uid="{85C891C3-B989-432E-B7F7-5D63FB4EDE8F}"/>
    <cellStyle name="Comma 2 5 7 5" xfId="6564" xr:uid="{4E52ED76-86A8-4198-86AA-2AF911CB7258}"/>
    <cellStyle name="Comma 2 5 8" xfId="1383" xr:uid="{064DFB32-930A-430C-BCD3-296343BCD7CF}"/>
    <cellStyle name="Comma 2 5 8 2" xfId="1911" xr:uid="{53DA7D1A-594E-48FC-9E7A-F0EFBC78E5D9}"/>
    <cellStyle name="Comma 2 5 8 2 2" xfId="3251" xr:uid="{48CCB808-B898-4B18-9903-9CA97D4C0B79}"/>
    <cellStyle name="Comma 2 5 8 2 2 2" xfId="5900" xr:uid="{56AE59D6-8B18-455E-B79F-BAD616EA4247}"/>
    <cellStyle name="Comma 2 5 8 2 2 2 2" xfId="11197" xr:uid="{A0C52FF1-60A9-4715-AC61-318E6BFB4D3C}"/>
    <cellStyle name="Comma 2 5 8 2 2 3" xfId="8548" xr:uid="{8BCDFC6D-58FC-40A3-89D2-06CD2B1C3D77}"/>
    <cellStyle name="Comma 2 5 8 2 3" xfId="4576" xr:uid="{95767039-2CE2-486A-9062-DB19A37240F0}"/>
    <cellStyle name="Comma 2 5 8 2 3 2" xfId="9873" xr:uid="{82047B44-B36E-4B7C-BD60-949A159F016E}"/>
    <cellStyle name="Comma 2 5 8 2 4" xfId="7224" xr:uid="{6607CD81-6C0D-4A4A-892D-C565A56799CC}"/>
    <cellStyle name="Comma 2 5 8 3" xfId="2723" xr:uid="{2FCD811E-8BA4-4E4D-91BE-6DF97607C116}"/>
    <cellStyle name="Comma 2 5 8 3 2" xfId="5372" xr:uid="{9E4A3B90-E512-496C-BB66-C56B51ACBDE4}"/>
    <cellStyle name="Comma 2 5 8 3 2 2" xfId="10669" xr:uid="{69E58DF8-3024-4EEC-BEF1-563A4533FF4C}"/>
    <cellStyle name="Comma 2 5 8 3 3" xfId="8020" xr:uid="{6E74C0ED-E294-40A5-966F-CA42D1C38E81}"/>
    <cellStyle name="Comma 2 5 8 4" xfId="4048" xr:uid="{F8B2F242-4FE5-4888-A30D-AA325A463495}"/>
    <cellStyle name="Comma 2 5 8 4 2" xfId="9345" xr:uid="{5E8C967B-1DDE-4827-BFD4-10B3C7BC4EB8}"/>
    <cellStyle name="Comma 2 5 8 5" xfId="6696" xr:uid="{EE1A4F5F-577E-4C01-A6EA-5CA5607643E1}"/>
    <cellStyle name="Comma 2 5 9" xfId="2021" xr:uid="{B9EB6E7F-8AB1-48C1-ACFE-EAF58BDD099E}"/>
    <cellStyle name="Comma 2 5 9 2" xfId="3356" xr:uid="{F84F3C9C-9509-408A-A124-F35A30610B8D}"/>
    <cellStyle name="Comma 2 5 9 2 2" xfId="6005" xr:uid="{9D8458D5-7B68-4BD6-A74F-699DD21B7DC6}"/>
    <cellStyle name="Comma 2 5 9 2 2 2" xfId="11302" xr:uid="{A49DB0F7-7684-4217-B041-0F199F04ACF5}"/>
    <cellStyle name="Comma 2 5 9 2 3" xfId="8653" xr:uid="{37B2B94A-D23D-4B39-B831-AA1E2424E8BD}"/>
    <cellStyle name="Comma 2 5 9 3" xfId="4681" xr:uid="{AAB34025-E395-4377-BA42-28386419DB7C}"/>
    <cellStyle name="Comma 2 5 9 3 2" xfId="9978" xr:uid="{D66B78C6-7F0B-4023-83F5-813D29765033}"/>
    <cellStyle name="Comma 2 5 9 4" xfId="7329" xr:uid="{459F6250-16C3-4E06-BC10-DA7F77C783E9}"/>
    <cellStyle name="Comma 2 6" xfId="106" xr:uid="{D32AED42-2044-4DBE-8E37-79ED1964ABAC}"/>
    <cellStyle name="Comma 2 6 10" xfId="6044" xr:uid="{D9EA2965-325C-4157-8B1E-00834A9823E2}"/>
    <cellStyle name="Comma 2 6 2" xfId="338" xr:uid="{3092C1E1-7BC1-4E03-9A6E-F90BFF306579}"/>
    <cellStyle name="Comma 2 6 2 2" xfId="1167" xr:uid="{D65D3DED-AF1A-429F-A9D1-607ADDAF62D5}"/>
    <cellStyle name="Comma 2 6 2 2 2" xfId="1699" xr:uid="{846873B5-0434-410E-91D8-EAAB4881102E}"/>
    <cellStyle name="Comma 2 6 2 2 2 2" xfId="3039" xr:uid="{A532E216-2709-4A6D-96ED-94D776EC35BD}"/>
    <cellStyle name="Comma 2 6 2 2 2 2 2" xfId="5688" xr:uid="{5F2E2B35-E5D8-47B9-A595-B42A4ED72CC4}"/>
    <cellStyle name="Comma 2 6 2 2 2 2 2 2" xfId="10985" xr:uid="{988109FB-07AB-43D4-A758-776F6B499287}"/>
    <cellStyle name="Comma 2 6 2 2 2 2 3" xfId="8336" xr:uid="{50EA9E8D-7EE5-471C-BB1C-A5431D2C75F5}"/>
    <cellStyle name="Comma 2 6 2 2 2 3" xfId="4364" xr:uid="{C5823442-C821-465A-AE13-7294EA822D05}"/>
    <cellStyle name="Comma 2 6 2 2 2 3 2" xfId="9661" xr:uid="{E0ED0B0E-B01C-459F-8CF1-2D4A6751C480}"/>
    <cellStyle name="Comma 2 6 2 2 2 4" xfId="7012" xr:uid="{87E8FD57-B8DF-4AAA-B8FB-23D535EBF12D}"/>
    <cellStyle name="Comma 2 6 2 2 3" xfId="2511" xr:uid="{374D16C8-2A57-46D6-A2FD-B299BC7E4847}"/>
    <cellStyle name="Comma 2 6 2 2 3 2" xfId="5160" xr:uid="{048EA656-655C-4C6E-90CA-0354B1DF7CB3}"/>
    <cellStyle name="Comma 2 6 2 2 3 2 2" xfId="10457" xr:uid="{9606BB06-B0C0-4923-9937-62B6609B3492}"/>
    <cellStyle name="Comma 2 6 2 2 3 3" xfId="7808" xr:uid="{ECC1D2E8-D410-47C2-B986-D5528AB512CF}"/>
    <cellStyle name="Comma 2 6 2 2 4" xfId="3836" xr:uid="{171E27E0-AF89-42A1-9234-2B5C806D0258}"/>
    <cellStyle name="Comma 2 6 2 2 4 2" xfId="9133" xr:uid="{6B070E48-116E-44B4-94E7-91D8791B18F4}"/>
    <cellStyle name="Comma 2 6 2 2 5" xfId="6484" xr:uid="{4A1AA0DB-69DB-44A2-B66F-A87A528174DE}"/>
    <cellStyle name="Comma 2 6 2 3" xfId="1023" xr:uid="{8706A5CE-A96A-4883-9FA7-0E141967C7DE}"/>
    <cellStyle name="Comma 2 6 2 3 2" xfId="1567" xr:uid="{F6CDCCCB-673A-43B9-A14D-3AF2B03868E9}"/>
    <cellStyle name="Comma 2 6 2 3 2 2" xfId="2907" xr:uid="{0CA92700-FA1A-43DB-93D0-7E87BDB66444}"/>
    <cellStyle name="Comma 2 6 2 3 2 2 2" xfId="5556" xr:uid="{6C31DBF3-F943-4F26-8756-612D1CCDF01D}"/>
    <cellStyle name="Comma 2 6 2 3 2 2 2 2" xfId="10853" xr:uid="{8136E82D-621F-42FE-8A0A-9D07F927AF15}"/>
    <cellStyle name="Comma 2 6 2 3 2 2 3" xfId="8204" xr:uid="{F5F6BEE7-4D84-43D9-AC36-D8FFF6C5FA2F}"/>
    <cellStyle name="Comma 2 6 2 3 2 3" xfId="4232" xr:uid="{30FBE12A-5BB9-4B3A-BE5E-B7A3FD0C4EA3}"/>
    <cellStyle name="Comma 2 6 2 3 2 3 2" xfId="9529" xr:uid="{45D674B5-61B9-49C3-BD08-164EF30D9B3A}"/>
    <cellStyle name="Comma 2 6 2 3 2 4" xfId="6880" xr:uid="{F0C0CA72-A2D8-45E8-B3D8-FEFBAE8B89B7}"/>
    <cellStyle name="Comma 2 6 2 3 3" xfId="2379" xr:uid="{4D389D41-D00C-473B-9A2B-136CF242060C}"/>
    <cellStyle name="Comma 2 6 2 3 3 2" xfId="5028" xr:uid="{AD6DA67A-43CA-44EB-B75E-D649BE2DA9CC}"/>
    <cellStyle name="Comma 2 6 2 3 3 2 2" xfId="10325" xr:uid="{5C3C1517-6665-433F-B623-8E2ABB785438}"/>
    <cellStyle name="Comma 2 6 2 3 3 3" xfId="7676" xr:uid="{28AB3E76-7FF4-4EAE-A711-D6D10A30338E}"/>
    <cellStyle name="Comma 2 6 2 3 4" xfId="3704" xr:uid="{A1F69885-D3FE-43C5-9E55-4038F658690A}"/>
    <cellStyle name="Comma 2 6 2 3 4 2" xfId="9001" xr:uid="{D77BDA31-EA48-45E2-9561-8088F6C30B2C}"/>
    <cellStyle name="Comma 2 6 2 3 5" xfId="6352" xr:uid="{400B0DDA-C075-4A92-884A-915D311DB7BA}"/>
    <cellStyle name="Comma 2 6 2 4" xfId="1303" xr:uid="{D5C1A052-BC7F-4D51-A490-3947AE66728F}"/>
    <cellStyle name="Comma 2 6 2 4 2" xfId="1831" xr:uid="{EF8E0E8D-90E7-4051-BAD9-F86C8236A665}"/>
    <cellStyle name="Comma 2 6 2 4 2 2" xfId="3171" xr:uid="{538B5F93-9D6D-4E80-A6F5-D2C632F85B32}"/>
    <cellStyle name="Comma 2 6 2 4 2 2 2" xfId="5820" xr:uid="{7B6DFB4C-1DFD-471D-B579-7A435679EE3C}"/>
    <cellStyle name="Comma 2 6 2 4 2 2 2 2" xfId="11117" xr:uid="{D69D2C02-1202-4C5A-8191-C82F1BC60064}"/>
    <cellStyle name="Comma 2 6 2 4 2 2 3" xfId="8468" xr:uid="{81900B80-6127-4191-9803-8E55E0A41177}"/>
    <cellStyle name="Comma 2 6 2 4 2 3" xfId="4496" xr:uid="{7211437D-6403-4E8A-B551-220786C7C091}"/>
    <cellStyle name="Comma 2 6 2 4 2 3 2" xfId="9793" xr:uid="{BEBEC01F-51D8-4CEB-B031-996B04F932DD}"/>
    <cellStyle name="Comma 2 6 2 4 2 4" xfId="7144" xr:uid="{0692C86E-DF4F-4C9E-A5DD-6590B671BA69}"/>
    <cellStyle name="Comma 2 6 2 4 3" xfId="2643" xr:uid="{3198A7FA-5578-4A6E-8F7E-439690E1DD2F}"/>
    <cellStyle name="Comma 2 6 2 4 3 2" xfId="5292" xr:uid="{FA1120C8-CD45-40A3-84E3-42748F0F0D53}"/>
    <cellStyle name="Comma 2 6 2 4 3 2 2" xfId="10589" xr:uid="{ADF4AB3C-A42E-46B4-A800-CF8832DFD811}"/>
    <cellStyle name="Comma 2 6 2 4 3 3" xfId="7940" xr:uid="{38E7F3C2-4E6A-4F6E-9681-31D251752F75}"/>
    <cellStyle name="Comma 2 6 2 4 4" xfId="3968" xr:uid="{DA301EDD-9B73-4540-9326-64EABC1EE66A}"/>
    <cellStyle name="Comma 2 6 2 4 4 2" xfId="9265" xr:uid="{049953FC-1F93-4C0D-A8AD-D4208F3C720A}"/>
    <cellStyle name="Comma 2 6 2 4 5" xfId="6616" xr:uid="{E4BFFAB7-919D-495B-95A1-B0A76E081150}"/>
    <cellStyle name="Comma 2 6 2 5" xfId="1435" xr:uid="{B735D858-5BD3-45F8-84F7-AE2E6B098BC9}"/>
    <cellStyle name="Comma 2 6 2 5 2" xfId="1963" xr:uid="{46EE1F55-5FBB-4A5D-B18E-49F3FB9A0167}"/>
    <cellStyle name="Comma 2 6 2 5 2 2" xfId="3303" xr:uid="{7E9D365F-8901-4159-B5D1-A2A0A67537EB}"/>
    <cellStyle name="Comma 2 6 2 5 2 2 2" xfId="5952" xr:uid="{481164DE-3E22-44C9-9481-2D4B4AFEFB40}"/>
    <cellStyle name="Comma 2 6 2 5 2 2 2 2" xfId="11249" xr:uid="{C6B851A4-26E4-4EE9-8B67-556CC93B2FD9}"/>
    <cellStyle name="Comma 2 6 2 5 2 2 3" xfId="8600" xr:uid="{AFACE565-9E75-4D25-BC91-8275FF84D483}"/>
    <cellStyle name="Comma 2 6 2 5 2 3" xfId="4628" xr:uid="{11F624E6-33EC-4106-A52C-44A2EF00CFDF}"/>
    <cellStyle name="Comma 2 6 2 5 2 3 2" xfId="9925" xr:uid="{2D9B57AF-CB6A-4671-9B54-5C5123ED7468}"/>
    <cellStyle name="Comma 2 6 2 5 2 4" xfId="7276" xr:uid="{7A28B6F8-3B5E-4A09-875B-985241231802}"/>
    <cellStyle name="Comma 2 6 2 5 3" xfId="2775" xr:uid="{7F6F9EC9-C8A3-47E2-A0D2-648F4D4BA4A6}"/>
    <cellStyle name="Comma 2 6 2 5 3 2" xfId="5424" xr:uid="{44F621C7-E963-424C-A853-66C9474B27E1}"/>
    <cellStyle name="Comma 2 6 2 5 3 2 2" xfId="10721" xr:uid="{2AAF21F4-7653-4672-A1EF-FD1E7C14FF5F}"/>
    <cellStyle name="Comma 2 6 2 5 3 3" xfId="8072" xr:uid="{AB306D94-F7BF-4759-8DD4-504AF54580E5}"/>
    <cellStyle name="Comma 2 6 2 5 4" xfId="4100" xr:uid="{C791A6D4-93D3-4EFD-95BD-9256CEECC9D9}"/>
    <cellStyle name="Comma 2 6 2 5 4 2" xfId="9397" xr:uid="{3C9DB8CA-45D0-43D1-9120-48ED6D45828B}"/>
    <cellStyle name="Comma 2 6 2 5 5" xfId="6748" xr:uid="{A5723737-0D38-4EB6-9A5A-6A91D58F4400}"/>
    <cellStyle name="Comma 2 6 2 6" xfId="806" xr:uid="{1790C9A7-2B3D-4093-B962-8A22AA2C8574}"/>
    <cellStyle name="Comma 2 6 2 6 2" xfId="2251" xr:uid="{8CBD5695-B1BE-4907-8C75-5D51F4C205F3}"/>
    <cellStyle name="Comma 2 6 2 6 2 2" xfId="4900" xr:uid="{4E93A460-7CB2-4933-9D6D-C2C514B9A297}"/>
    <cellStyle name="Comma 2 6 2 6 2 2 2" xfId="10197" xr:uid="{71AE4F8B-715A-4678-91DD-9712CB49D5CD}"/>
    <cellStyle name="Comma 2 6 2 6 2 3" xfId="7548" xr:uid="{3AF11F63-618C-476C-91C2-F298F00584A6}"/>
    <cellStyle name="Comma 2 6 2 6 3" xfId="3576" xr:uid="{429FCA50-9D75-46E7-A6D2-4B1B2AD7ECED}"/>
    <cellStyle name="Comma 2 6 2 6 3 2" xfId="8873" xr:uid="{8310700E-D7B2-4134-91D7-C5635C1B17EC}"/>
    <cellStyle name="Comma 2 6 2 6 4" xfId="6224" xr:uid="{FB3E11B1-1E50-4A7B-A4A9-895DE8B1A9B9}"/>
    <cellStyle name="Comma 2 6 2 7" xfId="2138" xr:uid="{E588B417-8B85-406E-B3AA-ABB3F1C73350}"/>
    <cellStyle name="Comma 2 6 2 7 2" xfId="4787" xr:uid="{AC160BA3-2436-4F4D-83A5-54FFBC70738F}"/>
    <cellStyle name="Comma 2 6 2 7 2 2" xfId="10084" xr:uid="{FDC6ADF7-6690-4805-8203-00181E70FCA8}"/>
    <cellStyle name="Comma 2 6 2 7 3" xfId="7435" xr:uid="{962720A0-5605-4698-9928-E2B32EE1202A}"/>
    <cellStyle name="Comma 2 6 2 8" xfId="3463" xr:uid="{5947073D-3EF9-458F-B829-E6F626BDB9FF}"/>
    <cellStyle name="Comma 2 6 2 8 2" xfId="8760" xr:uid="{3BF38AB9-6ABF-48C5-B80D-0534EB1AD709}"/>
    <cellStyle name="Comma 2 6 2 9" xfId="6111" xr:uid="{9189ADBC-2812-4072-9256-EDB64625C0C7}"/>
    <cellStyle name="Comma 2 6 3" xfId="1143" xr:uid="{780E25AE-8FF6-4996-AF30-C6B70B32E46C}"/>
    <cellStyle name="Comma 2 6 3 2" xfId="1675" xr:uid="{047C0A8E-B5D0-4D8E-A317-E0488DD6D719}"/>
    <cellStyle name="Comma 2 6 3 2 2" xfId="3015" xr:uid="{80CB41D7-87C0-4DFB-97B1-48C38F8087B1}"/>
    <cellStyle name="Comma 2 6 3 2 2 2" xfId="5664" xr:uid="{3C204BC2-C664-42B4-8A99-B1BC7A58F4EA}"/>
    <cellStyle name="Comma 2 6 3 2 2 2 2" xfId="10961" xr:uid="{668CAF35-2B33-4E3E-9D48-0CD9743DA640}"/>
    <cellStyle name="Comma 2 6 3 2 2 3" xfId="8312" xr:uid="{5ED32FBB-C653-4118-B100-4AD3F15B5DD9}"/>
    <cellStyle name="Comma 2 6 3 2 3" xfId="4340" xr:uid="{C6F2C445-457F-4435-AD54-5806E99167A9}"/>
    <cellStyle name="Comma 2 6 3 2 3 2" xfId="9637" xr:uid="{E774640B-F2F7-4C95-ABFB-678A6E595458}"/>
    <cellStyle name="Comma 2 6 3 2 4" xfId="6988" xr:uid="{F9E85135-D2E2-4B39-BBE8-B60572F4B30E}"/>
    <cellStyle name="Comma 2 6 3 3" xfId="2487" xr:uid="{9A058D35-F9BF-484C-B6D6-D8732085DE38}"/>
    <cellStyle name="Comma 2 6 3 3 2" xfId="5136" xr:uid="{249D7291-19BE-45AD-BD8A-114BA107140D}"/>
    <cellStyle name="Comma 2 6 3 3 2 2" xfId="10433" xr:uid="{7F276CCA-33A4-4B4C-ADFC-ECF051C22C68}"/>
    <cellStyle name="Comma 2 6 3 3 3" xfId="7784" xr:uid="{5290A734-1E79-4DF2-952A-0F4625B1177D}"/>
    <cellStyle name="Comma 2 6 3 4" xfId="3812" xr:uid="{A1E93FB6-AA2E-4282-AB5C-0AE5BC6420EA}"/>
    <cellStyle name="Comma 2 6 3 4 2" xfId="9109" xr:uid="{11B8AD95-2193-469F-B850-FD167C12AF77}"/>
    <cellStyle name="Comma 2 6 3 5" xfId="6460" xr:uid="{0528A04F-93FD-4EDF-BEE9-D51ABFD06736}"/>
    <cellStyle name="Comma 2 6 4" xfId="999" xr:uid="{7F6DDC81-89B3-48C4-97FC-7613F67CF378}"/>
    <cellStyle name="Comma 2 6 4 2" xfId="1543" xr:uid="{65783FFB-2451-448E-9AD1-81F06391956D}"/>
    <cellStyle name="Comma 2 6 4 2 2" xfId="2883" xr:uid="{76D84822-9D75-48D0-B757-CC47DF516B5C}"/>
    <cellStyle name="Comma 2 6 4 2 2 2" xfId="5532" xr:uid="{06E7DF4B-7316-4782-BEE1-458FB6068C27}"/>
    <cellStyle name="Comma 2 6 4 2 2 2 2" xfId="10829" xr:uid="{09455129-6C6B-46F7-9E93-52A895D55FC1}"/>
    <cellStyle name="Comma 2 6 4 2 2 3" xfId="8180" xr:uid="{A6E36002-858E-423E-9782-61F4EA089941}"/>
    <cellStyle name="Comma 2 6 4 2 3" xfId="4208" xr:uid="{D2C4F2AE-CA7C-43D9-8E34-79D797A9A011}"/>
    <cellStyle name="Comma 2 6 4 2 3 2" xfId="9505" xr:uid="{BAB9434D-2973-465A-8ACA-2D0A513D6ABC}"/>
    <cellStyle name="Comma 2 6 4 2 4" xfId="6856" xr:uid="{833D846B-EED6-407F-B4BF-9DD0C518C3B2}"/>
    <cellStyle name="Comma 2 6 4 3" xfId="2355" xr:uid="{AE02AD50-FCC5-4B80-9E8B-D0BAE5AC5FD9}"/>
    <cellStyle name="Comma 2 6 4 3 2" xfId="5004" xr:uid="{CDF15665-A0E1-448A-B48F-D2B31B5C15DE}"/>
    <cellStyle name="Comma 2 6 4 3 2 2" xfId="10301" xr:uid="{869D5C41-4DAB-49F7-A042-4C438B7CCBEA}"/>
    <cellStyle name="Comma 2 6 4 3 3" xfId="7652" xr:uid="{D4BD52B7-4B23-452E-AF5A-6F3D28664D70}"/>
    <cellStyle name="Comma 2 6 4 4" xfId="3680" xr:uid="{2A33D89B-4EE0-468D-AF67-60E3BF9013F4}"/>
    <cellStyle name="Comma 2 6 4 4 2" xfId="8977" xr:uid="{461E79BE-F563-4F4B-B712-73A7DA8390D9}"/>
    <cellStyle name="Comma 2 6 4 5" xfId="6328" xr:uid="{AC302CE5-4CD5-4B68-AAA8-61812D8E4FA1}"/>
    <cellStyle name="Comma 2 6 5" xfId="1279" xr:uid="{E5EE8CF4-2EE2-431A-BE62-43BCEB800B0E}"/>
    <cellStyle name="Comma 2 6 5 2" xfId="1807" xr:uid="{312BCFC9-2CFD-4023-9749-420E0BD3BD0F}"/>
    <cellStyle name="Comma 2 6 5 2 2" xfId="3147" xr:uid="{2D044C97-CA27-4D40-BC43-B3914E37BF75}"/>
    <cellStyle name="Comma 2 6 5 2 2 2" xfId="5796" xr:uid="{A94BEDDD-D5B2-4826-B23B-5D1CED55DD77}"/>
    <cellStyle name="Comma 2 6 5 2 2 2 2" xfId="11093" xr:uid="{8D85D87C-B1A6-41F0-8681-E9F836BF64CB}"/>
    <cellStyle name="Comma 2 6 5 2 2 3" xfId="8444" xr:uid="{3078F5CA-52B0-4344-BC0F-2351EF3E4D8C}"/>
    <cellStyle name="Comma 2 6 5 2 3" xfId="4472" xr:uid="{FA70C157-1A3D-4BF3-A194-25CAD0DD487B}"/>
    <cellStyle name="Comma 2 6 5 2 3 2" xfId="9769" xr:uid="{78C147D5-7C30-473C-9634-371CDF05CECF}"/>
    <cellStyle name="Comma 2 6 5 2 4" xfId="7120" xr:uid="{0BBD53D5-CEBE-4B94-A583-E0DDF5FCBF4F}"/>
    <cellStyle name="Comma 2 6 5 3" xfId="2619" xr:uid="{D894683B-7ACD-4E3B-B24D-7015C2BD6E6E}"/>
    <cellStyle name="Comma 2 6 5 3 2" xfId="5268" xr:uid="{0F9415FF-DBFD-4BBC-9C51-304CBD6466E2}"/>
    <cellStyle name="Comma 2 6 5 3 2 2" xfId="10565" xr:uid="{1B150B7C-5199-46C2-90F7-88570ED7CF56}"/>
    <cellStyle name="Comma 2 6 5 3 3" xfId="7916" xr:uid="{04B39816-6BA0-4B1F-A34C-00D532BF0526}"/>
    <cellStyle name="Comma 2 6 5 4" xfId="3944" xr:uid="{F1243FB3-3380-4456-A6C5-A274BE8EB26D}"/>
    <cellStyle name="Comma 2 6 5 4 2" xfId="9241" xr:uid="{4D1740D0-92D5-41E1-B673-5031D5D04CF3}"/>
    <cellStyle name="Comma 2 6 5 5" xfId="6592" xr:uid="{83EEEA81-DEFC-469F-90F1-68FF62CF081C}"/>
    <cellStyle name="Comma 2 6 6" xfId="1411" xr:uid="{58B8C9A5-FB5B-454F-9763-C3F37A660560}"/>
    <cellStyle name="Comma 2 6 6 2" xfId="1939" xr:uid="{C3DE8616-C619-41A5-B859-CD1944350B97}"/>
    <cellStyle name="Comma 2 6 6 2 2" xfId="3279" xr:uid="{B7CC46A1-145B-4977-98EC-11B4643CF9A1}"/>
    <cellStyle name="Comma 2 6 6 2 2 2" xfId="5928" xr:uid="{3A4E8DE2-C990-4DAD-9B65-202AD21E31C9}"/>
    <cellStyle name="Comma 2 6 6 2 2 2 2" xfId="11225" xr:uid="{F94EA74E-4B68-40A4-9662-6C002863530A}"/>
    <cellStyle name="Comma 2 6 6 2 2 3" xfId="8576" xr:uid="{CAE57AA4-B793-4FC8-9657-5D516C2E6D6B}"/>
    <cellStyle name="Comma 2 6 6 2 3" xfId="4604" xr:uid="{B0DF519B-4BFA-404B-94B8-FBBDDF239C21}"/>
    <cellStyle name="Comma 2 6 6 2 3 2" xfId="9901" xr:uid="{7E44F6EF-B1A7-4837-B864-122B90E75BA5}"/>
    <cellStyle name="Comma 2 6 6 2 4" xfId="7252" xr:uid="{9E18EEF7-D7B8-432B-B4EC-04C17E5268A3}"/>
    <cellStyle name="Comma 2 6 6 3" xfId="2751" xr:uid="{8615ED41-ECA2-4236-9B69-E48B0A6619FE}"/>
    <cellStyle name="Comma 2 6 6 3 2" xfId="5400" xr:uid="{1540FDF4-C67D-4D0E-BFE6-9460DD624020}"/>
    <cellStyle name="Comma 2 6 6 3 2 2" xfId="10697" xr:uid="{5C39455B-6CD3-481F-8F1C-D3A8862C8F60}"/>
    <cellStyle name="Comma 2 6 6 3 3" xfId="8048" xr:uid="{36F86DBF-3C22-4539-BA01-62FE643C4CA4}"/>
    <cellStyle name="Comma 2 6 6 4" xfId="4076" xr:uid="{08AB534D-97DE-4C48-8B94-62DC37150AD7}"/>
    <cellStyle name="Comma 2 6 6 4 2" xfId="9373" xr:uid="{099B3A17-1607-45CE-AAB3-8AD9DF2051E7}"/>
    <cellStyle name="Comma 2 6 6 5" xfId="6724" xr:uid="{8A1FDB15-D2E7-4EE3-8FB3-A27A32CD85E0}"/>
    <cellStyle name="Comma 2 6 7" xfId="737" xr:uid="{B8035285-B7F5-43CF-B913-3B52EF60C380}"/>
    <cellStyle name="Comma 2 6 7 2" xfId="2227" xr:uid="{919911D0-E71E-421F-A88B-32F5F693EE53}"/>
    <cellStyle name="Comma 2 6 7 2 2" xfId="4876" xr:uid="{B3ED37BD-B4CC-41A5-BCE9-799747B35ADD}"/>
    <cellStyle name="Comma 2 6 7 2 2 2" xfId="10173" xr:uid="{32F42FEE-C90E-4A24-89D0-C3DFF20AD57E}"/>
    <cellStyle name="Comma 2 6 7 2 3" xfId="7524" xr:uid="{7C660F99-7FA9-49F8-8132-9A3CECF76574}"/>
    <cellStyle name="Comma 2 6 7 3" xfId="3552" xr:uid="{2EBE6E74-1CAF-4F4C-897E-D7C6303D5FF9}"/>
    <cellStyle name="Comma 2 6 7 3 2" xfId="8849" xr:uid="{4877AA6E-AFE7-4D33-A87D-018A5F5503C6}"/>
    <cellStyle name="Comma 2 6 7 4" xfId="6200" xr:uid="{3263EEE6-F7CA-408F-BC38-FE8F52A2F16E}"/>
    <cellStyle name="Comma 2 6 8" xfId="2071" xr:uid="{3BC25E5C-7566-43E7-AB6C-40D7E4C65AD9}"/>
    <cellStyle name="Comma 2 6 8 2" xfId="4720" xr:uid="{0F44D0C3-B054-48DC-8E94-FAC72C08E12B}"/>
    <cellStyle name="Comma 2 6 8 2 2" xfId="10017" xr:uid="{55F6D910-7809-44C1-A80C-FBC17CD38294}"/>
    <cellStyle name="Comma 2 6 8 3" xfId="7368" xr:uid="{ACE3D6D7-F4D4-46E2-A262-78C06EC651FE}"/>
    <cellStyle name="Comma 2 6 9" xfId="3396" xr:uid="{37FFE21D-6434-4EB7-86CA-97CA9CCC47D2}"/>
    <cellStyle name="Comma 2 6 9 2" xfId="8693" xr:uid="{53752C88-8623-4A1C-8DB7-9046C0FCB94D}"/>
    <cellStyle name="Comma 2 7" xfId="152" xr:uid="{FD767865-52D0-4C85-A3AB-A7C1A49DADC0}"/>
    <cellStyle name="Comma 2 7 10" xfId="6057" xr:uid="{396B0BCC-49FE-4378-8021-3E5663F0827D}"/>
    <cellStyle name="Comma 2 7 2" xfId="384" xr:uid="{69AE5011-2CF2-4A01-96FD-13BCB33F6FF8}"/>
    <cellStyle name="Comma 2 7 2 2" xfId="1175" xr:uid="{2BF462D8-4B54-4D7E-9214-FB9EED30D9A0}"/>
    <cellStyle name="Comma 2 7 2 2 2" xfId="1707" xr:uid="{06B807AA-8DA8-4476-88DC-27F0D5E51AB9}"/>
    <cellStyle name="Comma 2 7 2 2 2 2" xfId="3047" xr:uid="{D1853476-593C-4E3D-AEA5-833B7EF03E9E}"/>
    <cellStyle name="Comma 2 7 2 2 2 2 2" xfId="5696" xr:uid="{7B85FCA6-E65A-494D-8C90-57AEAE73BA49}"/>
    <cellStyle name="Comma 2 7 2 2 2 2 2 2" xfId="10993" xr:uid="{9E6855BB-1FEE-4259-89BE-E654788408E7}"/>
    <cellStyle name="Comma 2 7 2 2 2 2 3" xfId="8344" xr:uid="{CA3331F8-D335-477C-AC42-21B40BC44337}"/>
    <cellStyle name="Comma 2 7 2 2 2 3" xfId="4372" xr:uid="{CC8307BF-8790-43C7-BD93-838796E61BF5}"/>
    <cellStyle name="Comma 2 7 2 2 2 3 2" xfId="9669" xr:uid="{8D3F5763-58E1-4219-A42B-B84EC5F8EA75}"/>
    <cellStyle name="Comma 2 7 2 2 2 4" xfId="7020" xr:uid="{23DAA49F-8D0B-4FDB-AA73-F3A510890B19}"/>
    <cellStyle name="Comma 2 7 2 2 3" xfId="2519" xr:uid="{96123BA1-F603-4143-9B90-07EACB2EA329}"/>
    <cellStyle name="Comma 2 7 2 2 3 2" xfId="5168" xr:uid="{21F35CA2-2BC9-4BDB-A5D1-8F3A7486BE49}"/>
    <cellStyle name="Comma 2 7 2 2 3 2 2" xfId="10465" xr:uid="{0AA410CE-89AB-4493-9A8B-6C65EA2FDB61}"/>
    <cellStyle name="Comma 2 7 2 2 3 3" xfId="7816" xr:uid="{E56AE9AD-2D56-452B-95D1-B46536F60631}"/>
    <cellStyle name="Comma 2 7 2 2 4" xfId="3844" xr:uid="{ECA4777F-E3CE-4FB4-9918-360242C46DC8}"/>
    <cellStyle name="Comma 2 7 2 2 4 2" xfId="9141" xr:uid="{E6ED6949-8E09-4A64-9BE5-E340B4BE87AD}"/>
    <cellStyle name="Comma 2 7 2 2 5" xfId="6492" xr:uid="{B042C07C-D757-488B-81CB-90F8A4AB2502}"/>
    <cellStyle name="Comma 2 7 2 3" xfId="1031" xr:uid="{F8997072-042F-4B8C-8C7D-FD005B75D0AE}"/>
    <cellStyle name="Comma 2 7 2 3 2" xfId="1575" xr:uid="{54F7EC38-4EEB-46AA-A424-240130ACF48E}"/>
    <cellStyle name="Comma 2 7 2 3 2 2" xfId="2915" xr:uid="{BF7EF20B-360F-469A-B4E2-3C2612DECC07}"/>
    <cellStyle name="Comma 2 7 2 3 2 2 2" xfId="5564" xr:uid="{191B927E-4063-4BEF-A78F-9CA217B01CB5}"/>
    <cellStyle name="Comma 2 7 2 3 2 2 2 2" xfId="10861" xr:uid="{C3A86213-F9F2-4AB3-A56B-9BDA2D162634}"/>
    <cellStyle name="Comma 2 7 2 3 2 2 3" xfId="8212" xr:uid="{54588A37-5B08-41BC-BE34-B5798DFC91B4}"/>
    <cellStyle name="Comma 2 7 2 3 2 3" xfId="4240" xr:uid="{9295685E-98E1-4460-92ED-850101AFC39F}"/>
    <cellStyle name="Comma 2 7 2 3 2 3 2" xfId="9537" xr:uid="{CB95A489-ABE6-43DA-B2E2-07588DFF68C8}"/>
    <cellStyle name="Comma 2 7 2 3 2 4" xfId="6888" xr:uid="{F60834C4-3EF3-417B-B618-FF2AAD0A65B4}"/>
    <cellStyle name="Comma 2 7 2 3 3" xfId="2387" xr:uid="{4FA13635-A8F7-42A6-9B32-2D515FDD5272}"/>
    <cellStyle name="Comma 2 7 2 3 3 2" xfId="5036" xr:uid="{22C8FD4E-F847-4D4D-A584-879432C6C849}"/>
    <cellStyle name="Comma 2 7 2 3 3 2 2" xfId="10333" xr:uid="{80F51DF5-4495-4B2A-84E2-6C2FF66DE072}"/>
    <cellStyle name="Comma 2 7 2 3 3 3" xfId="7684" xr:uid="{775DDC68-B0FD-4272-8375-03E3BFB9E68C}"/>
    <cellStyle name="Comma 2 7 2 3 4" xfId="3712" xr:uid="{491A9281-7376-4650-8853-91D3998F1698}"/>
    <cellStyle name="Comma 2 7 2 3 4 2" xfId="9009" xr:uid="{197C5F79-C783-4EA7-B035-D04FBEB890CB}"/>
    <cellStyle name="Comma 2 7 2 3 5" xfId="6360" xr:uid="{785AC48D-0096-48B3-A719-CFE21BABB231}"/>
    <cellStyle name="Comma 2 7 2 4" xfId="1311" xr:uid="{3452717E-3226-4084-99D1-3BE8CECD4FB9}"/>
    <cellStyle name="Comma 2 7 2 4 2" xfId="1839" xr:uid="{225AE718-1855-4E8B-935E-9FEC2DA4B974}"/>
    <cellStyle name="Comma 2 7 2 4 2 2" xfId="3179" xr:uid="{A0DBFC77-3F59-4970-BB9A-5B3E2E18B2C6}"/>
    <cellStyle name="Comma 2 7 2 4 2 2 2" xfId="5828" xr:uid="{05244634-1D26-477B-B353-6DA52EA59E7C}"/>
    <cellStyle name="Comma 2 7 2 4 2 2 2 2" xfId="11125" xr:uid="{3C1712F9-1839-4878-8B1A-2BFFDDFB9193}"/>
    <cellStyle name="Comma 2 7 2 4 2 2 3" xfId="8476" xr:uid="{E7544EDC-7EE0-400D-9081-211BE8101D98}"/>
    <cellStyle name="Comma 2 7 2 4 2 3" xfId="4504" xr:uid="{9FD533FB-70A7-40B6-82C4-A428D487B1C5}"/>
    <cellStyle name="Comma 2 7 2 4 2 3 2" xfId="9801" xr:uid="{A3811BA0-484A-4857-8A6C-2FD8129AC016}"/>
    <cellStyle name="Comma 2 7 2 4 2 4" xfId="7152" xr:uid="{2B385435-E0D4-4255-83BD-E3BD560151D5}"/>
    <cellStyle name="Comma 2 7 2 4 3" xfId="2651" xr:uid="{08D85452-7588-413A-9EBF-887B1CBA4234}"/>
    <cellStyle name="Comma 2 7 2 4 3 2" xfId="5300" xr:uid="{26DC250F-703C-4582-BD67-09C7A314EF3F}"/>
    <cellStyle name="Comma 2 7 2 4 3 2 2" xfId="10597" xr:uid="{C3137227-BDC5-4EF7-8594-42FD8E075AE9}"/>
    <cellStyle name="Comma 2 7 2 4 3 3" xfId="7948" xr:uid="{7820D242-7A4C-459B-B149-78D1D886102C}"/>
    <cellStyle name="Comma 2 7 2 4 4" xfId="3976" xr:uid="{C33B7692-6C48-48A9-9D26-FC0DB03E26F3}"/>
    <cellStyle name="Comma 2 7 2 4 4 2" xfId="9273" xr:uid="{7256217F-F314-4E66-B710-C8F73D13E79D}"/>
    <cellStyle name="Comma 2 7 2 4 5" xfId="6624" xr:uid="{415B1751-DBA1-40B2-B473-9BE65D2AA489}"/>
    <cellStyle name="Comma 2 7 2 5" xfId="1443" xr:uid="{91CA9E20-6618-4151-B161-89C099427858}"/>
    <cellStyle name="Comma 2 7 2 5 2" xfId="1971" xr:uid="{A5D04537-0CA9-4DAD-8DD9-0AC856A076A1}"/>
    <cellStyle name="Comma 2 7 2 5 2 2" xfId="3311" xr:uid="{FCDF1A90-4E44-4D13-B417-3C96BC216453}"/>
    <cellStyle name="Comma 2 7 2 5 2 2 2" xfId="5960" xr:uid="{81E51ECD-E65A-4E82-865C-43989AD17E1F}"/>
    <cellStyle name="Comma 2 7 2 5 2 2 2 2" xfId="11257" xr:uid="{B5423826-06A7-4E7E-A293-7BC711B19295}"/>
    <cellStyle name="Comma 2 7 2 5 2 2 3" xfId="8608" xr:uid="{D06C518F-708C-4FF3-ADEB-3E7822801C08}"/>
    <cellStyle name="Comma 2 7 2 5 2 3" xfId="4636" xr:uid="{F04B7671-A760-4709-A71C-D5A4FE16F525}"/>
    <cellStyle name="Comma 2 7 2 5 2 3 2" xfId="9933" xr:uid="{6F1F25BE-B37A-454C-9DEB-68F5D6672AF5}"/>
    <cellStyle name="Comma 2 7 2 5 2 4" xfId="7284" xr:uid="{7BC12034-924C-4115-8101-533EAE0839CF}"/>
    <cellStyle name="Comma 2 7 2 5 3" xfId="2783" xr:uid="{37454BE1-43BD-4758-82CC-B188FA82B7DE}"/>
    <cellStyle name="Comma 2 7 2 5 3 2" xfId="5432" xr:uid="{334EF98B-A85B-426C-A3CD-7572EC299E52}"/>
    <cellStyle name="Comma 2 7 2 5 3 2 2" xfId="10729" xr:uid="{2F43D496-E66D-4633-887C-299D57803FA1}"/>
    <cellStyle name="Comma 2 7 2 5 3 3" xfId="8080" xr:uid="{FB2ADF61-6E1D-4BF6-AF0B-9C6D4017CBB2}"/>
    <cellStyle name="Comma 2 7 2 5 4" xfId="4108" xr:uid="{926BC69E-0800-4C08-8D0B-DAEE3DEC1929}"/>
    <cellStyle name="Comma 2 7 2 5 4 2" xfId="9405" xr:uid="{5BD411C5-D2AE-4350-9162-AA0505628496}"/>
    <cellStyle name="Comma 2 7 2 5 5" xfId="6756" xr:uid="{652A1675-1E4E-4A5D-93E2-FC4B94C99562}"/>
    <cellStyle name="Comma 2 7 2 6" xfId="814" xr:uid="{0E51D111-110D-4BC7-92F4-CCF167010826}"/>
    <cellStyle name="Comma 2 7 2 6 2" xfId="2259" xr:uid="{BB33BB08-0A54-47DA-9C67-271DA5390E20}"/>
    <cellStyle name="Comma 2 7 2 6 2 2" xfId="4908" xr:uid="{9DEA7C82-1CE2-4EDF-9611-7D3308B465DA}"/>
    <cellStyle name="Comma 2 7 2 6 2 2 2" xfId="10205" xr:uid="{1C29A2D5-E71F-465A-ABAF-8EACE752552D}"/>
    <cellStyle name="Comma 2 7 2 6 2 3" xfId="7556" xr:uid="{8947B579-0AFB-4362-B3C0-5D02BAFA3D57}"/>
    <cellStyle name="Comma 2 7 2 6 3" xfId="3584" xr:uid="{EE09E55B-C663-48A8-8F75-C8846BF8CE1E}"/>
    <cellStyle name="Comma 2 7 2 6 3 2" xfId="8881" xr:uid="{0B5163EC-7163-4DCF-BD44-7E4A01268E6F}"/>
    <cellStyle name="Comma 2 7 2 6 4" xfId="6232" xr:uid="{1C2D78D3-96D4-4985-9412-1982BCF3A5E6}"/>
    <cellStyle name="Comma 2 7 2 7" xfId="2151" xr:uid="{2369E948-98C9-45AF-A44B-3B6931AD4BC1}"/>
    <cellStyle name="Comma 2 7 2 7 2" xfId="4800" xr:uid="{26D95EC1-D869-43BA-A07C-894C96A7178C}"/>
    <cellStyle name="Comma 2 7 2 7 2 2" xfId="10097" xr:uid="{F35DA572-F895-45BF-936E-CF1E8BAA378E}"/>
    <cellStyle name="Comma 2 7 2 7 3" xfId="7448" xr:uid="{1B97E363-831F-4C8F-9810-206CB6FF8350}"/>
    <cellStyle name="Comma 2 7 2 8" xfId="3476" xr:uid="{5E5043B2-7D07-4239-9B81-F0CC8326DD92}"/>
    <cellStyle name="Comma 2 7 2 8 2" xfId="8773" xr:uid="{02C72536-4A28-4227-B51D-B2B0CA36DC27}"/>
    <cellStyle name="Comma 2 7 2 9" xfId="6124" xr:uid="{E40E2C4F-5B31-43D0-BF41-2F04278D4128}"/>
    <cellStyle name="Comma 2 7 3" xfId="1149" xr:uid="{981996A3-A728-45D8-AB97-28602BEF1E75}"/>
    <cellStyle name="Comma 2 7 3 2" xfId="1681" xr:uid="{368E7FA8-8A8D-4A13-A9C9-8EA362984FFC}"/>
    <cellStyle name="Comma 2 7 3 2 2" xfId="3021" xr:uid="{2D4414BC-C75B-40A1-830A-88DC562EFD04}"/>
    <cellStyle name="Comma 2 7 3 2 2 2" xfId="5670" xr:uid="{E52B89B0-B8AF-453E-82DA-8CC002C8FB04}"/>
    <cellStyle name="Comma 2 7 3 2 2 2 2" xfId="10967" xr:uid="{FCC1E306-9C78-487A-8095-0FFE054AED67}"/>
    <cellStyle name="Comma 2 7 3 2 2 3" xfId="8318" xr:uid="{D38DAFB0-654B-43ED-B044-033C6C08971C}"/>
    <cellStyle name="Comma 2 7 3 2 3" xfId="4346" xr:uid="{A6300AA5-8943-48D5-9ACB-EFCF0C5CCF1E}"/>
    <cellStyle name="Comma 2 7 3 2 3 2" xfId="9643" xr:uid="{648C05D3-28C1-4AFC-A9D6-A645F50677E1}"/>
    <cellStyle name="Comma 2 7 3 2 4" xfId="6994" xr:uid="{AA361145-66E5-44BD-B65F-8C8897995454}"/>
    <cellStyle name="Comma 2 7 3 3" xfId="2493" xr:uid="{535B3604-AA4C-442C-A4FC-8D92E7AA7A94}"/>
    <cellStyle name="Comma 2 7 3 3 2" xfId="5142" xr:uid="{4E0A655D-AE1F-467C-9D3B-6A371AA78073}"/>
    <cellStyle name="Comma 2 7 3 3 2 2" xfId="10439" xr:uid="{4A0A1BDB-BB54-47DA-81FA-5717135EA2DF}"/>
    <cellStyle name="Comma 2 7 3 3 3" xfId="7790" xr:uid="{30128A2C-EA1A-4F5A-BB1B-C984BF6AE38A}"/>
    <cellStyle name="Comma 2 7 3 4" xfId="3818" xr:uid="{FABE7227-7CE9-47C4-AC82-7600A7BA0ECB}"/>
    <cellStyle name="Comma 2 7 3 4 2" xfId="9115" xr:uid="{76284524-EB50-4FA7-9127-447AC33DE9FF}"/>
    <cellStyle name="Comma 2 7 3 5" xfId="6466" xr:uid="{B218ED15-4599-47DC-A1AD-E1248AFFDD37}"/>
    <cellStyle name="Comma 2 7 4" xfId="1005" xr:uid="{E7FCF1F7-252F-4D61-A912-E462CC5E234E}"/>
    <cellStyle name="Comma 2 7 4 2" xfId="1549" xr:uid="{4D63A19C-DC87-46B6-BD85-C5A708A89334}"/>
    <cellStyle name="Comma 2 7 4 2 2" xfId="2889" xr:uid="{7234AA0A-11CA-45DE-ABCB-89BD143119A9}"/>
    <cellStyle name="Comma 2 7 4 2 2 2" xfId="5538" xr:uid="{69FD8E9F-D963-43AD-BAC9-6BB8577522BF}"/>
    <cellStyle name="Comma 2 7 4 2 2 2 2" xfId="10835" xr:uid="{8B385620-9065-4D4D-94A5-EA1562F684A9}"/>
    <cellStyle name="Comma 2 7 4 2 2 3" xfId="8186" xr:uid="{DE9FFF5E-0C5F-44DC-80EA-BF923B08789A}"/>
    <cellStyle name="Comma 2 7 4 2 3" xfId="4214" xr:uid="{7535E437-152C-4884-87A6-5A1EE2E53749}"/>
    <cellStyle name="Comma 2 7 4 2 3 2" xfId="9511" xr:uid="{5734E6F0-3FCC-40D0-A74B-6583607947D9}"/>
    <cellStyle name="Comma 2 7 4 2 4" xfId="6862" xr:uid="{F7D8AC49-FD7C-49CF-8F8A-F842A58DD0ED}"/>
    <cellStyle name="Comma 2 7 4 3" xfId="2361" xr:uid="{6F0C014E-8CAA-44F9-A5FF-0DC8D6ADDBBB}"/>
    <cellStyle name="Comma 2 7 4 3 2" xfId="5010" xr:uid="{B7F6D51C-9A26-4EC4-ACF1-B9E9FC33F770}"/>
    <cellStyle name="Comma 2 7 4 3 2 2" xfId="10307" xr:uid="{EC403CB7-E895-4102-B8AA-A84F00295FA0}"/>
    <cellStyle name="Comma 2 7 4 3 3" xfId="7658" xr:uid="{44EDD378-9431-49A5-A99A-CD2017D8866B}"/>
    <cellStyle name="Comma 2 7 4 4" xfId="3686" xr:uid="{15DA74F7-8EA6-46FC-942E-F81945ECBEFB}"/>
    <cellStyle name="Comma 2 7 4 4 2" xfId="8983" xr:uid="{6E148E73-E1B0-4C28-837B-0E430D402AE3}"/>
    <cellStyle name="Comma 2 7 4 5" xfId="6334" xr:uid="{DF98DB01-61A1-43F1-A326-A7CC10A98BE2}"/>
    <cellStyle name="Comma 2 7 5" xfId="1285" xr:uid="{55E0990E-49AC-4DB3-B9FB-B6855B87C995}"/>
    <cellStyle name="Comma 2 7 5 2" xfId="1813" xr:uid="{8DC4B927-B1E3-412E-9108-3707D1AF5FB8}"/>
    <cellStyle name="Comma 2 7 5 2 2" xfId="3153" xr:uid="{18E0938B-B391-44B3-8F93-64E324655DE0}"/>
    <cellStyle name="Comma 2 7 5 2 2 2" xfId="5802" xr:uid="{FF008904-B6DD-4866-AAC5-11D63B6DAE63}"/>
    <cellStyle name="Comma 2 7 5 2 2 2 2" xfId="11099" xr:uid="{C48A81B3-1C8C-4984-A55D-7012485114EA}"/>
    <cellStyle name="Comma 2 7 5 2 2 3" xfId="8450" xr:uid="{C8A9437D-53A0-459E-9A3A-3DD1D450EA77}"/>
    <cellStyle name="Comma 2 7 5 2 3" xfId="4478" xr:uid="{DD1D96D0-FD7C-4583-9C34-15BEE42A5D86}"/>
    <cellStyle name="Comma 2 7 5 2 3 2" xfId="9775" xr:uid="{13C8278A-0D10-467D-93D2-B837E90A5085}"/>
    <cellStyle name="Comma 2 7 5 2 4" xfId="7126" xr:uid="{3207E377-1409-4C60-9C46-2772947A0D4F}"/>
    <cellStyle name="Comma 2 7 5 3" xfId="2625" xr:uid="{B38B2D8D-1454-4FB3-BF97-41C3D5E1E3B3}"/>
    <cellStyle name="Comma 2 7 5 3 2" xfId="5274" xr:uid="{108ED52D-3D29-4C7B-BA54-EE0B0CDC6C48}"/>
    <cellStyle name="Comma 2 7 5 3 2 2" xfId="10571" xr:uid="{EFE923A4-34DA-4196-BA9B-A623F8339468}"/>
    <cellStyle name="Comma 2 7 5 3 3" xfId="7922" xr:uid="{4DCD1D3D-9A92-46B2-BF3A-75CDD2E416CF}"/>
    <cellStyle name="Comma 2 7 5 4" xfId="3950" xr:uid="{69E598C6-6A82-4B9D-B48D-EF66036CDA70}"/>
    <cellStyle name="Comma 2 7 5 4 2" xfId="9247" xr:uid="{D0680D46-68E5-4DC5-BFB1-6FE9FCB80CFD}"/>
    <cellStyle name="Comma 2 7 5 5" xfId="6598" xr:uid="{6A7713F0-003C-48A6-BD1A-7473EA2A04FD}"/>
    <cellStyle name="Comma 2 7 6" xfId="1417" xr:uid="{F0EDB223-FC44-4026-9B29-30C8F53CEFBA}"/>
    <cellStyle name="Comma 2 7 6 2" xfId="1945" xr:uid="{CCD0A881-8D3B-4FEC-8BFC-AAE6C5743709}"/>
    <cellStyle name="Comma 2 7 6 2 2" xfId="3285" xr:uid="{3EBA5F01-3D3A-425E-9BD3-D7F9C32A2AFD}"/>
    <cellStyle name="Comma 2 7 6 2 2 2" xfId="5934" xr:uid="{3AEB8E15-4252-4E91-8D85-A151182C0DD2}"/>
    <cellStyle name="Comma 2 7 6 2 2 2 2" xfId="11231" xr:uid="{B38AF043-F739-4544-BCB9-1DB11438C5B8}"/>
    <cellStyle name="Comma 2 7 6 2 2 3" xfId="8582" xr:uid="{B4468DD7-0BD8-4EA1-BEA6-BA7EB9CAC543}"/>
    <cellStyle name="Comma 2 7 6 2 3" xfId="4610" xr:uid="{A968F6DC-08F9-4F0E-9C00-ABD05D4B6092}"/>
    <cellStyle name="Comma 2 7 6 2 3 2" xfId="9907" xr:uid="{630A602C-30CF-44C6-9BA3-F8E49C9F4C11}"/>
    <cellStyle name="Comma 2 7 6 2 4" xfId="7258" xr:uid="{0177FA49-2C53-48EA-A5C9-30B23F730EC2}"/>
    <cellStyle name="Comma 2 7 6 3" xfId="2757" xr:uid="{B0E564AE-ACC1-46B5-BEF8-E9235B05F937}"/>
    <cellStyle name="Comma 2 7 6 3 2" xfId="5406" xr:uid="{B3DD5AA8-62DA-436F-8BF1-1E038658AC95}"/>
    <cellStyle name="Comma 2 7 6 3 2 2" xfId="10703" xr:uid="{7A59EAF4-818F-4978-9AF2-03C2F5E07E12}"/>
    <cellStyle name="Comma 2 7 6 3 3" xfId="8054" xr:uid="{427F07D3-58E7-4EA3-8162-9F66D5AFAB9F}"/>
    <cellStyle name="Comma 2 7 6 4" xfId="4082" xr:uid="{E2076B79-BEB0-47A2-B869-EC800157572E}"/>
    <cellStyle name="Comma 2 7 6 4 2" xfId="9379" xr:uid="{898D8136-6B75-4BC8-B7B6-E169AF9F8E4E}"/>
    <cellStyle name="Comma 2 7 6 5" xfId="6730" xr:uid="{D0A2F30F-FA0F-45F3-94B4-87FD010A12CA}"/>
    <cellStyle name="Comma 2 7 7" xfId="744" xr:uid="{FAE5C422-1D7D-41A5-B9B0-DDD55F36EFEC}"/>
    <cellStyle name="Comma 2 7 7 2" xfId="2233" xr:uid="{6A2D5EBD-6269-43BC-9F4A-C184B7B5D46C}"/>
    <cellStyle name="Comma 2 7 7 2 2" xfId="4882" xr:uid="{25E75635-8A1D-440A-BE56-2CBA4CC7E01E}"/>
    <cellStyle name="Comma 2 7 7 2 2 2" xfId="10179" xr:uid="{BDF996AD-6B84-4227-9E9F-0E127F43BC69}"/>
    <cellStyle name="Comma 2 7 7 2 3" xfId="7530" xr:uid="{65CC7C47-2D5E-4B31-82A3-AD1E84792529}"/>
    <cellStyle name="Comma 2 7 7 3" xfId="3558" xr:uid="{F12E4F2D-E989-4D04-A512-69E934100F46}"/>
    <cellStyle name="Comma 2 7 7 3 2" xfId="8855" xr:uid="{BC549652-368B-4C48-9713-892AF4118BE5}"/>
    <cellStyle name="Comma 2 7 7 4" xfId="6206" xr:uid="{8D9896F1-D04C-4D2D-B342-E3B5FDF2E30B}"/>
    <cellStyle name="Comma 2 7 8" xfId="2084" xr:uid="{3CD6C5D9-0998-4410-8D0B-9D0CC7AD4701}"/>
    <cellStyle name="Comma 2 7 8 2" xfId="4733" xr:uid="{0BC58733-F956-4568-A8A6-9F0849F36A6B}"/>
    <cellStyle name="Comma 2 7 8 2 2" xfId="10030" xr:uid="{29A01E22-C4EE-4A55-BFDA-14AF04BB689B}"/>
    <cellStyle name="Comma 2 7 8 3" xfId="7381" xr:uid="{258177C4-7166-4A40-B94A-545B8BB12D6A}"/>
    <cellStyle name="Comma 2 7 9" xfId="3409" xr:uid="{79D3ABDF-973B-4D2F-A5D3-A47C5ECFA4FB}"/>
    <cellStyle name="Comma 2 7 9 2" xfId="8706" xr:uid="{E81BBE2C-D5A7-4250-B8F7-7D4EFA80ADC0}"/>
    <cellStyle name="Comma 2 8" xfId="195" xr:uid="{2C746B8D-E20B-4EB6-A7D1-8913EEBA0B81}"/>
    <cellStyle name="Comma 2 8 2" xfId="427" xr:uid="{1D74A69F-29A3-4714-8AB8-F587976626B3}"/>
    <cellStyle name="Comma 2 8 2 2" xfId="1685" xr:uid="{25A9904E-7ABF-42A4-A48D-FB551637DCBA}"/>
    <cellStyle name="Comma 2 8 2 2 2" xfId="3025" xr:uid="{F7D13E55-8BF7-4D45-B460-18795F9E9814}"/>
    <cellStyle name="Comma 2 8 2 2 2 2" xfId="5674" xr:uid="{6465EA39-B530-4EDB-AED3-177B47528223}"/>
    <cellStyle name="Comma 2 8 2 2 2 2 2" xfId="10971" xr:uid="{0325018A-A69D-4C9E-8F2F-F492D483C5DE}"/>
    <cellStyle name="Comma 2 8 2 2 2 3" xfId="8322" xr:uid="{B49FAD7C-FF0B-4841-9DCF-E9A563DD1F6E}"/>
    <cellStyle name="Comma 2 8 2 2 3" xfId="4350" xr:uid="{723317E2-6EB3-4B1B-878E-F9D366299212}"/>
    <cellStyle name="Comma 2 8 2 2 3 2" xfId="9647" xr:uid="{ED54AE41-D9E3-4BA3-9EE9-BFC88ABFE7E5}"/>
    <cellStyle name="Comma 2 8 2 2 4" xfId="6998" xr:uid="{BFC6927E-1F21-4C2D-A081-D757FD2244B8}"/>
    <cellStyle name="Comma 2 8 2 3" xfId="1153" xr:uid="{FF1A5306-9EEB-498D-80EF-EB9A08E03372}"/>
    <cellStyle name="Comma 2 8 2 3 2" xfId="2497" xr:uid="{427987A8-33DE-4DBE-A2D9-DC5BC68BF531}"/>
    <cellStyle name="Comma 2 8 2 3 2 2" xfId="5146" xr:uid="{7B56F722-7EA6-4D14-ADF9-DA55BC2F3246}"/>
    <cellStyle name="Comma 2 8 2 3 2 2 2" xfId="10443" xr:uid="{4DAC5BE8-CCDE-410F-B4CD-4BA629145276}"/>
    <cellStyle name="Comma 2 8 2 3 2 3" xfId="7794" xr:uid="{2DBDEBFE-2CDD-4663-931E-7AF5DADDA552}"/>
    <cellStyle name="Comma 2 8 2 3 3" xfId="3822" xr:uid="{FF9D0D77-A7BB-40CB-9DC8-0BED0E2294CD}"/>
    <cellStyle name="Comma 2 8 2 3 3 2" xfId="9119" xr:uid="{9CD8B157-EBBC-4804-9637-48B8A56E5A56}"/>
    <cellStyle name="Comma 2 8 2 3 4" xfId="6470" xr:uid="{86CC4ECE-4616-4F84-9C64-222A3D24D545}"/>
    <cellStyle name="Comma 2 8 2 4" xfId="2163" xr:uid="{A8F1E87D-2EF0-47F8-9352-5F23D8F49DC4}"/>
    <cellStyle name="Comma 2 8 2 4 2" xfId="4812" xr:uid="{67DC0B4D-C795-42CA-AD79-A8347BD5CF15}"/>
    <cellStyle name="Comma 2 8 2 4 2 2" xfId="10109" xr:uid="{FC72117E-23C3-48FF-A9B8-20E167CA39A1}"/>
    <cellStyle name="Comma 2 8 2 4 3" xfId="7460" xr:uid="{0F86D8D7-1548-4736-A925-C93FFDE8790A}"/>
    <cellStyle name="Comma 2 8 2 5" xfId="3488" xr:uid="{57EC6365-F8F1-4C1C-AB0C-D0706177BAEB}"/>
    <cellStyle name="Comma 2 8 2 5 2" xfId="8785" xr:uid="{9E1A3132-B2BE-4A94-B0A3-51D60FFBBC3F}"/>
    <cellStyle name="Comma 2 8 2 6" xfId="6136" xr:uid="{4D0484E6-D62B-4993-95C9-FE1C656A4F07}"/>
    <cellStyle name="Comma 2 8 3" xfId="1009" xr:uid="{1C951478-9229-4DDB-8922-7C16B8343A04}"/>
    <cellStyle name="Comma 2 8 3 2" xfId="1553" xr:uid="{F574D102-C7B1-4539-B1DD-4D6535E16459}"/>
    <cellStyle name="Comma 2 8 3 2 2" xfId="2893" xr:uid="{6CCA5297-F59A-4467-8018-F6DEECA86868}"/>
    <cellStyle name="Comma 2 8 3 2 2 2" xfId="5542" xr:uid="{91721AE5-5F0D-4075-87AB-5774CB811922}"/>
    <cellStyle name="Comma 2 8 3 2 2 2 2" xfId="10839" xr:uid="{7081866D-2CEA-4D0E-8B3D-8A9C2FF8CAEF}"/>
    <cellStyle name="Comma 2 8 3 2 2 3" xfId="8190" xr:uid="{ABE250B6-C59C-4D5E-8AEA-38B637C583A7}"/>
    <cellStyle name="Comma 2 8 3 2 3" xfId="4218" xr:uid="{9072A243-6E17-45EB-8044-64DAB81F89AF}"/>
    <cellStyle name="Comma 2 8 3 2 3 2" xfId="9515" xr:uid="{DDD2C4F3-9BCB-4A6B-BA6A-C9B24D6C4D6B}"/>
    <cellStyle name="Comma 2 8 3 2 4" xfId="6866" xr:uid="{F7F6AAA1-B6E5-418C-93FB-CC00B1683CC4}"/>
    <cellStyle name="Comma 2 8 3 3" xfId="2365" xr:uid="{4C2F3F00-EE93-4B69-AE6E-B68657B5B021}"/>
    <cellStyle name="Comma 2 8 3 3 2" xfId="5014" xr:uid="{297FA8E0-3D94-48A6-8130-425D4C91771B}"/>
    <cellStyle name="Comma 2 8 3 3 2 2" xfId="10311" xr:uid="{7DB99F91-E73A-4DAC-9D5F-1F1D61A5814A}"/>
    <cellStyle name="Comma 2 8 3 3 3" xfId="7662" xr:uid="{2A554A15-B9A8-43C2-B922-4419B4C77C2E}"/>
    <cellStyle name="Comma 2 8 3 4" xfId="3690" xr:uid="{CDC855A3-2EB7-4A3D-966A-EE93147AE522}"/>
    <cellStyle name="Comma 2 8 3 4 2" xfId="8987" xr:uid="{41147E5C-0F2C-45CA-A3C2-0287BC8B8D51}"/>
    <cellStyle name="Comma 2 8 3 5" xfId="6338" xr:uid="{07B32635-E12D-4619-BE07-13040DA1C0C5}"/>
    <cellStyle name="Comma 2 8 4" xfId="1289" xr:uid="{67CB65BC-30CE-4FCE-85AE-06E4842472EA}"/>
    <cellStyle name="Comma 2 8 4 2" xfId="1817" xr:uid="{78DE92F0-D2CD-458B-B1F9-D9FE7832D6B7}"/>
    <cellStyle name="Comma 2 8 4 2 2" xfId="3157" xr:uid="{89EA2D02-4BBF-4061-8E2B-A843C554B159}"/>
    <cellStyle name="Comma 2 8 4 2 2 2" xfId="5806" xr:uid="{8789ABE7-045C-41BE-8AE7-282A305C892B}"/>
    <cellStyle name="Comma 2 8 4 2 2 2 2" xfId="11103" xr:uid="{A93C8B25-273D-4CDB-8342-6DF45709A70E}"/>
    <cellStyle name="Comma 2 8 4 2 2 3" xfId="8454" xr:uid="{4C83498D-4C0F-4DBB-9C44-A209B786EAA3}"/>
    <cellStyle name="Comma 2 8 4 2 3" xfId="4482" xr:uid="{D24ECCEC-93BA-4833-9043-7CCF50EB4930}"/>
    <cellStyle name="Comma 2 8 4 2 3 2" xfId="9779" xr:uid="{BA1280F6-6B32-4ABC-920C-836DAD264C76}"/>
    <cellStyle name="Comma 2 8 4 2 4" xfId="7130" xr:uid="{A6D606A0-3E98-415B-954C-E821E5D4B0CD}"/>
    <cellStyle name="Comma 2 8 4 3" xfId="2629" xr:uid="{2FB1CB62-AF2A-40A4-83A2-34B033ACB06B}"/>
    <cellStyle name="Comma 2 8 4 3 2" xfId="5278" xr:uid="{391579F1-00E4-4A54-B9AC-7129EE7BCDE9}"/>
    <cellStyle name="Comma 2 8 4 3 2 2" xfId="10575" xr:uid="{45675ACD-8F6B-418E-BA28-BD8DC464D827}"/>
    <cellStyle name="Comma 2 8 4 3 3" xfId="7926" xr:uid="{80550349-992D-4515-BA6B-1C5E636C2922}"/>
    <cellStyle name="Comma 2 8 4 4" xfId="3954" xr:uid="{EFC5AA54-32AB-42AE-BC89-739961D7DDA4}"/>
    <cellStyle name="Comma 2 8 4 4 2" xfId="9251" xr:uid="{EC8B78B7-6F82-4EB3-867C-DC4825CA4AE7}"/>
    <cellStyle name="Comma 2 8 4 5" xfId="6602" xr:uid="{7CF71EDE-FD47-4B8B-BB5D-EEBAEBE8C9BA}"/>
    <cellStyle name="Comma 2 8 5" xfId="1421" xr:uid="{9006157C-38AC-4D45-92E5-102A829E3842}"/>
    <cellStyle name="Comma 2 8 5 2" xfId="1949" xr:uid="{84A6EF0A-10A2-4BFD-86E1-BA82598977C4}"/>
    <cellStyle name="Comma 2 8 5 2 2" xfId="3289" xr:uid="{E8A0716F-D56D-4425-A944-D60EC106FCB3}"/>
    <cellStyle name="Comma 2 8 5 2 2 2" xfId="5938" xr:uid="{82E92A6D-5CAF-49DD-9BC0-7C776F7F63C0}"/>
    <cellStyle name="Comma 2 8 5 2 2 2 2" xfId="11235" xr:uid="{C1BDE2CF-B571-40A3-87C2-09755C764B3C}"/>
    <cellStyle name="Comma 2 8 5 2 2 3" xfId="8586" xr:uid="{EF3FDA1B-3B9F-4723-9A57-25F44913CDEF}"/>
    <cellStyle name="Comma 2 8 5 2 3" xfId="4614" xr:uid="{E2263D4B-CB7B-4ACC-8687-D0F43287E1E5}"/>
    <cellStyle name="Comma 2 8 5 2 3 2" xfId="9911" xr:uid="{65C1E4FD-C067-46CD-94F8-807F0DC8E8BF}"/>
    <cellStyle name="Comma 2 8 5 2 4" xfId="7262" xr:uid="{30FC8DC3-2245-473A-9DD1-63386676E6E8}"/>
    <cellStyle name="Comma 2 8 5 3" xfId="2761" xr:uid="{C0708626-499E-4ABB-B9FD-E87805FF15E3}"/>
    <cellStyle name="Comma 2 8 5 3 2" xfId="5410" xr:uid="{D18E6711-848B-4C74-AF9F-4E3E8F385173}"/>
    <cellStyle name="Comma 2 8 5 3 2 2" xfId="10707" xr:uid="{4681CC5E-A82D-4264-9A0F-250FB42BCCBD}"/>
    <cellStyle name="Comma 2 8 5 3 3" xfId="8058" xr:uid="{7A182CF7-3DFF-4034-A6AA-476E5B25B250}"/>
    <cellStyle name="Comma 2 8 5 4" xfId="4086" xr:uid="{7AE4826A-2807-4C96-88C2-C2ACD138F29E}"/>
    <cellStyle name="Comma 2 8 5 4 2" xfId="9383" xr:uid="{0D642BE8-9402-4A00-99A9-1383E5A9A35C}"/>
    <cellStyle name="Comma 2 8 5 5" xfId="6734" xr:uid="{5931BB3C-9801-474E-84E3-510BB5C55F9E}"/>
    <cellStyle name="Comma 2 8 6" xfId="792" xr:uid="{4FD9B139-68F0-4820-9F79-2D3CA8602A8D}"/>
    <cellStyle name="Comma 2 8 6 2" xfId="2237" xr:uid="{0C20A616-2F54-453A-964C-1346A6E08850}"/>
    <cellStyle name="Comma 2 8 6 2 2" xfId="4886" xr:uid="{A93563AD-1C09-4A38-B858-5D2843BECBE7}"/>
    <cellStyle name="Comma 2 8 6 2 2 2" xfId="10183" xr:uid="{6F4F5A0D-9503-42BF-8B03-2FE4785A547A}"/>
    <cellStyle name="Comma 2 8 6 2 3" xfId="7534" xr:uid="{D945722B-7AAE-4608-84A0-5963829E01C6}"/>
    <cellStyle name="Comma 2 8 6 3" xfId="3562" xr:uid="{B28BD3CF-61D7-4AEF-8D60-BB06072A3A1F}"/>
    <cellStyle name="Comma 2 8 6 3 2" xfId="8859" xr:uid="{F8196F4F-3F6E-4F37-B8B6-B45C6FAB156B}"/>
    <cellStyle name="Comma 2 8 6 4" xfId="6210" xr:uid="{EB40FE57-2457-4A82-A584-BD7DFC25167E}"/>
    <cellStyle name="Comma 2 8 7" xfId="2096" xr:uid="{610A262F-3D22-4F23-9987-8324A4227689}"/>
    <cellStyle name="Comma 2 8 7 2" xfId="4745" xr:uid="{683E4381-12B5-469A-BC9A-041975A31458}"/>
    <cellStyle name="Comma 2 8 7 2 2" xfId="10042" xr:uid="{75EC86B2-71BB-463C-93BE-52CDCD811916}"/>
    <cellStyle name="Comma 2 8 7 3" xfId="7393" xr:uid="{07A1F3C0-BA9D-4B37-800E-92D4E4DC242E}"/>
    <cellStyle name="Comma 2 8 8" xfId="3421" xr:uid="{ACCDDF72-5583-4B7D-89EA-124F5807538E}"/>
    <cellStyle name="Comma 2 8 8 2" xfId="8718" xr:uid="{B9D70027-3786-40E8-80E9-A2646082F5C7}"/>
    <cellStyle name="Comma 2 8 9" xfId="6069" xr:uid="{219EDAFF-212C-4B3E-9A5C-E2E1D1C118A2}"/>
    <cellStyle name="Comma 2 9" xfId="233" xr:uid="{F11EE0BC-FB2B-49F9-B8EC-803F57AED2D2}"/>
    <cellStyle name="Comma 2 9 2" xfId="464" xr:uid="{4F4A90E3-D834-4C4F-B350-D10E99C45EDA}"/>
    <cellStyle name="Comma 2 9 2 2" xfId="1624" xr:uid="{4C151E00-8D4F-4EEA-B558-36137596B5F9}"/>
    <cellStyle name="Comma 2 9 2 2 2" xfId="2964" xr:uid="{363DE354-15C6-4CA2-A7AC-74631C037C1B}"/>
    <cellStyle name="Comma 2 9 2 2 2 2" xfId="5613" xr:uid="{C027613D-68D3-4280-B07C-78F8F138C6C8}"/>
    <cellStyle name="Comma 2 9 2 2 2 2 2" xfId="10910" xr:uid="{DE838236-BD3F-4244-A65E-04ADD79216A7}"/>
    <cellStyle name="Comma 2 9 2 2 2 3" xfId="8261" xr:uid="{8930D72C-4961-4C24-8D1A-5293120087BB}"/>
    <cellStyle name="Comma 2 9 2 2 3" xfId="4289" xr:uid="{57302AED-1D40-455C-BAD7-22BE0F5529AC}"/>
    <cellStyle name="Comma 2 9 2 2 3 2" xfId="9586" xr:uid="{A7D2E195-BF25-441A-9FF6-85D44523A00E}"/>
    <cellStyle name="Comma 2 9 2 2 4" xfId="6937" xr:uid="{6657A0D4-BB40-446D-96C8-72833C2D271D}"/>
    <cellStyle name="Comma 2 9 2 3" xfId="2176" xr:uid="{7081A9AD-16DE-4ECB-BA14-69D12D01A6DB}"/>
    <cellStyle name="Comma 2 9 2 3 2" xfId="4825" xr:uid="{D33C319B-4E1B-4ED0-A137-B10D8A16D45B}"/>
    <cellStyle name="Comma 2 9 2 3 2 2" xfId="10122" xr:uid="{B25E2F79-8F79-4AC5-960C-9998BC3054F5}"/>
    <cellStyle name="Comma 2 9 2 3 3" xfId="7473" xr:uid="{BFD5D6D3-7F39-4B32-B72B-32A4694E2CA0}"/>
    <cellStyle name="Comma 2 9 2 4" xfId="3501" xr:uid="{A3678C0C-3E39-449A-8577-EE0228A2C214}"/>
    <cellStyle name="Comma 2 9 2 4 2" xfId="8798" xr:uid="{4DFF358F-6F65-47B3-870D-135211A2E0F2}"/>
    <cellStyle name="Comma 2 9 2 5" xfId="6149" xr:uid="{BAE8F71E-D68E-4FAA-8106-50CFEEBA042C}"/>
    <cellStyle name="Comma 2 9 3" xfId="1086" xr:uid="{842F54DA-32CA-4471-A85D-AF2E198034B1}"/>
    <cellStyle name="Comma 2 9 3 2" xfId="2436" xr:uid="{4D4944D1-4FA5-4C1D-858B-D0BB3D26433B}"/>
    <cellStyle name="Comma 2 9 3 2 2" xfId="5085" xr:uid="{760CF249-D7AC-476A-846E-02D54BEC7213}"/>
    <cellStyle name="Comma 2 9 3 2 2 2" xfId="10382" xr:uid="{2D0FB728-DF83-4E4A-80CD-2F6744402A2C}"/>
    <cellStyle name="Comma 2 9 3 2 3" xfId="7733" xr:uid="{F3AC4EB1-0324-4677-AEE1-7D62A4BD9004}"/>
    <cellStyle name="Comma 2 9 3 3" xfId="3761" xr:uid="{7146D240-D76B-4369-9469-6A48B85EDE0B}"/>
    <cellStyle name="Comma 2 9 3 3 2" xfId="9058" xr:uid="{0927CDF4-B598-4E36-9E43-8B1C4ECC6723}"/>
    <cellStyle name="Comma 2 9 3 4" xfId="6409" xr:uid="{735B9733-D068-4EE8-AA9E-BDE57675C5C0}"/>
    <cellStyle name="Comma 2 9 4" xfId="2109" xr:uid="{55801545-7BE9-4B44-B772-5B7D8D5DBF5C}"/>
    <cellStyle name="Comma 2 9 4 2" xfId="4758" xr:uid="{DD4AD571-563B-4845-97E0-0291A0B61E3D}"/>
    <cellStyle name="Comma 2 9 4 2 2" xfId="10055" xr:uid="{CA44E0E7-1C8F-4BAB-B5D5-F78027A3819B}"/>
    <cellStyle name="Comma 2 9 4 3" xfId="7406" xr:uid="{1C852F8C-5814-4FD7-BF3A-9313FF2EDE0A}"/>
    <cellStyle name="Comma 2 9 5" xfId="3434" xr:uid="{F448E8D3-172C-4F42-B0C6-FE5A146E78AC}"/>
    <cellStyle name="Comma 2 9 5 2" xfId="8731" xr:uid="{C0C31CDB-A7E6-40F1-8D80-443568C02C36}"/>
    <cellStyle name="Comma 2 9 6" xfId="6082" xr:uid="{188C0002-BB52-4E9B-8F8B-037CBEE8950D}"/>
    <cellStyle name="Comma 20" xfId="1222" xr:uid="{C3830877-BBDB-43D1-BEA3-C1D0A8E26C4B}"/>
    <cellStyle name="Comma 20 2" xfId="1750" xr:uid="{C996E754-10BC-45D9-8C1A-194C2D8DA2EA}"/>
    <cellStyle name="Comma 20 2 2" xfId="3090" xr:uid="{647A9440-A33B-4235-A5D3-E1766A57D5D7}"/>
    <cellStyle name="Comma 20 2 2 2" xfId="5739" xr:uid="{648C766F-CC40-47D1-9A25-DF93D32C1FE0}"/>
    <cellStyle name="Comma 20 2 2 2 2" xfId="11036" xr:uid="{5A6668E8-9266-4954-869C-6BB677B1AFAC}"/>
    <cellStyle name="Comma 20 2 2 3" xfId="8387" xr:uid="{DC5E9509-E2D2-4EF5-ADC4-0C0F596E1C9F}"/>
    <cellStyle name="Comma 20 2 3" xfId="4415" xr:uid="{C76930FB-4059-4020-97E4-426758C9A756}"/>
    <cellStyle name="Comma 20 2 3 2" xfId="9712" xr:uid="{E25E472B-C7B5-4126-B3CD-61633064468A}"/>
    <cellStyle name="Comma 20 2 4" xfId="7063" xr:uid="{560C7416-50C3-4469-A306-77E2B6FE1FF0}"/>
    <cellStyle name="Comma 20 3" xfId="2562" xr:uid="{9FFAAD5A-DFEF-4AEB-8694-73EAEFF2911D}"/>
    <cellStyle name="Comma 20 3 2" xfId="5211" xr:uid="{5E3511FB-9044-4B20-99AD-B82A0D18C227}"/>
    <cellStyle name="Comma 20 3 2 2" xfId="10508" xr:uid="{0FE6BCFC-A8AF-4257-83EA-E03794A5B5A5}"/>
    <cellStyle name="Comma 20 3 3" xfId="7859" xr:uid="{97861EDE-5DF4-4314-BACC-A6E534E709FE}"/>
    <cellStyle name="Comma 20 4" xfId="3887" xr:uid="{18C3E630-0431-45D9-A760-5C442481FD6D}"/>
    <cellStyle name="Comma 20 4 2" xfId="9184" xr:uid="{198D10EE-45E9-4A31-80E3-CEBE92069005}"/>
    <cellStyle name="Comma 20 5" xfId="6535" xr:uid="{FD910EF1-5E69-46DD-80D3-0E390D51031D}"/>
    <cellStyle name="Comma 21" xfId="1354" xr:uid="{20D6CEF7-747C-4010-9DDA-5E01F7CB11C3}"/>
    <cellStyle name="Comma 21 2" xfId="1882" xr:uid="{AA20CBFB-1FE0-4421-BE8A-7204010C922E}"/>
    <cellStyle name="Comma 21 2 2" xfId="3222" xr:uid="{234F9DC6-98CF-4E2D-AC40-3585EE47F76A}"/>
    <cellStyle name="Comma 21 2 2 2" xfId="5871" xr:uid="{673B8864-6EA0-4722-9391-BA0E4D02F9C6}"/>
    <cellStyle name="Comma 21 2 2 2 2" xfId="11168" xr:uid="{14AD3131-841C-493A-8685-68F2FBA4D70C}"/>
    <cellStyle name="Comma 21 2 2 3" xfId="8519" xr:uid="{2B2633CC-C1F7-4997-AC1D-FDA72688D973}"/>
    <cellStyle name="Comma 21 2 3" xfId="4547" xr:uid="{63D5A9B4-946D-4453-A47F-A3A8593B410E}"/>
    <cellStyle name="Comma 21 2 3 2" xfId="9844" xr:uid="{1EBB4F05-35A5-446D-98B7-3048C57A9D5C}"/>
    <cellStyle name="Comma 21 2 4" xfId="7195" xr:uid="{90B842C8-D709-4206-958C-8D91F2340C99}"/>
    <cellStyle name="Comma 21 3" xfId="2694" xr:uid="{48B0B4DC-DE5C-4716-AD66-ABAC242F769A}"/>
    <cellStyle name="Comma 21 3 2" xfId="5343" xr:uid="{F0D2F083-15F1-4FC8-A84E-BD6F8FBA2F4C}"/>
    <cellStyle name="Comma 21 3 2 2" xfId="10640" xr:uid="{8D95932B-0EAF-4EBD-9BE0-550AEBAE32EF}"/>
    <cellStyle name="Comma 21 3 3" xfId="7991" xr:uid="{11E8A903-F680-48A2-94DA-195836EBA271}"/>
    <cellStyle name="Comma 21 4" xfId="4019" xr:uid="{0221E50E-CBFC-4835-9060-0B767ACACBFA}"/>
    <cellStyle name="Comma 21 4 2" xfId="9316" xr:uid="{834D7FEB-0DE5-459E-8AEE-B3277E3939E0}"/>
    <cellStyle name="Comma 21 5" xfId="6667" xr:uid="{12C82954-7986-4A61-A747-EB43B54797BF}"/>
    <cellStyle name="Comma 22" xfId="2017" xr:uid="{62D74563-F5CB-48A3-8850-056CFB7E2944}"/>
    <cellStyle name="Comma 22 2" xfId="3355" xr:uid="{425576BB-D6ED-4F1D-ACF8-8C80B4C1AA78}"/>
    <cellStyle name="Comma 22 2 2" xfId="6004" xr:uid="{F04A9F43-E212-4BF7-876F-8DA0D9438D6E}"/>
    <cellStyle name="Comma 22 2 2 2" xfId="11301" xr:uid="{2B3B5D89-F71A-4390-BC70-1D8331E46010}"/>
    <cellStyle name="Comma 22 2 3" xfId="8652" xr:uid="{0E392A54-69C3-472C-9203-31DEC9115BBA}"/>
    <cellStyle name="Comma 22 3" xfId="4680" xr:uid="{060E12CA-0E2D-4DBE-8676-A09BB7AF4AB7}"/>
    <cellStyle name="Comma 22 3 2" xfId="9977" xr:uid="{EE62EA9A-A4D8-431D-B885-116C94996E81}"/>
    <cellStyle name="Comma 22 4" xfId="7328" xr:uid="{B0586689-9FBE-44E2-8F9B-0389303BE56D}"/>
    <cellStyle name="Comma 23" xfId="2180" xr:uid="{016D246A-70B9-4106-BC5F-2F17467A298F}"/>
    <cellStyle name="Comma 23 2" xfId="4829" xr:uid="{FD289325-DD11-49E5-A436-2C967553BFD4}"/>
    <cellStyle name="Comma 23 2 2" xfId="10126" xr:uid="{89E6C8BF-2FD8-4209-85A1-03C5FDB6F171}"/>
    <cellStyle name="Comma 23 3" xfId="7477" xr:uid="{8D57388B-E9F4-4D8C-8FB9-4D05A97D157D}"/>
    <cellStyle name="Comma 24" xfId="3368" xr:uid="{04AEA3B8-E820-428F-8162-DEE2B873ED47}"/>
    <cellStyle name="Comma 24 2" xfId="8665" xr:uid="{02686D7E-9841-4407-ADAF-781CFFC40CFB}"/>
    <cellStyle name="Comma 25" xfId="3505" xr:uid="{6C1D8A9D-EF7C-460F-A13C-F7657B73647F}"/>
    <cellStyle name="Comma 25 2" xfId="8802" xr:uid="{8EAD7639-49FE-45A3-949E-681AC12F81C8}"/>
    <cellStyle name="Comma 26" xfId="6153" xr:uid="{2A40EC39-DF5C-451B-BA89-F1EE55D75423}"/>
    <cellStyle name="Comma 3" xfId="23" xr:uid="{8D40CEA6-F31E-40AC-B299-29CEC7E1134F}"/>
    <cellStyle name="Comma 3 10" xfId="509" xr:uid="{F44E58B6-9D5E-463F-A3B6-E2514B7EA9CC}"/>
    <cellStyle name="Comma 3 10 2" xfId="2186" xr:uid="{94B432BA-B4C2-4AB1-BDDE-2D09139AB0CB}"/>
    <cellStyle name="Comma 3 10 2 2" xfId="4835" xr:uid="{654CB24F-AA60-4B1C-861D-ED3F51B4AD59}"/>
    <cellStyle name="Comma 3 10 2 2 2" xfId="10132" xr:uid="{3F392260-4FFB-4032-890B-271F4AF717F0}"/>
    <cellStyle name="Comma 3 10 2 3" xfId="7483" xr:uid="{4239A2B9-6750-4A03-8CC4-E1D182620F60}"/>
    <cellStyle name="Comma 3 10 3" xfId="3511" xr:uid="{E4475EAB-93A3-4B19-A3AB-07E800A9C785}"/>
    <cellStyle name="Comma 3 10 3 2" xfId="8808" xr:uid="{C57CD21E-61CB-49A0-B817-1CEAD1EF8F27}"/>
    <cellStyle name="Comma 3 10 4" xfId="6159" xr:uid="{19967FBF-9CAA-4350-9ED6-C9FD82F2A5B1}"/>
    <cellStyle name="Comma 3 11" xfId="2025" xr:uid="{72E8288C-DC7D-4AF1-B0A4-A699CE5B4811}"/>
    <cellStyle name="Comma 3 11 2" xfId="3360" xr:uid="{EB5C1E64-27A2-4291-BF0C-788F09B5A0F1}"/>
    <cellStyle name="Comma 3 11 2 2" xfId="6009" xr:uid="{C1850761-FC21-42C3-A3C2-98A1FCDAB205}"/>
    <cellStyle name="Comma 3 11 2 2 2" xfId="11306" xr:uid="{C41FB0DA-593D-4AB8-9573-3E10A41F6309}"/>
    <cellStyle name="Comma 3 11 2 3" xfId="8657" xr:uid="{9A47BD42-A70A-4028-A565-1AB77BF0187A}"/>
    <cellStyle name="Comma 3 11 3" xfId="4685" xr:uid="{A7D4D24F-1D73-4309-98F3-84765B37F9CE}"/>
    <cellStyle name="Comma 3 11 3 2" xfId="9982" xr:uid="{DB88FA3D-D9FC-48C8-9E69-0E6F45A91266}"/>
    <cellStyle name="Comma 3 11 4" xfId="7333" xr:uid="{4DB01D6D-E6A8-484F-96FA-2CC9206A1B75}"/>
    <cellStyle name="Comma 3 12" xfId="2048" xr:uid="{E59A838A-E20A-4DA9-AFF4-61E6EB14B56E}"/>
    <cellStyle name="Comma 3 12 2" xfId="4697" xr:uid="{4C10E37B-A4BB-46AE-AEE8-FB7CD0BADC71}"/>
    <cellStyle name="Comma 3 12 2 2" xfId="9994" xr:uid="{6BE181D1-2464-4E05-A505-1FD5D2947D7A}"/>
    <cellStyle name="Comma 3 12 3" xfId="7345" xr:uid="{8E6BC6E9-C84C-4FF1-A8DE-983B0092C90E}"/>
    <cellStyle name="Comma 3 13" xfId="3373" xr:uid="{61C7440E-921F-4AF4-B770-48C817E93FCF}"/>
    <cellStyle name="Comma 3 13 2" xfId="8670" xr:uid="{3344B596-EEF4-4A52-A86A-211104ED394D}"/>
    <cellStyle name="Comma 3 14" xfId="6021" xr:uid="{6847FE8A-637A-4834-9ABA-0652682E6C9A}"/>
    <cellStyle name="Comma 3 2" xfId="66" xr:uid="{9AA5F64E-5C7B-4083-B67D-E3B6ECD029AD}"/>
    <cellStyle name="Comma 3 2 10" xfId="3385" xr:uid="{1353D699-28B4-4CA2-8577-43374C4F4BAD}"/>
    <cellStyle name="Comma 3 2 10 2" xfId="8682" xr:uid="{545BA132-4DEF-42B8-A5B6-CFE1B2E58402}"/>
    <cellStyle name="Comma 3 2 11" xfId="6033" xr:uid="{860D52BA-1CAC-4601-B554-B725F0964195}"/>
    <cellStyle name="Comma 3 2 2" xfId="298" xr:uid="{02186110-FC90-4F52-A93C-55C5C9D1ED4D}"/>
    <cellStyle name="Comma 3 2 2 10" xfId="3452" xr:uid="{B08119F7-FC3D-4700-AC0F-119302634428}"/>
    <cellStyle name="Comma 3 2 2 10 2" xfId="8749" xr:uid="{38D08D3E-82E2-49DB-AD6F-41FB330AB4F4}"/>
    <cellStyle name="Comma 3 2 2 11" xfId="6100" xr:uid="{697AFC5E-688B-46FA-8BD8-C76A8364EB37}"/>
    <cellStyle name="Comma 3 2 2 2" xfId="795" xr:uid="{3DC784B4-4514-4E9E-AE62-46D54CA6475E}"/>
    <cellStyle name="Comma 3 2 2 2 2" xfId="1156" xr:uid="{3C3DECC8-323E-4DA5-BACE-88600C6475C4}"/>
    <cellStyle name="Comma 3 2 2 2 2 2" xfId="1688" xr:uid="{1C50ECC6-E0B9-44A8-A0C3-E594E1ED0BDB}"/>
    <cellStyle name="Comma 3 2 2 2 2 2 2" xfId="3028" xr:uid="{D6310564-6689-419E-9C97-82A17F40C15F}"/>
    <cellStyle name="Comma 3 2 2 2 2 2 2 2" xfId="5677" xr:uid="{86E5D7DD-9A56-4B06-9BB7-5538F3727D50}"/>
    <cellStyle name="Comma 3 2 2 2 2 2 2 2 2" xfId="10974" xr:uid="{E83CC685-2CDD-4CC4-9FB7-212DA95C45E6}"/>
    <cellStyle name="Comma 3 2 2 2 2 2 2 3" xfId="8325" xr:uid="{B3A327D0-7E1E-4734-A847-97FD912CE577}"/>
    <cellStyle name="Comma 3 2 2 2 2 2 3" xfId="4353" xr:uid="{E3CFDF37-298A-462B-B1F6-A045EDA4E07E}"/>
    <cellStyle name="Comma 3 2 2 2 2 2 3 2" xfId="9650" xr:uid="{E55C6FD1-0C5D-41C4-8D74-F39792C45A2D}"/>
    <cellStyle name="Comma 3 2 2 2 2 2 4" xfId="7001" xr:uid="{9621BD88-4DD8-40A7-83FF-B21D74EDCAC5}"/>
    <cellStyle name="Comma 3 2 2 2 2 3" xfId="2500" xr:uid="{29E5D7FC-9D7C-4EA1-AEAE-16CB36A6E663}"/>
    <cellStyle name="Comma 3 2 2 2 2 3 2" xfId="5149" xr:uid="{3B140462-57AD-47FB-BF05-B1DB36703ACA}"/>
    <cellStyle name="Comma 3 2 2 2 2 3 2 2" xfId="10446" xr:uid="{14DDA588-C929-4322-B74E-4802F3746A50}"/>
    <cellStyle name="Comma 3 2 2 2 2 3 3" xfId="7797" xr:uid="{4ADAF52C-BE5F-41E5-8E35-126D9A0BD5AF}"/>
    <cellStyle name="Comma 3 2 2 2 2 4" xfId="3825" xr:uid="{BFEB8447-8D53-4E1C-A22F-4EC96F109449}"/>
    <cellStyle name="Comma 3 2 2 2 2 4 2" xfId="9122" xr:uid="{BDC55435-89D3-4352-BA13-259D3EB503A6}"/>
    <cellStyle name="Comma 3 2 2 2 2 5" xfId="6473" xr:uid="{C52A8809-ED80-49EE-8428-C9054B351D40}"/>
    <cellStyle name="Comma 3 2 2 2 3" xfId="1012" xr:uid="{D75854BB-BEC5-4150-8833-09E63D978F47}"/>
    <cellStyle name="Comma 3 2 2 2 3 2" xfId="1556" xr:uid="{9F069375-51A3-4955-8129-E98BA29C06A8}"/>
    <cellStyle name="Comma 3 2 2 2 3 2 2" xfId="2896" xr:uid="{CE1F3C59-2129-4B5C-94A6-F1A3C19A94C2}"/>
    <cellStyle name="Comma 3 2 2 2 3 2 2 2" xfId="5545" xr:uid="{487DC3C9-D820-42B2-A68E-6E8E9B3E22D1}"/>
    <cellStyle name="Comma 3 2 2 2 3 2 2 2 2" xfId="10842" xr:uid="{E2A16561-0182-4394-8718-A693DC96036B}"/>
    <cellStyle name="Comma 3 2 2 2 3 2 2 3" xfId="8193" xr:uid="{D34A4E8F-CCED-42E5-AE09-25F2134B6650}"/>
    <cellStyle name="Comma 3 2 2 2 3 2 3" xfId="4221" xr:uid="{529F2293-1F2A-436E-93D3-10483CBA0D79}"/>
    <cellStyle name="Comma 3 2 2 2 3 2 3 2" xfId="9518" xr:uid="{2FC30E64-9B59-4842-BD5E-AA7BA620BD30}"/>
    <cellStyle name="Comma 3 2 2 2 3 2 4" xfId="6869" xr:uid="{D5D88F33-0D77-48F7-A82C-38D25925797A}"/>
    <cellStyle name="Comma 3 2 2 2 3 3" xfId="2368" xr:uid="{8F8C568B-F29C-421B-9B34-BE4D768782F8}"/>
    <cellStyle name="Comma 3 2 2 2 3 3 2" xfId="5017" xr:uid="{05D9A7C5-0F30-496F-B021-5A01D137364B}"/>
    <cellStyle name="Comma 3 2 2 2 3 3 2 2" xfId="10314" xr:uid="{DEB09C19-AE01-456A-988F-2D02FA554F09}"/>
    <cellStyle name="Comma 3 2 2 2 3 3 3" xfId="7665" xr:uid="{95B7B5B1-BE34-4582-B06F-5369B1F7B57D}"/>
    <cellStyle name="Comma 3 2 2 2 3 4" xfId="3693" xr:uid="{94C26209-3168-453E-AF01-FBB04BB2EC18}"/>
    <cellStyle name="Comma 3 2 2 2 3 4 2" xfId="8990" xr:uid="{DB09308C-AA61-47C5-816D-49A8467994A4}"/>
    <cellStyle name="Comma 3 2 2 2 3 5" xfId="6341" xr:uid="{3501E7F6-3BE1-4B2D-9C47-762F82202E8C}"/>
    <cellStyle name="Comma 3 2 2 2 4" xfId="1292" xr:uid="{C97F1772-96E5-420E-9C36-F3466F7D1B5F}"/>
    <cellStyle name="Comma 3 2 2 2 4 2" xfId="1820" xr:uid="{9B6E1330-D82B-4975-AE05-854AE8174170}"/>
    <cellStyle name="Comma 3 2 2 2 4 2 2" xfId="3160" xr:uid="{5BA7EECB-EA0D-43B3-8D83-620AAFEF159C}"/>
    <cellStyle name="Comma 3 2 2 2 4 2 2 2" xfId="5809" xr:uid="{5CA7D044-FC80-48CC-B70E-245F855EC552}"/>
    <cellStyle name="Comma 3 2 2 2 4 2 2 2 2" xfId="11106" xr:uid="{CA5FC1A7-AB37-447D-B68F-99160644815A}"/>
    <cellStyle name="Comma 3 2 2 2 4 2 2 3" xfId="8457" xr:uid="{69A172F8-4F63-40C5-BB54-61A2BB8DB574}"/>
    <cellStyle name="Comma 3 2 2 2 4 2 3" xfId="4485" xr:uid="{8D2CB0DA-1630-495F-8F3B-00486DC1FF5F}"/>
    <cellStyle name="Comma 3 2 2 2 4 2 3 2" xfId="9782" xr:uid="{6DB38731-4F0B-42F7-962A-EA9C333DD07E}"/>
    <cellStyle name="Comma 3 2 2 2 4 2 4" xfId="7133" xr:uid="{B9D1DB12-D734-443F-ADE3-E8C35EE661EF}"/>
    <cellStyle name="Comma 3 2 2 2 4 3" xfId="2632" xr:uid="{778EC61A-276C-4DBB-8707-38B04921E2B2}"/>
    <cellStyle name="Comma 3 2 2 2 4 3 2" xfId="5281" xr:uid="{5BE7BC7F-A63D-45B6-BA36-6901B51C76C4}"/>
    <cellStyle name="Comma 3 2 2 2 4 3 2 2" xfId="10578" xr:uid="{D7A2B9E4-09FA-496D-AA47-FD0ED4536D65}"/>
    <cellStyle name="Comma 3 2 2 2 4 3 3" xfId="7929" xr:uid="{2F66D4A7-02F4-492F-BF87-92C664C4A66C}"/>
    <cellStyle name="Comma 3 2 2 2 4 4" xfId="3957" xr:uid="{0CF0D038-B1CA-4799-86B7-565CC139B3D1}"/>
    <cellStyle name="Comma 3 2 2 2 4 4 2" xfId="9254" xr:uid="{342CAB8A-E854-4CAE-8A48-3B5E32442272}"/>
    <cellStyle name="Comma 3 2 2 2 4 5" xfId="6605" xr:uid="{57536E0B-9870-4A25-A398-DC1F285B4625}"/>
    <cellStyle name="Comma 3 2 2 2 5" xfId="1424" xr:uid="{F6466D8C-AAFC-4D2D-8963-2BB2C1163C51}"/>
    <cellStyle name="Comma 3 2 2 2 5 2" xfId="1952" xr:uid="{72585428-89BE-4824-A45D-82EB3A879AD7}"/>
    <cellStyle name="Comma 3 2 2 2 5 2 2" xfId="3292" xr:uid="{275BB13D-2651-4ADA-86C9-41C4FF4FE56A}"/>
    <cellStyle name="Comma 3 2 2 2 5 2 2 2" xfId="5941" xr:uid="{F5495DD9-63B3-48DA-89E2-50CC7364915D}"/>
    <cellStyle name="Comma 3 2 2 2 5 2 2 2 2" xfId="11238" xr:uid="{4E52A6F5-F270-4DCD-AC55-84757A39E4EB}"/>
    <cellStyle name="Comma 3 2 2 2 5 2 2 3" xfId="8589" xr:uid="{BEBB005E-1AB3-408B-AD41-C5D5997EE508}"/>
    <cellStyle name="Comma 3 2 2 2 5 2 3" xfId="4617" xr:uid="{457A2E55-F4FC-4B5E-9EEF-8BF5106C7B7C}"/>
    <cellStyle name="Comma 3 2 2 2 5 2 3 2" xfId="9914" xr:uid="{5FF68F4C-B932-4DA4-87D2-8F27C4CDE9AE}"/>
    <cellStyle name="Comma 3 2 2 2 5 2 4" xfId="7265" xr:uid="{2B75AE0E-D11E-4AB9-9325-8648A164C1FB}"/>
    <cellStyle name="Comma 3 2 2 2 5 3" xfId="2764" xr:uid="{AA421806-3619-4C70-A3F4-119DC7149FBF}"/>
    <cellStyle name="Comma 3 2 2 2 5 3 2" xfId="5413" xr:uid="{601440A7-A26F-4F3B-AA96-8C0C62B8640C}"/>
    <cellStyle name="Comma 3 2 2 2 5 3 2 2" xfId="10710" xr:uid="{3DAC9719-BFDB-4082-AFAF-05D6A6E39252}"/>
    <cellStyle name="Comma 3 2 2 2 5 3 3" xfId="8061" xr:uid="{DC999229-E236-4880-BF0B-4F55576BACEA}"/>
    <cellStyle name="Comma 3 2 2 2 5 4" xfId="4089" xr:uid="{6BE5714B-8AE6-4F56-BC0B-9ABFEE304659}"/>
    <cellStyle name="Comma 3 2 2 2 5 4 2" xfId="9386" xr:uid="{A271AB6A-F2CB-499F-89D0-4399EA64C4D6}"/>
    <cellStyle name="Comma 3 2 2 2 5 5" xfId="6737" xr:uid="{B4E2065E-BA18-4A6C-B98B-C0BAC7A539CD}"/>
    <cellStyle name="Comma 3 2 2 2 6" xfId="2240" xr:uid="{2F975803-0B07-4D40-B9FE-B952187CD8B7}"/>
    <cellStyle name="Comma 3 2 2 2 6 2" xfId="4889" xr:uid="{52A455D5-6207-480A-A189-9C55E7D4F4F9}"/>
    <cellStyle name="Comma 3 2 2 2 6 2 2" xfId="10186" xr:uid="{0D73B820-8CFE-433C-A445-361842FDC32B}"/>
    <cellStyle name="Comma 3 2 2 2 6 3" xfId="7537" xr:uid="{3E6D0369-0F74-454D-8A0C-FC48F3D9D027}"/>
    <cellStyle name="Comma 3 2 2 2 7" xfId="3565" xr:uid="{828B8DAF-54C1-440A-A814-7FB2619D6932}"/>
    <cellStyle name="Comma 3 2 2 2 7 2" xfId="8862" xr:uid="{AB257083-76AD-461D-908C-FBA91DAC9584}"/>
    <cellStyle name="Comma 3 2 2 2 8" xfId="6213" xr:uid="{B33EA54E-DC4D-493A-9F50-0BFB6D678461}"/>
    <cellStyle name="Comma 3 2 2 3" xfId="920" xr:uid="{4D656166-BFB2-4F33-AD84-0670DC8FF673}"/>
    <cellStyle name="Comma 3 2 2 3 2" xfId="1209" xr:uid="{E658C472-C251-4A39-9A48-7206970FF431}"/>
    <cellStyle name="Comma 3 2 2 3 2 2" xfId="1737" xr:uid="{BF79BCFA-CA05-4EA9-AD86-9A5F6CE67374}"/>
    <cellStyle name="Comma 3 2 2 3 2 2 2" xfId="3077" xr:uid="{C09BA1FE-A302-4C7C-BD92-E3965A8C9665}"/>
    <cellStyle name="Comma 3 2 2 3 2 2 2 2" xfId="5726" xr:uid="{CADCF0AA-DEEE-44D5-A441-F5D659571049}"/>
    <cellStyle name="Comma 3 2 2 3 2 2 2 2 2" xfId="11023" xr:uid="{5CE8F443-0EB1-4917-B629-1C89937B3D53}"/>
    <cellStyle name="Comma 3 2 2 3 2 2 2 3" xfId="8374" xr:uid="{DA18E46E-A7C9-450F-910E-E150A27D5FF5}"/>
    <cellStyle name="Comma 3 2 2 3 2 2 3" xfId="4402" xr:uid="{7620EF5B-C2C0-4104-8B86-EA5C2CE3F41F}"/>
    <cellStyle name="Comma 3 2 2 3 2 2 3 2" xfId="9699" xr:uid="{48CF5EC4-784A-4D40-AF7E-4F42E6829183}"/>
    <cellStyle name="Comma 3 2 2 3 2 2 4" xfId="7050" xr:uid="{DC8C029C-20D3-48BB-981A-3796753D7008}"/>
    <cellStyle name="Comma 3 2 2 3 2 3" xfId="2549" xr:uid="{F4A07270-803E-4305-9854-A1C47E4A657F}"/>
    <cellStyle name="Comma 3 2 2 3 2 3 2" xfId="5198" xr:uid="{2C5C2751-A5A0-4E5D-8455-E998F56FFE21}"/>
    <cellStyle name="Comma 3 2 2 3 2 3 2 2" xfId="10495" xr:uid="{A0F5518F-D288-4C10-BF26-D3D79850CE1E}"/>
    <cellStyle name="Comma 3 2 2 3 2 3 3" xfId="7846" xr:uid="{82BFF35A-7DF1-4EDA-A4DF-A22F6542E448}"/>
    <cellStyle name="Comma 3 2 2 3 2 4" xfId="3874" xr:uid="{8797B4A7-2875-4215-AF76-C0E818847DA5}"/>
    <cellStyle name="Comma 3 2 2 3 2 4 2" xfId="9171" xr:uid="{9910C0DB-5CD7-42EB-BCA8-0FDC29793303}"/>
    <cellStyle name="Comma 3 2 2 3 2 5" xfId="6522" xr:uid="{DA613F36-89B4-4456-A176-A88057093959}"/>
    <cellStyle name="Comma 3 2 2 3 3" xfId="1066" xr:uid="{07D6D7AA-798E-4D17-B665-855BAA15E00B}"/>
    <cellStyle name="Comma 3 2 2 3 3 2" xfId="1605" xr:uid="{ACD360EC-5263-4713-A958-13C3FB9B9724}"/>
    <cellStyle name="Comma 3 2 2 3 3 2 2" xfId="2945" xr:uid="{A1A37433-F378-4A03-9C6E-1932060FD30F}"/>
    <cellStyle name="Comma 3 2 2 3 3 2 2 2" xfId="5594" xr:uid="{09CC4F84-4FDC-4517-BB43-BC3ABEFE00CE}"/>
    <cellStyle name="Comma 3 2 2 3 3 2 2 2 2" xfId="10891" xr:uid="{0644F231-5201-4AE2-BFDA-4A7C80DA2A8C}"/>
    <cellStyle name="Comma 3 2 2 3 3 2 2 3" xfId="8242" xr:uid="{ED676E54-C380-4916-A75C-318C4AD72A2F}"/>
    <cellStyle name="Comma 3 2 2 3 3 2 3" xfId="4270" xr:uid="{A4707B1D-ECCF-47B9-9669-C0BD1F5632D7}"/>
    <cellStyle name="Comma 3 2 2 3 3 2 3 2" xfId="9567" xr:uid="{C14DA4EB-7CD9-4271-9544-5486371116A0}"/>
    <cellStyle name="Comma 3 2 2 3 3 2 4" xfId="6918" xr:uid="{54488C92-90EF-4FCF-A671-43FD77D55BBC}"/>
    <cellStyle name="Comma 3 2 2 3 3 3" xfId="2417" xr:uid="{708993C2-03AE-4355-80A4-212760891853}"/>
    <cellStyle name="Comma 3 2 2 3 3 3 2" xfId="5066" xr:uid="{335DDE71-D040-47FE-B734-668D9D572A92}"/>
    <cellStyle name="Comma 3 2 2 3 3 3 2 2" xfId="10363" xr:uid="{1B14615F-AA49-4B74-A003-BC7D0B71EF38}"/>
    <cellStyle name="Comma 3 2 2 3 3 3 3" xfId="7714" xr:uid="{CAB64AB9-F979-4012-824B-A583D9441241}"/>
    <cellStyle name="Comma 3 2 2 3 3 4" xfId="3742" xr:uid="{2468197D-2A72-4D08-B35B-809138B52B29}"/>
    <cellStyle name="Comma 3 2 2 3 3 4 2" xfId="9039" xr:uid="{AFF7EBE3-7A3C-4B8F-BB82-B5EF4FAEDEAA}"/>
    <cellStyle name="Comma 3 2 2 3 3 5" xfId="6390" xr:uid="{7A093569-3F0D-44EE-8460-55B3F231919C}"/>
    <cellStyle name="Comma 3 2 2 3 4" xfId="1341" xr:uid="{5779DD1F-D02F-464C-9727-09D0ECD2124D}"/>
    <cellStyle name="Comma 3 2 2 3 4 2" xfId="1869" xr:uid="{D42BCA9A-8557-4D28-A947-2F4A7E162FB3}"/>
    <cellStyle name="Comma 3 2 2 3 4 2 2" xfId="3209" xr:uid="{02DCCDC1-D3ED-40CC-B5E2-6AAF434755E0}"/>
    <cellStyle name="Comma 3 2 2 3 4 2 2 2" xfId="5858" xr:uid="{9A4D2859-B006-499A-86A1-AD89C89468D1}"/>
    <cellStyle name="Comma 3 2 2 3 4 2 2 2 2" xfId="11155" xr:uid="{A1E57EA1-0AF1-47A1-8BBD-40566355F97B}"/>
    <cellStyle name="Comma 3 2 2 3 4 2 2 3" xfId="8506" xr:uid="{C127D27E-6BEF-499D-8836-0B8CB831A7BC}"/>
    <cellStyle name="Comma 3 2 2 3 4 2 3" xfId="4534" xr:uid="{EC54D474-92BA-4A05-827B-02EAEE967C22}"/>
    <cellStyle name="Comma 3 2 2 3 4 2 3 2" xfId="9831" xr:uid="{B2CB3688-8151-4FA2-9CB7-1A1DE7F4D1E2}"/>
    <cellStyle name="Comma 3 2 2 3 4 2 4" xfId="7182" xr:uid="{12949E53-A2AC-41B0-BC86-10F971B4EC10}"/>
    <cellStyle name="Comma 3 2 2 3 4 3" xfId="2681" xr:uid="{CB284F29-6EE6-4DDD-8B4A-BD7DE3C334F4}"/>
    <cellStyle name="Comma 3 2 2 3 4 3 2" xfId="5330" xr:uid="{80B0B5EC-0609-4258-820C-42443EDB077A}"/>
    <cellStyle name="Comma 3 2 2 3 4 3 2 2" xfId="10627" xr:uid="{6D359AFC-E49C-4915-B57D-B65311993BF3}"/>
    <cellStyle name="Comma 3 2 2 3 4 3 3" xfId="7978" xr:uid="{A4D9420B-A2F3-4B4C-BB15-1EF2EFFA8981}"/>
    <cellStyle name="Comma 3 2 2 3 4 4" xfId="4006" xr:uid="{BD4CBFBF-598A-4F34-AB2A-FB07106C20F3}"/>
    <cellStyle name="Comma 3 2 2 3 4 4 2" xfId="9303" xr:uid="{397B44C9-0F4D-4489-8BF8-42C7E0D2C0C6}"/>
    <cellStyle name="Comma 3 2 2 3 4 5" xfId="6654" xr:uid="{D63DC1A7-C60B-483D-A0DB-D12194FA4449}"/>
    <cellStyle name="Comma 3 2 2 3 5" xfId="1473" xr:uid="{CF6A7BF7-5735-4527-A890-156AA6898A48}"/>
    <cellStyle name="Comma 3 2 2 3 5 2" xfId="2001" xr:uid="{EA182D5E-820D-44B1-B9F2-F1DDF6D92F7C}"/>
    <cellStyle name="Comma 3 2 2 3 5 2 2" xfId="3341" xr:uid="{DBEB151A-27B7-42AB-B579-BD83EE054825}"/>
    <cellStyle name="Comma 3 2 2 3 5 2 2 2" xfId="5990" xr:uid="{7F14580F-9A2A-4E60-98A8-6F7CB82BF03E}"/>
    <cellStyle name="Comma 3 2 2 3 5 2 2 2 2" xfId="11287" xr:uid="{9B222074-C337-41B3-B5AC-75754B1524F4}"/>
    <cellStyle name="Comma 3 2 2 3 5 2 2 3" xfId="8638" xr:uid="{F2833EE3-1C76-411C-9180-E862E4A7AF73}"/>
    <cellStyle name="Comma 3 2 2 3 5 2 3" xfId="4666" xr:uid="{0FEC1443-3627-4F2F-A480-C6928F0DC711}"/>
    <cellStyle name="Comma 3 2 2 3 5 2 3 2" xfId="9963" xr:uid="{DA0A155D-1E63-4C98-B527-92015EB03FF8}"/>
    <cellStyle name="Comma 3 2 2 3 5 2 4" xfId="7314" xr:uid="{9BF31CD2-BA83-4019-BC2F-EE96A4449E3A}"/>
    <cellStyle name="Comma 3 2 2 3 5 3" xfId="2813" xr:uid="{69AC4368-B687-44DF-AF75-0468A2F9413C}"/>
    <cellStyle name="Comma 3 2 2 3 5 3 2" xfId="5462" xr:uid="{428B8AB1-BB24-42F9-9B1C-56572BC2E0B9}"/>
    <cellStyle name="Comma 3 2 2 3 5 3 2 2" xfId="10759" xr:uid="{2D116F61-4A33-4686-BAA7-2663D06F60B0}"/>
    <cellStyle name="Comma 3 2 2 3 5 3 3" xfId="8110" xr:uid="{75A5C012-D488-4F92-A953-8B522F7D161E}"/>
    <cellStyle name="Comma 3 2 2 3 5 4" xfId="4138" xr:uid="{FC68EA2B-35C3-4508-87CC-661E99C6E8EB}"/>
    <cellStyle name="Comma 3 2 2 3 5 4 2" xfId="9435" xr:uid="{83B9E762-D177-45C5-AB16-63557A40315C}"/>
    <cellStyle name="Comma 3 2 2 3 5 5" xfId="6786" xr:uid="{32BE0253-5FD9-41D8-9DF2-CAD11E7B14B6}"/>
    <cellStyle name="Comma 3 2 2 3 6" xfId="2287" xr:uid="{43F507F3-5C3B-4CA9-8695-61D3F9193F36}"/>
    <cellStyle name="Comma 3 2 2 3 6 2" xfId="4936" xr:uid="{C3238AD8-8D26-4AEF-B77A-80A885DC2F84}"/>
    <cellStyle name="Comma 3 2 2 3 6 2 2" xfId="10233" xr:uid="{931CA0C6-6C59-4A16-B826-D9FDD1ED5E41}"/>
    <cellStyle name="Comma 3 2 2 3 6 3" xfId="7584" xr:uid="{6AE87FEF-5E11-47F6-83BA-6E274B8B9300}"/>
    <cellStyle name="Comma 3 2 2 3 7" xfId="3612" xr:uid="{49E70721-7043-4EED-8FC4-721864DDA871}"/>
    <cellStyle name="Comma 3 2 2 3 7 2" xfId="8909" xr:uid="{42031CD1-8163-4D1E-89D8-B36AAA51899B}"/>
    <cellStyle name="Comma 3 2 2 3 8" xfId="6260" xr:uid="{F0D12509-B313-4A8B-A95F-A75ECAB08117}"/>
    <cellStyle name="Comma 3 2 2 4" xfId="1117" xr:uid="{D9DD6AA9-13CA-4A60-9D60-8E1FB87DD26E}"/>
    <cellStyle name="Comma 3 2 2 4 2" xfId="1651" xr:uid="{CE2F3E3D-5039-4109-889B-61111F17227A}"/>
    <cellStyle name="Comma 3 2 2 4 2 2" xfId="2991" xr:uid="{BCC74014-596B-441B-A832-018581550E6A}"/>
    <cellStyle name="Comma 3 2 2 4 2 2 2" xfId="5640" xr:uid="{A06D424A-83BB-4023-92D2-86B7B260940B}"/>
    <cellStyle name="Comma 3 2 2 4 2 2 2 2" xfId="10937" xr:uid="{15AF832D-4ED3-4E2A-A713-DEA36CA4F25F}"/>
    <cellStyle name="Comma 3 2 2 4 2 2 3" xfId="8288" xr:uid="{5A63192D-7DE8-490F-A63C-3DC2994F5A15}"/>
    <cellStyle name="Comma 3 2 2 4 2 3" xfId="4316" xr:uid="{5CABDF4B-580A-480A-AE02-55AB559BEF06}"/>
    <cellStyle name="Comma 3 2 2 4 2 3 2" xfId="9613" xr:uid="{E2F55CE4-4C13-40FF-BA90-9072CD6A6E95}"/>
    <cellStyle name="Comma 3 2 2 4 2 4" xfId="6964" xr:uid="{4F2568DB-6952-4A1F-8DAC-19608A1E650D}"/>
    <cellStyle name="Comma 3 2 2 4 3" xfId="2463" xr:uid="{9EDE9996-7B69-4A58-8C09-96489E0E0082}"/>
    <cellStyle name="Comma 3 2 2 4 3 2" xfId="5112" xr:uid="{6BFFF804-2CB6-47CF-A048-EEC7045C326F}"/>
    <cellStyle name="Comma 3 2 2 4 3 2 2" xfId="10409" xr:uid="{2EDCDA1F-52EC-4430-AFF3-78800265AC8C}"/>
    <cellStyle name="Comma 3 2 2 4 3 3" xfId="7760" xr:uid="{47E8DCA0-9B3E-46C3-A64C-B116C78F28B2}"/>
    <cellStyle name="Comma 3 2 2 4 4" xfId="3788" xr:uid="{1DCDDEEE-CDCE-49F0-8C10-D622572A1829}"/>
    <cellStyle name="Comma 3 2 2 4 4 2" xfId="9085" xr:uid="{D93BF252-8BAF-4EA9-888B-1F9C3B963DE3}"/>
    <cellStyle name="Comma 3 2 2 4 5" xfId="6436" xr:uid="{610C036D-AC03-4C39-AA44-2DDCFE5BA5DE}"/>
    <cellStyle name="Comma 3 2 2 5" xfId="971" xr:uid="{755152BE-2775-499B-96F2-65DEA7B9C6FB}"/>
    <cellStyle name="Comma 3 2 2 5 2" xfId="1519" xr:uid="{E972F332-3515-4820-86D1-E5E1E050DE6E}"/>
    <cellStyle name="Comma 3 2 2 5 2 2" xfId="2859" xr:uid="{C83F73C0-C967-4B75-904D-89D01A8CF9EB}"/>
    <cellStyle name="Comma 3 2 2 5 2 2 2" xfId="5508" xr:uid="{0F6EFBC2-BAB6-4D1E-830C-2E1EBA3B4B84}"/>
    <cellStyle name="Comma 3 2 2 5 2 2 2 2" xfId="10805" xr:uid="{A8A473BB-820B-4E77-9D21-3F3BD59A42BA}"/>
    <cellStyle name="Comma 3 2 2 5 2 2 3" xfId="8156" xr:uid="{EFA0C429-CFC5-492F-9EFD-8733553107F6}"/>
    <cellStyle name="Comma 3 2 2 5 2 3" xfId="4184" xr:uid="{7A53AE02-B470-469B-BD50-13717016DCF0}"/>
    <cellStyle name="Comma 3 2 2 5 2 3 2" xfId="9481" xr:uid="{AFC86E0A-809E-4320-BE99-CFE207E60E0E}"/>
    <cellStyle name="Comma 3 2 2 5 2 4" xfId="6832" xr:uid="{88C1C479-0E6E-47D3-8438-7742444F9293}"/>
    <cellStyle name="Comma 3 2 2 5 3" xfId="2331" xr:uid="{C87CCA41-3F6E-4F4E-9928-A1C9292DFB2C}"/>
    <cellStyle name="Comma 3 2 2 5 3 2" xfId="4980" xr:uid="{6BF644D7-D7BA-4205-AE77-F69531AB86AB}"/>
    <cellStyle name="Comma 3 2 2 5 3 2 2" xfId="10277" xr:uid="{F2BEC4DD-D693-441F-97D2-6EA4CC89E7FB}"/>
    <cellStyle name="Comma 3 2 2 5 3 3" xfId="7628" xr:uid="{2580D1DB-F6E2-4714-9BE3-9217AFE7A46F}"/>
    <cellStyle name="Comma 3 2 2 5 4" xfId="3656" xr:uid="{F0F10CD5-DFEB-42F1-9631-DD38C2DEDCBC}"/>
    <cellStyle name="Comma 3 2 2 5 4 2" xfId="8953" xr:uid="{DCF0B147-59BF-481C-8BC5-AE8EF6D506BF}"/>
    <cellStyle name="Comma 3 2 2 5 5" xfId="6304" xr:uid="{8BD0CC05-34A7-489D-8E79-27BF4A25C0FE}"/>
    <cellStyle name="Comma 3 2 2 6" xfId="1255" xr:uid="{0789D9A6-1FBA-47E4-9E45-8B061147CBAD}"/>
    <cellStyle name="Comma 3 2 2 6 2" xfId="1783" xr:uid="{F4BAAC67-EB27-43A5-B98B-617A9CAC62FC}"/>
    <cellStyle name="Comma 3 2 2 6 2 2" xfId="3123" xr:uid="{478C224A-B080-409A-A576-571133320F1D}"/>
    <cellStyle name="Comma 3 2 2 6 2 2 2" xfId="5772" xr:uid="{2D42FA2F-6E1D-400D-A7D8-712EDFD9F7F3}"/>
    <cellStyle name="Comma 3 2 2 6 2 2 2 2" xfId="11069" xr:uid="{7BF22AFA-6398-4CFF-B9F4-907FF99B930A}"/>
    <cellStyle name="Comma 3 2 2 6 2 2 3" xfId="8420" xr:uid="{639043AF-7595-4CBB-9FC3-34A9FAC10B21}"/>
    <cellStyle name="Comma 3 2 2 6 2 3" xfId="4448" xr:uid="{C803ADE2-1499-4A9D-AD58-7FA21F4E995C}"/>
    <cellStyle name="Comma 3 2 2 6 2 3 2" xfId="9745" xr:uid="{F11815A8-6EAD-4222-BB67-3F34A0C5D2CA}"/>
    <cellStyle name="Comma 3 2 2 6 2 4" xfId="7096" xr:uid="{8FFFC16F-C5A4-49B0-9694-0CF2DC3B5F87}"/>
    <cellStyle name="Comma 3 2 2 6 3" xfId="2595" xr:uid="{4C58259B-C3B6-4119-9121-4C35D0FC492A}"/>
    <cellStyle name="Comma 3 2 2 6 3 2" xfId="5244" xr:uid="{1A9DA5B1-D90F-4A26-B1B3-BCAFACCD07A1}"/>
    <cellStyle name="Comma 3 2 2 6 3 2 2" xfId="10541" xr:uid="{C74593F6-CCF4-4EC5-9316-C7F064724953}"/>
    <cellStyle name="Comma 3 2 2 6 3 3" xfId="7892" xr:uid="{040B1838-CBF7-4859-B4DB-6AB81F3611F3}"/>
    <cellStyle name="Comma 3 2 2 6 4" xfId="3920" xr:uid="{6E37BD8D-51CE-4331-8401-42FA485A1C63}"/>
    <cellStyle name="Comma 3 2 2 6 4 2" xfId="9217" xr:uid="{27BC5A59-9D22-4365-820C-897BD5427026}"/>
    <cellStyle name="Comma 3 2 2 6 5" xfId="6568" xr:uid="{188FF346-1004-4528-86D4-93802FF48B7F}"/>
    <cellStyle name="Comma 3 2 2 7" xfId="1387" xr:uid="{29E48B33-878C-4C70-823C-0DEE51F09A52}"/>
    <cellStyle name="Comma 3 2 2 7 2" xfId="1915" xr:uid="{653A2CF5-2768-4D43-9967-9EB0158D0BB6}"/>
    <cellStyle name="Comma 3 2 2 7 2 2" xfId="3255" xr:uid="{93A0EC8F-7E1A-4D74-95DC-E08717029407}"/>
    <cellStyle name="Comma 3 2 2 7 2 2 2" xfId="5904" xr:uid="{386AE101-FDAC-46B3-97D2-A0870A2FF59C}"/>
    <cellStyle name="Comma 3 2 2 7 2 2 2 2" xfId="11201" xr:uid="{CCCAA7D6-1C6D-4145-B0C3-6F63ED6CEEAD}"/>
    <cellStyle name="Comma 3 2 2 7 2 2 3" xfId="8552" xr:uid="{03C3E74E-BA18-47D2-8A0E-2516C3CA3AFF}"/>
    <cellStyle name="Comma 3 2 2 7 2 3" xfId="4580" xr:uid="{76E18620-52F7-4F9A-9B1F-E618A7A7214D}"/>
    <cellStyle name="Comma 3 2 2 7 2 3 2" xfId="9877" xr:uid="{98641358-E4FA-4573-8031-A4E0FD2A914D}"/>
    <cellStyle name="Comma 3 2 2 7 2 4" xfId="7228" xr:uid="{79E5F0C9-7A96-4749-BA9A-BFF3905584C9}"/>
    <cellStyle name="Comma 3 2 2 7 3" xfId="2727" xr:uid="{926DEA3E-1280-4B18-9E95-EE69B8F2C536}"/>
    <cellStyle name="Comma 3 2 2 7 3 2" xfId="5376" xr:uid="{466D5484-5079-452B-AD02-4FB56D743AA2}"/>
    <cellStyle name="Comma 3 2 2 7 3 2 2" xfId="10673" xr:uid="{B5F8E9CB-5E06-4DD8-993A-9AA6B2C9CDF0}"/>
    <cellStyle name="Comma 3 2 2 7 3 3" xfId="8024" xr:uid="{ECEDB3FD-ED87-4613-88DA-9D932B54C8B3}"/>
    <cellStyle name="Comma 3 2 2 7 4" xfId="4052" xr:uid="{DDE1D543-CBF0-47A4-9849-34DAB2B66D8C}"/>
    <cellStyle name="Comma 3 2 2 7 4 2" xfId="9349" xr:uid="{3FBB3F63-BA1F-424C-8C52-A5849C4087E7}"/>
    <cellStyle name="Comma 3 2 2 7 5" xfId="6700" xr:uid="{DD912860-DD8A-443F-BDF6-79682ED24970}"/>
    <cellStyle name="Comma 3 2 2 8" xfId="646" xr:uid="{3FC196BA-6B19-4EC4-8D6D-273DE0B65B9C}"/>
    <cellStyle name="Comma 3 2 2 8 2" xfId="2206" xr:uid="{CBECD50C-BFDC-409B-9E9C-DE651DA58078}"/>
    <cellStyle name="Comma 3 2 2 8 2 2" xfId="4855" xr:uid="{1EC0EA86-ECFF-41D7-A62E-93C64E453D89}"/>
    <cellStyle name="Comma 3 2 2 8 2 2 2" xfId="10152" xr:uid="{BCFF5B97-A88F-4829-8A7A-65C5EEACBCF1}"/>
    <cellStyle name="Comma 3 2 2 8 2 3" xfId="7503" xr:uid="{B53336CF-818C-4D69-A727-8DBF6458D0FB}"/>
    <cellStyle name="Comma 3 2 2 8 3" xfId="3531" xr:uid="{07F22C79-C035-4A93-B24A-7975AE1A2986}"/>
    <cellStyle name="Comma 3 2 2 8 3 2" xfId="8828" xr:uid="{2A7BCC95-49BF-4846-B18F-0DF085B732F4}"/>
    <cellStyle name="Comma 3 2 2 8 4" xfId="6179" xr:uid="{34D3F02D-78F2-49FC-B27C-8E4183545AB9}"/>
    <cellStyle name="Comma 3 2 2 9" xfId="2127" xr:uid="{D9CC5D02-41D4-4879-993C-380DC2E7BB29}"/>
    <cellStyle name="Comma 3 2 2 9 2" xfId="4776" xr:uid="{A8103EF3-50B9-4F44-ABDA-6E19D1A3597B}"/>
    <cellStyle name="Comma 3 2 2 9 2 2" xfId="10073" xr:uid="{5297D8E5-950D-473C-9D96-4591F0E45910}"/>
    <cellStyle name="Comma 3 2 2 9 3" xfId="7424" xr:uid="{16D6AE2E-CF08-4F11-90B0-CD74A4B3F444}"/>
    <cellStyle name="Comma 3 2 3" xfId="794" xr:uid="{EF3AEC43-15E7-45F9-93A9-BBB4D39D4EEB}"/>
    <cellStyle name="Comma 3 2 3 2" xfId="1155" xr:uid="{B48CD50F-5E48-4395-907B-1DA12EEB8D55}"/>
    <cellStyle name="Comma 3 2 3 2 2" xfId="1687" xr:uid="{B069FF99-2846-4119-B902-D29A945D9066}"/>
    <cellStyle name="Comma 3 2 3 2 2 2" xfId="3027" xr:uid="{A49280AD-5371-442F-AFFB-FEFE3E02B32E}"/>
    <cellStyle name="Comma 3 2 3 2 2 2 2" xfId="5676" xr:uid="{94D58ECF-C710-49E9-9957-9721FD2BDF76}"/>
    <cellStyle name="Comma 3 2 3 2 2 2 2 2" xfId="10973" xr:uid="{E6F2DD6D-89A7-4B48-8A89-35F71B9D9E7D}"/>
    <cellStyle name="Comma 3 2 3 2 2 2 3" xfId="8324" xr:uid="{D840FBA7-D5F9-4656-92AD-8AD11324150C}"/>
    <cellStyle name="Comma 3 2 3 2 2 3" xfId="4352" xr:uid="{E4EB82F9-8A2A-4538-9E30-B9AED908973E}"/>
    <cellStyle name="Comma 3 2 3 2 2 3 2" xfId="9649" xr:uid="{4476BE15-33E7-4EDF-80F6-90C663E2B2C9}"/>
    <cellStyle name="Comma 3 2 3 2 2 4" xfId="7000" xr:uid="{566CF253-C6CB-476F-922A-91558EEABEAA}"/>
    <cellStyle name="Comma 3 2 3 2 3" xfId="2499" xr:uid="{24927D42-0731-4208-9A1F-4860F4C4F813}"/>
    <cellStyle name="Comma 3 2 3 2 3 2" xfId="5148" xr:uid="{8FF5D1D9-80BF-4C0F-8D13-5F515DF295C8}"/>
    <cellStyle name="Comma 3 2 3 2 3 2 2" xfId="10445" xr:uid="{D9C095D9-0D25-4FFA-BF77-FA343B16BBF9}"/>
    <cellStyle name="Comma 3 2 3 2 3 3" xfId="7796" xr:uid="{31CDA7FA-9138-4E31-AF2C-8E0DC4B06330}"/>
    <cellStyle name="Comma 3 2 3 2 4" xfId="3824" xr:uid="{75A1D9C2-248A-4D07-A32B-6D1AD0D99A71}"/>
    <cellStyle name="Comma 3 2 3 2 4 2" xfId="9121" xr:uid="{23409F85-D6A0-4232-9898-6C88D68DA18C}"/>
    <cellStyle name="Comma 3 2 3 2 5" xfId="6472" xr:uid="{D74D0F36-2B37-4428-BE88-B442CC067491}"/>
    <cellStyle name="Comma 3 2 3 3" xfId="1011" xr:uid="{C77A4F03-5F58-4005-A99D-B4D34B2B92A4}"/>
    <cellStyle name="Comma 3 2 3 3 2" xfId="1555" xr:uid="{C7EBF5C2-DA9B-48ED-93ED-6E043F2FA911}"/>
    <cellStyle name="Comma 3 2 3 3 2 2" xfId="2895" xr:uid="{0B459734-8472-4052-8FE9-057522BD5A49}"/>
    <cellStyle name="Comma 3 2 3 3 2 2 2" xfId="5544" xr:uid="{183547FE-3D5E-4389-B320-546629F854CE}"/>
    <cellStyle name="Comma 3 2 3 3 2 2 2 2" xfId="10841" xr:uid="{C54E023F-0D6F-448A-A72A-2561E77FCF7E}"/>
    <cellStyle name="Comma 3 2 3 3 2 2 3" xfId="8192" xr:uid="{C2F983B7-4F1E-4BB9-B97D-614363FAE572}"/>
    <cellStyle name="Comma 3 2 3 3 2 3" xfId="4220" xr:uid="{CD4B898F-C6D0-4ED3-8B0F-B013CE5630C0}"/>
    <cellStyle name="Comma 3 2 3 3 2 3 2" xfId="9517" xr:uid="{890024A8-0A70-4590-83CC-9C9FF7174565}"/>
    <cellStyle name="Comma 3 2 3 3 2 4" xfId="6868" xr:uid="{EBC1AE50-411A-44AB-9DA4-E0FB6183CAD5}"/>
    <cellStyle name="Comma 3 2 3 3 3" xfId="2367" xr:uid="{9FB47015-A0E9-4CC6-A8E1-C0372B2474A7}"/>
    <cellStyle name="Comma 3 2 3 3 3 2" xfId="5016" xr:uid="{4639CE39-0147-4232-9A74-69D0979C19CE}"/>
    <cellStyle name="Comma 3 2 3 3 3 2 2" xfId="10313" xr:uid="{FEEDB84E-F244-49F6-AB95-6B261A6CB5C7}"/>
    <cellStyle name="Comma 3 2 3 3 3 3" xfId="7664" xr:uid="{AA981CC1-C761-4328-8EAA-FEA5E6674A6D}"/>
    <cellStyle name="Comma 3 2 3 3 4" xfId="3692" xr:uid="{5841E2D7-1D06-47C6-9727-DC6DCB73E503}"/>
    <cellStyle name="Comma 3 2 3 3 4 2" xfId="8989" xr:uid="{696A7AB1-1884-4EFF-A21C-374A93193B6F}"/>
    <cellStyle name="Comma 3 2 3 3 5" xfId="6340" xr:uid="{3525B99D-BA2D-430D-9080-F19DBE3962AF}"/>
    <cellStyle name="Comma 3 2 3 4" xfId="1291" xr:uid="{F32101A3-5EBD-48A0-B090-5812695A1625}"/>
    <cellStyle name="Comma 3 2 3 4 2" xfId="1819" xr:uid="{A6FFEB0E-FEF3-498B-B9A2-2927675AAE27}"/>
    <cellStyle name="Comma 3 2 3 4 2 2" xfId="3159" xr:uid="{8CFECAE2-5DC9-444C-850C-4BA70DF6C489}"/>
    <cellStyle name="Comma 3 2 3 4 2 2 2" xfId="5808" xr:uid="{B9546D6E-F3AC-4290-8120-862A3A6991E2}"/>
    <cellStyle name="Comma 3 2 3 4 2 2 2 2" xfId="11105" xr:uid="{8E70B7D1-8A7E-49C1-AA3E-14F3935C355D}"/>
    <cellStyle name="Comma 3 2 3 4 2 2 3" xfId="8456" xr:uid="{F5AA290D-CBD1-4D5F-9B2C-F53E30CEA63F}"/>
    <cellStyle name="Comma 3 2 3 4 2 3" xfId="4484" xr:uid="{98E79120-A4AF-4901-BCE9-F61BFB81BE39}"/>
    <cellStyle name="Comma 3 2 3 4 2 3 2" xfId="9781" xr:uid="{39501F85-F2C1-46F6-A19B-B4176FA9F661}"/>
    <cellStyle name="Comma 3 2 3 4 2 4" xfId="7132" xr:uid="{96EBFFCA-1D79-455D-A02E-9301B84034B0}"/>
    <cellStyle name="Comma 3 2 3 4 3" xfId="2631" xr:uid="{F85757F3-FF2D-44D4-B84E-A4F3E71F931E}"/>
    <cellStyle name="Comma 3 2 3 4 3 2" xfId="5280" xr:uid="{DFF30D27-7B2B-4DD2-8499-F97C125CE12F}"/>
    <cellStyle name="Comma 3 2 3 4 3 2 2" xfId="10577" xr:uid="{6963ED7C-410D-412A-BF47-36013133FBA2}"/>
    <cellStyle name="Comma 3 2 3 4 3 3" xfId="7928" xr:uid="{C2E8FACE-1337-4343-A293-2C922B5E7C73}"/>
    <cellStyle name="Comma 3 2 3 4 4" xfId="3956" xr:uid="{A418BE75-B56F-4325-B79B-63E8CE1FFCC0}"/>
    <cellStyle name="Comma 3 2 3 4 4 2" xfId="9253" xr:uid="{326D810B-27F3-4B86-BB81-FEA4495A67EE}"/>
    <cellStyle name="Comma 3 2 3 4 5" xfId="6604" xr:uid="{52D4C5B3-9B69-4ACC-8619-5779D6AB765C}"/>
    <cellStyle name="Comma 3 2 3 5" xfId="1423" xr:uid="{80415B29-E486-41B7-A721-3C81FFFE398C}"/>
    <cellStyle name="Comma 3 2 3 5 2" xfId="1951" xr:uid="{EB58607C-C677-4D50-8563-EB579F343810}"/>
    <cellStyle name="Comma 3 2 3 5 2 2" xfId="3291" xr:uid="{CC141E2B-DB12-4F14-A07B-CEA542FB0B4E}"/>
    <cellStyle name="Comma 3 2 3 5 2 2 2" xfId="5940" xr:uid="{A04D0569-4219-40FE-A90D-B96B60C8CC42}"/>
    <cellStyle name="Comma 3 2 3 5 2 2 2 2" xfId="11237" xr:uid="{8582B0FC-B2BB-458A-8CEA-55DC7BA0397B}"/>
    <cellStyle name="Comma 3 2 3 5 2 2 3" xfId="8588" xr:uid="{EC03AFDE-A3FF-4C4B-8C98-DF817CF3D9C3}"/>
    <cellStyle name="Comma 3 2 3 5 2 3" xfId="4616" xr:uid="{CBBEBCD6-D933-4E30-94B8-F8E0CC1A6A80}"/>
    <cellStyle name="Comma 3 2 3 5 2 3 2" xfId="9913" xr:uid="{CB59C1F6-8F03-406A-871D-D1F37B12DFB3}"/>
    <cellStyle name="Comma 3 2 3 5 2 4" xfId="7264" xr:uid="{26F26344-B935-49FF-9FCD-479FD1FBEA50}"/>
    <cellStyle name="Comma 3 2 3 5 3" xfId="2763" xr:uid="{ECC7FAFC-C4C1-4B60-B5F4-D266D379327E}"/>
    <cellStyle name="Comma 3 2 3 5 3 2" xfId="5412" xr:uid="{F1CA582A-8ABC-4695-843C-CEE13E361D38}"/>
    <cellStyle name="Comma 3 2 3 5 3 2 2" xfId="10709" xr:uid="{A1E0C678-7678-441B-A9BD-E7C1E9D1B022}"/>
    <cellStyle name="Comma 3 2 3 5 3 3" xfId="8060" xr:uid="{45B7A0AE-D976-453A-8F97-CD567020828A}"/>
    <cellStyle name="Comma 3 2 3 5 4" xfId="4088" xr:uid="{5D97B830-7BB0-463E-BBE8-29B469F38846}"/>
    <cellStyle name="Comma 3 2 3 5 4 2" xfId="9385" xr:uid="{AE079B8C-F31F-47B4-B6D1-0896B2094C52}"/>
    <cellStyle name="Comma 3 2 3 5 5" xfId="6736" xr:uid="{1627069D-AC8E-4B6F-BFFB-07438318F975}"/>
    <cellStyle name="Comma 3 2 3 6" xfId="2239" xr:uid="{5BDEB433-934B-4244-A11C-1DF7BF398E2B}"/>
    <cellStyle name="Comma 3 2 3 6 2" xfId="4888" xr:uid="{CA9FCF60-2946-44DF-8C89-976942D39AE0}"/>
    <cellStyle name="Comma 3 2 3 6 2 2" xfId="10185" xr:uid="{BF387BC5-921A-4ECA-96F1-4C0CADA9C186}"/>
    <cellStyle name="Comma 3 2 3 6 3" xfId="7536" xr:uid="{B543E732-2E72-4F88-9220-D5D5FC230078}"/>
    <cellStyle name="Comma 3 2 3 7" xfId="3564" xr:uid="{74BA0E18-EE7C-416A-96BE-D1E5538D00A1}"/>
    <cellStyle name="Comma 3 2 3 7 2" xfId="8861" xr:uid="{BE40C1A7-F54E-4ED1-AAFF-E77575D7DC83}"/>
    <cellStyle name="Comma 3 2 3 8" xfId="6212" xr:uid="{20EFA3D2-F325-4A38-9AA9-A1CE17EA9377}"/>
    <cellStyle name="Comma 3 2 4" xfId="1090" xr:uid="{2C750B07-A238-4D2E-9984-8FDC79CFCCDC}"/>
    <cellStyle name="Comma 3 2 4 2" xfId="1628" xr:uid="{54A7390D-3B10-4C26-B1CA-F86B60655918}"/>
    <cellStyle name="Comma 3 2 4 2 2" xfId="2968" xr:uid="{5D6A5D07-7AC6-4D7F-B055-3C152E4DA29C}"/>
    <cellStyle name="Comma 3 2 4 2 2 2" xfId="5617" xr:uid="{8A125110-7C79-4632-ACC5-EFF06EC835B1}"/>
    <cellStyle name="Comma 3 2 4 2 2 2 2" xfId="10914" xr:uid="{49E2B6AE-9786-49E8-A970-08FED718C31E}"/>
    <cellStyle name="Comma 3 2 4 2 2 3" xfId="8265" xr:uid="{2A702B6F-B604-4B0E-820C-68C9B6A2D906}"/>
    <cellStyle name="Comma 3 2 4 2 3" xfId="4293" xr:uid="{EDF43E63-B80E-41B1-A30F-7B0F14075E60}"/>
    <cellStyle name="Comma 3 2 4 2 3 2" xfId="9590" xr:uid="{D716B6DF-2DF5-4898-8DFE-7FE09DFD72D3}"/>
    <cellStyle name="Comma 3 2 4 2 4" xfId="6941" xr:uid="{18C6B4BD-4C91-4038-B5E9-2E0DB86C9476}"/>
    <cellStyle name="Comma 3 2 4 3" xfId="2440" xr:uid="{30FDB12E-5980-4746-9F3F-A98816D00C05}"/>
    <cellStyle name="Comma 3 2 4 3 2" xfId="5089" xr:uid="{3BA08D6F-B16B-4E0B-816F-45670735879D}"/>
    <cellStyle name="Comma 3 2 4 3 2 2" xfId="10386" xr:uid="{F4EB495F-3128-405A-AB41-09836B494A45}"/>
    <cellStyle name="Comma 3 2 4 3 3" xfId="7737" xr:uid="{334D3211-FD03-40CD-BBD1-75548E2CA45D}"/>
    <cellStyle name="Comma 3 2 4 4" xfId="3765" xr:uid="{5E7AE8EA-D3CE-4B66-9644-FB89E2448B42}"/>
    <cellStyle name="Comma 3 2 4 4 2" xfId="9062" xr:uid="{D2030BAF-851F-44E8-9153-C43E966340C9}"/>
    <cellStyle name="Comma 3 2 4 5" xfId="6413" xr:uid="{FD41AD28-D67E-441B-AB26-4369FA51A865}"/>
    <cellStyle name="Comma 3 2 5" xfId="943" xr:uid="{D283B7F4-64A9-46B8-9736-09F5088944EC}"/>
    <cellStyle name="Comma 3 2 5 2" xfId="1496" xr:uid="{8EB06546-F939-496F-BB8A-32BEE9C1A7E2}"/>
    <cellStyle name="Comma 3 2 5 2 2" xfId="2836" xr:uid="{3BAD7550-3B2A-4D0B-8FC3-AF721A98A9F8}"/>
    <cellStyle name="Comma 3 2 5 2 2 2" xfId="5485" xr:uid="{EF1A2784-FF80-4E77-9F8E-5B2BFDED0736}"/>
    <cellStyle name="Comma 3 2 5 2 2 2 2" xfId="10782" xr:uid="{B11206E1-52B0-4864-94D6-53E9DAA57796}"/>
    <cellStyle name="Comma 3 2 5 2 2 3" xfId="8133" xr:uid="{CB6414C7-C3FF-47E3-BD74-9FF2A5F1FE48}"/>
    <cellStyle name="Comma 3 2 5 2 3" xfId="4161" xr:uid="{C0BEA86D-2F12-47FA-A5BC-2BE3DA2C9D80}"/>
    <cellStyle name="Comma 3 2 5 2 3 2" xfId="9458" xr:uid="{CEFDDDC1-13EB-4502-BF8F-6103FBC04FE1}"/>
    <cellStyle name="Comma 3 2 5 2 4" xfId="6809" xr:uid="{EE85EC05-373E-4ABA-82CB-3800CFE50E0D}"/>
    <cellStyle name="Comma 3 2 5 3" xfId="2308" xr:uid="{8B5B42CA-7403-484C-9097-59E04454810E}"/>
    <cellStyle name="Comma 3 2 5 3 2" xfId="4957" xr:uid="{AA63FA6F-72E9-4BF9-9AD9-F272BA54352F}"/>
    <cellStyle name="Comma 3 2 5 3 2 2" xfId="10254" xr:uid="{0749AC37-3186-4719-BB11-C76B0C2204E6}"/>
    <cellStyle name="Comma 3 2 5 3 3" xfId="7605" xr:uid="{3A459CF7-FA92-4E65-AC21-A539F5396868}"/>
    <cellStyle name="Comma 3 2 5 4" xfId="3633" xr:uid="{B959C381-1D93-490A-B39A-0A3A748AE2EA}"/>
    <cellStyle name="Comma 3 2 5 4 2" xfId="8930" xr:uid="{92CC56DC-0CB4-4EEE-A1E9-DE268BB6CBFA}"/>
    <cellStyle name="Comma 3 2 5 5" xfId="6281" xr:uid="{06F29423-7284-4050-AB70-49959C8B57E5}"/>
    <cellStyle name="Comma 3 2 6" xfId="1232" xr:uid="{9089921F-B55E-436C-BF0C-1E7C8776C5A5}"/>
    <cellStyle name="Comma 3 2 6 2" xfId="1760" xr:uid="{32229798-C761-4627-B4AC-1016C041F765}"/>
    <cellStyle name="Comma 3 2 6 2 2" xfId="3100" xr:uid="{A5A58EBF-8796-4403-B3FB-902679CE55AE}"/>
    <cellStyle name="Comma 3 2 6 2 2 2" xfId="5749" xr:uid="{3F90A30B-2C3A-455D-BEF5-7524ED7222B7}"/>
    <cellStyle name="Comma 3 2 6 2 2 2 2" xfId="11046" xr:uid="{8EA56716-A7B7-4B0B-9E62-6416844303F4}"/>
    <cellStyle name="Comma 3 2 6 2 2 3" xfId="8397" xr:uid="{4572759E-47F1-4D6D-9365-C2C4E45763C0}"/>
    <cellStyle name="Comma 3 2 6 2 3" xfId="4425" xr:uid="{95B30BB3-D823-43C9-BB79-02C34B165811}"/>
    <cellStyle name="Comma 3 2 6 2 3 2" xfId="9722" xr:uid="{645D8794-D3FE-43C8-9F61-4611B3A3580F}"/>
    <cellStyle name="Comma 3 2 6 2 4" xfId="7073" xr:uid="{A4696106-B536-4B2A-BEF2-43F955D96BDA}"/>
    <cellStyle name="Comma 3 2 6 3" xfId="2572" xr:uid="{5F9D46EB-9B4A-488A-BEAF-66CD80BAE5F3}"/>
    <cellStyle name="Comma 3 2 6 3 2" xfId="5221" xr:uid="{4C49DC9D-09D3-4BA0-8360-8D95C7749135}"/>
    <cellStyle name="Comma 3 2 6 3 2 2" xfId="10518" xr:uid="{6D81218B-0208-49E1-B84B-BA1DEF5D0C6A}"/>
    <cellStyle name="Comma 3 2 6 3 3" xfId="7869" xr:uid="{ADED8196-3F3D-4C96-9629-BFB658073F74}"/>
    <cellStyle name="Comma 3 2 6 4" xfId="3897" xr:uid="{BD7E7564-9853-4E56-9C59-CB3053E674E1}"/>
    <cellStyle name="Comma 3 2 6 4 2" xfId="9194" xr:uid="{AF16C2A7-2A5C-415D-9523-EBD7DED87EA0}"/>
    <cellStyle name="Comma 3 2 6 5" xfId="6545" xr:uid="{B631D570-EDC3-4163-9258-2623D34E7A84}"/>
    <cellStyle name="Comma 3 2 7" xfId="1364" xr:uid="{A298369F-94F2-4E11-AC58-84694E37259E}"/>
    <cellStyle name="Comma 3 2 7 2" xfId="1892" xr:uid="{4A3C840C-1A45-493F-A4CC-935F699D64CB}"/>
    <cellStyle name="Comma 3 2 7 2 2" xfId="3232" xr:uid="{124D4953-581C-4502-9221-E20FCFAFBC9C}"/>
    <cellStyle name="Comma 3 2 7 2 2 2" xfId="5881" xr:uid="{04140F58-29D8-4962-9A20-7988AC515060}"/>
    <cellStyle name="Comma 3 2 7 2 2 2 2" xfId="11178" xr:uid="{F25643BB-631F-4B73-B2D7-8B3129E065A0}"/>
    <cellStyle name="Comma 3 2 7 2 2 3" xfId="8529" xr:uid="{5FE1A24E-0728-4ED6-A23C-61CFD9B1DEC8}"/>
    <cellStyle name="Comma 3 2 7 2 3" xfId="4557" xr:uid="{00B36A0C-2BC1-43F8-BE5E-A2BD8D1A08CA}"/>
    <cellStyle name="Comma 3 2 7 2 3 2" xfId="9854" xr:uid="{A55339C6-8C09-4B53-8C01-A442302CF40E}"/>
    <cellStyle name="Comma 3 2 7 2 4" xfId="7205" xr:uid="{EFCFF53E-2E99-42AE-924C-92D8DA3DE07B}"/>
    <cellStyle name="Comma 3 2 7 3" xfId="2704" xr:uid="{429D0D17-686B-4118-B3C1-F14201F1B7AF}"/>
    <cellStyle name="Comma 3 2 7 3 2" xfId="5353" xr:uid="{EE6A3E1F-DB84-4417-8784-68A8F39C4093}"/>
    <cellStyle name="Comma 3 2 7 3 2 2" xfId="10650" xr:uid="{BAB60E07-AB20-465C-BFD6-5FA0D4A8C611}"/>
    <cellStyle name="Comma 3 2 7 3 3" xfId="8001" xr:uid="{86D08355-9C40-4C13-8189-6F8E59DB2F8A}"/>
    <cellStyle name="Comma 3 2 7 4" xfId="4029" xr:uid="{5032A571-61B4-4613-BDC4-EA0412456FB5}"/>
    <cellStyle name="Comma 3 2 7 4 2" xfId="9326" xr:uid="{72FF9BFB-0ACC-45C8-B3FF-DD02FD76411F}"/>
    <cellStyle name="Comma 3 2 7 5" xfId="6677" xr:uid="{4474CE04-488B-49A0-A343-8C322B68CDF9}"/>
    <cellStyle name="Comma 3 2 8" xfId="510" xr:uid="{CA5D4298-19B9-4EAC-895F-BC47AB24D80A}"/>
    <cellStyle name="Comma 3 2 8 2" xfId="2187" xr:uid="{F3101E3F-D0B7-4F7E-A0A1-9A75081324AA}"/>
    <cellStyle name="Comma 3 2 8 2 2" xfId="4836" xr:uid="{58B8F6E7-0D6D-44DD-A2A1-E466D8798E4C}"/>
    <cellStyle name="Comma 3 2 8 2 2 2" xfId="10133" xr:uid="{50890E6D-22AF-4D7E-AD60-4B10104C40FE}"/>
    <cellStyle name="Comma 3 2 8 2 3" xfId="7484" xr:uid="{16BE0D7F-4CFA-4F46-B294-D83F90D42BA5}"/>
    <cellStyle name="Comma 3 2 8 3" xfId="3512" xr:uid="{9443C838-8C3D-4579-BD5A-1363F9F88E9F}"/>
    <cellStyle name="Comma 3 2 8 3 2" xfId="8809" xr:uid="{FA1366A9-33AA-4D06-9AA9-2BE780D9CFA6}"/>
    <cellStyle name="Comma 3 2 8 4" xfId="6160" xr:uid="{6F15F678-1338-4351-9C72-75815D90C75C}"/>
    <cellStyle name="Comma 3 2 9" xfId="2060" xr:uid="{9D18F818-DEF3-4B72-AB16-DF544514B127}"/>
    <cellStyle name="Comma 3 2 9 2" xfId="4709" xr:uid="{43C4EC54-DEE1-4302-AA8A-833E31588C13}"/>
    <cellStyle name="Comma 3 2 9 2 2" xfId="10006" xr:uid="{8B9D9AA0-E80C-42A5-9580-A3A614995051}"/>
    <cellStyle name="Comma 3 2 9 3" xfId="7357" xr:uid="{99599DF5-C39E-48CE-83D1-CE8015662974}"/>
    <cellStyle name="Comma 3 3" xfId="109" xr:uid="{09202BB1-1F6D-40E4-8001-1D0E88AC774C}"/>
    <cellStyle name="Comma 3 3 10" xfId="2072" xr:uid="{9ECB1F8F-D37E-42D8-AD22-657D4C5C40F5}"/>
    <cellStyle name="Comma 3 3 10 2" xfId="4721" xr:uid="{649332BA-A9D3-4B6C-A4E2-C9CBD0A588F1}"/>
    <cellStyle name="Comma 3 3 10 2 2" xfId="10018" xr:uid="{273ABF79-86F3-48B1-BB23-14BFAC4660E8}"/>
    <cellStyle name="Comma 3 3 10 3" xfId="7369" xr:uid="{035EC84C-A556-4B0D-B1B5-798D58FCA38B}"/>
    <cellStyle name="Comma 3 3 11" xfId="3397" xr:uid="{40A5AC0F-9D6B-461A-9A7A-24CBB807763E}"/>
    <cellStyle name="Comma 3 3 11 2" xfId="8694" xr:uid="{6F0CE71F-00F2-4460-B371-836A3628398B}"/>
    <cellStyle name="Comma 3 3 12" xfId="6045" xr:uid="{AD77C530-2C63-414D-B0AA-9F3E21140729}"/>
    <cellStyle name="Comma 3 3 2" xfId="341" xr:uid="{60EF9111-5EE0-48D8-9C00-5BBC8A7B2C7A}"/>
    <cellStyle name="Comma 3 3 2 10" xfId="6112" xr:uid="{1E2ABC45-0131-45A5-9531-92C32FBFC0B9}"/>
    <cellStyle name="Comma 3 3 2 2" xfId="930" xr:uid="{3A5140A7-4376-4E8C-BCD2-07B53F880FCB}"/>
    <cellStyle name="Comma 3 3 2 2 2" xfId="1221" xr:uid="{92478AEB-857D-49F5-9D4B-47F048F7B987}"/>
    <cellStyle name="Comma 3 3 2 2 2 2" xfId="1749" xr:uid="{4351FCF8-51BD-49D5-8CB0-7ABAD0EA0B2F}"/>
    <cellStyle name="Comma 3 3 2 2 2 2 2" xfId="3089" xr:uid="{898610E5-1672-4AA2-BBD3-D105225C765E}"/>
    <cellStyle name="Comma 3 3 2 2 2 2 2 2" xfId="5738" xr:uid="{7B7E867F-6798-4C22-9DAD-2142D5CF916A}"/>
    <cellStyle name="Comma 3 3 2 2 2 2 2 2 2" xfId="11035" xr:uid="{D3BFF7B8-DFE6-4675-9945-02C45B81BD2D}"/>
    <cellStyle name="Comma 3 3 2 2 2 2 2 3" xfId="8386" xr:uid="{E5EE2E51-2D33-41A1-B4CD-1960E3141F3A}"/>
    <cellStyle name="Comma 3 3 2 2 2 2 3" xfId="4414" xr:uid="{DAEB8D00-05FF-4B00-AE28-7C95823CEC26}"/>
    <cellStyle name="Comma 3 3 2 2 2 2 3 2" xfId="9711" xr:uid="{10082947-F2BB-465E-9A63-D7BE67E5248E}"/>
    <cellStyle name="Comma 3 3 2 2 2 2 4" xfId="7062" xr:uid="{EE0EF04E-402A-4061-97DC-32A2EA6C511B}"/>
    <cellStyle name="Comma 3 3 2 2 2 3" xfId="2561" xr:uid="{29CF29FF-E5FC-4A61-8070-177E76E341BE}"/>
    <cellStyle name="Comma 3 3 2 2 2 3 2" xfId="5210" xr:uid="{79A92D02-9B28-4F67-980C-FCB5F11DCB2A}"/>
    <cellStyle name="Comma 3 3 2 2 2 3 2 2" xfId="10507" xr:uid="{69182046-838E-4331-AD3B-3A2EC95B2A19}"/>
    <cellStyle name="Comma 3 3 2 2 2 3 3" xfId="7858" xr:uid="{9CFCCEE4-2F0A-4CB2-BACA-32F7703267EE}"/>
    <cellStyle name="Comma 3 3 2 2 2 4" xfId="3886" xr:uid="{5733B754-C310-4EC4-9041-A305F9697AF2}"/>
    <cellStyle name="Comma 3 3 2 2 2 4 2" xfId="9183" xr:uid="{B40AA2DD-BA62-4A64-B795-BB0EC1CDC6EE}"/>
    <cellStyle name="Comma 3 3 2 2 2 5" xfId="6534" xr:uid="{EF095BB7-AE49-42D6-9BAE-E1706F14CBD2}"/>
    <cellStyle name="Comma 3 3 2 2 3" xfId="1078" xr:uid="{BC83F0DB-CB88-4915-BE72-865ACBA0FA4B}"/>
    <cellStyle name="Comma 3 3 2 2 3 2" xfId="1617" xr:uid="{6FCE1FC8-5E71-49C2-B55C-68CD786C7F98}"/>
    <cellStyle name="Comma 3 3 2 2 3 2 2" xfId="2957" xr:uid="{170FB747-56F2-4671-9EF9-2445A8366909}"/>
    <cellStyle name="Comma 3 3 2 2 3 2 2 2" xfId="5606" xr:uid="{0117469A-5381-490C-A5A5-2D2833589BB6}"/>
    <cellStyle name="Comma 3 3 2 2 3 2 2 2 2" xfId="10903" xr:uid="{0DB6D802-256D-4B4B-B68C-C430E6F995A3}"/>
    <cellStyle name="Comma 3 3 2 2 3 2 2 3" xfId="8254" xr:uid="{71CC8245-6930-4902-97EF-AB99388F4D89}"/>
    <cellStyle name="Comma 3 3 2 2 3 2 3" xfId="4282" xr:uid="{AE3ED101-58EB-480E-BFCB-7EC8125ADBCA}"/>
    <cellStyle name="Comma 3 3 2 2 3 2 3 2" xfId="9579" xr:uid="{2C81C636-2030-443B-AC7E-B25E0D59403F}"/>
    <cellStyle name="Comma 3 3 2 2 3 2 4" xfId="6930" xr:uid="{24674D17-0D44-4732-9693-9E87127E2B2C}"/>
    <cellStyle name="Comma 3 3 2 2 3 3" xfId="2429" xr:uid="{D5D5E69E-36B0-4AB0-925E-9117AAED4D66}"/>
    <cellStyle name="Comma 3 3 2 2 3 3 2" xfId="5078" xr:uid="{D3385B01-3E61-48E4-B718-FEB6EAD05FA7}"/>
    <cellStyle name="Comma 3 3 2 2 3 3 2 2" xfId="10375" xr:uid="{4DEBECDF-0E5A-4740-9FEC-885CC026A2E3}"/>
    <cellStyle name="Comma 3 3 2 2 3 3 3" xfId="7726" xr:uid="{40FB1F70-23F1-4FAA-BF99-B2CF0BBE2539}"/>
    <cellStyle name="Comma 3 3 2 2 3 4" xfId="3754" xr:uid="{8C80EB7C-8F40-497C-966B-2D9D54B73AAC}"/>
    <cellStyle name="Comma 3 3 2 2 3 4 2" xfId="9051" xr:uid="{399A0845-B4C6-41C5-922B-07ACDDD7DF51}"/>
    <cellStyle name="Comma 3 3 2 2 3 5" xfId="6402" xr:uid="{33534FC0-7ECD-4CAC-A806-BFCDBBDC11B4}"/>
    <cellStyle name="Comma 3 3 2 2 4" xfId="1353" xr:uid="{43DD7B91-03CB-4335-BF82-5601CA6B9130}"/>
    <cellStyle name="Comma 3 3 2 2 4 2" xfId="1881" xr:uid="{1F8964C5-03BC-49E2-BD45-0CD895247EEC}"/>
    <cellStyle name="Comma 3 3 2 2 4 2 2" xfId="3221" xr:uid="{79EACBB3-FB74-4F74-93B7-B0C56F9186FC}"/>
    <cellStyle name="Comma 3 3 2 2 4 2 2 2" xfId="5870" xr:uid="{FCD70468-9E11-467C-BFB3-8473973747FE}"/>
    <cellStyle name="Comma 3 3 2 2 4 2 2 2 2" xfId="11167" xr:uid="{95AB974B-4FB1-4595-A4F4-85AD2185EB65}"/>
    <cellStyle name="Comma 3 3 2 2 4 2 2 3" xfId="8518" xr:uid="{901DE485-2E80-448E-80D3-5216A64933EB}"/>
    <cellStyle name="Comma 3 3 2 2 4 2 3" xfId="4546" xr:uid="{5D319FC8-559F-4AA3-91EE-73576131D385}"/>
    <cellStyle name="Comma 3 3 2 2 4 2 3 2" xfId="9843" xr:uid="{9387572F-0755-40A5-8BC5-101F95E166CA}"/>
    <cellStyle name="Comma 3 3 2 2 4 2 4" xfId="7194" xr:uid="{0A19B634-AEF2-484D-ADF0-CC5E7500DE72}"/>
    <cellStyle name="Comma 3 3 2 2 4 3" xfId="2693" xr:uid="{64169F5B-7BE7-45BF-8ADA-6AF64F50D901}"/>
    <cellStyle name="Comma 3 3 2 2 4 3 2" xfId="5342" xr:uid="{20258A27-286A-40B4-8B37-2DD382B36BF6}"/>
    <cellStyle name="Comma 3 3 2 2 4 3 2 2" xfId="10639" xr:uid="{E378FA50-D2EE-4947-ACB8-8DEA6243CF47}"/>
    <cellStyle name="Comma 3 3 2 2 4 3 3" xfId="7990" xr:uid="{B8BCAD7F-0161-4ECB-B032-6DB57625B20C}"/>
    <cellStyle name="Comma 3 3 2 2 4 4" xfId="4018" xr:uid="{389C48FC-759F-4E72-A427-1C21B1433BD3}"/>
    <cellStyle name="Comma 3 3 2 2 4 4 2" xfId="9315" xr:uid="{DEB31556-07D9-4B9B-985E-6DF69B8C7776}"/>
    <cellStyle name="Comma 3 3 2 2 4 5" xfId="6666" xr:uid="{360FBAAE-986D-48B4-9A7B-6BD46507EB1E}"/>
    <cellStyle name="Comma 3 3 2 2 5" xfId="1485" xr:uid="{94086E6B-C40B-42BB-81FC-82F11F5546E1}"/>
    <cellStyle name="Comma 3 3 2 2 5 2" xfId="2013" xr:uid="{316637E9-D239-4537-8CAD-56C76780403D}"/>
    <cellStyle name="Comma 3 3 2 2 5 2 2" xfId="3353" xr:uid="{E42E593C-857E-4188-BBF3-4F6792942DDC}"/>
    <cellStyle name="Comma 3 3 2 2 5 2 2 2" xfId="6002" xr:uid="{C55A5B02-A8D0-4F7C-BBFE-1938AECB5979}"/>
    <cellStyle name="Comma 3 3 2 2 5 2 2 2 2" xfId="11299" xr:uid="{2E8662F9-055B-40D2-87A5-315913CABC8E}"/>
    <cellStyle name="Comma 3 3 2 2 5 2 2 3" xfId="8650" xr:uid="{7D4B3CDC-172D-4C12-887C-02D0689F516E}"/>
    <cellStyle name="Comma 3 3 2 2 5 2 3" xfId="4678" xr:uid="{263BA06F-6432-48F0-BA35-3C17383303F6}"/>
    <cellStyle name="Comma 3 3 2 2 5 2 3 2" xfId="9975" xr:uid="{B6BBA3C7-6E05-4C89-A743-17799BA03A18}"/>
    <cellStyle name="Comma 3 3 2 2 5 2 4" xfId="7326" xr:uid="{9F987408-B5D7-4CFE-992E-1BA18C6DAD5E}"/>
    <cellStyle name="Comma 3 3 2 2 5 3" xfId="2825" xr:uid="{5F65BE92-8334-4F8B-81A5-AB9CD8F51FBA}"/>
    <cellStyle name="Comma 3 3 2 2 5 3 2" xfId="5474" xr:uid="{094349F4-FE67-4A79-9ED0-21F431862710}"/>
    <cellStyle name="Comma 3 3 2 2 5 3 2 2" xfId="10771" xr:uid="{CD10E636-FECA-4B0F-A60A-B94F16703041}"/>
    <cellStyle name="Comma 3 3 2 2 5 3 3" xfId="8122" xr:uid="{162941F2-4559-4357-940D-5478B8FDB21E}"/>
    <cellStyle name="Comma 3 3 2 2 5 4" xfId="4150" xr:uid="{5341181F-159B-4421-A4FB-43B7E7F8C6EC}"/>
    <cellStyle name="Comma 3 3 2 2 5 4 2" xfId="9447" xr:uid="{27892670-31AC-41F5-9634-C1E971B50EAB}"/>
    <cellStyle name="Comma 3 3 2 2 5 5" xfId="6798" xr:uid="{FDCDA0D4-A884-4F28-A358-998C91B01FD5}"/>
    <cellStyle name="Comma 3 3 2 2 6" xfId="2297" xr:uid="{A2F5DE8D-03F2-48D7-916B-92F9A2021847}"/>
    <cellStyle name="Comma 3 3 2 2 6 2" xfId="4946" xr:uid="{BE490BE9-4B44-4E14-A2FB-44E96A335F3A}"/>
    <cellStyle name="Comma 3 3 2 2 6 2 2" xfId="10243" xr:uid="{69A93BDA-C234-4D7C-A606-F4C8635B3ED2}"/>
    <cellStyle name="Comma 3 3 2 2 6 3" xfId="7594" xr:uid="{2DBCD974-7943-4811-8CD2-9FA5A89B4C57}"/>
    <cellStyle name="Comma 3 3 2 2 7" xfId="3622" xr:uid="{27E9FDFA-B015-418E-8F17-DBC911BA1346}"/>
    <cellStyle name="Comma 3 3 2 2 7 2" xfId="8919" xr:uid="{5263589D-6348-4E24-BD05-7C4529359AA9}"/>
    <cellStyle name="Comma 3 3 2 2 8" xfId="6270" xr:uid="{2E133826-4A13-4D03-BFDC-E2FC773C9075}"/>
    <cellStyle name="Comma 3 3 2 3" xfId="1129" xr:uid="{7335CAC4-1836-45AE-B5DA-8ACA921C2647}"/>
    <cellStyle name="Comma 3 3 2 3 2" xfId="1663" xr:uid="{B3FBA9B3-AA93-425C-8E87-532E64D2E41A}"/>
    <cellStyle name="Comma 3 3 2 3 2 2" xfId="3003" xr:uid="{5A3F9AB4-A893-4B29-88CE-DD30C06DCBF8}"/>
    <cellStyle name="Comma 3 3 2 3 2 2 2" xfId="5652" xr:uid="{8C6CF951-02DF-4DAC-ADE8-901B9345FA6D}"/>
    <cellStyle name="Comma 3 3 2 3 2 2 2 2" xfId="10949" xr:uid="{75BB15EA-C0DA-4442-BF1B-00D1DE9C6214}"/>
    <cellStyle name="Comma 3 3 2 3 2 2 3" xfId="8300" xr:uid="{FFDA4DE4-EFAF-4C8B-B5A2-1B60990D7865}"/>
    <cellStyle name="Comma 3 3 2 3 2 3" xfId="4328" xr:uid="{3CC7E29B-FEBE-4B50-AAE3-B2C271100138}"/>
    <cellStyle name="Comma 3 3 2 3 2 3 2" xfId="9625" xr:uid="{A4848E34-5A92-47DE-A28A-E2525611A0C3}"/>
    <cellStyle name="Comma 3 3 2 3 2 4" xfId="6976" xr:uid="{220875AC-D809-44A8-B110-B2E957BBDB6B}"/>
    <cellStyle name="Comma 3 3 2 3 3" xfId="2475" xr:uid="{5694E695-F18A-4E82-B8A6-00498AD2AF1E}"/>
    <cellStyle name="Comma 3 3 2 3 3 2" xfId="5124" xr:uid="{6971AB26-6FEC-4490-A783-D067BF4B09ED}"/>
    <cellStyle name="Comma 3 3 2 3 3 2 2" xfId="10421" xr:uid="{D29294E4-9515-4751-83BB-616EF939D461}"/>
    <cellStyle name="Comma 3 3 2 3 3 3" xfId="7772" xr:uid="{FC3ECEE9-8A84-4381-A582-3D8A13E64E0C}"/>
    <cellStyle name="Comma 3 3 2 3 4" xfId="3800" xr:uid="{C7BD3CAF-3037-4FB3-BF69-8D9B09473066}"/>
    <cellStyle name="Comma 3 3 2 3 4 2" xfId="9097" xr:uid="{4CFDE87F-3C0D-4145-A415-886361DE4A73}"/>
    <cellStyle name="Comma 3 3 2 3 5" xfId="6448" xr:uid="{4BF40340-0A40-4A66-895B-246700E462EA}"/>
    <cellStyle name="Comma 3 3 2 4" xfId="983" xr:uid="{7DBAB2F9-93DB-4BDE-B99D-299511D1652B}"/>
    <cellStyle name="Comma 3 3 2 4 2" xfId="1531" xr:uid="{7C78682E-CDDA-4A86-92EF-548D4FD746DD}"/>
    <cellStyle name="Comma 3 3 2 4 2 2" xfId="2871" xr:uid="{956D2371-FC42-4E5F-A6D0-DE46C891D063}"/>
    <cellStyle name="Comma 3 3 2 4 2 2 2" xfId="5520" xr:uid="{F20E037E-7B13-480B-AC3A-D96537176915}"/>
    <cellStyle name="Comma 3 3 2 4 2 2 2 2" xfId="10817" xr:uid="{C127D941-1BEC-4123-BF3A-A40DEB68DF63}"/>
    <cellStyle name="Comma 3 3 2 4 2 2 3" xfId="8168" xr:uid="{AF6B0F4F-AA19-4032-B29E-2914E9AE0BED}"/>
    <cellStyle name="Comma 3 3 2 4 2 3" xfId="4196" xr:uid="{239A34B4-EC60-4DB6-A5AF-B4256E845677}"/>
    <cellStyle name="Comma 3 3 2 4 2 3 2" xfId="9493" xr:uid="{D20F86A5-CC2B-4D47-9411-5C4DBEF86671}"/>
    <cellStyle name="Comma 3 3 2 4 2 4" xfId="6844" xr:uid="{2F21ED52-3B55-42FC-AC67-33BC50FB6436}"/>
    <cellStyle name="Comma 3 3 2 4 3" xfId="2343" xr:uid="{00B7B5AD-BBB1-4448-8096-0EAEB24D4EA6}"/>
    <cellStyle name="Comma 3 3 2 4 3 2" xfId="4992" xr:uid="{4F6DBF0F-1CBE-4CF9-97F4-886E13540AF3}"/>
    <cellStyle name="Comma 3 3 2 4 3 2 2" xfId="10289" xr:uid="{EC0C07F1-F23D-43FC-A426-60C575F7C708}"/>
    <cellStyle name="Comma 3 3 2 4 3 3" xfId="7640" xr:uid="{C3623513-1690-46B7-8B4B-9233535C7D78}"/>
    <cellStyle name="Comma 3 3 2 4 4" xfId="3668" xr:uid="{D2D983F3-F10B-4D73-810D-5EE1127E6DD1}"/>
    <cellStyle name="Comma 3 3 2 4 4 2" xfId="8965" xr:uid="{59FA92B6-1969-45D5-8065-B06FCE995226}"/>
    <cellStyle name="Comma 3 3 2 4 5" xfId="6316" xr:uid="{596EC7C9-E77D-4211-A0A2-2994F58F3BF7}"/>
    <cellStyle name="Comma 3 3 2 5" xfId="1267" xr:uid="{32EA0757-E65C-42D8-960F-A3899DD80E7F}"/>
    <cellStyle name="Comma 3 3 2 5 2" xfId="1795" xr:uid="{97D3F555-2FD8-48E5-A861-C98EB6B8A204}"/>
    <cellStyle name="Comma 3 3 2 5 2 2" xfId="3135" xr:uid="{E6263971-F9B3-42B4-ACD3-9832D2E7896D}"/>
    <cellStyle name="Comma 3 3 2 5 2 2 2" xfId="5784" xr:uid="{BEEE9097-5E37-4E5C-8936-F95CB597298A}"/>
    <cellStyle name="Comma 3 3 2 5 2 2 2 2" xfId="11081" xr:uid="{785FB810-7EBC-4A59-951A-FD0741B19674}"/>
    <cellStyle name="Comma 3 3 2 5 2 2 3" xfId="8432" xr:uid="{27FBC58C-11B2-407C-A79C-C156DE836C7A}"/>
    <cellStyle name="Comma 3 3 2 5 2 3" xfId="4460" xr:uid="{4D721CE3-571B-4663-8B99-82E5A57E066F}"/>
    <cellStyle name="Comma 3 3 2 5 2 3 2" xfId="9757" xr:uid="{B5C09726-B7F1-40BB-BDC2-A7CB60AECC71}"/>
    <cellStyle name="Comma 3 3 2 5 2 4" xfId="7108" xr:uid="{EAA56878-E41D-4E2D-8C43-01F9118D0C57}"/>
    <cellStyle name="Comma 3 3 2 5 3" xfId="2607" xr:uid="{BF7A88F9-3CAB-4390-9A60-C9258F6D45D6}"/>
    <cellStyle name="Comma 3 3 2 5 3 2" xfId="5256" xr:uid="{571707DC-7298-4C04-8CB9-153F6BD18490}"/>
    <cellStyle name="Comma 3 3 2 5 3 2 2" xfId="10553" xr:uid="{4A86F360-E979-4C35-8DC3-11A07E9ECC7D}"/>
    <cellStyle name="Comma 3 3 2 5 3 3" xfId="7904" xr:uid="{ABD71354-D807-4AF1-9950-15382617322D}"/>
    <cellStyle name="Comma 3 3 2 5 4" xfId="3932" xr:uid="{A5FF329B-DDCF-47EA-8416-195C139115E4}"/>
    <cellStyle name="Comma 3 3 2 5 4 2" xfId="9229" xr:uid="{308BA54B-1957-466D-8F1C-61E0644BFA31}"/>
    <cellStyle name="Comma 3 3 2 5 5" xfId="6580" xr:uid="{2893844D-46C2-4848-BECF-DABF32FEC307}"/>
    <cellStyle name="Comma 3 3 2 6" xfId="1399" xr:uid="{68FA0F60-F17B-4D02-AAEA-4492BBAF0035}"/>
    <cellStyle name="Comma 3 3 2 6 2" xfId="1927" xr:uid="{0D26226B-129D-4715-975D-D3C5C945DC46}"/>
    <cellStyle name="Comma 3 3 2 6 2 2" xfId="3267" xr:uid="{1CE938E4-1320-47C9-B7DB-90684AC4B18A}"/>
    <cellStyle name="Comma 3 3 2 6 2 2 2" xfId="5916" xr:uid="{E38102C4-D878-4F15-A3A6-9449171D28B1}"/>
    <cellStyle name="Comma 3 3 2 6 2 2 2 2" xfId="11213" xr:uid="{161EAC73-804A-4596-8798-0DEF6D260D0C}"/>
    <cellStyle name="Comma 3 3 2 6 2 2 3" xfId="8564" xr:uid="{C888FC5E-8DA0-4794-AAEE-BE9B27AEFB46}"/>
    <cellStyle name="Comma 3 3 2 6 2 3" xfId="4592" xr:uid="{62B3C13A-5FEF-4432-B7F1-EC4D3B03C909}"/>
    <cellStyle name="Comma 3 3 2 6 2 3 2" xfId="9889" xr:uid="{C401E630-018A-4A54-ACD0-C1645F29DC56}"/>
    <cellStyle name="Comma 3 3 2 6 2 4" xfId="7240" xr:uid="{7665C640-8B5A-4D3C-B209-7E9CDFB3399C}"/>
    <cellStyle name="Comma 3 3 2 6 3" xfId="2739" xr:uid="{9074828D-0772-4CD3-9627-6CD1B13D2034}"/>
    <cellStyle name="Comma 3 3 2 6 3 2" xfId="5388" xr:uid="{83760F43-3168-4185-9C43-B45D7D14E98C}"/>
    <cellStyle name="Comma 3 3 2 6 3 2 2" xfId="10685" xr:uid="{DC00AC01-9A1A-4AED-989F-CA7930B33DAD}"/>
    <cellStyle name="Comma 3 3 2 6 3 3" xfId="8036" xr:uid="{D471D24B-D982-499B-B4AC-A3754C81E93A}"/>
    <cellStyle name="Comma 3 3 2 6 4" xfId="4064" xr:uid="{4204B878-DD3F-4038-B651-703B477D1E3B}"/>
    <cellStyle name="Comma 3 3 2 6 4 2" xfId="9361" xr:uid="{A0531EF2-723D-41F1-8EF3-5524D1E555ED}"/>
    <cellStyle name="Comma 3 3 2 6 5" xfId="6712" xr:uid="{A3A7D9EE-4984-4748-8A83-0FAE9A4D5960}"/>
    <cellStyle name="Comma 3 3 2 7" xfId="655" xr:uid="{CCF127BC-3BAF-40B2-9393-E4906872C509}"/>
    <cellStyle name="Comma 3 3 2 7 2" xfId="2215" xr:uid="{C170181F-F540-4DDC-9718-C5736B87DBE4}"/>
    <cellStyle name="Comma 3 3 2 7 2 2" xfId="4864" xr:uid="{2FB40251-0593-4A03-9051-FFC574F36B87}"/>
    <cellStyle name="Comma 3 3 2 7 2 2 2" xfId="10161" xr:uid="{CEBB18F2-D21B-4393-9475-5976D3396440}"/>
    <cellStyle name="Comma 3 3 2 7 2 3" xfId="7512" xr:uid="{5BCB3E02-83A8-4616-8B68-D07CDDBC4747}"/>
    <cellStyle name="Comma 3 3 2 7 3" xfId="3540" xr:uid="{E9AC34C4-1AB3-40F0-B0C4-5BE8F6D05D61}"/>
    <cellStyle name="Comma 3 3 2 7 3 2" xfId="8837" xr:uid="{52D22A0D-0A9A-442A-A760-5DDD95EF26E8}"/>
    <cellStyle name="Comma 3 3 2 7 4" xfId="6188" xr:uid="{6BDA7393-0349-46FE-9143-DA80567E598B}"/>
    <cellStyle name="Comma 3 3 2 8" xfId="2139" xr:uid="{22813158-EB78-42E9-AC54-85012A37302B}"/>
    <cellStyle name="Comma 3 3 2 8 2" xfId="4788" xr:uid="{0C460904-ED64-4ABF-A43C-821B8A101A76}"/>
    <cellStyle name="Comma 3 3 2 8 2 2" xfId="10085" xr:uid="{A3219C2C-5973-4B28-8A9F-57D30507535E}"/>
    <cellStyle name="Comma 3 3 2 8 3" xfId="7436" xr:uid="{EF82CC7E-A642-4E2B-B78E-30ACA7C60446}"/>
    <cellStyle name="Comma 3 3 2 9" xfId="3464" xr:uid="{957D6C47-757E-4BE2-98D6-2EBCD954EF8F}"/>
    <cellStyle name="Comma 3 3 2 9 2" xfId="8761" xr:uid="{505D3445-9659-45D5-9B51-659FDDFBA3A6}"/>
    <cellStyle name="Comma 3 3 3" xfId="888" xr:uid="{BF9C845F-172D-40AC-B6DE-7050560B71FF}"/>
    <cellStyle name="Comma 3 3 3 2" xfId="1198" xr:uid="{821AA313-F62F-422F-A5E8-24DAE37BD4F6}"/>
    <cellStyle name="Comma 3 3 3 2 2" xfId="1726" xr:uid="{1261A9FF-68B4-486D-A47F-AED527054C23}"/>
    <cellStyle name="Comma 3 3 3 2 2 2" xfId="3066" xr:uid="{8DF79050-A4E9-40E6-8F19-7CF3EE5CA41E}"/>
    <cellStyle name="Comma 3 3 3 2 2 2 2" xfId="5715" xr:uid="{CF5AE6D7-DA50-44D6-8C91-6462D5CEFF19}"/>
    <cellStyle name="Comma 3 3 3 2 2 2 2 2" xfId="11012" xr:uid="{8402B6DF-388C-4C69-90DC-8932B4DA3755}"/>
    <cellStyle name="Comma 3 3 3 2 2 2 3" xfId="8363" xr:uid="{520023F0-D8DA-4517-AE59-A76FCA2F441A}"/>
    <cellStyle name="Comma 3 3 3 2 2 3" xfId="4391" xr:uid="{56AC6AAA-F0FE-4EDB-97BE-035D5929E616}"/>
    <cellStyle name="Comma 3 3 3 2 2 3 2" xfId="9688" xr:uid="{89D219E9-5B49-43C4-A84E-739949E3FDC2}"/>
    <cellStyle name="Comma 3 3 3 2 2 4" xfId="7039" xr:uid="{314651D8-6799-4252-874A-C856B4B82D44}"/>
    <cellStyle name="Comma 3 3 3 2 3" xfId="2538" xr:uid="{79D545A1-188A-4E2F-8518-C1EA0916CA34}"/>
    <cellStyle name="Comma 3 3 3 2 3 2" xfId="5187" xr:uid="{8A82521E-0ADC-4D1D-9746-390FB676CAD4}"/>
    <cellStyle name="Comma 3 3 3 2 3 2 2" xfId="10484" xr:uid="{908F63EA-0E86-4214-8C83-C9C4BA8AC6CE}"/>
    <cellStyle name="Comma 3 3 3 2 3 3" xfId="7835" xr:uid="{924E5FE8-CEBE-4332-91CA-757F3F691136}"/>
    <cellStyle name="Comma 3 3 3 2 4" xfId="3863" xr:uid="{E5F061D7-D139-485B-A195-66265F0229C4}"/>
    <cellStyle name="Comma 3 3 3 2 4 2" xfId="9160" xr:uid="{B162574E-2652-43CC-9004-ED14EEF6B0B4}"/>
    <cellStyle name="Comma 3 3 3 2 5" xfId="6511" xr:uid="{B25C4340-BB0A-4FA9-A780-56D31A553735}"/>
    <cellStyle name="Comma 3 3 3 3" xfId="1055" xr:uid="{C3D970EC-2B06-48D0-86EA-07D8AEBD1079}"/>
    <cellStyle name="Comma 3 3 3 3 2" xfId="1594" xr:uid="{36182F90-C295-40BD-A7DB-4AFE8ADA6250}"/>
    <cellStyle name="Comma 3 3 3 3 2 2" xfId="2934" xr:uid="{2C82DCE2-28DF-46FA-8099-997D35B175DF}"/>
    <cellStyle name="Comma 3 3 3 3 2 2 2" xfId="5583" xr:uid="{68D12472-4808-4E07-8A0A-CA7E12D27C6E}"/>
    <cellStyle name="Comma 3 3 3 3 2 2 2 2" xfId="10880" xr:uid="{5D6BA618-E9D8-4DB1-AC2C-0516DEDF3DF2}"/>
    <cellStyle name="Comma 3 3 3 3 2 2 3" xfId="8231" xr:uid="{75BA7816-EFB9-443D-A9CA-78D74F0A70F5}"/>
    <cellStyle name="Comma 3 3 3 3 2 3" xfId="4259" xr:uid="{45D7F633-B539-445E-BFB2-3FB2CC46F7DC}"/>
    <cellStyle name="Comma 3 3 3 3 2 3 2" xfId="9556" xr:uid="{A42E6F53-E2DE-4147-BD7D-4FF99D4CBC93}"/>
    <cellStyle name="Comma 3 3 3 3 2 4" xfId="6907" xr:uid="{80CF213C-85A7-47FE-B10D-99D8183DB390}"/>
    <cellStyle name="Comma 3 3 3 3 3" xfId="2406" xr:uid="{A83B6221-6B05-4CF6-BDEE-09A46A031672}"/>
    <cellStyle name="Comma 3 3 3 3 3 2" xfId="5055" xr:uid="{CB7892CD-45A2-4217-AA1E-8B494380AF77}"/>
    <cellStyle name="Comma 3 3 3 3 3 2 2" xfId="10352" xr:uid="{4BC6EC97-C330-4D8F-B0CE-D372B3D01898}"/>
    <cellStyle name="Comma 3 3 3 3 3 3" xfId="7703" xr:uid="{4E14CBDF-1C74-4185-85E0-8269BDC38F6A}"/>
    <cellStyle name="Comma 3 3 3 3 4" xfId="3731" xr:uid="{FDB8FF7C-E8E5-4E74-BC4A-9D05D0ADDD0A}"/>
    <cellStyle name="Comma 3 3 3 3 4 2" xfId="9028" xr:uid="{17C5A16B-5A16-4760-953C-6EC5707CE23B}"/>
    <cellStyle name="Comma 3 3 3 3 5" xfId="6379" xr:uid="{F1C8E322-F01C-47A9-91DE-19D60C8CF14B}"/>
    <cellStyle name="Comma 3 3 3 4" xfId="1330" xr:uid="{2740ED7C-AE47-4ECC-BEE1-B7ECE6CB13DE}"/>
    <cellStyle name="Comma 3 3 3 4 2" xfId="1858" xr:uid="{2544EBD9-0DE2-4419-8A79-90166C563628}"/>
    <cellStyle name="Comma 3 3 3 4 2 2" xfId="3198" xr:uid="{2BFB685D-87DE-47BF-96E5-DE73230D2568}"/>
    <cellStyle name="Comma 3 3 3 4 2 2 2" xfId="5847" xr:uid="{8390A316-81A4-457D-B767-BABC5F75233C}"/>
    <cellStyle name="Comma 3 3 3 4 2 2 2 2" xfId="11144" xr:uid="{06F196C4-5BBA-4D3F-9451-DFF51CBF2A4D}"/>
    <cellStyle name="Comma 3 3 3 4 2 2 3" xfId="8495" xr:uid="{9C7DA92B-162A-43EB-ABFF-995DFB76DABC}"/>
    <cellStyle name="Comma 3 3 3 4 2 3" xfId="4523" xr:uid="{A3104AA2-95EC-40C3-8106-3119D5B47D8E}"/>
    <cellStyle name="Comma 3 3 3 4 2 3 2" xfId="9820" xr:uid="{78C37F7D-7C0C-4E8F-A0C2-ABBF91E3DF95}"/>
    <cellStyle name="Comma 3 3 3 4 2 4" xfId="7171" xr:uid="{92FCAA61-7F08-4737-989C-4BAC6D233041}"/>
    <cellStyle name="Comma 3 3 3 4 3" xfId="2670" xr:uid="{1214FFD3-D05A-4C11-88A4-B0405E149C59}"/>
    <cellStyle name="Comma 3 3 3 4 3 2" xfId="5319" xr:uid="{F3E7F6DD-CC49-4D97-9CFC-960F555AEF15}"/>
    <cellStyle name="Comma 3 3 3 4 3 2 2" xfId="10616" xr:uid="{5B927D7C-45D8-4AB1-9DE7-01686457541F}"/>
    <cellStyle name="Comma 3 3 3 4 3 3" xfId="7967" xr:uid="{3D6A6A0B-8BD9-4B69-8179-73A98271F761}"/>
    <cellStyle name="Comma 3 3 3 4 4" xfId="3995" xr:uid="{EB4727CD-5F85-41A2-983A-ADC56D36FD8F}"/>
    <cellStyle name="Comma 3 3 3 4 4 2" xfId="9292" xr:uid="{0D6F9BEA-CC26-42DF-BBE4-FFEC3B3006F0}"/>
    <cellStyle name="Comma 3 3 3 4 5" xfId="6643" xr:uid="{AC24C92F-726A-4B9A-944F-31155E5689A0}"/>
    <cellStyle name="Comma 3 3 3 5" xfId="1462" xr:uid="{627B533F-370B-4C6F-B091-6BB768C0B811}"/>
    <cellStyle name="Comma 3 3 3 5 2" xfId="1990" xr:uid="{BDFB1D84-99A0-4B52-9EB3-8CAC76A1399B}"/>
    <cellStyle name="Comma 3 3 3 5 2 2" xfId="3330" xr:uid="{6CD370F3-0ECF-4BA9-BFD6-B9720958A8B7}"/>
    <cellStyle name="Comma 3 3 3 5 2 2 2" xfId="5979" xr:uid="{B7138B7A-91D2-4C70-B5EF-38A784B6D8E4}"/>
    <cellStyle name="Comma 3 3 3 5 2 2 2 2" xfId="11276" xr:uid="{67614A3E-372C-4640-BDC5-78A8CD1D6B90}"/>
    <cellStyle name="Comma 3 3 3 5 2 2 3" xfId="8627" xr:uid="{1413D9F1-BD9B-4A2A-8376-1ED9A00411A9}"/>
    <cellStyle name="Comma 3 3 3 5 2 3" xfId="4655" xr:uid="{DAABF4C4-B9D7-41B4-B00B-E0B904576BB4}"/>
    <cellStyle name="Comma 3 3 3 5 2 3 2" xfId="9952" xr:uid="{8B67C2DF-BB06-48C3-89BA-EF28A6128D63}"/>
    <cellStyle name="Comma 3 3 3 5 2 4" xfId="7303" xr:uid="{8F4B192F-2411-4B64-9789-D4CC1FE541E5}"/>
    <cellStyle name="Comma 3 3 3 5 3" xfId="2802" xr:uid="{F46531C0-9618-4DBB-82A0-4F09F4FBBE8E}"/>
    <cellStyle name="Comma 3 3 3 5 3 2" xfId="5451" xr:uid="{280B4D71-E534-4D18-AF6C-CF334136520F}"/>
    <cellStyle name="Comma 3 3 3 5 3 2 2" xfId="10748" xr:uid="{D8007556-551A-46FE-930D-52174C925791}"/>
    <cellStyle name="Comma 3 3 3 5 3 3" xfId="8099" xr:uid="{4ADB0EA7-A0C3-4FAC-BE12-016664780070}"/>
    <cellStyle name="Comma 3 3 3 5 4" xfId="4127" xr:uid="{2AFB7B47-7B61-4C55-BD4A-C531E53C6E3C}"/>
    <cellStyle name="Comma 3 3 3 5 4 2" xfId="9424" xr:uid="{8594813A-A408-4464-AEC1-BCAE50EE1A8D}"/>
    <cellStyle name="Comma 3 3 3 5 5" xfId="6775" xr:uid="{E1599DA5-7C9D-4214-A5C5-3227C3E7ED3D}"/>
    <cellStyle name="Comma 3 3 3 6" xfId="2276" xr:uid="{FB1ADBD4-2CBC-4A4A-B565-258669A97BC6}"/>
    <cellStyle name="Comma 3 3 3 6 2" xfId="4925" xr:uid="{AF2A3465-D8CF-4AA0-9CE5-5A4503AC9BAF}"/>
    <cellStyle name="Comma 3 3 3 6 2 2" xfId="10222" xr:uid="{37ADF03C-FFA4-4A48-ABCE-3CD6A8AAACF7}"/>
    <cellStyle name="Comma 3 3 3 6 3" xfId="7573" xr:uid="{43803F1E-4551-48E2-BFED-60041977AD17}"/>
    <cellStyle name="Comma 3 3 3 7" xfId="3601" xr:uid="{4F49C904-D839-43F0-A3DC-995EC950D699}"/>
    <cellStyle name="Comma 3 3 3 7 2" xfId="8898" xr:uid="{502859E3-6ACA-43B8-AAD2-7458F2EC38CA}"/>
    <cellStyle name="Comma 3 3 3 8" xfId="6249" xr:uid="{76D6A2A0-902D-483B-B3D2-86251983F0BA}"/>
    <cellStyle name="Comma 3 3 4" xfId="689" xr:uid="{E9C56769-CBE9-477D-80E9-ECD0D844C4BE}"/>
    <cellStyle name="Comma 3 3 5" xfId="1106" xr:uid="{73FBAAF3-4826-4676-BE22-6550A6920E87}"/>
    <cellStyle name="Comma 3 3 5 2" xfId="1640" xr:uid="{EA5765C7-06AF-4E01-9B7C-8A935B9AF659}"/>
    <cellStyle name="Comma 3 3 5 2 2" xfId="2980" xr:uid="{9A65A1E7-7EF9-4CCA-9B3D-8B21803F3471}"/>
    <cellStyle name="Comma 3 3 5 2 2 2" xfId="5629" xr:uid="{5BACFB2C-4E5E-4E69-B9B3-A08D072D75A8}"/>
    <cellStyle name="Comma 3 3 5 2 2 2 2" xfId="10926" xr:uid="{BAADAFC3-1818-4908-B9EB-B01B4E79A8AD}"/>
    <cellStyle name="Comma 3 3 5 2 2 3" xfId="8277" xr:uid="{2D134B22-C68E-4725-855C-B7ACCD94AA6E}"/>
    <cellStyle name="Comma 3 3 5 2 3" xfId="4305" xr:uid="{074DC212-B447-4141-B6E3-56B2C6E860BA}"/>
    <cellStyle name="Comma 3 3 5 2 3 2" xfId="9602" xr:uid="{7DAC7D6A-E137-4278-8751-DCC1A0E02D23}"/>
    <cellStyle name="Comma 3 3 5 2 4" xfId="6953" xr:uid="{B7FB08AF-6455-422C-AD35-E1B9885B8475}"/>
    <cellStyle name="Comma 3 3 5 3" xfId="2452" xr:uid="{F736FD15-DFB2-4B80-9013-9BB070B24586}"/>
    <cellStyle name="Comma 3 3 5 3 2" xfId="5101" xr:uid="{A1FF8CAF-526C-4362-A078-BFD3C9416FCC}"/>
    <cellStyle name="Comma 3 3 5 3 2 2" xfId="10398" xr:uid="{5BF05E34-84CD-4FAE-A922-0CF6A3461E82}"/>
    <cellStyle name="Comma 3 3 5 3 3" xfId="7749" xr:uid="{35D34120-8705-45C3-B6C5-0F56BC51D0C4}"/>
    <cellStyle name="Comma 3 3 5 4" xfId="3777" xr:uid="{99C1BF1A-8352-4E92-9315-A69BDED9D0F8}"/>
    <cellStyle name="Comma 3 3 5 4 2" xfId="9074" xr:uid="{3466A4F0-F25C-47D3-952D-425CD7092935}"/>
    <cellStyle name="Comma 3 3 5 5" xfId="6425" xr:uid="{9D3E3F4C-1AA7-4777-A834-AF084435CD2B}"/>
    <cellStyle name="Comma 3 3 6" xfId="960" xr:uid="{C52C5E5C-ECAB-4B3F-96D3-3CD5A512392D}"/>
    <cellStyle name="Comma 3 3 6 2" xfId="1508" xr:uid="{D5512D3C-5F2D-4509-B9EB-97B83851B181}"/>
    <cellStyle name="Comma 3 3 6 2 2" xfId="2848" xr:uid="{6A0D829E-CCFF-40D3-8E8E-7F52D08C1327}"/>
    <cellStyle name="Comma 3 3 6 2 2 2" xfId="5497" xr:uid="{66B3B2F6-E58B-49B2-B419-EE57A26E09F1}"/>
    <cellStyle name="Comma 3 3 6 2 2 2 2" xfId="10794" xr:uid="{41ED2373-06D7-45AA-929A-F745DD597926}"/>
    <cellStyle name="Comma 3 3 6 2 2 3" xfId="8145" xr:uid="{3BD868E6-5055-4E26-AE2E-C50AD3F13BE8}"/>
    <cellStyle name="Comma 3 3 6 2 3" xfId="4173" xr:uid="{7B6CB29E-E94E-476C-B3CE-599FEBB6C4C8}"/>
    <cellStyle name="Comma 3 3 6 2 3 2" xfId="9470" xr:uid="{FEDDDA0D-7CB0-472A-97D7-24836438A82D}"/>
    <cellStyle name="Comma 3 3 6 2 4" xfId="6821" xr:uid="{C38CC880-41DE-4B24-A327-B4304CF20FC3}"/>
    <cellStyle name="Comma 3 3 6 3" xfId="2320" xr:uid="{8F3DBB42-CDA1-485F-96A5-273B394D1337}"/>
    <cellStyle name="Comma 3 3 6 3 2" xfId="4969" xr:uid="{28F72A33-0962-4E9A-BE22-9F5F18C72E04}"/>
    <cellStyle name="Comma 3 3 6 3 2 2" xfId="10266" xr:uid="{45C57CE8-B642-495C-8D16-AAECE03B5832}"/>
    <cellStyle name="Comma 3 3 6 3 3" xfId="7617" xr:uid="{FFD938E3-6A6A-4FF9-920C-683EEF4C98B4}"/>
    <cellStyle name="Comma 3 3 6 4" xfId="3645" xr:uid="{ACEE991F-A842-4AAF-B1AD-47F79CA2E949}"/>
    <cellStyle name="Comma 3 3 6 4 2" xfId="8942" xr:uid="{A873EDE4-A680-45AF-977F-FC306BAB3C61}"/>
    <cellStyle name="Comma 3 3 6 5" xfId="6293" xr:uid="{732B28F9-D304-46E5-B61A-D8D465DABE35}"/>
    <cellStyle name="Comma 3 3 7" xfId="1244" xr:uid="{2513218D-0E51-41B5-AB99-266FC9BC833F}"/>
    <cellStyle name="Comma 3 3 7 2" xfId="1772" xr:uid="{2A27B381-EF07-44C9-83E4-354272615813}"/>
    <cellStyle name="Comma 3 3 7 2 2" xfId="3112" xr:uid="{E9048E63-1867-41B3-A21D-093B5C5D5907}"/>
    <cellStyle name="Comma 3 3 7 2 2 2" xfId="5761" xr:uid="{0B9380C7-E58D-4C81-BC3B-B866D4512C5A}"/>
    <cellStyle name="Comma 3 3 7 2 2 2 2" xfId="11058" xr:uid="{FC882E6E-D63E-4047-8536-84743913BDBB}"/>
    <cellStyle name="Comma 3 3 7 2 2 3" xfId="8409" xr:uid="{438DBB50-4711-42E4-AD7A-47B4F7A55677}"/>
    <cellStyle name="Comma 3 3 7 2 3" xfId="4437" xr:uid="{009680AF-61E1-4D8C-9782-ABA5F742A0A4}"/>
    <cellStyle name="Comma 3 3 7 2 3 2" xfId="9734" xr:uid="{DBBE2917-687F-4178-99CA-925658227266}"/>
    <cellStyle name="Comma 3 3 7 2 4" xfId="7085" xr:uid="{E3FC5084-F0BC-488E-B93D-EBCC46AF81DD}"/>
    <cellStyle name="Comma 3 3 7 3" xfId="2584" xr:uid="{46C7FC3C-0156-4B45-88F6-DF9C396C0A8F}"/>
    <cellStyle name="Comma 3 3 7 3 2" xfId="5233" xr:uid="{FFA251A9-3A9F-4A6C-A931-61427D25464A}"/>
    <cellStyle name="Comma 3 3 7 3 2 2" xfId="10530" xr:uid="{D7DC2169-7EEB-4132-A2A1-9E376ED0B10D}"/>
    <cellStyle name="Comma 3 3 7 3 3" xfId="7881" xr:uid="{068E86ED-32F5-40C3-8253-E91C66F118D9}"/>
    <cellStyle name="Comma 3 3 7 4" xfId="3909" xr:uid="{4E1144A4-1EAB-4447-971C-88D09D6AD6E3}"/>
    <cellStyle name="Comma 3 3 7 4 2" xfId="9206" xr:uid="{FADF73D5-2CED-4F8A-A22F-7D4923F39552}"/>
    <cellStyle name="Comma 3 3 7 5" xfId="6557" xr:uid="{16E8BE55-7BBA-49C1-BEBF-03D0D9C1D79E}"/>
    <cellStyle name="Comma 3 3 8" xfId="1376" xr:uid="{C7AE4F3E-B8C8-4C9A-8A6B-A5A4F8BDDE9B}"/>
    <cellStyle name="Comma 3 3 8 2" xfId="1904" xr:uid="{D12C9855-174F-44B8-B7D5-C66454BDC0A0}"/>
    <cellStyle name="Comma 3 3 8 2 2" xfId="3244" xr:uid="{79F13E48-DCB6-4AFE-9C29-BB113C6AEED7}"/>
    <cellStyle name="Comma 3 3 8 2 2 2" xfId="5893" xr:uid="{B55D3562-B7D4-4AA0-A5E0-24A1CB7EFD37}"/>
    <cellStyle name="Comma 3 3 8 2 2 2 2" xfId="11190" xr:uid="{0A3EFF4A-F2A9-4374-B9A9-05D26C4AA28C}"/>
    <cellStyle name="Comma 3 3 8 2 2 3" xfId="8541" xr:uid="{28D055D4-A251-4640-BE17-467CC494B76D}"/>
    <cellStyle name="Comma 3 3 8 2 3" xfId="4569" xr:uid="{539A116A-14FD-42F1-B850-A3CE48294F87}"/>
    <cellStyle name="Comma 3 3 8 2 3 2" xfId="9866" xr:uid="{D0B6AE46-1830-4C78-940A-21EC71A70CFA}"/>
    <cellStyle name="Comma 3 3 8 2 4" xfId="7217" xr:uid="{9C68C7BA-4944-4C4C-B056-0A4701EE334D}"/>
    <cellStyle name="Comma 3 3 8 3" xfId="2716" xr:uid="{851DCDB8-7045-4B02-B010-879B073CB03F}"/>
    <cellStyle name="Comma 3 3 8 3 2" xfId="5365" xr:uid="{1C6295C7-5F0C-4C76-A7E8-EB1043B9BA79}"/>
    <cellStyle name="Comma 3 3 8 3 2 2" xfId="10662" xr:uid="{B187EA46-61E8-4D89-A05C-A0C23BB4FB50}"/>
    <cellStyle name="Comma 3 3 8 3 3" xfId="8013" xr:uid="{376898C5-A226-4F71-8F51-927A5B16C5A4}"/>
    <cellStyle name="Comma 3 3 8 4" xfId="4041" xr:uid="{40596DBA-4F59-4137-9BDD-F841FCEA5C4C}"/>
    <cellStyle name="Comma 3 3 8 4 2" xfId="9338" xr:uid="{9AD27E86-6594-4B0A-976F-BFA9580DA7F2}"/>
    <cellStyle name="Comma 3 3 8 5" xfId="6689" xr:uid="{FBF61719-C72B-4302-AEAA-E5A16D3A3FC5}"/>
    <cellStyle name="Comma 3 3 9" xfId="611" xr:uid="{1CAED99F-60E7-4A62-BDCA-4B5E90029173}"/>
    <cellStyle name="Comma 3 3 9 2" xfId="2196" xr:uid="{6922311D-49AD-48C4-83CA-714DAB215D75}"/>
    <cellStyle name="Comma 3 3 9 2 2" xfId="4845" xr:uid="{6BCEECAC-1BFB-4955-A539-8927176B1A2A}"/>
    <cellStyle name="Comma 3 3 9 2 2 2" xfId="10142" xr:uid="{7EA32B29-C27C-49DB-8375-6ED75CE431B8}"/>
    <cellStyle name="Comma 3 3 9 2 3" xfId="7493" xr:uid="{8B311B6E-2821-4544-AA24-A66826E2A785}"/>
    <cellStyle name="Comma 3 3 9 3" xfId="3521" xr:uid="{E1CB7AF2-4814-4EE6-A178-BEECD8D68B81}"/>
    <cellStyle name="Comma 3 3 9 3 2" xfId="8818" xr:uid="{63015AF5-CE4B-4092-B6FB-3EDE31CD2811}"/>
    <cellStyle name="Comma 3 3 9 4" xfId="6169" xr:uid="{59FC6890-2D39-4EFD-A5B9-8C7599200C3C}"/>
    <cellStyle name="Comma 3 4" xfId="155" xr:uid="{86B41107-4D3C-466B-990E-C4E9072CB419}"/>
    <cellStyle name="Comma 3 4 10" xfId="2085" xr:uid="{2D0239F0-B780-46CA-81DD-79B44E16640D}"/>
    <cellStyle name="Comma 3 4 10 2" xfId="4734" xr:uid="{044C037E-4EAD-42DE-A8E1-C329BD3BA2D1}"/>
    <cellStyle name="Comma 3 4 10 2 2" xfId="10031" xr:uid="{7776A0A1-822E-4D87-B363-79D1AEA4EEA6}"/>
    <cellStyle name="Comma 3 4 10 3" xfId="7382" xr:uid="{115C95E0-197C-4158-B1B3-9942FEA3186B}"/>
    <cellStyle name="Comma 3 4 11" xfId="3410" xr:uid="{57E8BC93-DFFC-475F-ABA7-55499A15EE13}"/>
    <cellStyle name="Comma 3 4 11 2" xfId="8707" xr:uid="{21A6E9E4-B9F4-43E7-B04C-A06323E9C69F}"/>
    <cellStyle name="Comma 3 4 12" xfId="6058" xr:uid="{41BA64CE-D886-465F-961C-5F47E54274B6}"/>
    <cellStyle name="Comma 3 4 2" xfId="387" xr:uid="{C9F726C4-B9D7-43B2-A51F-3E516E2EA728}"/>
    <cellStyle name="Comma 3 4 2 2" xfId="1176" xr:uid="{A3AB6697-E9E8-4B69-975D-06632E931480}"/>
    <cellStyle name="Comma 3 4 2 2 2" xfId="1708" xr:uid="{B48F9524-006C-42BF-8431-42B282CEBEEC}"/>
    <cellStyle name="Comma 3 4 2 2 2 2" xfId="3048" xr:uid="{F6E80E7E-F2F1-49D5-B175-A295B6747A52}"/>
    <cellStyle name="Comma 3 4 2 2 2 2 2" xfId="5697" xr:uid="{22CBF5F5-8F20-474A-8C61-3FB535132315}"/>
    <cellStyle name="Comma 3 4 2 2 2 2 2 2" xfId="10994" xr:uid="{BAD5F3A6-FFEA-4AC9-B8AB-5D52F4ECF78E}"/>
    <cellStyle name="Comma 3 4 2 2 2 2 3" xfId="8345" xr:uid="{8672E08D-9C1E-411E-AA8F-2DD0AE6C40F5}"/>
    <cellStyle name="Comma 3 4 2 2 2 3" xfId="4373" xr:uid="{E61B999C-F528-41A1-873F-252FD3CC6D3F}"/>
    <cellStyle name="Comma 3 4 2 2 2 3 2" xfId="9670" xr:uid="{7D950252-64BD-46CD-92FF-67E9613958C4}"/>
    <cellStyle name="Comma 3 4 2 2 2 4" xfId="7021" xr:uid="{2616BCCB-199C-4642-A209-32A580D809B9}"/>
    <cellStyle name="Comma 3 4 2 2 3" xfId="2520" xr:uid="{43D93806-937A-4DDE-ACE1-BEE70A2A09B5}"/>
    <cellStyle name="Comma 3 4 2 2 3 2" xfId="5169" xr:uid="{CDAEC2E4-DECC-4DC3-B75D-512AC5207EAE}"/>
    <cellStyle name="Comma 3 4 2 2 3 2 2" xfId="10466" xr:uid="{7DA839F6-85B7-4D37-AD53-C910653AD5D9}"/>
    <cellStyle name="Comma 3 4 2 2 3 3" xfId="7817" xr:uid="{2B851430-DAD1-420F-BD4C-DED2EF336C03}"/>
    <cellStyle name="Comma 3 4 2 2 4" xfId="3845" xr:uid="{C01A4749-3178-4E5D-946A-106D54E08DAC}"/>
    <cellStyle name="Comma 3 4 2 2 4 2" xfId="9142" xr:uid="{C9151B98-5E95-4EB9-A53D-E35B3DE527B6}"/>
    <cellStyle name="Comma 3 4 2 2 5" xfId="6493" xr:uid="{03DBA784-3EF5-44FE-88CB-E23E27EBE647}"/>
    <cellStyle name="Comma 3 4 2 3" xfId="1032" xr:uid="{349B7E83-906A-4CDC-820C-283C76377A5B}"/>
    <cellStyle name="Comma 3 4 2 3 2" xfId="1576" xr:uid="{9F4C4A96-F300-4F49-ABF5-67961AB10C93}"/>
    <cellStyle name="Comma 3 4 2 3 2 2" xfId="2916" xr:uid="{9F3FAC3B-7325-4589-96D5-51E57BB6DF24}"/>
    <cellStyle name="Comma 3 4 2 3 2 2 2" xfId="5565" xr:uid="{2DA6A285-A773-4223-871A-E942B2E0137C}"/>
    <cellStyle name="Comma 3 4 2 3 2 2 2 2" xfId="10862" xr:uid="{A88A79FA-41B6-45B2-A470-E9153DEB4FF4}"/>
    <cellStyle name="Comma 3 4 2 3 2 2 3" xfId="8213" xr:uid="{5AFD01B1-5BEB-4CC5-A556-4D8AC2D7EB16}"/>
    <cellStyle name="Comma 3 4 2 3 2 3" xfId="4241" xr:uid="{CF597AFF-CF69-4343-84D4-36B9A6526874}"/>
    <cellStyle name="Comma 3 4 2 3 2 3 2" xfId="9538" xr:uid="{3FD50EF7-C9A3-4015-8C50-7733CE63E90F}"/>
    <cellStyle name="Comma 3 4 2 3 2 4" xfId="6889" xr:uid="{BD7CBE2C-06D3-4A1B-840A-B58F3FE35DCA}"/>
    <cellStyle name="Comma 3 4 2 3 3" xfId="2388" xr:uid="{9AA3E8A8-31F5-4115-8C4B-F9F77960A016}"/>
    <cellStyle name="Comma 3 4 2 3 3 2" xfId="5037" xr:uid="{11ED82F8-AC57-4ED3-9CC3-158207FF5FF7}"/>
    <cellStyle name="Comma 3 4 2 3 3 2 2" xfId="10334" xr:uid="{D3F05A9F-91D4-40B4-9EAB-5127ECFD63C6}"/>
    <cellStyle name="Comma 3 4 2 3 3 3" xfId="7685" xr:uid="{F1AB1084-6B3D-42B6-9D35-1F435024B554}"/>
    <cellStyle name="Comma 3 4 2 3 4" xfId="3713" xr:uid="{2BA70D92-911E-4E34-8384-A58EDCD1826E}"/>
    <cellStyle name="Comma 3 4 2 3 4 2" xfId="9010" xr:uid="{E7B7D54F-1FB1-4A84-9E14-E5448DEF5B45}"/>
    <cellStyle name="Comma 3 4 2 3 5" xfId="6361" xr:uid="{98523615-DF3A-422D-BC29-F7043733BB85}"/>
    <cellStyle name="Comma 3 4 2 4" xfId="1312" xr:uid="{26A952F9-2E24-45D1-AC2F-870707877D39}"/>
    <cellStyle name="Comma 3 4 2 4 2" xfId="1840" xr:uid="{5006BD6E-59C7-41DF-BF63-A44A03E1208F}"/>
    <cellStyle name="Comma 3 4 2 4 2 2" xfId="3180" xr:uid="{0E7622A8-0010-476F-B061-993F590060E7}"/>
    <cellStyle name="Comma 3 4 2 4 2 2 2" xfId="5829" xr:uid="{4B1DED37-FA72-449E-A8E8-67886E4853E5}"/>
    <cellStyle name="Comma 3 4 2 4 2 2 2 2" xfId="11126" xr:uid="{CF4E8666-C997-4635-9200-3B8971CA5E3D}"/>
    <cellStyle name="Comma 3 4 2 4 2 2 3" xfId="8477" xr:uid="{1CBD7E27-6EB8-456C-8F3E-4398F4D60C12}"/>
    <cellStyle name="Comma 3 4 2 4 2 3" xfId="4505" xr:uid="{AEB7A8A0-CC57-41D5-88E3-1782C842CB74}"/>
    <cellStyle name="Comma 3 4 2 4 2 3 2" xfId="9802" xr:uid="{060D19C4-D05E-43CC-B32C-2427C5CCE774}"/>
    <cellStyle name="Comma 3 4 2 4 2 4" xfId="7153" xr:uid="{F07B05F7-E75A-48A8-A7E0-3D76FD6DC9F5}"/>
    <cellStyle name="Comma 3 4 2 4 3" xfId="2652" xr:uid="{19A29CA6-3FCF-4B64-A5DE-74CD7BBA6CB5}"/>
    <cellStyle name="Comma 3 4 2 4 3 2" xfId="5301" xr:uid="{E927A35B-6848-48AE-9522-B43359E07797}"/>
    <cellStyle name="Comma 3 4 2 4 3 2 2" xfId="10598" xr:uid="{62905BD5-1041-460D-AC9E-7B82531E6418}"/>
    <cellStyle name="Comma 3 4 2 4 3 3" xfId="7949" xr:uid="{AFD83B4C-9F8A-4FF8-8742-DB32EDB41AEA}"/>
    <cellStyle name="Comma 3 4 2 4 4" xfId="3977" xr:uid="{68326B33-0C40-4FB5-AE59-0355D825B999}"/>
    <cellStyle name="Comma 3 4 2 4 4 2" xfId="9274" xr:uid="{E0EC9D17-E972-4647-A557-ACAE4F1F1D61}"/>
    <cellStyle name="Comma 3 4 2 4 5" xfId="6625" xr:uid="{1BF4664D-A906-420B-B04F-59D4909DCD86}"/>
    <cellStyle name="Comma 3 4 2 5" xfId="1444" xr:uid="{B8D098B1-BE65-436E-B773-A48B129DFC38}"/>
    <cellStyle name="Comma 3 4 2 5 2" xfId="1972" xr:uid="{1D4B6FA5-F9BA-4CD7-9BE6-78C0711A0684}"/>
    <cellStyle name="Comma 3 4 2 5 2 2" xfId="3312" xr:uid="{D2E144DD-7B71-42C3-9B53-D6980C310412}"/>
    <cellStyle name="Comma 3 4 2 5 2 2 2" xfId="5961" xr:uid="{79440BCA-29E3-475D-839D-394ED32703C9}"/>
    <cellStyle name="Comma 3 4 2 5 2 2 2 2" xfId="11258" xr:uid="{1BDC72EE-6432-4B16-9F1A-0C8AB01AADF8}"/>
    <cellStyle name="Comma 3 4 2 5 2 2 3" xfId="8609" xr:uid="{BF946295-DCE0-4C56-9E5D-FCD1E3139746}"/>
    <cellStyle name="Comma 3 4 2 5 2 3" xfId="4637" xr:uid="{1375E5BC-B700-4831-9764-BFC4402D04AC}"/>
    <cellStyle name="Comma 3 4 2 5 2 3 2" xfId="9934" xr:uid="{1D6B9208-026A-4F6C-8CB8-86952497DDE7}"/>
    <cellStyle name="Comma 3 4 2 5 2 4" xfId="7285" xr:uid="{D47A9E9E-70A7-4445-9E1A-3E744340AF51}"/>
    <cellStyle name="Comma 3 4 2 5 3" xfId="2784" xr:uid="{0BAA074E-AF54-48F6-B374-6878CACF03B3}"/>
    <cellStyle name="Comma 3 4 2 5 3 2" xfId="5433" xr:uid="{4D943291-9592-41D3-8938-D19DD955603B}"/>
    <cellStyle name="Comma 3 4 2 5 3 2 2" xfId="10730" xr:uid="{8F9A8B24-AEBE-4FEB-87C5-A8B08A6E25AE}"/>
    <cellStyle name="Comma 3 4 2 5 3 3" xfId="8081" xr:uid="{09EF11EB-FD9F-4809-A49E-4E5F6263E977}"/>
    <cellStyle name="Comma 3 4 2 5 4" xfId="4109" xr:uid="{0BA4C3D3-2E6A-4C14-9489-4428BC758E7D}"/>
    <cellStyle name="Comma 3 4 2 5 4 2" xfId="9406" xr:uid="{08536AF1-23E9-45C9-9B2C-D01F76E58A35}"/>
    <cellStyle name="Comma 3 4 2 5 5" xfId="6757" xr:uid="{61042E7D-436B-49CE-823D-E471107E9622}"/>
    <cellStyle name="Comma 3 4 2 6" xfId="815" xr:uid="{2D2C383D-42E9-44F6-8BF5-7801321E681B}"/>
    <cellStyle name="Comma 3 4 2 6 2" xfId="2260" xr:uid="{AB26A39B-790F-4433-8FC8-666F94A5B663}"/>
    <cellStyle name="Comma 3 4 2 6 2 2" xfId="4909" xr:uid="{BCD71890-4947-4F04-B61A-F76FAD008F7F}"/>
    <cellStyle name="Comma 3 4 2 6 2 2 2" xfId="10206" xr:uid="{76EA56BF-BDE5-484E-B98C-198E3B82DB9A}"/>
    <cellStyle name="Comma 3 4 2 6 2 3" xfId="7557" xr:uid="{E94ED133-76CB-4AAB-999C-03FD754EA7A3}"/>
    <cellStyle name="Comma 3 4 2 6 3" xfId="3585" xr:uid="{1B129B40-6DAC-4D1D-8E6F-91D600B9DC7A}"/>
    <cellStyle name="Comma 3 4 2 6 3 2" xfId="8882" xr:uid="{AD72907D-2882-4979-9873-00AF91494165}"/>
    <cellStyle name="Comma 3 4 2 6 4" xfId="6233" xr:uid="{2B6A473A-6084-4A20-A67D-5BF31B80F171}"/>
    <cellStyle name="Comma 3 4 2 7" xfId="2152" xr:uid="{62C29BC9-261D-4640-BE02-09D0BB45EA2C}"/>
    <cellStyle name="Comma 3 4 2 7 2" xfId="4801" xr:uid="{FDEA07C3-9467-4366-ADBC-73F44CBFD478}"/>
    <cellStyle name="Comma 3 4 2 7 2 2" xfId="10098" xr:uid="{951125B7-E589-4A4D-AC4E-C5619EF2E2A4}"/>
    <cellStyle name="Comma 3 4 2 7 3" xfId="7449" xr:uid="{87435714-1875-409C-8687-43ED73CCF96A}"/>
    <cellStyle name="Comma 3 4 2 8" xfId="3477" xr:uid="{03048981-6F6E-4887-9E0B-971E303452D1}"/>
    <cellStyle name="Comma 3 4 2 8 2" xfId="8774" xr:uid="{F68EA9AC-FBCC-4F75-B284-AC5795B64D64}"/>
    <cellStyle name="Comma 3 4 2 9" xfId="6125" xr:uid="{28CED9EA-CA8C-4AC5-B3E9-B1E8DE6E7EAA}"/>
    <cellStyle name="Comma 3 4 3" xfId="919" xr:uid="{B2B93E52-1335-453E-B10B-98F907DBE28D}"/>
    <cellStyle name="Comma 3 4 3 2" xfId="1208" xr:uid="{329862FB-EB68-4DD3-81EB-329A3DF26189}"/>
    <cellStyle name="Comma 3 4 3 2 2" xfId="1736" xr:uid="{4B4BD891-F469-4319-BEBC-F86CCA59D167}"/>
    <cellStyle name="Comma 3 4 3 2 2 2" xfId="3076" xr:uid="{9B1981E5-EF4D-490C-8DE5-02A2D5776BFD}"/>
    <cellStyle name="Comma 3 4 3 2 2 2 2" xfId="5725" xr:uid="{4D4E3791-CCC5-4055-83BE-9ECD17BB2CDA}"/>
    <cellStyle name="Comma 3 4 3 2 2 2 2 2" xfId="11022" xr:uid="{340F14EF-11E8-4373-848F-ECD2ECF922F1}"/>
    <cellStyle name="Comma 3 4 3 2 2 2 3" xfId="8373" xr:uid="{4DB0E888-8204-48BA-95C9-82E5F64665DE}"/>
    <cellStyle name="Comma 3 4 3 2 2 3" xfId="4401" xr:uid="{71706DDF-0711-4AAE-BE41-2246FF147E70}"/>
    <cellStyle name="Comma 3 4 3 2 2 3 2" xfId="9698" xr:uid="{E82A7CEF-5625-473D-A619-8E60671FBC67}"/>
    <cellStyle name="Comma 3 4 3 2 2 4" xfId="7049" xr:uid="{C60930AC-B9DB-490C-84CC-EA043DE26A89}"/>
    <cellStyle name="Comma 3 4 3 2 3" xfId="2548" xr:uid="{14457623-50BA-40F9-9401-519315814801}"/>
    <cellStyle name="Comma 3 4 3 2 3 2" xfId="5197" xr:uid="{C0726132-EF86-414F-8A72-18509CBF8F76}"/>
    <cellStyle name="Comma 3 4 3 2 3 2 2" xfId="10494" xr:uid="{A8780EB4-079D-4EA6-B96B-DD2F8A055985}"/>
    <cellStyle name="Comma 3 4 3 2 3 3" xfId="7845" xr:uid="{78CF58C7-B3A8-4F1C-915E-A8101CAB0747}"/>
    <cellStyle name="Comma 3 4 3 2 4" xfId="3873" xr:uid="{E2075CB4-8927-4F0C-9566-1F1CBFE7DDE1}"/>
    <cellStyle name="Comma 3 4 3 2 4 2" xfId="9170" xr:uid="{2F658E86-A984-42FD-8833-8DE04D5F87CD}"/>
    <cellStyle name="Comma 3 4 3 2 5" xfId="6521" xr:uid="{08129F8C-5E8C-4A06-B232-0D9648328870}"/>
    <cellStyle name="Comma 3 4 3 3" xfId="1065" xr:uid="{736CADB4-C9CB-4DF8-9E5F-60A49CB135A1}"/>
    <cellStyle name="Comma 3 4 3 3 2" xfId="1604" xr:uid="{7021B8F8-65F6-49FC-9324-3F8009E80F06}"/>
    <cellStyle name="Comma 3 4 3 3 2 2" xfId="2944" xr:uid="{54C27DC5-9A9A-4DC5-B897-3BDA85F071C8}"/>
    <cellStyle name="Comma 3 4 3 3 2 2 2" xfId="5593" xr:uid="{E68DC831-7406-42E1-9400-8398A00F0A5E}"/>
    <cellStyle name="Comma 3 4 3 3 2 2 2 2" xfId="10890" xr:uid="{A6B0278C-2D6E-43BE-86E2-57CE3168348B}"/>
    <cellStyle name="Comma 3 4 3 3 2 2 3" xfId="8241" xr:uid="{7392F5CC-292A-43A8-9DCF-EBB9349B8B23}"/>
    <cellStyle name="Comma 3 4 3 3 2 3" xfId="4269" xr:uid="{EC9A0954-912C-470F-AF77-5A91BAA011CE}"/>
    <cellStyle name="Comma 3 4 3 3 2 3 2" xfId="9566" xr:uid="{C279CA6E-07EC-4050-9FAF-17E3A7ED128B}"/>
    <cellStyle name="Comma 3 4 3 3 2 4" xfId="6917" xr:uid="{A009F511-B971-4FCD-918F-6769CF99B75F}"/>
    <cellStyle name="Comma 3 4 3 3 3" xfId="2416" xr:uid="{D02C771D-BF9E-4362-BA65-BCF00F9B08EE}"/>
    <cellStyle name="Comma 3 4 3 3 3 2" xfId="5065" xr:uid="{38E4196B-9B95-4447-8744-B50BD9279EFF}"/>
    <cellStyle name="Comma 3 4 3 3 3 2 2" xfId="10362" xr:uid="{A4CF3D21-8092-46F2-B044-ED99AF0750A5}"/>
    <cellStyle name="Comma 3 4 3 3 3 3" xfId="7713" xr:uid="{3887BF45-1D5E-4975-A79B-8E666FB6BFA3}"/>
    <cellStyle name="Comma 3 4 3 3 4" xfId="3741" xr:uid="{20B358DA-162C-494E-80BA-AEA5E83B4FBD}"/>
    <cellStyle name="Comma 3 4 3 3 4 2" xfId="9038" xr:uid="{2A5D7433-5387-4EC9-804F-21B87FCBD54F}"/>
    <cellStyle name="Comma 3 4 3 3 5" xfId="6389" xr:uid="{7F4638FE-B519-4FCC-A423-1108D72576B7}"/>
    <cellStyle name="Comma 3 4 3 4" xfId="1340" xr:uid="{9A9E2C90-7A3C-491B-A341-06D649C21FB6}"/>
    <cellStyle name="Comma 3 4 3 4 2" xfId="1868" xr:uid="{5091EA48-2AC5-4599-A0E2-3C0AE70F9CA6}"/>
    <cellStyle name="Comma 3 4 3 4 2 2" xfId="3208" xr:uid="{6450A1CC-7A56-4147-BD64-E313BD85573E}"/>
    <cellStyle name="Comma 3 4 3 4 2 2 2" xfId="5857" xr:uid="{0FB09A96-274D-435F-B770-631A85C30BEC}"/>
    <cellStyle name="Comma 3 4 3 4 2 2 2 2" xfId="11154" xr:uid="{2B4E9533-8B3A-4881-A046-4359AC96810D}"/>
    <cellStyle name="Comma 3 4 3 4 2 2 3" xfId="8505" xr:uid="{FF9202AA-6A41-491D-AA91-2D258633C861}"/>
    <cellStyle name="Comma 3 4 3 4 2 3" xfId="4533" xr:uid="{6EFBF8CE-0B76-4A33-9AEF-106FE56FE3CD}"/>
    <cellStyle name="Comma 3 4 3 4 2 3 2" xfId="9830" xr:uid="{D2D2704E-B27B-449D-ABED-D39DE1EE2849}"/>
    <cellStyle name="Comma 3 4 3 4 2 4" xfId="7181" xr:uid="{5E0E4775-A616-44E5-94DC-21DAAAF2512C}"/>
    <cellStyle name="Comma 3 4 3 4 3" xfId="2680" xr:uid="{A3D4463E-1604-4B25-8D3C-A178DD49AD1E}"/>
    <cellStyle name="Comma 3 4 3 4 3 2" xfId="5329" xr:uid="{770927DB-C83D-4829-9A07-C45E003D517B}"/>
    <cellStyle name="Comma 3 4 3 4 3 2 2" xfId="10626" xr:uid="{071440A8-6D1C-4349-BA64-BD6BC3B3031B}"/>
    <cellStyle name="Comma 3 4 3 4 3 3" xfId="7977" xr:uid="{4D76DD2A-D5A3-40F5-A66C-0DBA640E438B}"/>
    <cellStyle name="Comma 3 4 3 4 4" xfId="4005" xr:uid="{23AFF78A-8E95-4ED4-ABDE-569BCA9E93E0}"/>
    <cellStyle name="Comma 3 4 3 4 4 2" xfId="9302" xr:uid="{C3662415-3C5C-4267-AB11-973EABED5729}"/>
    <cellStyle name="Comma 3 4 3 4 5" xfId="6653" xr:uid="{C7878C63-19F8-4E28-8D4C-04B03F5E8E09}"/>
    <cellStyle name="Comma 3 4 3 5" xfId="1472" xr:uid="{A02EB048-C687-4C07-AB8F-23890D340069}"/>
    <cellStyle name="Comma 3 4 3 5 2" xfId="2000" xr:uid="{23BAA906-497C-4EAC-90C0-D27BCBA035A4}"/>
    <cellStyle name="Comma 3 4 3 5 2 2" xfId="3340" xr:uid="{74617450-2EDC-4AD1-AD62-7CBFB1CA7618}"/>
    <cellStyle name="Comma 3 4 3 5 2 2 2" xfId="5989" xr:uid="{4AA09E87-1642-41EB-95C8-645BBA992FFC}"/>
    <cellStyle name="Comma 3 4 3 5 2 2 2 2" xfId="11286" xr:uid="{76228037-114A-44F2-8C4D-6EEEE4D3C6E6}"/>
    <cellStyle name="Comma 3 4 3 5 2 2 3" xfId="8637" xr:uid="{6FE8D358-6FEC-4ACD-8CF6-70ED12D41225}"/>
    <cellStyle name="Comma 3 4 3 5 2 3" xfId="4665" xr:uid="{8850EC0F-60FA-4BDE-A163-EDCDB002F8E9}"/>
    <cellStyle name="Comma 3 4 3 5 2 3 2" xfId="9962" xr:uid="{0B0CAFC7-5BB3-4E97-8730-A3CA5CB05423}"/>
    <cellStyle name="Comma 3 4 3 5 2 4" xfId="7313" xr:uid="{6789C13B-910F-40A1-8B8C-F3AA27603770}"/>
    <cellStyle name="Comma 3 4 3 5 3" xfId="2812" xr:uid="{FE52D791-8EBB-4A8F-ABD1-99BB033A8C81}"/>
    <cellStyle name="Comma 3 4 3 5 3 2" xfId="5461" xr:uid="{8DDB7890-DFDD-4D93-AE6D-E8AF197E1D25}"/>
    <cellStyle name="Comma 3 4 3 5 3 2 2" xfId="10758" xr:uid="{040DF539-BB0F-4B95-9841-5A43E87AACA1}"/>
    <cellStyle name="Comma 3 4 3 5 3 3" xfId="8109" xr:uid="{DB78FEF3-0B88-4C3C-B904-3E0B1DB6F817}"/>
    <cellStyle name="Comma 3 4 3 5 4" xfId="4137" xr:uid="{3EBDCB06-D812-4930-BBB5-3C2A98444D76}"/>
    <cellStyle name="Comma 3 4 3 5 4 2" xfId="9434" xr:uid="{8EDF1996-864A-4CB2-8186-E9CCC3457C29}"/>
    <cellStyle name="Comma 3 4 3 5 5" xfId="6785" xr:uid="{135BEC6D-4559-45D6-BBC1-DA5BD411646E}"/>
    <cellStyle name="Comma 3 4 3 6" xfId="2286" xr:uid="{27DB56CC-2A3E-48D5-A3CF-8B031B52CEB9}"/>
    <cellStyle name="Comma 3 4 3 6 2" xfId="4935" xr:uid="{7D6299AB-071A-448F-9310-1B4C069F9060}"/>
    <cellStyle name="Comma 3 4 3 6 2 2" xfId="10232" xr:uid="{63D08EE7-89EE-4335-B800-570F5200D735}"/>
    <cellStyle name="Comma 3 4 3 6 3" xfId="7583" xr:uid="{F3550BBC-4758-40B0-BBEA-F4882AD1F806}"/>
    <cellStyle name="Comma 3 4 3 7" xfId="3611" xr:uid="{47562AEF-B1E5-4351-B992-8B2AE1FD495B}"/>
    <cellStyle name="Comma 3 4 3 7 2" xfId="8908" xr:uid="{022DB529-6D46-493B-A249-6BA60BE24ECF}"/>
    <cellStyle name="Comma 3 4 3 8" xfId="6259" xr:uid="{9DC8ABAF-82B8-4799-A6A8-F807F3A2BA0C}"/>
    <cellStyle name="Comma 3 4 4" xfId="745" xr:uid="{AD6B4A02-1F63-470B-938A-7BC7D7AD3F98}"/>
    <cellStyle name="Comma 3 4 4 2" xfId="1150" xr:uid="{0B5B0CD8-A0B9-44D0-A4E0-AF198BD47318}"/>
    <cellStyle name="Comma 3 4 4 2 2" xfId="1682" xr:uid="{75FF32B7-9AEF-4DBA-8F51-8053C82DD6E6}"/>
    <cellStyle name="Comma 3 4 4 2 2 2" xfId="3022" xr:uid="{6330CE39-93C3-455B-8A39-10E970940776}"/>
    <cellStyle name="Comma 3 4 4 2 2 2 2" xfId="5671" xr:uid="{5C3973A5-154C-4592-A737-D947A15BD997}"/>
    <cellStyle name="Comma 3 4 4 2 2 2 2 2" xfId="10968" xr:uid="{6673B9DE-74FA-4A72-BC75-1B39A6194A7B}"/>
    <cellStyle name="Comma 3 4 4 2 2 2 3" xfId="8319" xr:uid="{85CDF8F5-9ED9-4B2F-BAB9-686540632504}"/>
    <cellStyle name="Comma 3 4 4 2 2 3" xfId="4347" xr:uid="{AC38B49F-53F5-44DB-9B6B-87DBC43A5418}"/>
    <cellStyle name="Comma 3 4 4 2 2 3 2" xfId="9644" xr:uid="{C8D8E154-2530-4D7A-8ADC-6EF39040CE69}"/>
    <cellStyle name="Comma 3 4 4 2 2 4" xfId="6995" xr:uid="{3ACF09BB-607D-4CCA-B402-0859B2FBE520}"/>
    <cellStyle name="Comma 3 4 4 2 3" xfId="2494" xr:uid="{24D30568-E263-439A-BF4A-5E2F66BDE3AB}"/>
    <cellStyle name="Comma 3 4 4 2 3 2" xfId="5143" xr:uid="{A7753EBD-000B-4F83-B3EF-EFAA58AEFDF8}"/>
    <cellStyle name="Comma 3 4 4 2 3 2 2" xfId="10440" xr:uid="{9A8A7C86-58A0-4575-9A0B-B54CF264E53C}"/>
    <cellStyle name="Comma 3 4 4 2 3 3" xfId="7791" xr:uid="{4EC3F96D-71E5-4D1C-B379-38CB4815731D}"/>
    <cellStyle name="Comma 3 4 4 2 4" xfId="3819" xr:uid="{818E1F2A-CEBE-4524-83E6-9616C53215C4}"/>
    <cellStyle name="Comma 3 4 4 2 4 2" xfId="9116" xr:uid="{11D53FF2-02E1-45A5-AAE6-601198AF3A24}"/>
    <cellStyle name="Comma 3 4 4 2 5" xfId="6467" xr:uid="{4FB2FC96-891E-462A-A237-5B4B206B403B}"/>
    <cellStyle name="Comma 3 4 4 3" xfId="1006" xr:uid="{E98C91DC-4979-4259-84C0-891C68D43E18}"/>
    <cellStyle name="Comma 3 4 4 3 2" xfId="1550" xr:uid="{5B2F68E4-F494-4D1D-9730-03B7AF48B4D0}"/>
    <cellStyle name="Comma 3 4 4 3 2 2" xfId="2890" xr:uid="{59B1C69C-B36E-42C3-9593-BC18128CDA0A}"/>
    <cellStyle name="Comma 3 4 4 3 2 2 2" xfId="5539" xr:uid="{4B263937-773A-4CD1-938E-E3CACCBDA3CE}"/>
    <cellStyle name="Comma 3 4 4 3 2 2 2 2" xfId="10836" xr:uid="{F84AFE81-52CE-4E23-BD01-570F1D08F43B}"/>
    <cellStyle name="Comma 3 4 4 3 2 2 3" xfId="8187" xr:uid="{24BC9949-C8D2-4ADC-83E1-265E6D990001}"/>
    <cellStyle name="Comma 3 4 4 3 2 3" xfId="4215" xr:uid="{B947B721-6812-4809-B529-823412CCB294}"/>
    <cellStyle name="Comma 3 4 4 3 2 3 2" xfId="9512" xr:uid="{FDD44BF5-997B-4BE1-9E0A-D3EDDE479682}"/>
    <cellStyle name="Comma 3 4 4 3 2 4" xfId="6863" xr:uid="{B819A580-742F-4EF6-A655-B5E59AEDA162}"/>
    <cellStyle name="Comma 3 4 4 3 3" xfId="2362" xr:uid="{E307B759-784C-48C9-B5E3-32287BDBFB0A}"/>
    <cellStyle name="Comma 3 4 4 3 3 2" xfId="5011" xr:uid="{D6F96F72-B137-423C-A92F-D4D4D26C6D2B}"/>
    <cellStyle name="Comma 3 4 4 3 3 2 2" xfId="10308" xr:uid="{0824FF36-8AE3-488E-A78D-F73FFEE64C48}"/>
    <cellStyle name="Comma 3 4 4 3 3 3" xfId="7659" xr:uid="{64B54AA0-8F1D-4CC6-AA30-DA0FFCB4B570}"/>
    <cellStyle name="Comma 3 4 4 3 4" xfId="3687" xr:uid="{8CF6E8C8-9EF2-4600-A261-12EEBD8DD213}"/>
    <cellStyle name="Comma 3 4 4 3 4 2" xfId="8984" xr:uid="{51DA44AB-9C7C-4979-A875-F4C02234CAD8}"/>
    <cellStyle name="Comma 3 4 4 3 5" xfId="6335" xr:uid="{0BB4D521-2887-4FBD-96ED-90BCC1477CB1}"/>
    <cellStyle name="Comma 3 4 4 4" xfId="1286" xr:uid="{8AE0D12F-CC90-44CF-AD68-7348EF21297F}"/>
    <cellStyle name="Comma 3 4 4 4 2" xfId="1814" xr:uid="{297DAF6E-942A-4360-A4DF-85AD3C5BC61E}"/>
    <cellStyle name="Comma 3 4 4 4 2 2" xfId="3154" xr:uid="{CC4366E8-39AD-47C2-81A6-ED2D3243D116}"/>
    <cellStyle name="Comma 3 4 4 4 2 2 2" xfId="5803" xr:uid="{EF85FB1D-5F44-4CC8-9B32-1CE6639368E0}"/>
    <cellStyle name="Comma 3 4 4 4 2 2 2 2" xfId="11100" xr:uid="{D5C0CA9D-5627-4DCE-9025-5735E6E9FA6D}"/>
    <cellStyle name="Comma 3 4 4 4 2 2 3" xfId="8451" xr:uid="{9EC5CBC9-4A4F-4CCD-96F0-ECCBD21FF92E}"/>
    <cellStyle name="Comma 3 4 4 4 2 3" xfId="4479" xr:uid="{043CBA85-2D27-46CE-8A1D-54E80AEA983D}"/>
    <cellStyle name="Comma 3 4 4 4 2 3 2" xfId="9776" xr:uid="{54F03C84-5181-49A9-9AFA-3735F10E7308}"/>
    <cellStyle name="Comma 3 4 4 4 2 4" xfId="7127" xr:uid="{AA1EE29B-4F56-4C67-8BBC-F4D14D9658EC}"/>
    <cellStyle name="Comma 3 4 4 4 3" xfId="2626" xr:uid="{BD23BD55-35CB-4055-A22F-646D30526A4F}"/>
    <cellStyle name="Comma 3 4 4 4 3 2" xfId="5275" xr:uid="{83BD0633-10E6-4F08-BDC0-92816B1690AB}"/>
    <cellStyle name="Comma 3 4 4 4 3 2 2" xfId="10572" xr:uid="{4F696462-5A69-45AE-A71C-3186F0833253}"/>
    <cellStyle name="Comma 3 4 4 4 3 3" xfId="7923" xr:uid="{5E6F2FB3-8D46-4137-8032-739A04F4C9AD}"/>
    <cellStyle name="Comma 3 4 4 4 4" xfId="3951" xr:uid="{28847343-3D99-48BA-8BE1-B997B742220A}"/>
    <cellStyle name="Comma 3 4 4 4 4 2" xfId="9248" xr:uid="{A4EB292B-3904-4895-AC4A-982A333C4571}"/>
    <cellStyle name="Comma 3 4 4 4 5" xfId="6599" xr:uid="{697404E8-291C-43C5-A505-E17DAD78F517}"/>
    <cellStyle name="Comma 3 4 4 5" xfId="1418" xr:uid="{6EEEFA8D-077C-42F6-A546-9BFA4A60382E}"/>
    <cellStyle name="Comma 3 4 4 5 2" xfId="1946" xr:uid="{0919008C-4506-4AC5-B13E-25ADBC563B29}"/>
    <cellStyle name="Comma 3 4 4 5 2 2" xfId="3286" xr:uid="{FEDA9D8C-49D6-4B23-8C76-AD16B443C573}"/>
    <cellStyle name="Comma 3 4 4 5 2 2 2" xfId="5935" xr:uid="{E424082A-3A25-427B-B4C2-CA77C2ECCE45}"/>
    <cellStyle name="Comma 3 4 4 5 2 2 2 2" xfId="11232" xr:uid="{8C2EA4FB-631E-42B2-AE05-4B6829E7B1C6}"/>
    <cellStyle name="Comma 3 4 4 5 2 2 3" xfId="8583" xr:uid="{0D3B7770-F294-46BF-97A1-55D0BD00815F}"/>
    <cellStyle name="Comma 3 4 4 5 2 3" xfId="4611" xr:uid="{67D4BA11-BAB3-4E19-85A7-1AF6DF10FEC1}"/>
    <cellStyle name="Comma 3 4 4 5 2 3 2" xfId="9908" xr:uid="{136E0DBB-FC13-430D-8FFA-ECCB157BB1C7}"/>
    <cellStyle name="Comma 3 4 4 5 2 4" xfId="7259" xr:uid="{1AE0C006-6A2C-452E-9801-42F57CEDF4B3}"/>
    <cellStyle name="Comma 3 4 4 5 3" xfId="2758" xr:uid="{7E25A321-A85E-4617-AC0C-D5CF166E7588}"/>
    <cellStyle name="Comma 3 4 4 5 3 2" xfId="5407" xr:uid="{A8899137-E6D9-4679-89D1-F6758BCC1E3D}"/>
    <cellStyle name="Comma 3 4 4 5 3 2 2" xfId="10704" xr:uid="{A5BD5808-CE23-4860-9F7A-90BFE4ABCDA1}"/>
    <cellStyle name="Comma 3 4 4 5 3 3" xfId="8055" xr:uid="{BECDD0FD-696B-40CB-B6B6-5EC0C0394057}"/>
    <cellStyle name="Comma 3 4 4 5 4" xfId="4083" xr:uid="{AF7EB040-57BE-4E9F-8B71-552D8F2226D7}"/>
    <cellStyle name="Comma 3 4 4 5 4 2" xfId="9380" xr:uid="{0561624E-145B-4B63-9863-2FB29E2D0FD6}"/>
    <cellStyle name="Comma 3 4 4 5 5" xfId="6731" xr:uid="{407EF7FE-230F-4C53-827D-3C1EE87C4617}"/>
    <cellStyle name="Comma 3 4 4 6" xfId="2234" xr:uid="{F6C3B85D-40F1-4759-BC48-C8F081967B57}"/>
    <cellStyle name="Comma 3 4 4 6 2" xfId="4883" xr:uid="{94FF1E58-FBBA-4336-AAC8-BFFADFC1BC7C}"/>
    <cellStyle name="Comma 3 4 4 6 2 2" xfId="10180" xr:uid="{7DDBBD02-9D66-4731-9051-EB4DA6752A8A}"/>
    <cellStyle name="Comma 3 4 4 6 3" xfId="7531" xr:uid="{8C91D0DE-F676-4579-94F4-B609055135BD}"/>
    <cellStyle name="Comma 3 4 4 7" xfId="3559" xr:uid="{62424D00-4C9F-4E61-BF92-2F3FAB831A28}"/>
    <cellStyle name="Comma 3 4 4 7 2" xfId="8856" xr:uid="{F9E75076-48BF-42D1-86EE-A4C41838431D}"/>
    <cellStyle name="Comma 3 4 4 8" xfId="6207" xr:uid="{11FF1704-E211-4CF5-826A-656CC08E44F1}"/>
    <cellStyle name="Comma 3 4 5" xfId="1116" xr:uid="{3459E173-E35F-46F7-BDD2-3D5587499A23}"/>
    <cellStyle name="Comma 3 4 5 2" xfId="1650" xr:uid="{A0B6A2BF-4774-4146-B2E1-5165DD1B12DC}"/>
    <cellStyle name="Comma 3 4 5 2 2" xfId="2990" xr:uid="{0B3DDBE7-943F-4326-A4C6-AB2B80F7C8E2}"/>
    <cellStyle name="Comma 3 4 5 2 2 2" xfId="5639" xr:uid="{E9318C50-9E07-48F7-A108-4EB7087784E2}"/>
    <cellStyle name="Comma 3 4 5 2 2 2 2" xfId="10936" xr:uid="{4B47293F-F6F5-408B-9EE9-562145B801C5}"/>
    <cellStyle name="Comma 3 4 5 2 2 3" xfId="8287" xr:uid="{130792B1-3B8F-41D7-8BE1-5AA0EA1959E7}"/>
    <cellStyle name="Comma 3 4 5 2 3" xfId="4315" xr:uid="{032CD9B2-B5B6-4105-9F47-1AFE3EDEA1C1}"/>
    <cellStyle name="Comma 3 4 5 2 3 2" xfId="9612" xr:uid="{1E6770EF-36B0-4730-AD6D-18B233CB8CBB}"/>
    <cellStyle name="Comma 3 4 5 2 4" xfId="6963" xr:uid="{CE10EFC3-E351-479A-976E-FFA549277868}"/>
    <cellStyle name="Comma 3 4 5 3" xfId="2462" xr:uid="{4A744A73-8605-4AED-851B-4B12F9D8C9EE}"/>
    <cellStyle name="Comma 3 4 5 3 2" xfId="5111" xr:uid="{05AE9086-6CD0-44AB-9CEF-62DA9FF18D2D}"/>
    <cellStyle name="Comma 3 4 5 3 2 2" xfId="10408" xr:uid="{7D920598-BBF3-48CD-B56B-ADD81435C8CC}"/>
    <cellStyle name="Comma 3 4 5 3 3" xfId="7759" xr:uid="{10FA9475-90D3-4815-8474-86748CFC4236}"/>
    <cellStyle name="Comma 3 4 5 4" xfId="3787" xr:uid="{C669134C-D117-4FBD-8DAC-D87625111A81}"/>
    <cellStyle name="Comma 3 4 5 4 2" xfId="9084" xr:uid="{59D0457F-0E38-4450-822C-69E4B0F4BACA}"/>
    <cellStyle name="Comma 3 4 5 5" xfId="6435" xr:uid="{BF390862-3CCE-4C11-977A-C2C0AD4D6512}"/>
    <cellStyle name="Comma 3 4 6" xfId="970" xr:uid="{4A098C49-A1D8-4208-B04C-2D35EEF0978C}"/>
    <cellStyle name="Comma 3 4 6 2" xfId="1518" xr:uid="{CBB6D8F7-8777-446A-83A1-25D2F7BD663C}"/>
    <cellStyle name="Comma 3 4 6 2 2" xfId="2858" xr:uid="{319C5FDB-6397-481D-9ED4-D1BDDBAB0D28}"/>
    <cellStyle name="Comma 3 4 6 2 2 2" xfId="5507" xr:uid="{38B5BB2F-9904-4835-9A3D-902DECFBEA0E}"/>
    <cellStyle name="Comma 3 4 6 2 2 2 2" xfId="10804" xr:uid="{5561F29A-1026-43BC-860B-9A60C03F7F29}"/>
    <cellStyle name="Comma 3 4 6 2 2 3" xfId="8155" xr:uid="{9492FF32-3750-4327-987A-5EDB25CE3203}"/>
    <cellStyle name="Comma 3 4 6 2 3" xfId="4183" xr:uid="{F1315BEB-F051-449E-A5C6-F4E26E817F11}"/>
    <cellStyle name="Comma 3 4 6 2 3 2" xfId="9480" xr:uid="{C5AE685B-9F52-45CF-B206-5C06C6FD12FC}"/>
    <cellStyle name="Comma 3 4 6 2 4" xfId="6831" xr:uid="{C9973190-580D-4C0B-AB07-C5E280DED8C2}"/>
    <cellStyle name="Comma 3 4 6 3" xfId="2330" xr:uid="{CB8302F7-4C5B-40D7-ACF9-A4D3FFEE1F49}"/>
    <cellStyle name="Comma 3 4 6 3 2" xfId="4979" xr:uid="{8A800E34-4C01-4D86-823D-23A97A9E71E2}"/>
    <cellStyle name="Comma 3 4 6 3 2 2" xfId="10276" xr:uid="{0969AF25-3778-4D06-A60D-49EF215FE64F}"/>
    <cellStyle name="Comma 3 4 6 3 3" xfId="7627" xr:uid="{1D59683A-112A-4922-A27A-E20E059476B3}"/>
    <cellStyle name="Comma 3 4 6 4" xfId="3655" xr:uid="{701C0EA5-098F-4CDA-A65D-F69C9F285B0C}"/>
    <cellStyle name="Comma 3 4 6 4 2" xfId="8952" xr:uid="{DA3C40C8-EC9F-478A-B38E-0026CB6CB3B6}"/>
    <cellStyle name="Comma 3 4 6 5" xfId="6303" xr:uid="{099CE008-28A7-44B9-9FEB-FEAC19C0ECB4}"/>
    <cellStyle name="Comma 3 4 7" xfId="1254" xr:uid="{5D53A42D-FA62-416B-B5A5-F2E4E9AED6EF}"/>
    <cellStyle name="Comma 3 4 7 2" xfId="1782" xr:uid="{D993733D-9845-4342-9E48-B7C6D48FB23C}"/>
    <cellStyle name="Comma 3 4 7 2 2" xfId="3122" xr:uid="{2CDB914D-B1D5-457E-8497-8FEFDDCFCF72}"/>
    <cellStyle name="Comma 3 4 7 2 2 2" xfId="5771" xr:uid="{2193A755-476D-4E64-98C0-FBA51ED8EB8C}"/>
    <cellStyle name="Comma 3 4 7 2 2 2 2" xfId="11068" xr:uid="{FF93C489-D7F1-433A-8FC4-6DA44B72A654}"/>
    <cellStyle name="Comma 3 4 7 2 2 3" xfId="8419" xr:uid="{5411565E-8F74-4ACE-A12A-F3B0DEBCE32C}"/>
    <cellStyle name="Comma 3 4 7 2 3" xfId="4447" xr:uid="{E1933C3D-8537-4600-B944-D90490A99983}"/>
    <cellStyle name="Comma 3 4 7 2 3 2" xfId="9744" xr:uid="{8B902B7B-C71B-4F77-8919-7EABF6CF4BC1}"/>
    <cellStyle name="Comma 3 4 7 2 4" xfId="7095" xr:uid="{1832D0F9-67D2-4F6B-B8A9-11E1E7E008DC}"/>
    <cellStyle name="Comma 3 4 7 3" xfId="2594" xr:uid="{509D875E-F4A3-49B8-9A7F-6C3F553DDCF6}"/>
    <cellStyle name="Comma 3 4 7 3 2" xfId="5243" xr:uid="{882671AC-FD0C-4D4D-BE5A-219E56C9FA6B}"/>
    <cellStyle name="Comma 3 4 7 3 2 2" xfId="10540" xr:uid="{25E8E34D-10D1-4B52-A8DF-8A68BE0FD189}"/>
    <cellStyle name="Comma 3 4 7 3 3" xfId="7891" xr:uid="{9957D019-62CD-4F1B-ADDC-638AF0B79510}"/>
    <cellStyle name="Comma 3 4 7 4" xfId="3919" xr:uid="{682DC48B-C1A8-4FFD-B6B1-E1018DE4BF56}"/>
    <cellStyle name="Comma 3 4 7 4 2" xfId="9216" xr:uid="{3DF46528-69E0-47C3-8C7F-B215F56A97F9}"/>
    <cellStyle name="Comma 3 4 7 5" xfId="6567" xr:uid="{17004DC5-39BD-4E17-B809-30D5B383BD74}"/>
    <cellStyle name="Comma 3 4 8" xfId="1386" xr:uid="{3D3D7F57-CF7F-4863-B0A2-AB44ED42662C}"/>
    <cellStyle name="Comma 3 4 8 2" xfId="1914" xr:uid="{F1816C44-68C6-4F6B-91AD-F76844DDB01B}"/>
    <cellStyle name="Comma 3 4 8 2 2" xfId="3254" xr:uid="{D19185CF-D151-49B3-BC6A-AC47D9CE601F}"/>
    <cellStyle name="Comma 3 4 8 2 2 2" xfId="5903" xr:uid="{4283863E-14CA-46E8-8802-19D27F6AC949}"/>
    <cellStyle name="Comma 3 4 8 2 2 2 2" xfId="11200" xr:uid="{218FACB9-D43A-45E2-B8C1-4386C1272D64}"/>
    <cellStyle name="Comma 3 4 8 2 2 3" xfId="8551" xr:uid="{334A47D8-A37D-44C0-B1BD-C03FD7581682}"/>
    <cellStyle name="Comma 3 4 8 2 3" xfId="4579" xr:uid="{016435D2-8F02-4B58-945F-CAE4A3CA45D2}"/>
    <cellStyle name="Comma 3 4 8 2 3 2" xfId="9876" xr:uid="{7AC33084-4966-46C8-A249-1A23B68A2330}"/>
    <cellStyle name="Comma 3 4 8 2 4" xfId="7227" xr:uid="{CEE78F95-E380-401E-8FE5-D297A2F22E81}"/>
    <cellStyle name="Comma 3 4 8 3" xfId="2726" xr:uid="{77E7AFA2-EEE9-4D83-908A-DAF582F89731}"/>
    <cellStyle name="Comma 3 4 8 3 2" xfId="5375" xr:uid="{2EC84173-3317-4A21-AF49-CDBBE746282F}"/>
    <cellStyle name="Comma 3 4 8 3 2 2" xfId="10672" xr:uid="{1A8CE3AE-4BB7-41C2-B944-7301F9F457DD}"/>
    <cellStyle name="Comma 3 4 8 3 3" xfId="8023" xr:uid="{2372D3BC-0800-4286-8FC4-0982810D9760}"/>
    <cellStyle name="Comma 3 4 8 4" xfId="4051" xr:uid="{BAF63841-9C1E-4FBD-9B7D-009D4D3031C2}"/>
    <cellStyle name="Comma 3 4 8 4 2" xfId="9348" xr:uid="{08C04832-0669-44FC-B421-66EEED5D78EB}"/>
    <cellStyle name="Comma 3 4 8 5" xfId="6699" xr:uid="{0D4E1F94-0309-4404-93B9-601ABD26B7B4}"/>
    <cellStyle name="Comma 3 4 9" xfId="645" xr:uid="{7B34C7BD-7C5F-46BA-8822-6D7FEB882AB8}"/>
    <cellStyle name="Comma 3 4 9 2" xfId="2205" xr:uid="{5AB5F02C-411E-428E-9419-5F101D51ECBD}"/>
    <cellStyle name="Comma 3 4 9 2 2" xfId="4854" xr:uid="{D1869F64-E8CB-4A34-B2F4-2AF85542D428}"/>
    <cellStyle name="Comma 3 4 9 2 2 2" xfId="10151" xr:uid="{F36823D2-C9CB-4965-8B18-8BCBF6E52B17}"/>
    <cellStyle name="Comma 3 4 9 2 3" xfId="7502" xr:uid="{D41D139B-6F20-4A18-BE45-C8E7FDF404CF}"/>
    <cellStyle name="Comma 3 4 9 3" xfId="3530" xr:uid="{5B2E60A9-07A0-4463-AB7D-140D3C013161}"/>
    <cellStyle name="Comma 3 4 9 3 2" xfId="8827" xr:uid="{5EA9ACD2-8E21-4579-9B37-85CA27C85379}"/>
    <cellStyle name="Comma 3 4 9 4" xfId="6178" xr:uid="{B5558A6B-CBCE-47F0-9FEF-8EDB0EF83A8D}"/>
    <cellStyle name="Comma 3 5" xfId="198" xr:uid="{2CF4506F-2171-47EF-B17B-E12244CE7B83}"/>
    <cellStyle name="Comma 3 5 2" xfId="430" xr:uid="{0045AC32-E711-46CB-88A9-E56B3801F581}"/>
    <cellStyle name="Comma 3 5 2 2" xfId="2164" xr:uid="{7C911F4A-C4AA-4946-AFC8-73EE0C82F895}"/>
    <cellStyle name="Comma 3 5 2 2 2" xfId="4813" xr:uid="{4C15A6DD-4508-444C-B2B3-DF789B9D0B30}"/>
    <cellStyle name="Comma 3 5 2 2 2 2" xfId="10110" xr:uid="{FA28C4CC-4335-4B27-A705-C41480513908}"/>
    <cellStyle name="Comma 3 5 2 2 3" xfId="7461" xr:uid="{CB767590-1001-4A51-B4D1-2A1FBC4920F8}"/>
    <cellStyle name="Comma 3 5 2 3" xfId="3489" xr:uid="{864AA16C-49E7-440B-8029-59C984CF5938}"/>
    <cellStyle name="Comma 3 5 2 3 2" xfId="8786" xr:uid="{9BD65C2F-C5EA-40D5-9AE9-1AD6032A49DF}"/>
    <cellStyle name="Comma 3 5 2 4" xfId="6137" xr:uid="{8F8482E7-6F71-4422-9AFA-6FAD96D58314}"/>
    <cellStyle name="Comma 3 5 3" xfId="688" xr:uid="{9BD31C31-69A6-44B7-A85B-3DCE186A0D8B}"/>
    <cellStyle name="Comma 3 5 4" xfId="2097" xr:uid="{1DD7CC6B-1F99-41AC-BAE3-0441F051898B}"/>
    <cellStyle name="Comma 3 5 4 2" xfId="4746" xr:uid="{60CCBC8E-9E6E-49FC-B6CB-0DDA65FD22FC}"/>
    <cellStyle name="Comma 3 5 4 2 2" xfId="10043" xr:uid="{08BDA0AB-D8C7-4CDE-8E91-72CE1FBC04D2}"/>
    <cellStyle name="Comma 3 5 4 3" xfId="7394" xr:uid="{4594C002-677E-4EEE-9DA4-916F32C4AA88}"/>
    <cellStyle name="Comma 3 5 5" xfId="3422" xr:uid="{6DE476F3-4A9E-49C1-A02B-3D449223D579}"/>
    <cellStyle name="Comma 3 5 5 2" xfId="8719" xr:uid="{5D96CD14-78F6-49FF-A74C-99775DC7C206}"/>
    <cellStyle name="Comma 3 5 6" xfId="6070" xr:uid="{51EE3E2A-4913-4095-84EE-5920F29DB7F9}"/>
    <cellStyle name="Comma 3 6" xfId="255" xr:uid="{416C0652-832E-422B-AB15-5204A40C80A3}"/>
    <cellStyle name="Comma 3 6 2" xfId="1627" xr:uid="{2BC81095-38CC-49EC-8C09-47136791DA2C}"/>
    <cellStyle name="Comma 3 6 2 2" xfId="2967" xr:uid="{1B2BE7A0-4BB7-49B4-8774-D4A48295CD69}"/>
    <cellStyle name="Comma 3 6 2 2 2" xfId="5616" xr:uid="{775FB435-8661-4224-989B-D895E27881E6}"/>
    <cellStyle name="Comma 3 6 2 2 2 2" xfId="10913" xr:uid="{91E3110C-3A7E-473B-B563-C07FA9C36E1B}"/>
    <cellStyle name="Comma 3 6 2 2 3" xfId="8264" xr:uid="{019C3658-7BD1-4C5D-927E-A455D8E1853C}"/>
    <cellStyle name="Comma 3 6 2 3" xfId="4292" xr:uid="{0E6D4C07-6ED1-4B74-94B9-A76FC3789780}"/>
    <cellStyle name="Comma 3 6 2 3 2" xfId="9589" xr:uid="{18D503F6-BBB2-4435-A932-5121A1C60A88}"/>
    <cellStyle name="Comma 3 6 2 4" xfId="6940" xr:uid="{8578BED4-D847-4C99-AF40-EB8725C77D69}"/>
    <cellStyle name="Comma 3 6 3" xfId="1089" xr:uid="{D2627BF4-54B4-4B90-A0BB-3ECB83AABE32}"/>
    <cellStyle name="Comma 3 6 3 2" xfId="2439" xr:uid="{60F87235-31F1-4E11-84DF-319A8127425C}"/>
    <cellStyle name="Comma 3 6 3 2 2" xfId="5088" xr:uid="{8B7CFDB3-5019-434B-A86A-70B46F544BA4}"/>
    <cellStyle name="Comma 3 6 3 2 2 2" xfId="10385" xr:uid="{A0A98CE5-D5E8-4710-9E4D-57ED5D660C69}"/>
    <cellStyle name="Comma 3 6 3 2 3" xfId="7736" xr:uid="{2714BB16-A056-4834-B0AC-6FD8E812A5DF}"/>
    <cellStyle name="Comma 3 6 3 3" xfId="3764" xr:uid="{35438009-DC6F-49E4-8948-CC5EE07878B5}"/>
    <cellStyle name="Comma 3 6 3 3 2" xfId="9061" xr:uid="{4A9E0798-1E00-4B4E-8FD8-8C7BB7240051}"/>
    <cellStyle name="Comma 3 6 3 4" xfId="6412" xr:uid="{56D4AAC4-BB59-4B65-88E1-3D21379F34E8}"/>
    <cellStyle name="Comma 3 6 4" xfId="2115" xr:uid="{F4DA0B86-88FC-4B0C-BB19-09DBB2088B49}"/>
    <cellStyle name="Comma 3 6 4 2" xfId="4764" xr:uid="{14D23023-1DF9-4433-8ED0-627A4B88C372}"/>
    <cellStyle name="Comma 3 6 4 2 2" xfId="10061" xr:uid="{870EC9F3-F406-4679-8B3F-009B2EC75730}"/>
    <cellStyle name="Comma 3 6 4 3" xfId="7412" xr:uid="{01101EDC-90A9-4A26-8B61-43511EEFDD17}"/>
    <cellStyle name="Comma 3 6 5" xfId="3440" xr:uid="{FC1E5860-8EDA-4731-B7F2-AB2A1A61A4A8}"/>
    <cellStyle name="Comma 3 6 5 2" xfId="8737" xr:uid="{12BAF20B-E746-416D-8BEB-704A488AA9EF}"/>
    <cellStyle name="Comma 3 6 6" xfId="6088" xr:uid="{AB4711FD-B32E-4377-B164-6D6F46CEE153}"/>
    <cellStyle name="Comma 3 7" xfId="466" xr:uid="{BCA7E879-7F7C-4027-9716-0D1895CD118D}"/>
    <cellStyle name="Comma 3 7 2" xfId="1495" xr:uid="{4912DFDF-B7D8-4E4D-AEBF-EE9BBAB9EDB6}"/>
    <cellStyle name="Comma 3 7 2 2" xfId="2835" xr:uid="{09B1D03B-67B5-42F5-9C85-75F55D8A92E5}"/>
    <cellStyle name="Comma 3 7 2 2 2" xfId="5484" xr:uid="{3D7EB417-85E1-4559-8667-823EA9A64F65}"/>
    <cellStyle name="Comma 3 7 2 2 2 2" xfId="10781" xr:uid="{CD1DF5B2-E633-47D2-9DDE-2B6D8212453D}"/>
    <cellStyle name="Comma 3 7 2 2 3" xfId="8132" xr:uid="{6C359037-AEDA-4EF2-9235-8EEADB545570}"/>
    <cellStyle name="Comma 3 7 2 3" xfId="4160" xr:uid="{A3BFA35A-18C8-47D6-B6BC-32D3F2B847B6}"/>
    <cellStyle name="Comma 3 7 2 3 2" xfId="9457" xr:uid="{A35510B6-B981-459A-A102-58A1C586D7AC}"/>
    <cellStyle name="Comma 3 7 2 4" xfId="6808" xr:uid="{049B0CFC-DA63-4985-B909-27E1FCA45527}"/>
    <cellStyle name="Comma 3 7 3" xfId="942" xr:uid="{93D5B17A-B3D7-486D-B02B-088340F3F368}"/>
    <cellStyle name="Comma 3 7 3 2" xfId="2307" xr:uid="{0A5A751E-90A3-4222-991E-9741B04048F8}"/>
    <cellStyle name="Comma 3 7 3 2 2" xfId="4956" xr:uid="{7EFAEB8A-BB34-4FFF-9DAC-311E02B524D2}"/>
    <cellStyle name="Comma 3 7 3 2 2 2" xfId="10253" xr:uid="{D6ECCC81-3A45-4069-84D9-3812CD510981}"/>
    <cellStyle name="Comma 3 7 3 2 3" xfId="7604" xr:uid="{952366EE-7B86-428D-AB27-225586E1EAC3}"/>
    <cellStyle name="Comma 3 7 3 3" xfId="3632" xr:uid="{BA5853DE-5211-46EA-BC48-30B192C252A3}"/>
    <cellStyle name="Comma 3 7 3 3 2" xfId="8929" xr:uid="{9F070083-82AB-4D73-8DEF-A98474467B1A}"/>
    <cellStyle name="Comma 3 7 3 4" xfId="6280" xr:uid="{C3626B1E-763C-4CB4-986F-74B04E87FEFA}"/>
    <cellStyle name="Comma 3 7 4" xfId="2178" xr:uid="{ADDDCF9A-E603-4FA2-98BB-1178B9350865}"/>
    <cellStyle name="Comma 3 7 4 2" xfId="4827" xr:uid="{519C607B-CF92-484D-B813-469B7AA1D994}"/>
    <cellStyle name="Comma 3 7 4 2 2" xfId="10124" xr:uid="{01B6C253-C96E-45F7-86D8-F900135A2495}"/>
    <cellStyle name="Comma 3 7 4 3" xfId="7475" xr:uid="{0D144A19-DAC5-40BE-9DDC-C5E1C6D2545C}"/>
    <cellStyle name="Comma 3 7 5" xfId="3503" xr:uid="{2E49D7D1-1536-431D-A798-D6E9C51E645D}"/>
    <cellStyle name="Comma 3 7 5 2" xfId="8800" xr:uid="{F6398C29-FD5B-4AEC-B0AB-41CFA1BD6B3F}"/>
    <cellStyle name="Comma 3 7 6" xfId="6151" xr:uid="{9F4F3725-02B1-4705-A588-C0592E649EEF}"/>
    <cellStyle name="Comma 3 8" xfId="1231" xr:uid="{CD1BF38B-5ECF-4070-9CAF-7395F410A447}"/>
    <cellStyle name="Comma 3 8 2" xfId="1759" xr:uid="{150D7452-3BDD-44A4-8957-942C391B426C}"/>
    <cellStyle name="Comma 3 8 2 2" xfId="3099" xr:uid="{2EAC78A3-38C9-440B-8B77-3A1D413D7854}"/>
    <cellStyle name="Comma 3 8 2 2 2" xfId="5748" xr:uid="{58197D7F-0318-4A3C-9A54-F572E9165C76}"/>
    <cellStyle name="Comma 3 8 2 2 2 2" xfId="11045" xr:uid="{FDB81750-8581-4BE6-8B55-3E5F720211BB}"/>
    <cellStyle name="Comma 3 8 2 2 3" xfId="8396" xr:uid="{85F2CAF5-7D11-4080-B22A-8563F0DC535B}"/>
    <cellStyle name="Comma 3 8 2 3" xfId="4424" xr:uid="{94A6757D-5871-4AE5-BA01-004796B936F7}"/>
    <cellStyle name="Comma 3 8 2 3 2" xfId="9721" xr:uid="{E9BD3AC0-9F6A-426C-A2FF-1159E8E3DB53}"/>
    <cellStyle name="Comma 3 8 2 4" xfId="7072" xr:uid="{127FE0FF-C1A4-4E03-9129-6844C2CE40B0}"/>
    <cellStyle name="Comma 3 8 3" xfId="2571" xr:uid="{FC6D4746-DA8E-4B4C-93B7-B6FF1CCD1895}"/>
    <cellStyle name="Comma 3 8 3 2" xfId="5220" xr:uid="{05711218-DE4F-48B8-944E-40255D636865}"/>
    <cellStyle name="Comma 3 8 3 2 2" xfId="10517" xr:uid="{639D758B-BD61-49EB-A65D-008083056321}"/>
    <cellStyle name="Comma 3 8 3 3" xfId="7868" xr:uid="{597ED684-82B8-4DE4-B81C-2936A0ADC88B}"/>
    <cellStyle name="Comma 3 8 4" xfId="3896" xr:uid="{1967D741-BFCA-4A35-9E81-365858CBADB1}"/>
    <cellStyle name="Comma 3 8 4 2" xfId="9193" xr:uid="{039C7333-7E6A-4D3A-AF40-DCB7FFB4BDDF}"/>
    <cellStyle name="Comma 3 8 5" xfId="6544" xr:uid="{7AC230E1-1AA1-49F0-A20F-AC703E3FAD27}"/>
    <cellStyle name="Comma 3 9" xfId="1363" xr:uid="{A0CB6E97-5B2A-4F17-850A-218D5A87C54F}"/>
    <cellStyle name="Comma 3 9 2" xfId="1891" xr:uid="{5576BC43-3F1C-477C-A3E6-ECB3D2D1D18E}"/>
    <cellStyle name="Comma 3 9 2 2" xfId="3231" xr:uid="{5E6FF621-BD60-4370-A379-D75989980472}"/>
    <cellStyle name="Comma 3 9 2 2 2" xfId="5880" xr:uid="{7A9AAAB2-BF51-4EFA-AC62-24DF50D144E2}"/>
    <cellStyle name="Comma 3 9 2 2 2 2" xfId="11177" xr:uid="{262F6AFC-3FF1-4CD7-81EA-B039C378837D}"/>
    <cellStyle name="Comma 3 9 2 2 3" xfId="8528" xr:uid="{DC078ED8-1D5A-4D41-B310-0CEDE188DA19}"/>
    <cellStyle name="Comma 3 9 2 3" xfId="4556" xr:uid="{8590D1D2-3170-488A-8B1C-CB9FE4E13E14}"/>
    <cellStyle name="Comma 3 9 2 3 2" xfId="9853" xr:uid="{0B2F952A-AB8E-4867-AD40-D9047F9A5494}"/>
    <cellStyle name="Comma 3 9 2 4" xfId="7204" xr:uid="{63F041A3-8901-4AE1-B251-735A5983A95F}"/>
    <cellStyle name="Comma 3 9 3" xfId="2703" xr:uid="{6AC8790F-D951-4021-A6A6-8A91109A5B56}"/>
    <cellStyle name="Comma 3 9 3 2" xfId="5352" xr:uid="{DDD67D0F-7F76-4FAE-913F-147FA467252F}"/>
    <cellStyle name="Comma 3 9 3 2 2" xfId="10649" xr:uid="{781652CE-46E3-457F-A10E-326542082542}"/>
    <cellStyle name="Comma 3 9 3 3" xfId="8000" xr:uid="{DDAB209E-7D7E-4854-B60D-691EADD43501}"/>
    <cellStyle name="Comma 3 9 4" xfId="4028" xr:uid="{05DBDAA8-4F4D-4CB3-8549-5FCD008E65A9}"/>
    <cellStyle name="Comma 3 9 4 2" xfId="9325" xr:uid="{60A05C34-34C7-4F5B-BCAD-2A8D26D80DAA}"/>
    <cellStyle name="Comma 3 9 5" xfId="6676" xr:uid="{D4AE19FC-B289-4D91-9325-09309F34D4CE}"/>
    <cellStyle name="Comma 3_Book1" xfId="511" xr:uid="{32DB7349-49BB-41BC-BF6E-72F682312FE2}"/>
    <cellStyle name="Comma 4" xfId="43" xr:uid="{C02D51CD-956F-4E79-9AF5-38604C5C92D5}"/>
    <cellStyle name="Comma 4 10" xfId="512" xr:uid="{BAEA77BB-4B07-41C2-9F4F-4995C7172980}"/>
    <cellStyle name="Comma 4 10 2" xfId="2188" xr:uid="{8FECF2F7-6DE2-427B-AE93-CCA93548E471}"/>
    <cellStyle name="Comma 4 10 2 2" xfId="4837" xr:uid="{C8680367-5D1D-4C3C-9CC6-4C922C4D88B9}"/>
    <cellStyle name="Comma 4 10 2 2 2" xfId="10134" xr:uid="{7D3F2CF4-7F81-4BA9-80F2-3ADE60213DA6}"/>
    <cellStyle name="Comma 4 10 2 3" xfId="7485" xr:uid="{58AE3E76-F73D-4126-B806-26267084D808}"/>
    <cellStyle name="Comma 4 10 3" xfId="3513" xr:uid="{2BBF7D93-81F6-4F7D-B954-805418DAF4FE}"/>
    <cellStyle name="Comma 4 10 3 2" xfId="8810" xr:uid="{7ADBB45B-61B1-4F41-BE82-1809E9077249}"/>
    <cellStyle name="Comma 4 10 4" xfId="6161" xr:uid="{203D9381-5333-4770-BF96-00C758A5416C}"/>
    <cellStyle name="Comma 4 11" xfId="2030" xr:uid="{76835EC9-8126-46ED-8130-802175F0F9B4}"/>
    <cellStyle name="Comma 4 11 2" xfId="3365" xr:uid="{4C921FF3-F638-4280-B228-2C2E077082BB}"/>
    <cellStyle name="Comma 4 11 2 2" xfId="6014" xr:uid="{18C00FF7-D135-4769-812F-8CB92B824638}"/>
    <cellStyle name="Comma 4 11 2 2 2" xfId="11311" xr:uid="{9A5426D6-EE9A-47F1-88CC-B39243A226B8}"/>
    <cellStyle name="Comma 4 11 2 3" xfId="8662" xr:uid="{B648F7AB-38E3-401B-AD83-AB32277CB54F}"/>
    <cellStyle name="Comma 4 11 3" xfId="4690" xr:uid="{06C4944F-D2C4-49F6-A0B0-C9D07F6F9144}"/>
    <cellStyle name="Comma 4 11 3 2" xfId="9987" xr:uid="{715AF64A-A48D-44B7-97C0-8E6E558EAF17}"/>
    <cellStyle name="Comma 4 11 4" xfId="7338" xr:uid="{6872ED3C-5051-445E-BE62-D41557700F71}"/>
    <cellStyle name="Comma 4 12" xfId="2053" xr:uid="{C9C0732E-5CAB-4C28-B349-8E0A6BF766E5}"/>
    <cellStyle name="Comma 4 12 2" xfId="4702" xr:uid="{FC833545-685E-4229-8D81-B1624D4F0AF5}"/>
    <cellStyle name="Comma 4 12 2 2" xfId="9999" xr:uid="{74E1DE34-C53C-4D9E-93B7-400D69EEA55F}"/>
    <cellStyle name="Comma 4 12 3" xfId="7350" xr:uid="{6177FC26-2387-4F79-B576-F7D21DC2A3E0}"/>
    <cellStyle name="Comma 4 13" xfId="3378" xr:uid="{06A06560-82CB-4630-A202-8DF3F25F01B9}"/>
    <cellStyle name="Comma 4 13 2" xfId="8675" xr:uid="{260C25CE-6FBE-47E8-93D6-7A654F8A97AB}"/>
    <cellStyle name="Comma 4 14" xfId="6026" xr:uid="{3D5D4B6B-646B-4C13-82D6-30C409BAF1D3}"/>
    <cellStyle name="Comma 4 2" xfId="48" xr:uid="{1E0C9A9F-B53F-4267-B0FA-F563D365938F}"/>
    <cellStyle name="Comma 4 2 10" xfId="3380" xr:uid="{234DBC46-DD6D-4DCC-A228-76DF57B77861}"/>
    <cellStyle name="Comma 4 2 10 2" xfId="8677" xr:uid="{A9445295-CAE9-4DA8-AE89-FA42B671317B}"/>
    <cellStyle name="Comma 4 2 11" xfId="6028" xr:uid="{057FCFAF-3920-4F0E-B4E0-0B64C1BF74DB}"/>
    <cellStyle name="Comma 4 2 2" xfId="91" xr:uid="{8CF71EA1-C7CD-48BC-906E-F9CDB3DF96B6}"/>
    <cellStyle name="Comma 4 2 2 2" xfId="323" xr:uid="{209ED47B-C2A4-4861-B345-5E9ADCCCD868}"/>
    <cellStyle name="Comma 4 2 2 2 2" xfId="1211" xr:uid="{48647A47-9406-482B-882A-D2B924E09C8D}"/>
    <cellStyle name="Comma 4 2 2 2 2 2" xfId="1739" xr:uid="{91FB1740-0C82-44B8-A985-D295A71F8CC9}"/>
    <cellStyle name="Comma 4 2 2 2 2 2 2" xfId="3079" xr:uid="{5FBDACD5-B275-4B9A-8812-F74596AAA869}"/>
    <cellStyle name="Comma 4 2 2 2 2 2 2 2" xfId="5728" xr:uid="{CF0493CB-88DC-4B94-8C77-77E08BFE8FF4}"/>
    <cellStyle name="Comma 4 2 2 2 2 2 2 2 2" xfId="11025" xr:uid="{664D9779-F61F-4199-B1F4-11F40AC7DDB2}"/>
    <cellStyle name="Comma 4 2 2 2 2 2 2 3" xfId="8376" xr:uid="{8629AEA0-535D-48BB-AD37-F37433B39B87}"/>
    <cellStyle name="Comma 4 2 2 2 2 2 3" xfId="4404" xr:uid="{25394073-461A-4227-B61E-9F8C110720C6}"/>
    <cellStyle name="Comma 4 2 2 2 2 2 3 2" xfId="9701" xr:uid="{2A39C6E5-01B5-4FB1-A86E-018127BCC7DB}"/>
    <cellStyle name="Comma 4 2 2 2 2 2 4" xfId="7052" xr:uid="{1162BC56-81A8-44F0-921A-BFBDB7BFB833}"/>
    <cellStyle name="Comma 4 2 2 2 2 3" xfId="2551" xr:uid="{B362C75B-FB04-4946-B633-B19C708D71CD}"/>
    <cellStyle name="Comma 4 2 2 2 2 3 2" xfId="5200" xr:uid="{081D1E83-85B7-4FEB-8865-323C8997D8B2}"/>
    <cellStyle name="Comma 4 2 2 2 2 3 2 2" xfId="10497" xr:uid="{140EC815-FD7A-4E1B-ADDA-CC93BB07EB6E}"/>
    <cellStyle name="Comma 4 2 2 2 2 3 3" xfId="7848" xr:uid="{DC3495EE-E786-488B-948B-AC783064AC6F}"/>
    <cellStyle name="Comma 4 2 2 2 2 4" xfId="3876" xr:uid="{B642A713-CA0C-4B36-9E3B-776189D5BBDB}"/>
    <cellStyle name="Comma 4 2 2 2 2 4 2" xfId="9173" xr:uid="{2B205BB3-E5CA-4A4E-BB14-08CCE3DA9F6E}"/>
    <cellStyle name="Comma 4 2 2 2 2 5" xfId="6524" xr:uid="{1D6EE0B7-1691-4E03-B8C7-1F0A88735DC5}"/>
    <cellStyle name="Comma 4 2 2 2 3" xfId="1068" xr:uid="{B365CACE-C7B9-4F80-ACFF-6371BEB6D64A}"/>
    <cellStyle name="Comma 4 2 2 2 3 2" xfId="1607" xr:uid="{62B5ECC7-1ECE-4600-9D71-AF161B76BBE0}"/>
    <cellStyle name="Comma 4 2 2 2 3 2 2" xfId="2947" xr:uid="{E59D29C2-0EE3-4E93-8CC1-036F3A1827E9}"/>
    <cellStyle name="Comma 4 2 2 2 3 2 2 2" xfId="5596" xr:uid="{F7275C8D-3350-4331-BEDA-EFA20F436B22}"/>
    <cellStyle name="Comma 4 2 2 2 3 2 2 2 2" xfId="10893" xr:uid="{68EE950E-61E1-4094-899B-748B839307E9}"/>
    <cellStyle name="Comma 4 2 2 2 3 2 2 3" xfId="8244" xr:uid="{2FAE40DA-0BE3-4BF5-A21E-9FD7BB30063E}"/>
    <cellStyle name="Comma 4 2 2 2 3 2 3" xfId="4272" xr:uid="{3C8C703C-A1B6-4FA1-9BF7-5DC900F9BD5C}"/>
    <cellStyle name="Comma 4 2 2 2 3 2 3 2" xfId="9569" xr:uid="{A4716CD9-68DD-4D21-90A8-DC4F1B7A7169}"/>
    <cellStyle name="Comma 4 2 2 2 3 2 4" xfId="6920" xr:uid="{066A0CB3-1DC2-4052-96C8-F63F0C8C5085}"/>
    <cellStyle name="Comma 4 2 2 2 3 3" xfId="2419" xr:uid="{ACBF5021-8AC4-4C73-AF88-0C534212C5CA}"/>
    <cellStyle name="Comma 4 2 2 2 3 3 2" xfId="5068" xr:uid="{5E8CBC6A-9C21-4663-8307-F90BD14395ED}"/>
    <cellStyle name="Comma 4 2 2 2 3 3 2 2" xfId="10365" xr:uid="{1A0D55E3-262C-4B7A-A806-F5B588D482FB}"/>
    <cellStyle name="Comma 4 2 2 2 3 3 3" xfId="7716" xr:uid="{0A63E502-E640-4DA9-94AF-9E94A932875F}"/>
    <cellStyle name="Comma 4 2 2 2 3 4" xfId="3744" xr:uid="{84410D1B-5E10-4905-ADDF-7688532114E1}"/>
    <cellStyle name="Comma 4 2 2 2 3 4 2" xfId="9041" xr:uid="{C575124C-0FF1-4959-A867-8971D0BAB7E3}"/>
    <cellStyle name="Comma 4 2 2 2 3 5" xfId="6392" xr:uid="{9A607397-BD66-48BD-BDEA-A92F8245106B}"/>
    <cellStyle name="Comma 4 2 2 2 4" xfId="1343" xr:uid="{09483D27-10B2-4E4D-A7D3-254427106502}"/>
    <cellStyle name="Comma 4 2 2 2 4 2" xfId="1871" xr:uid="{EDA370F1-5258-43BB-937D-531A6A7E778A}"/>
    <cellStyle name="Comma 4 2 2 2 4 2 2" xfId="3211" xr:uid="{9E57CAAB-A3B8-4A8E-B893-D4341CAF07AF}"/>
    <cellStyle name="Comma 4 2 2 2 4 2 2 2" xfId="5860" xr:uid="{49FD176C-3B24-4E0D-9958-5671C8EB31A1}"/>
    <cellStyle name="Comma 4 2 2 2 4 2 2 2 2" xfId="11157" xr:uid="{BC3DC9CD-91BE-41A8-B3A2-4125A8C76B63}"/>
    <cellStyle name="Comma 4 2 2 2 4 2 2 3" xfId="8508" xr:uid="{7A96E3C4-3ABA-4848-A51F-796368BCD5B7}"/>
    <cellStyle name="Comma 4 2 2 2 4 2 3" xfId="4536" xr:uid="{452ABCC8-1BD8-496E-8E1B-3F2EB51844CD}"/>
    <cellStyle name="Comma 4 2 2 2 4 2 3 2" xfId="9833" xr:uid="{9B505F0B-D3EC-405A-9A19-50709F89F3D9}"/>
    <cellStyle name="Comma 4 2 2 2 4 2 4" xfId="7184" xr:uid="{B0B381E1-8C28-452D-B62D-2277ED15E319}"/>
    <cellStyle name="Comma 4 2 2 2 4 3" xfId="2683" xr:uid="{2E9C2604-CBC3-40FA-8572-22837C3D83EF}"/>
    <cellStyle name="Comma 4 2 2 2 4 3 2" xfId="5332" xr:uid="{41D7028F-0EBC-4D5E-B1DF-0F2562E880FD}"/>
    <cellStyle name="Comma 4 2 2 2 4 3 2 2" xfId="10629" xr:uid="{038F532D-46EF-4348-8EB1-D45D04FCB855}"/>
    <cellStyle name="Comma 4 2 2 2 4 3 3" xfId="7980" xr:uid="{F554F06F-6830-4C8B-AD0A-FC23992A21B8}"/>
    <cellStyle name="Comma 4 2 2 2 4 4" xfId="4008" xr:uid="{CE619C7C-B0D4-450E-B0B1-49595DF05A80}"/>
    <cellStyle name="Comma 4 2 2 2 4 4 2" xfId="9305" xr:uid="{86E7ABF9-51F7-4DB7-BD01-8CC67078081F}"/>
    <cellStyle name="Comma 4 2 2 2 4 5" xfId="6656" xr:uid="{62C474AA-7F14-4C7E-9277-DDAA565627D4}"/>
    <cellStyle name="Comma 4 2 2 2 5" xfId="1475" xr:uid="{99B0E7B6-171B-4AA6-8FD4-556F4A9880F1}"/>
    <cellStyle name="Comma 4 2 2 2 5 2" xfId="2003" xr:uid="{57E10B1C-0646-43F2-8C01-31D92EAA72E4}"/>
    <cellStyle name="Comma 4 2 2 2 5 2 2" xfId="3343" xr:uid="{68AAEE81-C544-4CE2-9492-9FA86AA386D5}"/>
    <cellStyle name="Comma 4 2 2 2 5 2 2 2" xfId="5992" xr:uid="{0C7CA4DE-7423-48C7-B907-AA15418242C1}"/>
    <cellStyle name="Comma 4 2 2 2 5 2 2 2 2" xfId="11289" xr:uid="{2D23DEA5-21B7-4AE0-83B5-A079383F1B36}"/>
    <cellStyle name="Comma 4 2 2 2 5 2 2 3" xfId="8640" xr:uid="{6BF89089-6B11-4611-B2F7-20E9947EEBA5}"/>
    <cellStyle name="Comma 4 2 2 2 5 2 3" xfId="4668" xr:uid="{FFAFBF81-275A-4692-9629-1DD4499FEF87}"/>
    <cellStyle name="Comma 4 2 2 2 5 2 3 2" xfId="9965" xr:uid="{7CB2F4AD-5769-4C80-BCB5-10FD30CA1B0B}"/>
    <cellStyle name="Comma 4 2 2 2 5 2 4" xfId="7316" xr:uid="{FAD106E3-21FF-4C71-8FB5-E221AE8F6859}"/>
    <cellStyle name="Comma 4 2 2 2 5 3" xfId="2815" xr:uid="{C66B5B28-047A-4B7F-86A2-F81BD8ACCABB}"/>
    <cellStyle name="Comma 4 2 2 2 5 3 2" xfId="5464" xr:uid="{AA76FD47-0ECA-4E8A-99F5-B8DD1506386C}"/>
    <cellStyle name="Comma 4 2 2 2 5 3 2 2" xfId="10761" xr:uid="{C2FDC8B6-B0D5-42C0-811C-6FFD16808898}"/>
    <cellStyle name="Comma 4 2 2 2 5 3 3" xfId="8112" xr:uid="{B8E6376C-6757-4316-A2FD-04EE23081B52}"/>
    <cellStyle name="Comma 4 2 2 2 5 4" xfId="4140" xr:uid="{C4F39B76-C064-4498-8528-E5209F7F2120}"/>
    <cellStyle name="Comma 4 2 2 2 5 4 2" xfId="9437" xr:uid="{305118B4-C765-4747-BC20-13F651B833CF}"/>
    <cellStyle name="Comma 4 2 2 2 5 5" xfId="6788" xr:uid="{30EF9B28-1A86-40FD-B56F-1B4EE1038EC9}"/>
    <cellStyle name="Comma 4 2 2 2 6" xfId="2134" xr:uid="{B42488E9-469A-4667-8A75-EA08451B1B13}"/>
    <cellStyle name="Comma 4 2 2 2 6 2" xfId="4783" xr:uid="{8F83647E-8E36-4A1B-A6E6-42013945C6CD}"/>
    <cellStyle name="Comma 4 2 2 2 6 2 2" xfId="10080" xr:uid="{138E215A-5624-4409-BC11-15E75B6132A2}"/>
    <cellStyle name="Comma 4 2 2 2 6 3" xfId="7431" xr:uid="{CBFE403D-6B1F-4710-8233-C5B2173F010C}"/>
    <cellStyle name="Comma 4 2 2 2 7" xfId="3459" xr:uid="{68B28A52-A7BA-409A-B66C-38FD4FE3FA1B}"/>
    <cellStyle name="Comma 4 2 2 2 7 2" xfId="8756" xr:uid="{57E785C0-1190-483A-9440-8B7FBDD53E53}"/>
    <cellStyle name="Comma 4 2 2 2 8" xfId="6107" xr:uid="{54C2B57A-8A45-4194-9AD4-EEF8B56FDD94}"/>
    <cellStyle name="Comma 4 2 2 3" xfId="1119" xr:uid="{DF0657F9-652D-4D5C-ABAF-167D186ACED9}"/>
    <cellStyle name="Comma 4 2 2 3 2" xfId="1653" xr:uid="{B4E052F0-37EF-446A-A7FB-294BE035CE07}"/>
    <cellStyle name="Comma 4 2 2 3 2 2" xfId="2993" xr:uid="{75E3C41C-BD2A-4F83-8331-AA72F3431FBB}"/>
    <cellStyle name="Comma 4 2 2 3 2 2 2" xfId="5642" xr:uid="{5C4DB252-45FE-4104-A505-E22D98B0A7EA}"/>
    <cellStyle name="Comma 4 2 2 3 2 2 2 2" xfId="10939" xr:uid="{225C2705-151F-4ADA-85F4-E81E8A458BB0}"/>
    <cellStyle name="Comma 4 2 2 3 2 2 3" xfId="8290" xr:uid="{5EDCEBF0-D718-418D-B53F-9F0541A7677A}"/>
    <cellStyle name="Comma 4 2 2 3 2 3" xfId="4318" xr:uid="{CBBCF74B-0FC4-40E6-A670-2DA7072A151A}"/>
    <cellStyle name="Comma 4 2 2 3 2 3 2" xfId="9615" xr:uid="{A99C04DA-1214-4D29-8AE3-4164FBBA22B1}"/>
    <cellStyle name="Comma 4 2 2 3 2 4" xfId="6966" xr:uid="{05BCD646-3387-4170-B992-6DCE766F472A}"/>
    <cellStyle name="Comma 4 2 2 3 3" xfId="2465" xr:uid="{36B765D6-23B5-4BCB-AB5A-F8481159363C}"/>
    <cellStyle name="Comma 4 2 2 3 3 2" xfId="5114" xr:uid="{AB8A69E2-E180-4241-95A2-732CA6679802}"/>
    <cellStyle name="Comma 4 2 2 3 3 2 2" xfId="10411" xr:uid="{22BF85C4-F9A7-4282-B3AB-E7EE07786DED}"/>
    <cellStyle name="Comma 4 2 2 3 3 3" xfId="7762" xr:uid="{9E7BE854-1961-42C0-BF88-B7293F1D6797}"/>
    <cellStyle name="Comma 4 2 2 3 4" xfId="3790" xr:uid="{5BEFD12F-A76C-4D05-8BA6-DF559BF19302}"/>
    <cellStyle name="Comma 4 2 2 3 4 2" xfId="9087" xr:uid="{4152E6EF-E30A-4196-B23D-0A9CD0599399}"/>
    <cellStyle name="Comma 4 2 2 3 5" xfId="6438" xr:uid="{BD270992-9302-44B1-AA72-4F2E7A479BE2}"/>
    <cellStyle name="Comma 4 2 2 4" xfId="973" xr:uid="{16512E23-9401-4F82-A889-95977B03CD96}"/>
    <cellStyle name="Comma 4 2 2 4 2" xfId="1521" xr:uid="{DAEBC3BE-F328-49BB-8775-0FB92BFE91D5}"/>
    <cellStyle name="Comma 4 2 2 4 2 2" xfId="2861" xr:uid="{21A10F2B-B7B2-4C47-BB6E-04A22095A76A}"/>
    <cellStyle name="Comma 4 2 2 4 2 2 2" xfId="5510" xr:uid="{633185CE-1C66-4593-ACCE-15D9812F4957}"/>
    <cellStyle name="Comma 4 2 2 4 2 2 2 2" xfId="10807" xr:uid="{8C583700-D1C3-4AFD-ABA1-70E0921A7E2B}"/>
    <cellStyle name="Comma 4 2 2 4 2 2 3" xfId="8158" xr:uid="{17F6BC7B-D050-4FB0-A12F-7F84B3668634}"/>
    <cellStyle name="Comma 4 2 2 4 2 3" xfId="4186" xr:uid="{AB95D2BA-91FF-4B6C-8D8E-43659D2A24E9}"/>
    <cellStyle name="Comma 4 2 2 4 2 3 2" xfId="9483" xr:uid="{87019017-2E25-4372-B7A7-D911B78408ED}"/>
    <cellStyle name="Comma 4 2 2 4 2 4" xfId="6834" xr:uid="{B273B69B-7430-4455-98DD-F81982A993EE}"/>
    <cellStyle name="Comma 4 2 2 4 3" xfId="2333" xr:uid="{02B6F929-7B40-4708-A97C-8E1A15577A27}"/>
    <cellStyle name="Comma 4 2 2 4 3 2" xfId="4982" xr:uid="{CE7E22AE-0083-4B31-965B-65207F9B3E88}"/>
    <cellStyle name="Comma 4 2 2 4 3 2 2" xfId="10279" xr:uid="{D6C60B69-1FF2-4BF4-B59E-D606C52838EE}"/>
    <cellStyle name="Comma 4 2 2 4 3 3" xfId="7630" xr:uid="{BD045D73-59FF-4628-A5DA-FE830CD0D3A1}"/>
    <cellStyle name="Comma 4 2 2 4 4" xfId="3658" xr:uid="{9F6F2102-9B6C-4809-AF56-E0EAA0DEF833}"/>
    <cellStyle name="Comma 4 2 2 4 4 2" xfId="8955" xr:uid="{6D436B98-174F-4F30-92F0-B302188A86C2}"/>
    <cellStyle name="Comma 4 2 2 4 5" xfId="6306" xr:uid="{B77467B5-C880-4927-B675-44C07AD62C17}"/>
    <cellStyle name="Comma 4 2 2 5" xfId="1257" xr:uid="{0EE4478B-4FF1-4328-867B-18136B37F77C}"/>
    <cellStyle name="Comma 4 2 2 5 2" xfId="1785" xr:uid="{784676D1-FDE9-404A-A5E7-2AFA51BD8908}"/>
    <cellStyle name="Comma 4 2 2 5 2 2" xfId="3125" xr:uid="{3CB34D88-0FC8-49B9-96A3-9D092C6A6311}"/>
    <cellStyle name="Comma 4 2 2 5 2 2 2" xfId="5774" xr:uid="{37BB4A8E-F5B5-481C-BD3E-5174CE496559}"/>
    <cellStyle name="Comma 4 2 2 5 2 2 2 2" xfId="11071" xr:uid="{02E743EC-D307-429F-9A06-4B55F3414503}"/>
    <cellStyle name="Comma 4 2 2 5 2 2 3" xfId="8422" xr:uid="{3F9B37DF-E9F3-481E-9559-5A05517B36A5}"/>
    <cellStyle name="Comma 4 2 2 5 2 3" xfId="4450" xr:uid="{8FDE0D22-1712-4DDF-80B3-B531415DCD38}"/>
    <cellStyle name="Comma 4 2 2 5 2 3 2" xfId="9747" xr:uid="{7AD32F47-EF0F-4E11-93D8-B01E1E3EABCE}"/>
    <cellStyle name="Comma 4 2 2 5 2 4" xfId="7098" xr:uid="{3F3F75AB-BEAC-4645-AC73-C8CC3C8D289C}"/>
    <cellStyle name="Comma 4 2 2 5 3" xfId="2597" xr:uid="{615B67F0-DC57-4BC6-9B9D-C942CA5946CB}"/>
    <cellStyle name="Comma 4 2 2 5 3 2" xfId="5246" xr:uid="{1813E5CC-A50B-46C7-B2CF-F90AC2048AF5}"/>
    <cellStyle name="Comma 4 2 2 5 3 2 2" xfId="10543" xr:uid="{24E814C1-866D-4E16-AA9C-CB03F01541AD}"/>
    <cellStyle name="Comma 4 2 2 5 3 3" xfId="7894" xr:uid="{A1020EA3-C247-4B4E-A671-15A81265DE62}"/>
    <cellStyle name="Comma 4 2 2 5 4" xfId="3922" xr:uid="{FDC0AFE1-6F92-44D7-8721-BC7C161E3FA8}"/>
    <cellStyle name="Comma 4 2 2 5 4 2" xfId="9219" xr:uid="{0A59DB64-519E-4101-819E-898660766DC8}"/>
    <cellStyle name="Comma 4 2 2 5 5" xfId="6570" xr:uid="{7B6012C5-D827-40A4-930F-7F4E2002C261}"/>
    <cellStyle name="Comma 4 2 2 6" xfId="1389" xr:uid="{98D7CD5D-BF52-4429-948A-487408EF3150}"/>
    <cellStyle name="Comma 4 2 2 6 2" xfId="1917" xr:uid="{537E7FC5-7B05-46A4-8B7B-FB7054DCDF5E}"/>
    <cellStyle name="Comma 4 2 2 6 2 2" xfId="3257" xr:uid="{54FF55A2-9A6C-4237-A815-8F8E2DE8FAAB}"/>
    <cellStyle name="Comma 4 2 2 6 2 2 2" xfId="5906" xr:uid="{286FE214-557D-4B80-A088-6541435AE8DE}"/>
    <cellStyle name="Comma 4 2 2 6 2 2 2 2" xfId="11203" xr:uid="{817798F5-A21B-46C9-ADF7-BAB7E7FB4A12}"/>
    <cellStyle name="Comma 4 2 2 6 2 2 3" xfId="8554" xr:uid="{E1D96BA5-FD2A-4879-982D-109C4B9BA363}"/>
    <cellStyle name="Comma 4 2 2 6 2 3" xfId="4582" xr:uid="{E458FD74-76AD-4A72-BEFE-4079D196F7B6}"/>
    <cellStyle name="Comma 4 2 2 6 2 3 2" xfId="9879" xr:uid="{64007F61-1EB2-4BF6-A10E-5730AE8A8639}"/>
    <cellStyle name="Comma 4 2 2 6 2 4" xfId="7230" xr:uid="{03FFBF63-743E-42CD-90C6-C73E5DFA8CB0}"/>
    <cellStyle name="Comma 4 2 2 6 3" xfId="2729" xr:uid="{C8F94A1B-3E88-4002-B542-BFECF8A8172B}"/>
    <cellStyle name="Comma 4 2 2 6 3 2" xfId="5378" xr:uid="{64E4EA76-BA23-49D3-9421-CBC356255969}"/>
    <cellStyle name="Comma 4 2 2 6 3 2 2" xfId="10675" xr:uid="{D45DEA92-AF59-416D-B32C-C1E8F759D0FE}"/>
    <cellStyle name="Comma 4 2 2 6 3 3" xfId="8026" xr:uid="{653AD2A7-2582-4778-8810-06E49034D8A7}"/>
    <cellStyle name="Comma 4 2 2 6 4" xfId="4054" xr:uid="{14D8213B-AE22-40D2-8E6B-017D997248B4}"/>
    <cellStyle name="Comma 4 2 2 6 4 2" xfId="9351" xr:uid="{46945E6C-F40E-4151-8C06-BF44A42EAA08}"/>
    <cellStyle name="Comma 4 2 2 6 5" xfId="6702" xr:uid="{E1632044-5531-4DA1-BAEB-9CD5EBAB842F}"/>
    <cellStyle name="Comma 4 2 2 7" xfId="2067" xr:uid="{E06A4703-B36D-4499-9856-4E7F0C387B17}"/>
    <cellStyle name="Comma 4 2 2 7 2" xfId="4716" xr:uid="{D6A2CFF1-ECA1-400D-ACB3-16375ED8846C}"/>
    <cellStyle name="Comma 4 2 2 7 2 2" xfId="10013" xr:uid="{C42FFCE5-C999-486C-A284-D5D329E8B345}"/>
    <cellStyle name="Comma 4 2 2 7 3" xfId="7364" xr:uid="{1EFE87EC-42EC-423E-BCEE-B269A5FC2DF4}"/>
    <cellStyle name="Comma 4 2 2 8" xfId="3392" xr:uid="{6E0AC97A-7CDC-4513-921D-2E96FCC4E5BF}"/>
    <cellStyle name="Comma 4 2 2 8 2" xfId="8689" xr:uid="{64639C4C-9C1D-4BDF-B257-56409CBBEAAC}"/>
    <cellStyle name="Comma 4 2 2 9" xfId="6040" xr:uid="{D38A8746-7593-4C73-9D1D-B3273730CF48}"/>
    <cellStyle name="Comma 4 2 3" xfId="134" xr:uid="{32E17D8C-17C2-41BC-93D6-DF6E732E830C}"/>
    <cellStyle name="Comma 4 2 3 2" xfId="366" xr:uid="{2156CE22-B15B-40EE-B212-A1E0E217CDF5}"/>
    <cellStyle name="Comma 4 2 3 2 2" xfId="1716" xr:uid="{816FC3E2-2E9A-4DEB-B641-E43C06C9D2AC}"/>
    <cellStyle name="Comma 4 2 3 2 2 2" xfId="3056" xr:uid="{6531F14F-D1DE-48B8-A68C-D7B8D660DC22}"/>
    <cellStyle name="Comma 4 2 3 2 2 2 2" xfId="5705" xr:uid="{CDACA222-30B3-4248-A784-9272B34207A0}"/>
    <cellStyle name="Comma 4 2 3 2 2 2 2 2" xfId="11002" xr:uid="{4B6C7E36-BD24-446F-AD0A-6F83B7584E7C}"/>
    <cellStyle name="Comma 4 2 3 2 2 2 3" xfId="8353" xr:uid="{4A69BB0A-CA35-4315-88B8-A5D0C84AB597}"/>
    <cellStyle name="Comma 4 2 3 2 2 3" xfId="4381" xr:uid="{D1415D0C-F4B0-4145-98E7-1D73134B1557}"/>
    <cellStyle name="Comma 4 2 3 2 2 3 2" xfId="9678" xr:uid="{CC5EB3EB-9B5B-4323-8CE3-19368C5C0C49}"/>
    <cellStyle name="Comma 4 2 3 2 2 4" xfId="7029" xr:uid="{1B750D8C-A58F-4451-88FF-31174FC10985}"/>
    <cellStyle name="Comma 4 2 3 2 3" xfId="1185" xr:uid="{180883D2-0AA6-4A01-A5DF-F7BA5C5A505D}"/>
    <cellStyle name="Comma 4 2 3 2 3 2" xfId="2528" xr:uid="{BA0CD915-E4A6-450D-AF7C-F65EEC9862C8}"/>
    <cellStyle name="Comma 4 2 3 2 3 2 2" xfId="5177" xr:uid="{57B0E7FF-8571-43CF-AC94-6E650A42C467}"/>
    <cellStyle name="Comma 4 2 3 2 3 2 2 2" xfId="10474" xr:uid="{BE9B8AA6-01D9-4B00-9176-318855295A76}"/>
    <cellStyle name="Comma 4 2 3 2 3 2 3" xfId="7825" xr:uid="{8F888DDF-E01B-483E-B0F1-8372B6BC85D4}"/>
    <cellStyle name="Comma 4 2 3 2 3 3" xfId="3853" xr:uid="{2EE86EBF-A201-4D02-B83F-3D8E5FEA3739}"/>
    <cellStyle name="Comma 4 2 3 2 3 3 2" xfId="9150" xr:uid="{08A26934-78A5-4A01-9B72-A7F6AD7B58DC}"/>
    <cellStyle name="Comma 4 2 3 2 3 4" xfId="6501" xr:uid="{01355D59-BD89-42CE-B292-4A0E3D43DF28}"/>
    <cellStyle name="Comma 4 2 3 2 4" xfId="2146" xr:uid="{DF3124DA-6A5C-455F-8F97-AF14342792AF}"/>
    <cellStyle name="Comma 4 2 3 2 4 2" xfId="4795" xr:uid="{61CA4FB7-784F-4E3B-BE09-8EC5710AC22F}"/>
    <cellStyle name="Comma 4 2 3 2 4 2 2" xfId="10092" xr:uid="{F1D0A1FB-8F3A-4B1C-91A6-A0BDCDD27BD0}"/>
    <cellStyle name="Comma 4 2 3 2 4 3" xfId="7443" xr:uid="{E932F598-9012-4283-A279-BB5A03532D43}"/>
    <cellStyle name="Comma 4 2 3 2 5" xfId="3471" xr:uid="{01C56166-8F97-43A7-8A08-077488BCBE95}"/>
    <cellStyle name="Comma 4 2 3 2 5 2" xfId="8768" xr:uid="{6F158316-72B5-4FBD-9425-2FEC87D56BB7}"/>
    <cellStyle name="Comma 4 2 3 2 6" xfId="6119" xr:uid="{291E52B7-AE3E-4DCF-8C6B-14451B5B44F6}"/>
    <cellStyle name="Comma 4 2 3 3" xfId="1041" xr:uid="{F278610B-E3A1-4912-90F0-1F603F4DF2CD}"/>
    <cellStyle name="Comma 4 2 3 3 2" xfId="1584" xr:uid="{E47121B7-9ACC-4270-BED1-0052A49FD4F4}"/>
    <cellStyle name="Comma 4 2 3 3 2 2" xfId="2924" xr:uid="{C0F2732F-EC55-407D-BD0A-5116E9F5FAF0}"/>
    <cellStyle name="Comma 4 2 3 3 2 2 2" xfId="5573" xr:uid="{7ADB4408-173A-45B1-AA31-6163ACC412A7}"/>
    <cellStyle name="Comma 4 2 3 3 2 2 2 2" xfId="10870" xr:uid="{4016896B-3C6B-4A84-ABBC-F0170D8EFDDE}"/>
    <cellStyle name="Comma 4 2 3 3 2 2 3" xfId="8221" xr:uid="{764BD5A7-BC63-46D6-812B-DE957614DE84}"/>
    <cellStyle name="Comma 4 2 3 3 2 3" xfId="4249" xr:uid="{AD00F177-08DF-45BA-BD67-8F39492FBE44}"/>
    <cellStyle name="Comma 4 2 3 3 2 3 2" xfId="9546" xr:uid="{CFE3CCDB-6512-4EE5-8211-1F3854EF9248}"/>
    <cellStyle name="Comma 4 2 3 3 2 4" xfId="6897" xr:uid="{A6E5E9E5-BEE8-490B-84A9-0048C0DB9CED}"/>
    <cellStyle name="Comma 4 2 3 3 3" xfId="2396" xr:uid="{EE784742-0EB4-4DB3-AB8A-E2E033E75394}"/>
    <cellStyle name="Comma 4 2 3 3 3 2" xfId="5045" xr:uid="{988370B1-452E-4A1A-A05F-956257F7536C}"/>
    <cellStyle name="Comma 4 2 3 3 3 2 2" xfId="10342" xr:uid="{25A410BD-B9A3-4FC9-880C-35B4C2EC566D}"/>
    <cellStyle name="Comma 4 2 3 3 3 3" xfId="7693" xr:uid="{C6028127-A91B-4A7D-BC50-2E13972B9AE6}"/>
    <cellStyle name="Comma 4 2 3 3 4" xfId="3721" xr:uid="{41115513-BD50-404B-BA8C-7EBDB826F59B}"/>
    <cellStyle name="Comma 4 2 3 3 4 2" xfId="9018" xr:uid="{6B081DAA-8527-47D7-A56C-525C3CD47EB7}"/>
    <cellStyle name="Comma 4 2 3 3 5" xfId="6369" xr:uid="{EDDE6F05-73A8-4CE9-B7EE-AEC595CAF447}"/>
    <cellStyle name="Comma 4 2 3 4" xfId="1320" xr:uid="{178F1289-6A9D-4917-BCA5-584DC38AA14C}"/>
    <cellStyle name="Comma 4 2 3 4 2" xfId="1848" xr:uid="{47945621-AA08-4323-BAB5-BC90878314D6}"/>
    <cellStyle name="Comma 4 2 3 4 2 2" xfId="3188" xr:uid="{1A64DAE1-71EC-4406-A72C-012D2E32142A}"/>
    <cellStyle name="Comma 4 2 3 4 2 2 2" xfId="5837" xr:uid="{8B4DE980-36D0-44F4-B5CA-931DCDBD0BDA}"/>
    <cellStyle name="Comma 4 2 3 4 2 2 2 2" xfId="11134" xr:uid="{0C0EF288-9862-4807-982D-5F67C66C938A}"/>
    <cellStyle name="Comma 4 2 3 4 2 2 3" xfId="8485" xr:uid="{1BCAF564-2F75-412B-B9A5-7323047EDB09}"/>
    <cellStyle name="Comma 4 2 3 4 2 3" xfId="4513" xr:uid="{DA448D94-F14D-464D-9ED2-CAFFF236C2AF}"/>
    <cellStyle name="Comma 4 2 3 4 2 3 2" xfId="9810" xr:uid="{B9D028C4-C36F-4834-9DCE-1C1905BB8683}"/>
    <cellStyle name="Comma 4 2 3 4 2 4" xfId="7161" xr:uid="{9E650A8B-B38D-45A9-9233-BBA9EBDFFBD6}"/>
    <cellStyle name="Comma 4 2 3 4 3" xfId="2660" xr:uid="{294B2484-B83F-454C-9841-8F85931E18F4}"/>
    <cellStyle name="Comma 4 2 3 4 3 2" xfId="5309" xr:uid="{AA439EC7-84D4-419C-AB17-BB600DC29704}"/>
    <cellStyle name="Comma 4 2 3 4 3 2 2" xfId="10606" xr:uid="{2454D1E1-93CA-46B3-99C7-8C7692510A60}"/>
    <cellStyle name="Comma 4 2 3 4 3 3" xfId="7957" xr:uid="{9FEBAFE4-6EFC-4433-9C2A-1AAF77E9B6C8}"/>
    <cellStyle name="Comma 4 2 3 4 4" xfId="3985" xr:uid="{98900E65-CE81-4E20-86D4-AFA85742C615}"/>
    <cellStyle name="Comma 4 2 3 4 4 2" xfId="9282" xr:uid="{8FA92D02-ED8A-435A-A9E4-7DC846AE4C7E}"/>
    <cellStyle name="Comma 4 2 3 4 5" xfId="6633" xr:uid="{19571680-E557-440D-A3CE-BF6B0C580662}"/>
    <cellStyle name="Comma 4 2 3 5" xfId="1452" xr:uid="{288D62DC-E14C-41EE-B1DC-4C7472E719D9}"/>
    <cellStyle name="Comma 4 2 3 5 2" xfId="1980" xr:uid="{020027DA-E3AB-49F4-B592-4D4F232F97EB}"/>
    <cellStyle name="Comma 4 2 3 5 2 2" xfId="3320" xr:uid="{12E50A58-28FF-4ADD-83FF-B8943366F65D}"/>
    <cellStyle name="Comma 4 2 3 5 2 2 2" xfId="5969" xr:uid="{B365B9A5-1605-4C1A-A583-F6ECB507BBD3}"/>
    <cellStyle name="Comma 4 2 3 5 2 2 2 2" xfId="11266" xr:uid="{2841DAD4-7FA3-4236-A998-03BDF54C6500}"/>
    <cellStyle name="Comma 4 2 3 5 2 2 3" xfId="8617" xr:uid="{1F4397E1-800F-44D7-BC28-106411A88564}"/>
    <cellStyle name="Comma 4 2 3 5 2 3" xfId="4645" xr:uid="{0A093B72-7F8A-4F89-8194-B970A757250E}"/>
    <cellStyle name="Comma 4 2 3 5 2 3 2" xfId="9942" xr:uid="{7A46001D-D571-4582-B0D7-2139C6FB2544}"/>
    <cellStyle name="Comma 4 2 3 5 2 4" xfId="7293" xr:uid="{C06274A9-0CEC-4312-8C38-79C604A9E92F}"/>
    <cellStyle name="Comma 4 2 3 5 3" xfId="2792" xr:uid="{B86DC576-F07A-4B03-B23C-5DB6E5D4AD56}"/>
    <cellStyle name="Comma 4 2 3 5 3 2" xfId="5441" xr:uid="{0D6A4066-60AC-45D2-852A-610C5D0E128C}"/>
    <cellStyle name="Comma 4 2 3 5 3 2 2" xfId="10738" xr:uid="{EADDAA95-8691-4270-823F-D7E4556BA119}"/>
    <cellStyle name="Comma 4 2 3 5 3 3" xfId="8089" xr:uid="{B66BFE32-B84B-4216-BD9F-DB4F1ED915FA}"/>
    <cellStyle name="Comma 4 2 3 5 4" xfId="4117" xr:uid="{21CA7298-A799-482A-85E8-919A0787BC30}"/>
    <cellStyle name="Comma 4 2 3 5 4 2" xfId="9414" xr:uid="{D5FEF1ED-73ED-4660-941C-CCF04340F227}"/>
    <cellStyle name="Comma 4 2 3 5 5" xfId="6765" xr:uid="{A99A909D-5DBA-4D8F-8392-4CEE99367C8C}"/>
    <cellStyle name="Comma 4 2 3 6" xfId="2079" xr:uid="{F5628109-5594-41DA-B96B-393DD6D4A6E5}"/>
    <cellStyle name="Comma 4 2 3 6 2" xfId="4728" xr:uid="{8D4FF941-B629-4AF8-B50C-C7A30A33A33C}"/>
    <cellStyle name="Comma 4 2 3 6 2 2" xfId="10025" xr:uid="{ABFDD112-29B2-416C-BC52-9C04909C3C23}"/>
    <cellStyle name="Comma 4 2 3 6 3" xfId="7376" xr:uid="{D518E144-8B5A-4BB7-87B8-20B37313D886}"/>
    <cellStyle name="Comma 4 2 3 7" xfId="3404" xr:uid="{637C65F4-2368-471E-85EC-42EB401CA108}"/>
    <cellStyle name="Comma 4 2 3 7 2" xfId="8701" xr:uid="{094BEC03-49FC-499B-A448-F7E96A2E0354}"/>
    <cellStyle name="Comma 4 2 3 8" xfId="6052" xr:uid="{B694CCD4-AD92-412C-92F0-6691E9ACD569}"/>
    <cellStyle name="Comma 4 2 4" xfId="180" xr:uid="{833322D7-AF3A-445E-9F12-3788C349141E}"/>
    <cellStyle name="Comma 4 2 4 2" xfId="412" xr:uid="{ECD24844-2240-42BB-9F9E-B38A26E3F585}"/>
    <cellStyle name="Comma 4 2 4 2 2" xfId="1692" xr:uid="{FFD6CE33-2235-4183-9C80-7CD26C81222D}"/>
    <cellStyle name="Comma 4 2 4 2 2 2" xfId="3032" xr:uid="{0A3ED116-EB28-4679-9B6E-53017511FFB4}"/>
    <cellStyle name="Comma 4 2 4 2 2 2 2" xfId="5681" xr:uid="{06C07072-5803-46A3-B1D2-E47A3B97DD2E}"/>
    <cellStyle name="Comma 4 2 4 2 2 2 2 2" xfId="10978" xr:uid="{57880049-96DA-4783-9661-383B0CC2320A}"/>
    <cellStyle name="Comma 4 2 4 2 2 2 3" xfId="8329" xr:uid="{9A4B207E-9CD5-43A9-8937-B99986440951}"/>
    <cellStyle name="Comma 4 2 4 2 2 3" xfId="4357" xr:uid="{3E487DFB-2BF5-418D-A8E8-AF8097D2CFE8}"/>
    <cellStyle name="Comma 4 2 4 2 2 3 2" xfId="9654" xr:uid="{8E897218-E893-4EA6-B4B7-FB48EF528D3B}"/>
    <cellStyle name="Comma 4 2 4 2 2 4" xfId="7005" xr:uid="{E967C828-D04E-43C0-85DE-50D1A67FECFE}"/>
    <cellStyle name="Comma 4 2 4 2 3" xfId="1160" xr:uid="{B62F770B-3CB8-4D90-8C60-1565274300DF}"/>
    <cellStyle name="Comma 4 2 4 2 3 2" xfId="2504" xr:uid="{B9158734-31D0-432A-8CDB-0D83CED50328}"/>
    <cellStyle name="Comma 4 2 4 2 3 2 2" xfId="5153" xr:uid="{9E0BE503-5F98-4E0B-B360-75852508F069}"/>
    <cellStyle name="Comma 4 2 4 2 3 2 2 2" xfId="10450" xr:uid="{4D880F38-2A41-419E-B6C2-0564639BFAA1}"/>
    <cellStyle name="Comma 4 2 4 2 3 2 3" xfId="7801" xr:uid="{F8910CBA-BE45-404F-BC4C-CA9747F6C05E}"/>
    <cellStyle name="Comma 4 2 4 2 3 3" xfId="3829" xr:uid="{91398D04-9282-4173-AD75-D6ADE6073D29}"/>
    <cellStyle name="Comma 4 2 4 2 3 3 2" xfId="9126" xr:uid="{39B07BED-43A6-43CF-A63A-FF0DFA548899}"/>
    <cellStyle name="Comma 4 2 4 2 3 4" xfId="6477" xr:uid="{AC1E2393-C0CE-4EC0-B57B-4A35EC5499F1}"/>
    <cellStyle name="Comma 4 2 4 2 4" xfId="2159" xr:uid="{25DBE2CC-B20C-4F58-9C2C-B51F01BF7FE8}"/>
    <cellStyle name="Comma 4 2 4 2 4 2" xfId="4808" xr:uid="{A4BA03D8-2BB3-4067-A715-38BC691C85DC}"/>
    <cellStyle name="Comma 4 2 4 2 4 2 2" xfId="10105" xr:uid="{5AD24860-8D8A-4691-A33D-C262ADCEE231}"/>
    <cellStyle name="Comma 4 2 4 2 4 3" xfId="7456" xr:uid="{D39376D9-27D3-4A70-BAD5-4F177A5788EB}"/>
    <cellStyle name="Comma 4 2 4 2 5" xfId="3484" xr:uid="{F8DF9F4D-4AD0-4ED8-9797-6528AF01CE93}"/>
    <cellStyle name="Comma 4 2 4 2 5 2" xfId="8781" xr:uid="{1C5B88CF-674D-496D-8099-7CD76D3DF2F5}"/>
    <cellStyle name="Comma 4 2 4 2 6" xfId="6132" xr:uid="{35DF64A0-5FCB-42C2-B67D-0BCC3061D729}"/>
    <cellStyle name="Comma 4 2 4 3" xfId="1016" xr:uid="{AB3E8C0C-B1BF-4B48-8BA0-6BCE369549F0}"/>
    <cellStyle name="Comma 4 2 4 3 2" xfId="1560" xr:uid="{2EB1A950-DB14-4871-B357-D21203BAE070}"/>
    <cellStyle name="Comma 4 2 4 3 2 2" xfId="2900" xr:uid="{1FBD25B0-60F8-4D16-B872-0C94101726FD}"/>
    <cellStyle name="Comma 4 2 4 3 2 2 2" xfId="5549" xr:uid="{9DB36837-7652-4F0E-B30B-EF5B3646377D}"/>
    <cellStyle name="Comma 4 2 4 3 2 2 2 2" xfId="10846" xr:uid="{C5C2450A-91C5-498E-A77D-511EFEEFB3A9}"/>
    <cellStyle name="Comma 4 2 4 3 2 2 3" xfId="8197" xr:uid="{05981B09-40F1-4032-A318-661DDE9A490F}"/>
    <cellStyle name="Comma 4 2 4 3 2 3" xfId="4225" xr:uid="{808CBC66-5EBC-4ABB-8B35-734BB349B862}"/>
    <cellStyle name="Comma 4 2 4 3 2 3 2" xfId="9522" xr:uid="{A74D9AB7-1030-485B-ABE0-F367521C57F2}"/>
    <cellStyle name="Comma 4 2 4 3 2 4" xfId="6873" xr:uid="{D439A082-372A-4DC8-8E69-503B244EF496}"/>
    <cellStyle name="Comma 4 2 4 3 3" xfId="2372" xr:uid="{F2A2FAFE-02C9-44E1-9CEE-A909B349DC74}"/>
    <cellStyle name="Comma 4 2 4 3 3 2" xfId="5021" xr:uid="{8BFF5E27-EAE1-456A-8EFD-D41BAB5094C7}"/>
    <cellStyle name="Comma 4 2 4 3 3 2 2" xfId="10318" xr:uid="{04D46504-DBBA-4918-A46E-D028CB11B129}"/>
    <cellStyle name="Comma 4 2 4 3 3 3" xfId="7669" xr:uid="{31EA6FFA-1755-4AAF-BD56-C9C9D6B45BF8}"/>
    <cellStyle name="Comma 4 2 4 3 4" xfId="3697" xr:uid="{E5BF617D-C8E7-46FD-A26B-0DE3F41ACC89}"/>
    <cellStyle name="Comma 4 2 4 3 4 2" xfId="8994" xr:uid="{6526CFEA-EEEC-44AF-9AB0-278231B373B0}"/>
    <cellStyle name="Comma 4 2 4 3 5" xfId="6345" xr:uid="{51786C83-3B23-4228-84DB-60C368BDE168}"/>
    <cellStyle name="Comma 4 2 4 4" xfId="1296" xr:uid="{5C6EF735-CC9C-483A-B17F-8F908642764A}"/>
    <cellStyle name="Comma 4 2 4 4 2" xfId="1824" xr:uid="{7C418591-4395-495C-85EF-A585C51607D5}"/>
    <cellStyle name="Comma 4 2 4 4 2 2" xfId="3164" xr:uid="{62D23EBA-B725-4B9C-8FE0-49A1A0AD65B0}"/>
    <cellStyle name="Comma 4 2 4 4 2 2 2" xfId="5813" xr:uid="{631E2D83-2EC9-4719-B799-5EA986F9F0E6}"/>
    <cellStyle name="Comma 4 2 4 4 2 2 2 2" xfId="11110" xr:uid="{02893A7B-DA11-44D2-8DAF-542296C2329B}"/>
    <cellStyle name="Comma 4 2 4 4 2 2 3" xfId="8461" xr:uid="{8C367956-A407-4C01-BEE1-35570ECDE1AD}"/>
    <cellStyle name="Comma 4 2 4 4 2 3" xfId="4489" xr:uid="{176C13FD-FA66-406B-9E8F-29128572C1CC}"/>
    <cellStyle name="Comma 4 2 4 4 2 3 2" xfId="9786" xr:uid="{4B7F9816-69FD-4056-AD0B-9411C6234676}"/>
    <cellStyle name="Comma 4 2 4 4 2 4" xfId="7137" xr:uid="{7A296658-0CF6-4E89-9D7A-AE6697643F19}"/>
    <cellStyle name="Comma 4 2 4 4 3" xfId="2636" xr:uid="{67E1476D-C1C4-4A0D-AA4C-E9C750350FEA}"/>
    <cellStyle name="Comma 4 2 4 4 3 2" xfId="5285" xr:uid="{71C53341-B277-4DAF-A3B3-3FFA077FDB79}"/>
    <cellStyle name="Comma 4 2 4 4 3 2 2" xfId="10582" xr:uid="{76B01D13-0C23-4936-B531-AFECF575A07B}"/>
    <cellStyle name="Comma 4 2 4 4 3 3" xfId="7933" xr:uid="{8E84D5E2-C16F-4ED3-8799-9BC097C65C04}"/>
    <cellStyle name="Comma 4 2 4 4 4" xfId="3961" xr:uid="{C6CC5AFB-5407-44EB-9514-1BE32F3C4882}"/>
    <cellStyle name="Comma 4 2 4 4 4 2" xfId="9258" xr:uid="{ABE24543-C66C-4598-A483-985F3A48CF2C}"/>
    <cellStyle name="Comma 4 2 4 4 5" xfId="6609" xr:uid="{39E202D4-C782-4C7F-9F75-13E3A11F3BBE}"/>
    <cellStyle name="Comma 4 2 4 5" xfId="1428" xr:uid="{2BB75CF8-1BCB-4B9B-B52F-7B3F48FF8782}"/>
    <cellStyle name="Comma 4 2 4 5 2" xfId="1956" xr:uid="{123EE220-C93F-415F-9202-F63DBD11759A}"/>
    <cellStyle name="Comma 4 2 4 5 2 2" xfId="3296" xr:uid="{184147B2-0AF2-417C-A3F4-6EA3FDF36C4C}"/>
    <cellStyle name="Comma 4 2 4 5 2 2 2" xfId="5945" xr:uid="{C19CD714-9A7D-4774-88E2-7B6972169568}"/>
    <cellStyle name="Comma 4 2 4 5 2 2 2 2" xfId="11242" xr:uid="{A3DB66BE-2B29-4FAA-830D-DB8CBA24A07A}"/>
    <cellStyle name="Comma 4 2 4 5 2 2 3" xfId="8593" xr:uid="{D1FFAAD1-2744-4431-9224-B6778F911630}"/>
    <cellStyle name="Comma 4 2 4 5 2 3" xfId="4621" xr:uid="{DDAC7529-9C3B-42D8-9645-91E5C67A9960}"/>
    <cellStyle name="Comma 4 2 4 5 2 3 2" xfId="9918" xr:uid="{27C7152F-0ADA-40B0-90F4-DE0F2A68FEC4}"/>
    <cellStyle name="Comma 4 2 4 5 2 4" xfId="7269" xr:uid="{0974EB34-5697-4D8D-9429-714AEBE04064}"/>
    <cellStyle name="Comma 4 2 4 5 3" xfId="2768" xr:uid="{ABCD7B42-AD3C-4320-BCA2-862405C3DCEB}"/>
    <cellStyle name="Comma 4 2 4 5 3 2" xfId="5417" xr:uid="{798ADA2F-5CA6-4849-BCF9-D1AC54D2DA96}"/>
    <cellStyle name="Comma 4 2 4 5 3 2 2" xfId="10714" xr:uid="{21025E8A-2489-4AD0-8235-88EB8391124A}"/>
    <cellStyle name="Comma 4 2 4 5 3 3" xfId="8065" xr:uid="{EBC65FB9-56B1-4CEC-898D-5A2389AF75FB}"/>
    <cellStyle name="Comma 4 2 4 5 4" xfId="4093" xr:uid="{1AA70AEE-DF1E-4569-AE27-750CF7384A29}"/>
    <cellStyle name="Comma 4 2 4 5 4 2" xfId="9390" xr:uid="{168C97E9-9A5C-4FDB-94AC-CC0C0FA42E5D}"/>
    <cellStyle name="Comma 4 2 4 5 5" xfId="6741" xr:uid="{B4A649F2-7468-416D-9556-6A54937A41F1}"/>
    <cellStyle name="Comma 4 2 4 6" xfId="799" xr:uid="{D60E1561-BF92-4825-A917-CCCB44BB02CB}"/>
    <cellStyle name="Comma 4 2 4 6 2" xfId="2244" xr:uid="{6CF62D81-F266-4CF5-8218-C009FDBED65A}"/>
    <cellStyle name="Comma 4 2 4 6 2 2" xfId="4893" xr:uid="{56B0ECA5-91CE-403B-8D18-1C19F0CD3EFC}"/>
    <cellStyle name="Comma 4 2 4 6 2 2 2" xfId="10190" xr:uid="{A7B7816E-B489-43A0-83A3-F61143024B4A}"/>
    <cellStyle name="Comma 4 2 4 6 2 3" xfId="7541" xr:uid="{F92A3B86-E83E-4C1C-9ADB-26FDC16CF2BF}"/>
    <cellStyle name="Comma 4 2 4 6 3" xfId="3569" xr:uid="{8321223F-D468-4863-B2ED-4F14EAA806F3}"/>
    <cellStyle name="Comma 4 2 4 6 3 2" xfId="8866" xr:uid="{BC17B0C8-09AB-466B-B6BC-E1BA83A0719E}"/>
    <cellStyle name="Comma 4 2 4 6 4" xfId="6217" xr:uid="{3652075D-EB2E-4F27-A30D-98D56938DAD0}"/>
    <cellStyle name="Comma 4 2 4 7" xfId="2092" xr:uid="{5A76E6E0-0B3F-4DCD-BB10-D6019E37DCA9}"/>
    <cellStyle name="Comma 4 2 4 7 2" xfId="4741" xr:uid="{420C058F-8C3F-4561-A77A-342C708E167E}"/>
    <cellStyle name="Comma 4 2 4 7 2 2" xfId="10038" xr:uid="{5B1CD69E-86CC-4553-B10E-BAB5B5406A32}"/>
    <cellStyle name="Comma 4 2 4 7 3" xfId="7389" xr:uid="{82314050-B094-48FD-A3E9-95D3FF48C088}"/>
    <cellStyle name="Comma 4 2 4 8" xfId="3417" xr:uid="{CD1FCD74-CC36-4885-A056-5C9947AFD960}"/>
    <cellStyle name="Comma 4 2 4 8 2" xfId="8714" xr:uid="{D85484D7-5A9C-4889-A362-F99633464CDC}"/>
    <cellStyle name="Comma 4 2 4 9" xfId="6065" xr:uid="{73B97FEC-E27A-421C-9AC2-51FEAACCBA76}"/>
    <cellStyle name="Comma 4 2 5" xfId="223" xr:uid="{3C509D73-361A-45D6-87A3-69C3750A8426}"/>
    <cellStyle name="Comma 4 2 5 2" xfId="455" xr:uid="{C9D514EE-C48F-476D-9B90-1BA8E52B0BAA}"/>
    <cellStyle name="Comma 4 2 5 2 2" xfId="1630" xr:uid="{277EE80E-4E70-411D-AE2C-9B3843EB3B73}"/>
    <cellStyle name="Comma 4 2 5 2 2 2" xfId="2970" xr:uid="{BBFB4338-6C9D-4735-AF87-16E5DD363D5D}"/>
    <cellStyle name="Comma 4 2 5 2 2 2 2" xfId="5619" xr:uid="{19365BFF-514F-4A6B-8927-D97D624A2493}"/>
    <cellStyle name="Comma 4 2 5 2 2 2 2 2" xfId="10916" xr:uid="{9F0420B7-E544-47BD-A118-2A6254D1C67B}"/>
    <cellStyle name="Comma 4 2 5 2 2 2 3" xfId="8267" xr:uid="{8FD070FC-6634-41A2-A070-BAD5EF2701C4}"/>
    <cellStyle name="Comma 4 2 5 2 2 3" xfId="4295" xr:uid="{A7B1D43E-3721-410B-8842-7F47689BFDD9}"/>
    <cellStyle name="Comma 4 2 5 2 2 3 2" xfId="9592" xr:uid="{008DBCB5-52BD-495B-8F65-9932C9D1D837}"/>
    <cellStyle name="Comma 4 2 5 2 2 4" xfId="6943" xr:uid="{87D22907-F07A-48B2-8881-70F9F0805DB1}"/>
    <cellStyle name="Comma 4 2 5 2 3" xfId="2171" xr:uid="{C4497069-A850-42BE-B5BD-0C981978C436}"/>
    <cellStyle name="Comma 4 2 5 2 3 2" xfId="4820" xr:uid="{48342D9D-A846-4BEB-9024-10E50E76AA1D}"/>
    <cellStyle name="Comma 4 2 5 2 3 2 2" xfId="10117" xr:uid="{5EE616E4-CDBA-432B-AAE0-CCB3338DBC38}"/>
    <cellStyle name="Comma 4 2 5 2 3 3" xfId="7468" xr:uid="{B6229F62-A517-4F51-9AE4-391D9F1150C7}"/>
    <cellStyle name="Comma 4 2 5 2 4" xfId="3496" xr:uid="{960F60A2-484C-4D24-9C94-ECE33721D196}"/>
    <cellStyle name="Comma 4 2 5 2 4 2" xfId="8793" xr:uid="{B3078F44-99B0-4DEE-B61C-5688E93EF278}"/>
    <cellStyle name="Comma 4 2 5 2 5" xfId="6144" xr:uid="{B3DACC77-0B02-495E-AE42-5E7A0B07AC06}"/>
    <cellStyle name="Comma 4 2 5 3" xfId="1092" xr:uid="{89DCBC8C-BE1D-4D77-A543-82CF16DB08CA}"/>
    <cellStyle name="Comma 4 2 5 3 2" xfId="2442" xr:uid="{DD0F25B1-B224-42A5-96F0-C7096C0718AD}"/>
    <cellStyle name="Comma 4 2 5 3 2 2" xfId="5091" xr:uid="{FCE9FF14-41EA-49D1-A316-3D585E45B83F}"/>
    <cellStyle name="Comma 4 2 5 3 2 2 2" xfId="10388" xr:uid="{0BBD47D2-207B-43F6-9537-C4120C201593}"/>
    <cellStyle name="Comma 4 2 5 3 2 3" xfId="7739" xr:uid="{223DA127-52C8-4F47-99A2-EF628AE3F8F6}"/>
    <cellStyle name="Comma 4 2 5 3 3" xfId="3767" xr:uid="{184A3864-83DD-4C10-8856-4A03289E6D41}"/>
    <cellStyle name="Comma 4 2 5 3 3 2" xfId="9064" xr:uid="{6A68BC77-E75A-467C-9F3D-4C7F1FA0C5F7}"/>
    <cellStyle name="Comma 4 2 5 3 4" xfId="6415" xr:uid="{087D4DCA-0421-4576-89CA-2FE24961876F}"/>
    <cellStyle name="Comma 4 2 5 4" xfId="2104" xr:uid="{1D3210A2-4513-494C-A95F-D385F0D129FE}"/>
    <cellStyle name="Comma 4 2 5 4 2" xfId="4753" xr:uid="{9BC40C6A-EA5C-40BC-AC8C-36465418F47F}"/>
    <cellStyle name="Comma 4 2 5 4 2 2" xfId="10050" xr:uid="{4F347056-AC09-4A3E-B683-B874864B3FD7}"/>
    <cellStyle name="Comma 4 2 5 4 3" xfId="7401" xr:uid="{A5F3CC4E-F562-4274-B80C-9EF163EA757E}"/>
    <cellStyle name="Comma 4 2 5 5" xfId="3429" xr:uid="{0A73C5AC-D1F6-4BF7-A7E3-5CA153FB9088}"/>
    <cellStyle name="Comma 4 2 5 5 2" xfId="8726" xr:uid="{5055197B-9C7E-42CF-A804-75049BEAB327}"/>
    <cellStyle name="Comma 4 2 5 6" xfId="6077" xr:uid="{126915A4-4E39-4C65-ADBF-0C1800926423}"/>
    <cellStyle name="Comma 4 2 6" xfId="280" xr:uid="{2BC4ABDF-CEBE-437B-9EEC-C9133079654F}"/>
    <cellStyle name="Comma 4 2 6 2" xfId="1498" xr:uid="{BC7877DC-2E90-468E-83ED-C74E0C62EED2}"/>
    <cellStyle name="Comma 4 2 6 2 2" xfId="2838" xr:uid="{4D6F10C2-1ABE-477A-8A6A-61AEFFFDFAFC}"/>
    <cellStyle name="Comma 4 2 6 2 2 2" xfId="5487" xr:uid="{9F1DC106-1673-4590-ACE3-29E0280DC955}"/>
    <cellStyle name="Comma 4 2 6 2 2 2 2" xfId="10784" xr:uid="{B20A8826-F3A0-4A2C-B02B-6C8009D9F5A4}"/>
    <cellStyle name="Comma 4 2 6 2 2 3" xfId="8135" xr:uid="{82529ADE-CCD6-4677-AF28-46DD95946FC7}"/>
    <cellStyle name="Comma 4 2 6 2 3" xfId="4163" xr:uid="{2CD99F75-57B5-461F-941A-4613581B3DAA}"/>
    <cellStyle name="Comma 4 2 6 2 3 2" xfId="9460" xr:uid="{E87FCE1F-D17F-4E89-AE14-439F621FF354}"/>
    <cellStyle name="Comma 4 2 6 2 4" xfId="6811" xr:uid="{D81687F4-C60C-4861-89D5-C2FC05796951}"/>
    <cellStyle name="Comma 4 2 6 3" xfId="945" xr:uid="{C8605CEA-5D22-4E7E-B0B7-1E9625980785}"/>
    <cellStyle name="Comma 4 2 6 3 2" xfId="2310" xr:uid="{3EF73BFF-3E0F-4669-89AC-079F8511710C}"/>
    <cellStyle name="Comma 4 2 6 3 2 2" xfId="4959" xr:uid="{29952A79-C124-4A23-8F9E-E8DA637AE0AD}"/>
    <cellStyle name="Comma 4 2 6 3 2 2 2" xfId="10256" xr:uid="{760D9D11-681E-4474-96D0-BCC7E1DDAB81}"/>
    <cellStyle name="Comma 4 2 6 3 2 3" xfId="7607" xr:uid="{3FD2D2D5-5A67-4911-AAC8-98A4BF1452F6}"/>
    <cellStyle name="Comma 4 2 6 3 3" xfId="3635" xr:uid="{1D5EAA18-7A67-41A7-944A-0DDB85FDD46E}"/>
    <cellStyle name="Comma 4 2 6 3 3 2" xfId="8932" xr:uid="{581256F4-DBF6-45A0-9C3A-08E29588F995}"/>
    <cellStyle name="Comma 4 2 6 3 4" xfId="6283" xr:uid="{51AC9A07-D454-4AFD-BF53-78D5DE648AC6}"/>
    <cellStyle name="Comma 4 2 6 4" xfId="2122" xr:uid="{AEC03264-B84B-4427-BBAC-0A133803467E}"/>
    <cellStyle name="Comma 4 2 6 4 2" xfId="4771" xr:uid="{15AC097F-9CFF-466A-91EE-D50C47452C58}"/>
    <cellStyle name="Comma 4 2 6 4 2 2" xfId="10068" xr:uid="{6B71AF83-7DD7-45D6-8D6D-AEA634C32133}"/>
    <cellStyle name="Comma 4 2 6 4 3" xfId="7419" xr:uid="{DE3F0678-DA08-4D47-BA20-DB792E996869}"/>
    <cellStyle name="Comma 4 2 6 5" xfId="3447" xr:uid="{4D61CCAB-EAF9-4CB4-AB41-FDFE448EADF5}"/>
    <cellStyle name="Comma 4 2 6 5 2" xfId="8744" xr:uid="{BE2100F5-950D-458C-A2C8-17A85F2E0338}"/>
    <cellStyle name="Comma 4 2 6 6" xfId="6095" xr:uid="{C7E97DF7-3D9A-42C6-9042-E9DE3822E5D9}"/>
    <cellStyle name="Comma 4 2 7" xfId="1234" xr:uid="{F9B62C94-C322-47EB-A0D9-0992F4B6BF25}"/>
    <cellStyle name="Comma 4 2 7 2" xfId="1762" xr:uid="{4E2DA6E2-AFD1-4DAF-96DB-0801103A0E0A}"/>
    <cellStyle name="Comma 4 2 7 2 2" xfId="3102" xr:uid="{219CF309-7AF3-4BDE-98AA-FD9FF556FF64}"/>
    <cellStyle name="Comma 4 2 7 2 2 2" xfId="5751" xr:uid="{32DD45AD-2F10-415D-9D97-449924043690}"/>
    <cellStyle name="Comma 4 2 7 2 2 2 2" xfId="11048" xr:uid="{0924680A-432D-419D-B350-785A1FA7D26A}"/>
    <cellStyle name="Comma 4 2 7 2 2 3" xfId="8399" xr:uid="{E74A107D-5868-494E-B21D-D7636CF7ECB2}"/>
    <cellStyle name="Comma 4 2 7 2 3" xfId="4427" xr:uid="{4EE10543-1CBF-4AD6-ACE8-F121FD70D6A0}"/>
    <cellStyle name="Comma 4 2 7 2 3 2" xfId="9724" xr:uid="{6329E9EF-9557-4F9B-9183-8958EB0DDCFC}"/>
    <cellStyle name="Comma 4 2 7 2 4" xfId="7075" xr:uid="{0C3C3316-F264-4472-B7F0-67A3432AA82C}"/>
    <cellStyle name="Comma 4 2 7 3" xfId="2574" xr:uid="{D613C29A-515F-4EA3-B3E2-97641599F0D7}"/>
    <cellStyle name="Comma 4 2 7 3 2" xfId="5223" xr:uid="{CBBA3629-C51C-4768-BDA1-13A5A8D37277}"/>
    <cellStyle name="Comma 4 2 7 3 2 2" xfId="10520" xr:uid="{27280528-2BA4-44AC-97FE-620D51B39306}"/>
    <cellStyle name="Comma 4 2 7 3 3" xfId="7871" xr:uid="{356FFA7B-1713-4E43-BBA7-F408BE3AF309}"/>
    <cellStyle name="Comma 4 2 7 4" xfId="3899" xr:uid="{21E69553-E290-4CBE-A2C0-017926087FCD}"/>
    <cellStyle name="Comma 4 2 7 4 2" xfId="9196" xr:uid="{7CC4EB3E-16B5-46F1-8384-33A10356A6EA}"/>
    <cellStyle name="Comma 4 2 7 5" xfId="6547" xr:uid="{AEEE5C5E-2D4F-462C-8D43-6FDB5B1DE103}"/>
    <cellStyle name="Comma 4 2 8" xfId="1366" xr:uid="{CC6D6E40-7EEB-4B19-8BA1-2FFF4E781C40}"/>
    <cellStyle name="Comma 4 2 8 2" xfId="1894" xr:uid="{FAFD3E33-9324-4953-9FD4-28567DD7C386}"/>
    <cellStyle name="Comma 4 2 8 2 2" xfId="3234" xr:uid="{CB223795-8FF5-4592-B220-05D923B8D8E0}"/>
    <cellStyle name="Comma 4 2 8 2 2 2" xfId="5883" xr:uid="{770D7C45-34F6-4AB1-A5A4-4F8037F9272C}"/>
    <cellStyle name="Comma 4 2 8 2 2 2 2" xfId="11180" xr:uid="{95722FEA-2AFA-4E76-8022-4C444FE522A6}"/>
    <cellStyle name="Comma 4 2 8 2 2 3" xfId="8531" xr:uid="{BC7B96F7-F3EE-47FC-899A-5671DDE15B61}"/>
    <cellStyle name="Comma 4 2 8 2 3" xfId="4559" xr:uid="{5C536C2F-43C1-4700-BE31-3E84ADD3FA51}"/>
    <cellStyle name="Comma 4 2 8 2 3 2" xfId="9856" xr:uid="{A5614FE6-A505-4DFF-AB5C-8197053A188C}"/>
    <cellStyle name="Comma 4 2 8 2 4" xfId="7207" xr:uid="{01D6563C-2E93-4DF9-927A-827515335619}"/>
    <cellStyle name="Comma 4 2 8 3" xfId="2706" xr:uid="{3E6ED335-84DA-4B4A-BBFB-96D54CC3AD6D}"/>
    <cellStyle name="Comma 4 2 8 3 2" xfId="5355" xr:uid="{3FC69F8C-96A8-4198-AFDC-F71EE0A3EE57}"/>
    <cellStyle name="Comma 4 2 8 3 2 2" xfId="10652" xr:uid="{024B1567-AED5-471F-BC8B-012DCBF1CBAB}"/>
    <cellStyle name="Comma 4 2 8 3 3" xfId="8003" xr:uid="{6CE96A17-F97C-4867-8418-A2ED7185E353}"/>
    <cellStyle name="Comma 4 2 8 4" xfId="4031" xr:uid="{B1ED0B63-BD11-4938-A066-6B95B5BD63BD}"/>
    <cellStyle name="Comma 4 2 8 4 2" xfId="9328" xr:uid="{91995F82-AA20-4941-A9B5-8EBDE464B7DF}"/>
    <cellStyle name="Comma 4 2 8 5" xfId="6679" xr:uid="{478A6446-AF3C-42CD-991B-E512DCC4680A}"/>
    <cellStyle name="Comma 4 2 9" xfId="2055" xr:uid="{A609E42D-6519-48E8-9458-C618BE82C9C1}"/>
    <cellStyle name="Comma 4 2 9 2" xfId="4704" xr:uid="{3467A03C-4930-4C19-9FB1-39C9FF7B9323}"/>
    <cellStyle name="Comma 4 2 9 2 2" xfId="10001" xr:uid="{5AACFE7C-4CFD-4074-BF41-7803D2856A3D}"/>
    <cellStyle name="Comma 4 2 9 3" xfId="7352" xr:uid="{0455E415-800E-4574-8473-D96A8E6B28B8}"/>
    <cellStyle name="Comma 4 3" xfId="86" xr:uid="{F3A7FC9A-B1C7-471C-AE5C-898737EDF2C3}"/>
    <cellStyle name="Comma 4 3 10" xfId="6038" xr:uid="{00ECFDB3-AC53-4A40-9217-B55AB09BC6EF}"/>
    <cellStyle name="Comma 4 3 2" xfId="318" xr:uid="{F9555AC1-5F43-40D5-A4C8-4FD1D19DD969}"/>
    <cellStyle name="Comma 4 3 2 2" xfId="1210" xr:uid="{FE03E7AD-FF7A-4A5F-9849-EC90E6B6C313}"/>
    <cellStyle name="Comma 4 3 2 2 2" xfId="1738" xr:uid="{42D678F0-BF9C-4760-AB20-B850BB9B8400}"/>
    <cellStyle name="Comma 4 3 2 2 2 2" xfId="3078" xr:uid="{BBD09E0A-BAFA-42D0-A636-FB6C11288DC9}"/>
    <cellStyle name="Comma 4 3 2 2 2 2 2" xfId="5727" xr:uid="{461AEE5F-1479-4702-BA83-4D82D0EB5A23}"/>
    <cellStyle name="Comma 4 3 2 2 2 2 2 2" xfId="11024" xr:uid="{EEE1D31F-D1B4-45A1-8122-C1E31EEB91D7}"/>
    <cellStyle name="Comma 4 3 2 2 2 2 3" xfId="8375" xr:uid="{B86324BA-1F02-4F26-8DE7-3099AACA0A7C}"/>
    <cellStyle name="Comma 4 3 2 2 2 3" xfId="4403" xr:uid="{BC49663D-56BE-44A2-971D-A139D4E72201}"/>
    <cellStyle name="Comma 4 3 2 2 2 3 2" xfId="9700" xr:uid="{580CB396-764C-4434-9F87-5ACED93D28F3}"/>
    <cellStyle name="Comma 4 3 2 2 2 4" xfId="7051" xr:uid="{812F8C36-0C76-40AB-8B54-7791D6CE00A9}"/>
    <cellStyle name="Comma 4 3 2 2 3" xfId="2550" xr:uid="{F30C59D8-B0F2-41E3-A466-BDACDC32E16F}"/>
    <cellStyle name="Comma 4 3 2 2 3 2" xfId="5199" xr:uid="{8B2C10A4-A262-4CBA-B5AB-5327065A7AB1}"/>
    <cellStyle name="Comma 4 3 2 2 3 2 2" xfId="10496" xr:uid="{CDF33B78-557F-4EAE-A4DB-DAA77839ECB7}"/>
    <cellStyle name="Comma 4 3 2 2 3 3" xfId="7847" xr:uid="{E1349B13-901F-4D49-8399-97F0645DEEAA}"/>
    <cellStyle name="Comma 4 3 2 2 4" xfId="3875" xr:uid="{EE8171CD-2945-4CEE-8F5C-1D473FFFE709}"/>
    <cellStyle name="Comma 4 3 2 2 4 2" xfId="9172" xr:uid="{FF7E4C9F-AE68-4918-96ED-4387F04A0C72}"/>
    <cellStyle name="Comma 4 3 2 2 5" xfId="6523" xr:uid="{6D1DDCC7-E3BE-4A21-AB7D-93905F29FE78}"/>
    <cellStyle name="Comma 4 3 2 3" xfId="1067" xr:uid="{08D93305-D123-4FA8-B32B-EBB248F7B98F}"/>
    <cellStyle name="Comma 4 3 2 3 2" xfId="1606" xr:uid="{ED8132AF-D08B-4674-8A19-45AD696CA943}"/>
    <cellStyle name="Comma 4 3 2 3 2 2" xfId="2946" xr:uid="{418EE306-1C4E-4E77-A001-F086FC430C05}"/>
    <cellStyle name="Comma 4 3 2 3 2 2 2" xfId="5595" xr:uid="{A4BF63DC-681E-4C82-9F85-7AFCED9B8766}"/>
    <cellStyle name="Comma 4 3 2 3 2 2 2 2" xfId="10892" xr:uid="{A2A189A5-C696-4BAF-BC4A-B71CF798A611}"/>
    <cellStyle name="Comma 4 3 2 3 2 2 3" xfId="8243" xr:uid="{4C052DB3-D0D9-4541-A1B6-1CD5E46D6E36}"/>
    <cellStyle name="Comma 4 3 2 3 2 3" xfId="4271" xr:uid="{A4371BE8-4562-41C5-92C0-E6A069B69B36}"/>
    <cellStyle name="Comma 4 3 2 3 2 3 2" xfId="9568" xr:uid="{D4AA07ED-2FD1-4970-B663-24966B9B7A1C}"/>
    <cellStyle name="Comma 4 3 2 3 2 4" xfId="6919" xr:uid="{3EC17E75-6DF6-4DE2-85B4-84E6734C0F46}"/>
    <cellStyle name="Comma 4 3 2 3 3" xfId="2418" xr:uid="{983F76D9-E8CC-4DAF-BC15-06E4931A3694}"/>
    <cellStyle name="Comma 4 3 2 3 3 2" xfId="5067" xr:uid="{14AF5F72-586D-4A26-A9A6-87A9A15DF911}"/>
    <cellStyle name="Comma 4 3 2 3 3 2 2" xfId="10364" xr:uid="{4680F222-F24A-4910-8DC3-E059B8DAAE4C}"/>
    <cellStyle name="Comma 4 3 2 3 3 3" xfId="7715" xr:uid="{A5DA60DA-0F97-42F9-A6BA-81824AAFE5B8}"/>
    <cellStyle name="Comma 4 3 2 3 4" xfId="3743" xr:uid="{49210275-4461-457B-89F8-E05F8C564C60}"/>
    <cellStyle name="Comma 4 3 2 3 4 2" xfId="9040" xr:uid="{0419FB3C-FC3F-409F-8D73-34DD335EE21C}"/>
    <cellStyle name="Comma 4 3 2 3 5" xfId="6391" xr:uid="{737CDCBD-20AC-477B-827D-95FCE58BD02E}"/>
    <cellStyle name="Comma 4 3 2 4" xfId="1342" xr:uid="{79BBC08F-7F2F-4AC8-A311-CA2D1036E1A0}"/>
    <cellStyle name="Comma 4 3 2 4 2" xfId="1870" xr:uid="{323A211C-032D-4743-822F-ED469FAE737F}"/>
    <cellStyle name="Comma 4 3 2 4 2 2" xfId="3210" xr:uid="{50BB1C7C-EAB9-457D-8392-2219ED386349}"/>
    <cellStyle name="Comma 4 3 2 4 2 2 2" xfId="5859" xr:uid="{37CFE9D1-C180-4D35-A48B-805BFD9AD5EA}"/>
    <cellStyle name="Comma 4 3 2 4 2 2 2 2" xfId="11156" xr:uid="{6EFD94E6-30C8-4698-9677-50613C359EE4}"/>
    <cellStyle name="Comma 4 3 2 4 2 2 3" xfId="8507" xr:uid="{ADF3BF3E-1D35-45D0-A87D-715472198EC4}"/>
    <cellStyle name="Comma 4 3 2 4 2 3" xfId="4535" xr:uid="{29C8C88E-3726-48A2-9523-2581E2D4C1ED}"/>
    <cellStyle name="Comma 4 3 2 4 2 3 2" xfId="9832" xr:uid="{1D8CF63C-59BB-4EA8-9391-6942DAA968BD}"/>
    <cellStyle name="Comma 4 3 2 4 2 4" xfId="7183" xr:uid="{43C08D73-F505-4C85-A7F5-43E7BE2D84B6}"/>
    <cellStyle name="Comma 4 3 2 4 3" xfId="2682" xr:uid="{F78C9132-0538-4CBE-B0C7-20DE696F9A64}"/>
    <cellStyle name="Comma 4 3 2 4 3 2" xfId="5331" xr:uid="{791A73FD-F9AE-4A18-B023-83302B7E135A}"/>
    <cellStyle name="Comma 4 3 2 4 3 2 2" xfId="10628" xr:uid="{C0DBA95E-AE6E-4CC7-ACDC-2DD39ADF9254}"/>
    <cellStyle name="Comma 4 3 2 4 3 3" xfId="7979" xr:uid="{89978BE4-4253-4C26-A8DC-0C757AF8D119}"/>
    <cellStyle name="Comma 4 3 2 4 4" xfId="4007" xr:uid="{EECC0723-C107-47D2-9018-99D8BED7A77D}"/>
    <cellStyle name="Comma 4 3 2 4 4 2" xfId="9304" xr:uid="{19B38794-C8ED-4A6C-8CD7-1E24BE398424}"/>
    <cellStyle name="Comma 4 3 2 4 5" xfId="6655" xr:uid="{9ED765E2-E3C9-4E5A-856F-5984C1C1CC1D}"/>
    <cellStyle name="Comma 4 3 2 5" xfId="1474" xr:uid="{0E4EACE2-A815-44CE-B01B-7FB7387CA4FE}"/>
    <cellStyle name="Comma 4 3 2 5 2" xfId="2002" xr:uid="{8A0B0AF8-64CE-4C58-9998-CB78015E107F}"/>
    <cellStyle name="Comma 4 3 2 5 2 2" xfId="3342" xr:uid="{36A8C927-5E3E-4407-B1AA-9D5540FCDAD7}"/>
    <cellStyle name="Comma 4 3 2 5 2 2 2" xfId="5991" xr:uid="{AF096778-25A0-45FB-B8BD-1AFBED2842BF}"/>
    <cellStyle name="Comma 4 3 2 5 2 2 2 2" xfId="11288" xr:uid="{47C40167-4A78-4213-B21C-2C0849233395}"/>
    <cellStyle name="Comma 4 3 2 5 2 2 3" xfId="8639" xr:uid="{B4C78874-8E9F-44D8-AF1E-9AD09405B2B2}"/>
    <cellStyle name="Comma 4 3 2 5 2 3" xfId="4667" xr:uid="{70FA2A49-D4C7-45F0-BDB4-7BE19A13CA3F}"/>
    <cellStyle name="Comma 4 3 2 5 2 3 2" xfId="9964" xr:uid="{D07F3C5B-8D33-49E9-89D0-B05979E66EE1}"/>
    <cellStyle name="Comma 4 3 2 5 2 4" xfId="7315" xr:uid="{DF2FA7B5-EA7B-451A-A20D-3CDD2E654950}"/>
    <cellStyle name="Comma 4 3 2 5 3" xfId="2814" xr:uid="{84ACCED0-03B2-446B-980B-3F8D5DDEE74D}"/>
    <cellStyle name="Comma 4 3 2 5 3 2" xfId="5463" xr:uid="{118E4AB2-C5C3-470A-A612-4073868722CB}"/>
    <cellStyle name="Comma 4 3 2 5 3 2 2" xfId="10760" xr:uid="{9481D9FA-4735-4F5D-8F91-78A9A7B46D21}"/>
    <cellStyle name="Comma 4 3 2 5 3 3" xfId="8111" xr:uid="{1494F483-B1F3-443A-9EEC-7BA564FD3160}"/>
    <cellStyle name="Comma 4 3 2 5 4" xfId="4139" xr:uid="{04804BA1-B3CB-4879-9BB5-40B89688ED75}"/>
    <cellStyle name="Comma 4 3 2 5 4 2" xfId="9436" xr:uid="{7AC005AC-884E-43B1-9F02-8DD7D7867760}"/>
    <cellStyle name="Comma 4 3 2 5 5" xfId="6787" xr:uid="{6F44C67D-8C39-4DD3-A77B-382EA7E8F0FF}"/>
    <cellStyle name="Comma 4 3 2 6" xfId="921" xr:uid="{498DD1F0-D7E9-4503-B05F-B43B732CB96D}"/>
    <cellStyle name="Comma 4 3 2 6 2" xfId="2288" xr:uid="{0DC5EFF1-AABC-4E8A-870B-A401C7DB92BD}"/>
    <cellStyle name="Comma 4 3 2 6 2 2" xfId="4937" xr:uid="{B8C86362-690B-4F5A-9179-E5DED644813F}"/>
    <cellStyle name="Comma 4 3 2 6 2 2 2" xfId="10234" xr:uid="{58199EDC-96E3-4BD6-898C-7A3B48199338}"/>
    <cellStyle name="Comma 4 3 2 6 2 3" xfId="7585" xr:uid="{9169AD6E-6F02-401D-8992-C625294CB76D}"/>
    <cellStyle name="Comma 4 3 2 6 3" xfId="3613" xr:uid="{AF1EA7AC-AB38-40CF-A1B7-6D17B9E3C8E4}"/>
    <cellStyle name="Comma 4 3 2 6 3 2" xfId="8910" xr:uid="{7395AB26-441E-4A95-AF92-6712986B146F}"/>
    <cellStyle name="Comma 4 3 2 6 4" xfId="6261" xr:uid="{73683C55-6E2A-4AA0-A64B-F438AD2E16DB}"/>
    <cellStyle name="Comma 4 3 2 7" xfId="2132" xr:uid="{2CC288EF-6BE0-471E-837C-6C6D23ECDD34}"/>
    <cellStyle name="Comma 4 3 2 7 2" xfId="4781" xr:uid="{EAAD66F5-FEEC-4895-8E61-8868D7D44B50}"/>
    <cellStyle name="Comma 4 3 2 7 2 2" xfId="10078" xr:uid="{F67E67D5-3D49-49C7-838B-3862DC11E53F}"/>
    <cellStyle name="Comma 4 3 2 7 3" xfId="7429" xr:uid="{A4C0F7E4-336F-4096-A8CF-3DE8FB6576A9}"/>
    <cellStyle name="Comma 4 3 2 8" xfId="3457" xr:uid="{44C4DFCC-FA9D-4E88-BCE0-5F97403BFA99}"/>
    <cellStyle name="Comma 4 3 2 8 2" xfId="8754" xr:uid="{3851BD29-14A9-454B-B6B1-66485BFDE1E4}"/>
    <cellStyle name="Comma 4 3 2 9" xfId="6105" xr:uid="{64C6AE70-B555-4B41-B5E2-18C52E73D71B}"/>
    <cellStyle name="Comma 4 3 3" xfId="1118" xr:uid="{B4D0F4B5-89C9-4BF1-A21D-12C7C3DB511E}"/>
    <cellStyle name="Comma 4 3 3 2" xfId="1652" xr:uid="{975A7833-4973-42E7-B078-7BDAC1F6200E}"/>
    <cellStyle name="Comma 4 3 3 2 2" xfId="2992" xr:uid="{94EA9BA3-184B-46F8-9B81-0A500F5CEEDF}"/>
    <cellStyle name="Comma 4 3 3 2 2 2" xfId="5641" xr:uid="{01D5027B-418C-416D-9557-14EF0D4B7DEC}"/>
    <cellStyle name="Comma 4 3 3 2 2 2 2" xfId="10938" xr:uid="{F5626AE8-53A2-44D6-B99F-E10852EB8344}"/>
    <cellStyle name="Comma 4 3 3 2 2 3" xfId="8289" xr:uid="{673935D5-B091-4AF9-8871-C37ADC52FAF9}"/>
    <cellStyle name="Comma 4 3 3 2 3" xfId="4317" xr:uid="{E189343D-2296-43DE-A1EC-0A7220545B76}"/>
    <cellStyle name="Comma 4 3 3 2 3 2" xfId="9614" xr:uid="{47418AA4-139D-4235-889D-F430DB438BFB}"/>
    <cellStyle name="Comma 4 3 3 2 4" xfId="6965" xr:uid="{930D5444-92E7-48E5-8595-7D13386CB61C}"/>
    <cellStyle name="Comma 4 3 3 3" xfId="2464" xr:uid="{90B61E9A-F5C9-4801-A786-CCA2E754589E}"/>
    <cellStyle name="Comma 4 3 3 3 2" xfId="5113" xr:uid="{C76F95B1-9ADE-4EF3-AA0E-559F7233B5B1}"/>
    <cellStyle name="Comma 4 3 3 3 2 2" xfId="10410" xr:uid="{0E5772E4-BECD-4FEE-BF69-CF27DCCDACEE}"/>
    <cellStyle name="Comma 4 3 3 3 3" xfId="7761" xr:uid="{4890ABF4-0195-4E87-9280-ABC3A140E6A6}"/>
    <cellStyle name="Comma 4 3 3 4" xfId="3789" xr:uid="{B1880C1C-63A8-4D68-892F-870EAD1FAACD}"/>
    <cellStyle name="Comma 4 3 3 4 2" xfId="9086" xr:uid="{E7660B18-D731-4433-8B2F-C4CB3DC3C441}"/>
    <cellStyle name="Comma 4 3 3 5" xfId="6437" xr:uid="{B395715E-C9F3-40AF-86FE-BA694E4CBF82}"/>
    <cellStyle name="Comma 4 3 4" xfId="972" xr:uid="{7FAB5830-F792-4CEC-AA5C-272DD1A54C07}"/>
    <cellStyle name="Comma 4 3 4 2" xfId="1520" xr:uid="{0E4CFBE4-AA48-44EF-8CAB-0A7C5A6D3809}"/>
    <cellStyle name="Comma 4 3 4 2 2" xfId="2860" xr:uid="{0F16DFB6-3496-4C26-98C3-C228704F6512}"/>
    <cellStyle name="Comma 4 3 4 2 2 2" xfId="5509" xr:uid="{2E09EFB7-1174-40F4-B1BA-EB88E9E5D03C}"/>
    <cellStyle name="Comma 4 3 4 2 2 2 2" xfId="10806" xr:uid="{C00A5EDB-203B-4681-B6AE-B62A970386E8}"/>
    <cellStyle name="Comma 4 3 4 2 2 3" xfId="8157" xr:uid="{79ACEFEE-E5CC-4541-BA18-C34BE2FD2F06}"/>
    <cellStyle name="Comma 4 3 4 2 3" xfId="4185" xr:uid="{7BAD685C-AFF4-4D58-801D-E97DB766DE94}"/>
    <cellStyle name="Comma 4 3 4 2 3 2" xfId="9482" xr:uid="{DB946641-C6CB-4A7B-8150-4453205A4223}"/>
    <cellStyle name="Comma 4 3 4 2 4" xfId="6833" xr:uid="{97AF1E69-62C7-4B84-AA1A-D612F367D71B}"/>
    <cellStyle name="Comma 4 3 4 3" xfId="2332" xr:uid="{2A34A3BA-F5E8-45C4-801D-3473B8A9875D}"/>
    <cellStyle name="Comma 4 3 4 3 2" xfId="4981" xr:uid="{CD54A534-BD4C-4737-AC43-6D4D9042795A}"/>
    <cellStyle name="Comma 4 3 4 3 2 2" xfId="10278" xr:uid="{A1198E6C-89F2-4404-96E6-A257E83C3334}"/>
    <cellStyle name="Comma 4 3 4 3 3" xfId="7629" xr:uid="{E77FEC93-9299-4C01-B295-C7F39B5CB6F4}"/>
    <cellStyle name="Comma 4 3 4 4" xfId="3657" xr:uid="{BAE48906-6529-42CA-8086-F9490352929E}"/>
    <cellStyle name="Comma 4 3 4 4 2" xfId="8954" xr:uid="{98A38D96-9088-4C20-950F-5AA0D54A5C67}"/>
    <cellStyle name="Comma 4 3 4 5" xfId="6305" xr:uid="{DA2E78BA-31BF-46F3-B663-422AEA8FAED4}"/>
    <cellStyle name="Comma 4 3 5" xfId="1256" xr:uid="{8ABB83F1-5EFF-4EA3-AA2A-D3BFC4394D98}"/>
    <cellStyle name="Comma 4 3 5 2" xfId="1784" xr:uid="{BDAE0DE6-2113-457E-8947-D0428E0D5943}"/>
    <cellStyle name="Comma 4 3 5 2 2" xfId="3124" xr:uid="{ABF505A6-8A7F-464E-ACD9-7DCC186C68FB}"/>
    <cellStyle name="Comma 4 3 5 2 2 2" xfId="5773" xr:uid="{D0D61BBE-B181-4D1E-8E9C-02F0199A3B78}"/>
    <cellStyle name="Comma 4 3 5 2 2 2 2" xfId="11070" xr:uid="{59C8DCBC-2BD6-430A-9EFC-BED56F58BA5F}"/>
    <cellStyle name="Comma 4 3 5 2 2 3" xfId="8421" xr:uid="{AC45E78E-A8B1-49FB-ABED-634384C00D66}"/>
    <cellStyle name="Comma 4 3 5 2 3" xfId="4449" xr:uid="{D49CD03C-74C1-4D78-8D4B-899482685907}"/>
    <cellStyle name="Comma 4 3 5 2 3 2" xfId="9746" xr:uid="{C2613CA6-C044-412B-9419-7119312B7EEE}"/>
    <cellStyle name="Comma 4 3 5 2 4" xfId="7097" xr:uid="{DC45BBA9-7B3D-4094-9F6E-294C7A14208F}"/>
    <cellStyle name="Comma 4 3 5 3" xfId="2596" xr:uid="{94A833AA-2C0B-43E5-93C5-D851AB1351DF}"/>
    <cellStyle name="Comma 4 3 5 3 2" xfId="5245" xr:uid="{84B4762A-D7E6-43F0-BE71-C9B974F6708E}"/>
    <cellStyle name="Comma 4 3 5 3 2 2" xfId="10542" xr:uid="{0237D583-072B-4114-9913-2A09AAF3839F}"/>
    <cellStyle name="Comma 4 3 5 3 3" xfId="7893" xr:uid="{00D36C4E-4775-4AB1-BD7D-D0F2E0DF69ED}"/>
    <cellStyle name="Comma 4 3 5 4" xfId="3921" xr:uid="{B01EB13D-E7F6-4FC9-80CD-D7A2C5ED7CEA}"/>
    <cellStyle name="Comma 4 3 5 4 2" xfId="9218" xr:uid="{EDE6AEF7-0F03-4ECA-A8AB-D991984FF749}"/>
    <cellStyle name="Comma 4 3 5 5" xfId="6569" xr:uid="{B1AC097B-2CED-4FD0-B4FF-FFF48CF119E1}"/>
    <cellStyle name="Comma 4 3 6" xfId="1388" xr:uid="{C7102E9A-7D63-427E-9757-5EB9D9559DF7}"/>
    <cellStyle name="Comma 4 3 6 2" xfId="1916" xr:uid="{830919FC-D143-4E1F-A29C-25B1B183FDAE}"/>
    <cellStyle name="Comma 4 3 6 2 2" xfId="3256" xr:uid="{30716905-8393-430C-B0ED-636776D5D01E}"/>
    <cellStyle name="Comma 4 3 6 2 2 2" xfId="5905" xr:uid="{61EF3F6B-7CEA-4B8C-851B-A3D0246C2D7A}"/>
    <cellStyle name="Comma 4 3 6 2 2 2 2" xfId="11202" xr:uid="{FDFAA0B4-6AEA-4038-8E2A-A2C0C81D2037}"/>
    <cellStyle name="Comma 4 3 6 2 2 3" xfId="8553" xr:uid="{50AF7DEA-145C-4C10-B1C6-544E7BAB566E}"/>
    <cellStyle name="Comma 4 3 6 2 3" xfId="4581" xr:uid="{ADDD72B3-FCC0-4FB8-9227-F1787381927F}"/>
    <cellStyle name="Comma 4 3 6 2 3 2" xfId="9878" xr:uid="{B8612B0A-A6E3-4B2C-8FC3-96D4C009830F}"/>
    <cellStyle name="Comma 4 3 6 2 4" xfId="7229" xr:uid="{2C618D56-38FE-49E3-AF2C-87F73FC4FBBE}"/>
    <cellStyle name="Comma 4 3 6 3" xfId="2728" xr:uid="{D717F745-BE4C-4365-BE8D-2D95B3E70CEC}"/>
    <cellStyle name="Comma 4 3 6 3 2" xfId="5377" xr:uid="{4D89FFD6-E5A3-4B2F-855D-128683B5BB58}"/>
    <cellStyle name="Comma 4 3 6 3 2 2" xfId="10674" xr:uid="{A94CA8B1-8B14-4C0B-A5F1-D7411CC6B933}"/>
    <cellStyle name="Comma 4 3 6 3 3" xfId="8025" xr:uid="{BFD90C05-7682-47ED-A6BA-385258AEC8D8}"/>
    <cellStyle name="Comma 4 3 6 4" xfId="4053" xr:uid="{CD7D14E1-D20E-481A-B952-47D98BA19F6E}"/>
    <cellStyle name="Comma 4 3 6 4 2" xfId="9350" xr:uid="{B6BCA0BF-D44D-4851-BCFD-258C07471FAE}"/>
    <cellStyle name="Comma 4 3 6 5" xfId="6701" xr:uid="{BD4E21ED-73F8-455C-A4EE-9B90614B0901}"/>
    <cellStyle name="Comma 4 3 7" xfId="647" xr:uid="{2F93D957-3452-41D6-98AE-C70B4665A1DA}"/>
    <cellStyle name="Comma 4 3 7 2" xfId="2207" xr:uid="{6C79EB7D-C350-4876-AFE4-CEA45AD7A864}"/>
    <cellStyle name="Comma 4 3 7 2 2" xfId="4856" xr:uid="{971BCAAD-5A5B-4319-9F30-BD63C6A4D3DB}"/>
    <cellStyle name="Comma 4 3 7 2 2 2" xfId="10153" xr:uid="{2E57F86E-3F6D-4A38-ACAF-C2A5CD1321BE}"/>
    <cellStyle name="Comma 4 3 7 2 3" xfId="7504" xr:uid="{7560F58F-9A3B-45FC-A33E-2D534437A1C4}"/>
    <cellStyle name="Comma 4 3 7 3" xfId="3532" xr:uid="{B9DEE911-82DC-40A1-BE3E-A647AA99A568}"/>
    <cellStyle name="Comma 4 3 7 3 2" xfId="8829" xr:uid="{8A0D112F-A219-4FC2-89C2-007A1395E5CC}"/>
    <cellStyle name="Comma 4 3 7 4" xfId="6180" xr:uid="{78725FB8-3400-44F8-9F2B-9B51647D87B1}"/>
    <cellStyle name="Comma 4 3 8" xfId="2065" xr:uid="{839A7265-2919-4315-A374-C06C2D6137C3}"/>
    <cellStyle name="Comma 4 3 8 2" xfId="4714" xr:uid="{B9235069-A070-4727-A082-D9D4435D6E4D}"/>
    <cellStyle name="Comma 4 3 8 2 2" xfId="10011" xr:uid="{C5101EE9-4A6E-464E-8F41-7859CB4E9D7D}"/>
    <cellStyle name="Comma 4 3 8 3" xfId="7362" xr:uid="{E3921E6E-02F5-4EC6-8DC1-A52685B65289}"/>
    <cellStyle name="Comma 4 3 9" xfId="3390" xr:uid="{CE14A376-7460-40D9-9573-2B3CCEED5924}"/>
    <cellStyle name="Comma 4 3 9 2" xfId="8687" xr:uid="{9614F473-84D5-4505-B197-C07DC36B566F}"/>
    <cellStyle name="Comma 4 4" xfId="129" xr:uid="{9CDE6124-3C32-40EC-8463-58C652BD0578}"/>
    <cellStyle name="Comma 4 4 2" xfId="361" xr:uid="{FFF16276-2EA7-4B4C-848C-116FDC18B0DF}"/>
    <cellStyle name="Comma 4 4 2 2" xfId="1715" xr:uid="{104F8A31-40B0-49EE-8CC6-B5B427C7773A}"/>
    <cellStyle name="Comma 4 4 2 2 2" xfId="3055" xr:uid="{0B8666D5-E5BE-4A13-83A3-16819AB2AEB1}"/>
    <cellStyle name="Comma 4 4 2 2 2 2" xfId="5704" xr:uid="{86AE5194-4DC8-4929-B960-F8DDC81589CD}"/>
    <cellStyle name="Comma 4 4 2 2 2 2 2" xfId="11001" xr:uid="{662CE8FB-37E9-4FC3-A2AE-220244871385}"/>
    <cellStyle name="Comma 4 4 2 2 2 3" xfId="8352" xr:uid="{4FB0A93F-B5B3-4410-ABFA-69A0ADF73414}"/>
    <cellStyle name="Comma 4 4 2 2 3" xfId="4380" xr:uid="{DF558718-A40F-4444-B036-BA10ACB89981}"/>
    <cellStyle name="Comma 4 4 2 2 3 2" xfId="9677" xr:uid="{117A279C-FE63-47BB-961A-BAD264C52A40}"/>
    <cellStyle name="Comma 4 4 2 2 4" xfId="7028" xr:uid="{A48438D0-398B-4585-AE48-78EE4AD85147}"/>
    <cellStyle name="Comma 4 4 2 3" xfId="1184" xr:uid="{C5FDB500-84BC-4BCA-A7E2-8B19B5BE95FA}"/>
    <cellStyle name="Comma 4 4 2 3 2" xfId="2527" xr:uid="{55FBE832-9515-4AF8-B69B-F44EB9E9A846}"/>
    <cellStyle name="Comma 4 4 2 3 2 2" xfId="5176" xr:uid="{5376F482-E498-4324-BF63-D54E8863AA1E}"/>
    <cellStyle name="Comma 4 4 2 3 2 2 2" xfId="10473" xr:uid="{C46380D0-C9E3-4C6F-9A91-01C4A377B419}"/>
    <cellStyle name="Comma 4 4 2 3 2 3" xfId="7824" xr:uid="{298585B0-74F6-4E52-B561-356D34B3A0A1}"/>
    <cellStyle name="Comma 4 4 2 3 3" xfId="3852" xr:uid="{051492AC-0735-45AE-AA44-274F29DA633C}"/>
    <cellStyle name="Comma 4 4 2 3 3 2" xfId="9149" xr:uid="{DF332CD9-CF88-4C52-B3B8-8102E9D94A77}"/>
    <cellStyle name="Comma 4 4 2 3 4" xfId="6500" xr:uid="{DB8C84A2-E1B8-4366-80F7-D0BC940566D9}"/>
    <cellStyle name="Comma 4 4 2 4" xfId="2144" xr:uid="{AF4F637C-4FE5-4F4B-805F-B3316BB51AAB}"/>
    <cellStyle name="Comma 4 4 2 4 2" xfId="4793" xr:uid="{2C72E7D0-6796-498D-9E24-24137785A4D3}"/>
    <cellStyle name="Comma 4 4 2 4 2 2" xfId="10090" xr:uid="{A7000909-A967-4FEB-BC64-C36D4C0100E5}"/>
    <cellStyle name="Comma 4 4 2 4 3" xfId="7441" xr:uid="{279B0D32-A332-4D6C-9E5A-83A5D4926259}"/>
    <cellStyle name="Comma 4 4 2 5" xfId="3469" xr:uid="{25E8BC4D-B22D-4AB1-9806-323D5BB7F307}"/>
    <cellStyle name="Comma 4 4 2 5 2" xfId="8766" xr:uid="{F2F0F6CD-0985-48C3-9E74-E6D44726A2DD}"/>
    <cellStyle name="Comma 4 4 2 6" xfId="6117" xr:uid="{69A2EB7A-F8BA-486A-B063-85B53E77E9D3}"/>
    <cellStyle name="Comma 4 4 3" xfId="1040" xr:uid="{140EABEB-445A-4ADA-B862-8509D75F9B1E}"/>
    <cellStyle name="Comma 4 4 3 2" xfId="1583" xr:uid="{142AE919-2D6C-4BD9-A657-A84E2DCE5083}"/>
    <cellStyle name="Comma 4 4 3 2 2" xfId="2923" xr:uid="{E81020AA-45DA-4EB0-A9BB-C9EC826FE234}"/>
    <cellStyle name="Comma 4 4 3 2 2 2" xfId="5572" xr:uid="{19AC6B48-B6C7-4115-B482-DCD054CA49FD}"/>
    <cellStyle name="Comma 4 4 3 2 2 2 2" xfId="10869" xr:uid="{07F144BD-02DC-417D-9F4C-AE5FDC868092}"/>
    <cellStyle name="Comma 4 4 3 2 2 3" xfId="8220" xr:uid="{566F913A-07E3-4E9E-8232-DE6618ADCBE7}"/>
    <cellStyle name="Comma 4 4 3 2 3" xfId="4248" xr:uid="{94C9EF29-8B33-4C95-8D27-0047FFAFE69E}"/>
    <cellStyle name="Comma 4 4 3 2 3 2" xfId="9545" xr:uid="{FC56AC5D-17AC-459B-BCE9-50A853FE3D2F}"/>
    <cellStyle name="Comma 4 4 3 2 4" xfId="6896" xr:uid="{CA0216C5-5B38-4DB8-A9B7-B2C897F7F9ED}"/>
    <cellStyle name="Comma 4 4 3 3" xfId="2395" xr:uid="{9D7E9928-2203-49DD-AB30-A9D3CB7996BC}"/>
    <cellStyle name="Comma 4 4 3 3 2" xfId="5044" xr:uid="{AC308AA3-7426-465B-9445-05E63D105A2A}"/>
    <cellStyle name="Comma 4 4 3 3 2 2" xfId="10341" xr:uid="{6EBA5434-893E-4457-89E0-D0113ED44390}"/>
    <cellStyle name="Comma 4 4 3 3 3" xfId="7692" xr:uid="{83337279-361E-48DF-841A-130B3C919D24}"/>
    <cellStyle name="Comma 4 4 3 4" xfId="3720" xr:uid="{84A65F4B-F4F4-4898-B626-40119F48075B}"/>
    <cellStyle name="Comma 4 4 3 4 2" xfId="9017" xr:uid="{EB3B0851-2C29-4C4E-8CC2-40645D225F5B}"/>
    <cellStyle name="Comma 4 4 3 5" xfId="6368" xr:uid="{C8FE0B95-7441-471C-8FFC-F1127897A6E2}"/>
    <cellStyle name="Comma 4 4 4" xfId="1319" xr:uid="{062B0157-DDE2-4FA9-95E3-86E12EAA2F7E}"/>
    <cellStyle name="Comma 4 4 4 2" xfId="1847" xr:uid="{960E4719-0B01-4956-A527-731DB62ED8E0}"/>
    <cellStyle name="Comma 4 4 4 2 2" xfId="3187" xr:uid="{5C3D5D7D-3859-45DB-B8F4-FC29AFEDB503}"/>
    <cellStyle name="Comma 4 4 4 2 2 2" xfId="5836" xr:uid="{3549D54A-72C4-4BB2-9B68-949FF300C072}"/>
    <cellStyle name="Comma 4 4 4 2 2 2 2" xfId="11133" xr:uid="{8CE6D20F-247D-4C60-BB77-52C542D7CFEE}"/>
    <cellStyle name="Comma 4 4 4 2 2 3" xfId="8484" xr:uid="{0BA22DBE-3399-4CEF-86A1-DD04E74B2E6B}"/>
    <cellStyle name="Comma 4 4 4 2 3" xfId="4512" xr:uid="{9ECB7C97-E3F3-4B99-8CDB-161394CBBAAF}"/>
    <cellStyle name="Comma 4 4 4 2 3 2" xfId="9809" xr:uid="{03EB908A-40D6-425F-B856-81BBC797D414}"/>
    <cellStyle name="Comma 4 4 4 2 4" xfId="7160" xr:uid="{448E83BA-5200-4A0F-92C2-1AC4462F7505}"/>
    <cellStyle name="Comma 4 4 4 3" xfId="2659" xr:uid="{F2880E4A-6711-497D-9BDC-1061A5473B40}"/>
    <cellStyle name="Comma 4 4 4 3 2" xfId="5308" xr:uid="{E8B35B5B-14FB-4B7E-AFFB-40FAEF0B1F3A}"/>
    <cellStyle name="Comma 4 4 4 3 2 2" xfId="10605" xr:uid="{5FAB3742-D3D1-447A-92F7-635EB20DB7D2}"/>
    <cellStyle name="Comma 4 4 4 3 3" xfId="7956" xr:uid="{5723DBCF-1E9F-44B0-8479-05D9D826221A}"/>
    <cellStyle name="Comma 4 4 4 4" xfId="3984" xr:uid="{F8B612D9-C783-4B73-9D84-105603AC9A1D}"/>
    <cellStyle name="Comma 4 4 4 4 2" xfId="9281" xr:uid="{C07BB594-B395-4521-ABF0-621518666F08}"/>
    <cellStyle name="Comma 4 4 4 5" xfId="6632" xr:uid="{80664700-AE6A-4297-97A1-9995F11EDCBA}"/>
    <cellStyle name="Comma 4 4 5" xfId="1451" xr:uid="{9A7693CB-0A8C-4AA2-9E08-333EB57A4D9D}"/>
    <cellStyle name="Comma 4 4 5 2" xfId="1979" xr:uid="{23FC2862-BAFA-4C7A-9375-EC3EC04A2DF7}"/>
    <cellStyle name="Comma 4 4 5 2 2" xfId="3319" xr:uid="{2EB09528-856F-4920-B7B0-76FE7DA26352}"/>
    <cellStyle name="Comma 4 4 5 2 2 2" xfId="5968" xr:uid="{0E9DB433-224F-4929-BD87-A4DAA9D6C6A2}"/>
    <cellStyle name="Comma 4 4 5 2 2 2 2" xfId="11265" xr:uid="{0BF5550E-29D3-43A5-BA40-9F113BE69FCE}"/>
    <cellStyle name="Comma 4 4 5 2 2 3" xfId="8616" xr:uid="{DC6EC49C-1929-453E-8EA8-C3E9D122A23A}"/>
    <cellStyle name="Comma 4 4 5 2 3" xfId="4644" xr:uid="{491E06B2-0AD9-45D9-AF00-630A007DF259}"/>
    <cellStyle name="Comma 4 4 5 2 3 2" xfId="9941" xr:uid="{ECC03FF7-1FEF-4B50-A992-ABA0963764D2}"/>
    <cellStyle name="Comma 4 4 5 2 4" xfId="7292" xr:uid="{2C46DDE3-89D8-4280-B609-3E39A96AF266}"/>
    <cellStyle name="Comma 4 4 5 3" xfId="2791" xr:uid="{EBD1EF13-F434-4051-8679-CAD777B4F06F}"/>
    <cellStyle name="Comma 4 4 5 3 2" xfId="5440" xr:uid="{671148B5-7527-4100-8D59-A40019CAE603}"/>
    <cellStyle name="Comma 4 4 5 3 2 2" xfId="10737" xr:uid="{20266A07-71E3-40D4-B448-A9021BA6E5B3}"/>
    <cellStyle name="Comma 4 4 5 3 3" xfId="8088" xr:uid="{E719B58E-683A-4505-A5E9-3F54FC89073F}"/>
    <cellStyle name="Comma 4 4 5 4" xfId="4116" xr:uid="{AECA5E02-00C8-488C-B5E6-E87C4ECD5D97}"/>
    <cellStyle name="Comma 4 4 5 4 2" xfId="9413" xr:uid="{3E6735BB-25F7-489A-AAD3-CBA67EC13546}"/>
    <cellStyle name="Comma 4 4 5 5" xfId="6764" xr:uid="{553CDE28-96F5-4F78-B990-A7728CA15548}"/>
    <cellStyle name="Comma 4 4 6" xfId="850" xr:uid="{F899E0CF-D868-40A6-8A6E-8682E140B737}"/>
    <cellStyle name="Comma 4 4 6 2" xfId="2267" xr:uid="{9C9F6407-B3D7-43E0-BB6C-FC0D17D487EB}"/>
    <cellStyle name="Comma 4 4 6 2 2" xfId="4916" xr:uid="{B30A5025-05B1-4802-8EA3-9D56109A0E02}"/>
    <cellStyle name="Comma 4 4 6 2 2 2" xfId="10213" xr:uid="{33F9D037-BB98-4787-9B93-9DDDED7F1D47}"/>
    <cellStyle name="Comma 4 4 6 2 3" xfId="7564" xr:uid="{2ADE40C8-EEEC-4A85-A915-5B603D20E774}"/>
    <cellStyle name="Comma 4 4 6 3" xfId="3592" xr:uid="{FC9D2310-6534-43AD-8575-5A07B378DCAB}"/>
    <cellStyle name="Comma 4 4 6 3 2" xfId="8889" xr:uid="{DF7199C0-3242-431D-9417-218563C66AD9}"/>
    <cellStyle name="Comma 4 4 6 4" xfId="6240" xr:uid="{50BD6906-462D-4234-BF15-9C1A1741ECBE}"/>
    <cellStyle name="Comma 4 4 7" xfId="2077" xr:uid="{DD507BC0-FEAE-4403-9370-7D2F7BE1B19F}"/>
    <cellStyle name="Comma 4 4 7 2" xfId="4726" xr:uid="{B68C12CD-F0DD-49F9-B9DD-C02B986E4AE8}"/>
    <cellStyle name="Comma 4 4 7 2 2" xfId="10023" xr:uid="{59009464-535D-4482-A48D-5FF9B921919B}"/>
    <cellStyle name="Comma 4 4 7 3" xfId="7374" xr:uid="{3E237EBF-FA9E-415C-A7DA-7F5A35E9588C}"/>
    <cellStyle name="Comma 4 4 8" xfId="3402" xr:uid="{DBFC2B4A-37B2-4C8D-B176-E3AA3D096FD9}"/>
    <cellStyle name="Comma 4 4 8 2" xfId="8699" xr:uid="{F904357B-E50D-4078-A360-51AA318CF22B}"/>
    <cellStyle name="Comma 4 4 9" xfId="6050" xr:uid="{2743035B-A8F2-4145-9F06-584BA7885427}"/>
    <cellStyle name="Comma 4 5" xfId="175" xr:uid="{7DB9ACC9-849A-4BA2-ADDF-0986F1321B8E}"/>
    <cellStyle name="Comma 4 5 2" xfId="407" xr:uid="{DA496986-F47D-4208-A982-A2E887BD9E98}"/>
    <cellStyle name="Comma 4 5 2 2" xfId="1668" xr:uid="{7797ACBF-E7CC-4EB1-AB34-E867A231CA2D}"/>
    <cellStyle name="Comma 4 5 2 2 2" xfId="3008" xr:uid="{86CB83F1-347B-4D48-95E3-6F2EEE14E97B}"/>
    <cellStyle name="Comma 4 5 2 2 2 2" xfId="5657" xr:uid="{CAF3952D-F2A8-453A-9D9B-68648058E5BF}"/>
    <cellStyle name="Comma 4 5 2 2 2 2 2" xfId="10954" xr:uid="{146A7A3B-7FD8-4D67-83A2-1F2373B8CDB6}"/>
    <cellStyle name="Comma 4 5 2 2 2 3" xfId="8305" xr:uid="{D3D37652-8BCD-4965-AF9F-4820A28923C0}"/>
    <cellStyle name="Comma 4 5 2 2 3" xfId="4333" xr:uid="{90F8F181-2DF1-41A0-AC53-C414C92E1023}"/>
    <cellStyle name="Comma 4 5 2 2 3 2" xfId="9630" xr:uid="{1681AD9D-8CD3-4E4A-82F0-8EA6CC60837B}"/>
    <cellStyle name="Comma 4 5 2 2 4" xfId="6981" xr:uid="{1FD1DF47-CB08-4774-9AB1-B1CA9612F351}"/>
    <cellStyle name="Comma 4 5 2 3" xfId="1136" xr:uid="{75C68EF4-47B9-4161-9950-100AEE7D1B38}"/>
    <cellStyle name="Comma 4 5 2 3 2" xfId="2480" xr:uid="{6F839CA5-12AC-4957-B357-A71F1AD5DDDD}"/>
    <cellStyle name="Comma 4 5 2 3 2 2" xfId="5129" xr:uid="{98F22ADA-6F83-47AA-B17E-1E62B01D7370}"/>
    <cellStyle name="Comma 4 5 2 3 2 2 2" xfId="10426" xr:uid="{2B296F33-939C-4441-B06D-27AE374124D8}"/>
    <cellStyle name="Comma 4 5 2 3 2 3" xfId="7777" xr:uid="{6AA23A35-1186-46FF-AC4E-D9D441A15768}"/>
    <cellStyle name="Comma 4 5 2 3 3" xfId="3805" xr:uid="{AFB7F163-37F3-45B8-9C97-0CC8C91BBE2D}"/>
    <cellStyle name="Comma 4 5 2 3 3 2" xfId="9102" xr:uid="{4DD7EA59-F3CC-4B2F-943F-D284EEC8AC60}"/>
    <cellStyle name="Comma 4 5 2 3 4" xfId="6453" xr:uid="{BB9B64A5-8045-4BCC-86C7-3D2AE926A429}"/>
    <cellStyle name="Comma 4 5 2 4" xfId="2157" xr:uid="{72CAF36D-9569-49D9-8BC5-C2C756B5A281}"/>
    <cellStyle name="Comma 4 5 2 4 2" xfId="4806" xr:uid="{0954118A-9413-4CB5-89B5-9A58E5BD19F2}"/>
    <cellStyle name="Comma 4 5 2 4 2 2" xfId="10103" xr:uid="{2E9BF22A-C797-4CD0-A47C-B4EF3DA31CCB}"/>
    <cellStyle name="Comma 4 5 2 4 3" xfId="7454" xr:uid="{ED588BCB-B795-44A2-88C7-F8B742D2559E}"/>
    <cellStyle name="Comma 4 5 2 5" xfId="3482" xr:uid="{AD4BF522-4420-40F0-A02D-235CA659F4DE}"/>
    <cellStyle name="Comma 4 5 2 5 2" xfId="8779" xr:uid="{3B05C6D8-4C97-4BE2-B645-D92E52CADECE}"/>
    <cellStyle name="Comma 4 5 2 6" xfId="6130" xr:uid="{72DC1636-7523-4B3D-91FC-6F36FD05963F}"/>
    <cellStyle name="Comma 4 5 3" xfId="992" xr:uid="{9C266B55-7F0A-49EB-B36D-7EB23DAA2D49}"/>
    <cellStyle name="Comma 4 5 3 2" xfId="1536" xr:uid="{3A4F6C6C-90A4-4736-BE28-CABEB03AF968}"/>
    <cellStyle name="Comma 4 5 3 2 2" xfId="2876" xr:uid="{133B8D85-903C-433B-AEAC-77D67118A310}"/>
    <cellStyle name="Comma 4 5 3 2 2 2" xfId="5525" xr:uid="{4596C81D-30BF-4264-9753-330AAAABB171}"/>
    <cellStyle name="Comma 4 5 3 2 2 2 2" xfId="10822" xr:uid="{BAF8F327-AA10-48FC-9696-1C3EC18E8B47}"/>
    <cellStyle name="Comma 4 5 3 2 2 3" xfId="8173" xr:uid="{13BC85C9-6CAC-42F7-98D5-8EF572FCCB32}"/>
    <cellStyle name="Comma 4 5 3 2 3" xfId="4201" xr:uid="{8B496598-6345-4DDF-B09D-99D01A86DBC4}"/>
    <cellStyle name="Comma 4 5 3 2 3 2" xfId="9498" xr:uid="{9D877876-E741-469D-8B74-4CAD709E656F}"/>
    <cellStyle name="Comma 4 5 3 2 4" xfId="6849" xr:uid="{055BBB62-38AB-4762-9A53-DDA22686D27C}"/>
    <cellStyle name="Comma 4 5 3 3" xfId="2348" xr:uid="{1B27D5AB-89C6-47C6-93FC-2266DCBCFFB0}"/>
    <cellStyle name="Comma 4 5 3 3 2" xfId="4997" xr:uid="{1E2B1239-4BDE-42F0-8BD3-A48DD2C51359}"/>
    <cellStyle name="Comma 4 5 3 3 2 2" xfId="10294" xr:uid="{FBC9E36B-1F12-4E4B-9E15-A1019F4FFC4F}"/>
    <cellStyle name="Comma 4 5 3 3 3" xfId="7645" xr:uid="{EFAA6C59-C435-4CD2-862F-12928A0C614E}"/>
    <cellStyle name="Comma 4 5 3 4" xfId="3673" xr:uid="{48B0E5BA-4CE4-47EE-AB11-3691516AFCFC}"/>
    <cellStyle name="Comma 4 5 3 4 2" xfId="8970" xr:uid="{8B2FF0B4-153A-4616-A7FD-C2B50B5EFDFF}"/>
    <cellStyle name="Comma 4 5 3 5" xfId="6321" xr:uid="{D0795F49-6D2A-4009-8E73-562EFE44C26C}"/>
    <cellStyle name="Comma 4 5 4" xfId="1272" xr:uid="{33DD0477-B3D1-4FF4-BC88-757D39AD7D4B}"/>
    <cellStyle name="Comma 4 5 4 2" xfId="1800" xr:uid="{C174CFEE-C2DB-40F7-B1FA-5525F28137B0}"/>
    <cellStyle name="Comma 4 5 4 2 2" xfId="3140" xr:uid="{56502CDB-FEFB-4B54-B9AE-700692310001}"/>
    <cellStyle name="Comma 4 5 4 2 2 2" xfId="5789" xr:uid="{B0F285CE-20BD-49A5-A7F5-AA65E89BBE2B}"/>
    <cellStyle name="Comma 4 5 4 2 2 2 2" xfId="11086" xr:uid="{00F813A3-D01B-426C-9D33-4D9EB7E08F84}"/>
    <cellStyle name="Comma 4 5 4 2 2 3" xfId="8437" xr:uid="{39B6A36E-4086-41C2-92F9-4A489AB59EBF}"/>
    <cellStyle name="Comma 4 5 4 2 3" xfId="4465" xr:uid="{35BF602D-72B0-4F17-BB32-CC9786CA8119}"/>
    <cellStyle name="Comma 4 5 4 2 3 2" xfId="9762" xr:uid="{4A26D32F-876B-4D17-BE5D-4A92C3C49BAB}"/>
    <cellStyle name="Comma 4 5 4 2 4" xfId="7113" xr:uid="{8F8A3C3F-35AC-4268-BA87-2BEC5F392067}"/>
    <cellStyle name="Comma 4 5 4 3" xfId="2612" xr:uid="{B7F8F48A-D3DF-4346-ADED-5499174B99F9}"/>
    <cellStyle name="Comma 4 5 4 3 2" xfId="5261" xr:uid="{E568957B-0393-4E81-8C63-9B5378BF1D11}"/>
    <cellStyle name="Comma 4 5 4 3 2 2" xfId="10558" xr:uid="{A96109CD-265A-4D93-B1F1-36ED04205387}"/>
    <cellStyle name="Comma 4 5 4 3 3" xfId="7909" xr:uid="{2F0D5ABB-53FE-44C5-AE40-7F99CE7A8665}"/>
    <cellStyle name="Comma 4 5 4 4" xfId="3937" xr:uid="{F9E9BB16-E289-4FB4-B461-171C42D1013A}"/>
    <cellStyle name="Comma 4 5 4 4 2" xfId="9234" xr:uid="{9DDE8612-AF31-4318-9647-1CDF04CDAF6C}"/>
    <cellStyle name="Comma 4 5 4 5" xfId="6585" xr:uid="{0F1A0A96-62AC-4508-A33B-31682CF3F46B}"/>
    <cellStyle name="Comma 4 5 5" xfId="1404" xr:uid="{F793E7A6-F34D-4C83-B7AB-3C3D0F07095A}"/>
    <cellStyle name="Comma 4 5 5 2" xfId="1932" xr:uid="{16F88F2D-BA9F-4DA7-AFB4-30B8341D972E}"/>
    <cellStyle name="Comma 4 5 5 2 2" xfId="3272" xr:uid="{9FF195C7-6AAC-42BC-A67B-0AEE8AB7A953}"/>
    <cellStyle name="Comma 4 5 5 2 2 2" xfId="5921" xr:uid="{4B8B3D63-66E4-4940-A909-81061C9B7CD8}"/>
    <cellStyle name="Comma 4 5 5 2 2 2 2" xfId="11218" xr:uid="{0DE34928-5F2B-42CA-B09C-4F10DD1EF925}"/>
    <cellStyle name="Comma 4 5 5 2 2 3" xfId="8569" xr:uid="{66DE48F8-E89C-40EE-81BF-75F37706344F}"/>
    <cellStyle name="Comma 4 5 5 2 3" xfId="4597" xr:uid="{7630C6E4-C91C-497C-ADC4-2C49F759A600}"/>
    <cellStyle name="Comma 4 5 5 2 3 2" xfId="9894" xr:uid="{6453BB5A-5CEA-4723-8644-438F8ECD8F67}"/>
    <cellStyle name="Comma 4 5 5 2 4" xfId="7245" xr:uid="{37051DFE-6C33-431B-BC10-A2627A7B68B9}"/>
    <cellStyle name="Comma 4 5 5 3" xfId="2744" xr:uid="{B0A71C2C-8FEC-400D-BC9C-0847B577041C}"/>
    <cellStyle name="Comma 4 5 5 3 2" xfId="5393" xr:uid="{06D0E406-B283-4DC3-A2E5-3824690A0E48}"/>
    <cellStyle name="Comma 4 5 5 3 2 2" xfId="10690" xr:uid="{034A1861-3DD8-4E7C-921C-0D85E6237D87}"/>
    <cellStyle name="Comma 4 5 5 3 3" xfId="8041" xr:uid="{A801BE9D-FDB5-47B8-AD13-B7EED040030F}"/>
    <cellStyle name="Comma 4 5 5 4" xfId="4069" xr:uid="{A6A85FB5-2B07-4B4C-8173-E0D1499FAB0C}"/>
    <cellStyle name="Comma 4 5 5 4 2" xfId="9366" xr:uid="{A43CDA01-87DC-482F-A592-D17B9ABDAEC4}"/>
    <cellStyle name="Comma 4 5 5 5" xfId="6717" xr:uid="{09079963-E667-43FB-A9F6-434EAA9087D1}"/>
    <cellStyle name="Comma 4 5 6" xfId="716" xr:uid="{E309D8FF-4E3A-4A88-9858-06473250624A}"/>
    <cellStyle name="Comma 4 5 6 2" xfId="2220" xr:uid="{3473D1CA-7825-4546-B0C2-D7D62B9A0901}"/>
    <cellStyle name="Comma 4 5 6 2 2" xfId="4869" xr:uid="{6D7D3E6C-CBF6-47E3-A864-0A4772B172F6}"/>
    <cellStyle name="Comma 4 5 6 2 2 2" xfId="10166" xr:uid="{793E7112-8575-43B4-870C-FC6BCFBE3802}"/>
    <cellStyle name="Comma 4 5 6 2 3" xfId="7517" xr:uid="{B79C8718-DBB1-40C1-BC6E-A6F948B2069D}"/>
    <cellStyle name="Comma 4 5 6 3" xfId="3545" xr:uid="{2D15CC18-FA3F-4E7C-8714-360CEAFC8575}"/>
    <cellStyle name="Comma 4 5 6 3 2" xfId="8842" xr:uid="{A1628F7E-BE53-48F6-94C3-DC18FA7252ED}"/>
    <cellStyle name="Comma 4 5 6 4" xfId="6193" xr:uid="{BCE218AF-F104-4A01-B40F-6310F3759B9B}"/>
    <cellStyle name="Comma 4 5 7" xfId="2090" xr:uid="{FCE23B57-C4B6-4FFE-9220-B8B64AA4D177}"/>
    <cellStyle name="Comma 4 5 7 2" xfId="4739" xr:uid="{1DAE7D38-63D4-428A-A45F-C4835968F4A3}"/>
    <cellStyle name="Comma 4 5 7 2 2" xfId="10036" xr:uid="{48403DDD-5ACE-4C61-9337-AC7499D71353}"/>
    <cellStyle name="Comma 4 5 7 3" xfId="7387" xr:uid="{92BAE658-BDC7-4C25-AA8C-15AFB560ACB5}"/>
    <cellStyle name="Comma 4 5 8" xfId="3415" xr:uid="{330E9F88-CCC9-417B-BC39-0C6D06708119}"/>
    <cellStyle name="Comma 4 5 8 2" xfId="8712" xr:uid="{33E9493B-DFA2-4A92-B112-378449A6F401}"/>
    <cellStyle name="Comma 4 5 9" xfId="6063" xr:uid="{4DB9F2C6-3E03-4A4D-B60A-B4190944BFF3}"/>
    <cellStyle name="Comma 4 6" xfId="218" xr:uid="{137DBCD0-284A-4CC9-94F2-8933BBC6921C}"/>
    <cellStyle name="Comma 4 6 2" xfId="450" xr:uid="{5D1CEF76-B491-4327-9A61-2EEBBC0A7954}"/>
    <cellStyle name="Comma 4 6 2 2" xfId="1629" xr:uid="{5540F81B-CDF1-4E27-AF66-5A7EC815AF97}"/>
    <cellStyle name="Comma 4 6 2 2 2" xfId="2969" xr:uid="{A845C18A-2BD1-4A9F-8980-6FF5800CC61B}"/>
    <cellStyle name="Comma 4 6 2 2 2 2" xfId="5618" xr:uid="{F1297F33-CC0C-47D2-891D-0CE1A3256754}"/>
    <cellStyle name="Comma 4 6 2 2 2 2 2" xfId="10915" xr:uid="{A51BA875-B910-4C90-B2BB-AB17F7907E53}"/>
    <cellStyle name="Comma 4 6 2 2 2 3" xfId="8266" xr:uid="{A92780DE-18E1-4CA0-B88D-2DFD07C7B2E8}"/>
    <cellStyle name="Comma 4 6 2 2 3" xfId="4294" xr:uid="{CC52A9F4-9B75-4C34-B305-76A3F94D5552}"/>
    <cellStyle name="Comma 4 6 2 2 3 2" xfId="9591" xr:uid="{91054CFA-542B-45FD-961F-368DF441F2AA}"/>
    <cellStyle name="Comma 4 6 2 2 4" xfId="6942" xr:uid="{9A9BE2F2-E6AE-4664-B832-31D7EB078798}"/>
    <cellStyle name="Comma 4 6 2 3" xfId="2169" xr:uid="{33514636-502D-4921-AE97-80627C9397E2}"/>
    <cellStyle name="Comma 4 6 2 3 2" xfId="4818" xr:uid="{3BA17CD9-3B7B-48E4-B15A-8C5E7BBA7030}"/>
    <cellStyle name="Comma 4 6 2 3 2 2" xfId="10115" xr:uid="{765D7146-205E-4F1D-9157-73C466BA5271}"/>
    <cellStyle name="Comma 4 6 2 3 3" xfId="7466" xr:uid="{1C5A681B-683E-45EF-836E-B19C8C877D86}"/>
    <cellStyle name="Comma 4 6 2 4" xfId="3494" xr:uid="{2EC7129C-E130-49D1-A037-D7F0487D2D35}"/>
    <cellStyle name="Comma 4 6 2 4 2" xfId="8791" xr:uid="{0689B899-2389-436B-9753-666E5294962D}"/>
    <cellStyle name="Comma 4 6 2 5" xfId="6142" xr:uid="{DFE089E4-6159-444F-B76A-1888BE35FC8E}"/>
    <cellStyle name="Comma 4 6 3" xfId="1091" xr:uid="{66F31811-7C85-4D63-B859-B2814C9B4A5F}"/>
    <cellStyle name="Comma 4 6 3 2" xfId="2441" xr:uid="{99EEA07E-DEE1-49FA-8478-AB249C9A8A24}"/>
    <cellStyle name="Comma 4 6 3 2 2" xfId="5090" xr:uid="{989FFE89-F02C-40CE-8229-C082517336CE}"/>
    <cellStyle name="Comma 4 6 3 2 2 2" xfId="10387" xr:uid="{8E648DFF-0068-4443-A33D-CCA04FE37DBE}"/>
    <cellStyle name="Comma 4 6 3 2 3" xfId="7738" xr:uid="{A1EB5D4A-1377-419C-BE6F-AB75BA424E66}"/>
    <cellStyle name="Comma 4 6 3 3" xfId="3766" xr:uid="{FE0E2602-EA0A-400E-AF42-F9064138F7C2}"/>
    <cellStyle name="Comma 4 6 3 3 2" xfId="9063" xr:uid="{388222F6-DE5D-4AF6-8E66-8FB68972F589}"/>
    <cellStyle name="Comma 4 6 3 4" xfId="6414" xr:uid="{606BB390-FF5D-497A-A40C-EF779E499DAF}"/>
    <cellStyle name="Comma 4 6 4" xfId="2102" xr:uid="{566BCDB5-39A0-4F6F-8806-A4E8E015D4F8}"/>
    <cellStyle name="Comma 4 6 4 2" xfId="4751" xr:uid="{F101CA94-0449-47EF-89AB-8D04165B61BE}"/>
    <cellStyle name="Comma 4 6 4 2 2" xfId="10048" xr:uid="{F8EDD4E9-90BA-440F-8C44-039E89E2BAB6}"/>
    <cellStyle name="Comma 4 6 4 3" xfId="7399" xr:uid="{C57996B5-69A1-4A66-A6C6-AFD3386A212B}"/>
    <cellStyle name="Comma 4 6 5" xfId="3427" xr:uid="{46E54B36-A4C6-474C-8C02-87A2B57B5DE4}"/>
    <cellStyle name="Comma 4 6 5 2" xfId="8724" xr:uid="{42E089AC-4DDB-4567-9433-2C74CA926D7E}"/>
    <cellStyle name="Comma 4 6 6" xfId="6075" xr:uid="{41A73F64-67F6-4883-81C4-E5782738EB7C}"/>
    <cellStyle name="Comma 4 7" xfId="275" xr:uid="{A26CB443-949D-4A13-ADA8-732A57349F9B}"/>
    <cellStyle name="Comma 4 7 2" xfId="1497" xr:uid="{72371016-739E-4F9A-B212-F44284D6AB2A}"/>
    <cellStyle name="Comma 4 7 2 2" xfId="2837" xr:uid="{BCE9803C-CF29-4EC2-A20C-2BCDC77BE8F7}"/>
    <cellStyle name="Comma 4 7 2 2 2" xfId="5486" xr:uid="{EB159C49-62C4-43AF-A187-5CCFDAF74B79}"/>
    <cellStyle name="Comma 4 7 2 2 2 2" xfId="10783" xr:uid="{20FB2AB8-B235-4DE0-B934-5DDCCBCC3B9E}"/>
    <cellStyle name="Comma 4 7 2 2 3" xfId="8134" xr:uid="{7CA057B9-4DB1-45FE-9721-CEF29BDF0276}"/>
    <cellStyle name="Comma 4 7 2 3" xfId="4162" xr:uid="{E157D46A-D6DC-4244-9914-9E314CE3E01C}"/>
    <cellStyle name="Comma 4 7 2 3 2" xfId="9459" xr:uid="{2D5F98B9-BD2A-40FD-9372-1FB793AA5297}"/>
    <cellStyle name="Comma 4 7 2 4" xfId="6810" xr:uid="{28BD7B62-DAAE-42E7-B17C-45F7571360B7}"/>
    <cellStyle name="Comma 4 7 3" xfId="944" xr:uid="{DB703B6D-A45B-4912-9FF0-2B8834CF08AF}"/>
    <cellStyle name="Comma 4 7 3 2" xfId="2309" xr:uid="{432F6FD9-26F3-4821-BF57-EEA4F2C60FFB}"/>
    <cellStyle name="Comma 4 7 3 2 2" xfId="4958" xr:uid="{47D63CEC-365C-4795-B005-0181D83B6D11}"/>
    <cellStyle name="Comma 4 7 3 2 2 2" xfId="10255" xr:uid="{D6EA8975-EFEA-466E-B83F-D0ECC2C55C4D}"/>
    <cellStyle name="Comma 4 7 3 2 3" xfId="7606" xr:uid="{581AD5B3-7E54-4216-83B6-E9A1186437BA}"/>
    <cellStyle name="Comma 4 7 3 3" xfId="3634" xr:uid="{6222147B-39CE-4D07-8F1B-D8617ABF77C1}"/>
    <cellStyle name="Comma 4 7 3 3 2" xfId="8931" xr:uid="{229674C2-BFAC-42AA-824B-AC62AC6C0A2A}"/>
    <cellStyle name="Comma 4 7 3 4" xfId="6282" xr:uid="{569767CD-DC71-4883-9706-FD2B2DE7A454}"/>
    <cellStyle name="Comma 4 7 4" xfId="2120" xr:uid="{DF9451AE-E90D-46C9-8121-D934C6F3396B}"/>
    <cellStyle name="Comma 4 7 4 2" xfId="4769" xr:uid="{04AE2AB2-10D4-4E9B-AB35-C9A44E4E0E2D}"/>
    <cellStyle name="Comma 4 7 4 2 2" xfId="10066" xr:uid="{BF211BA2-D666-4E14-B581-4CB39D19B3ED}"/>
    <cellStyle name="Comma 4 7 4 3" xfId="7417" xr:uid="{DD72F214-C3CC-432F-80E3-BCA0FF91F4DA}"/>
    <cellStyle name="Comma 4 7 5" xfId="3445" xr:uid="{A9F8BBB9-2F46-480C-AEE4-6DFCB0010F76}"/>
    <cellStyle name="Comma 4 7 5 2" xfId="8742" xr:uid="{1A2159F3-9CEA-40E0-AFBF-31B7701E0A20}"/>
    <cellStyle name="Comma 4 7 6" xfId="6093" xr:uid="{E6CB5536-507A-45FE-9D19-DD836920908D}"/>
    <cellStyle name="Comma 4 8" xfId="1233" xr:uid="{10F4E211-A1EA-4A8F-BFB4-6D4F5FEB6D28}"/>
    <cellStyle name="Comma 4 8 2" xfId="1761" xr:uid="{0E2A3025-FC70-4385-91DF-78FC06F55D17}"/>
    <cellStyle name="Comma 4 8 2 2" xfId="3101" xr:uid="{D41B7A5C-9132-42E8-81EE-BEA9A82EDC6C}"/>
    <cellStyle name="Comma 4 8 2 2 2" xfId="5750" xr:uid="{2C51920A-AEF4-49E2-B814-730D6E8B2D30}"/>
    <cellStyle name="Comma 4 8 2 2 2 2" xfId="11047" xr:uid="{CA4D269D-F4C4-4A04-87A9-A96AF5CF17AB}"/>
    <cellStyle name="Comma 4 8 2 2 3" xfId="8398" xr:uid="{0921933F-8A3A-4015-89EB-149B31477C13}"/>
    <cellStyle name="Comma 4 8 2 3" xfId="4426" xr:uid="{920659C7-FCDB-4F56-B283-A104E0F0F1C3}"/>
    <cellStyle name="Comma 4 8 2 3 2" xfId="9723" xr:uid="{913D42A4-8C02-4A60-BB11-DBDEEFF90A33}"/>
    <cellStyle name="Comma 4 8 2 4" xfId="7074" xr:uid="{3EBDEAEC-D229-4096-BEBC-CDD18B22D0C5}"/>
    <cellStyle name="Comma 4 8 3" xfId="2573" xr:uid="{DDA642E0-A75C-4FC6-A802-86809983125C}"/>
    <cellStyle name="Comma 4 8 3 2" xfId="5222" xr:uid="{F2517FDC-E685-42C8-8A25-A713A1DC2588}"/>
    <cellStyle name="Comma 4 8 3 2 2" xfId="10519" xr:uid="{72C4AB77-20F9-4BCC-BFB2-D01C51B40B56}"/>
    <cellStyle name="Comma 4 8 3 3" xfId="7870" xr:uid="{77FFEB92-C507-4B34-8D34-CEB4C8696448}"/>
    <cellStyle name="Comma 4 8 4" xfId="3898" xr:uid="{62A33562-EB58-47E5-A355-39997DBC2048}"/>
    <cellStyle name="Comma 4 8 4 2" xfId="9195" xr:uid="{43E4F1B3-089E-4FA8-8407-F93615DF1A88}"/>
    <cellStyle name="Comma 4 8 5" xfId="6546" xr:uid="{8E03ECD0-9EA2-41B9-80BC-0E264816BC3D}"/>
    <cellStyle name="Comma 4 9" xfId="1365" xr:uid="{F9499762-84C5-422E-8CC8-81D87BFB09C5}"/>
    <cellStyle name="Comma 4 9 2" xfId="1893" xr:uid="{7C531F55-4D57-454E-B316-5D47B99059C3}"/>
    <cellStyle name="Comma 4 9 2 2" xfId="3233" xr:uid="{AEB3D048-3AFA-4DF6-8102-F3003AD8A5ED}"/>
    <cellStyle name="Comma 4 9 2 2 2" xfId="5882" xr:uid="{0016B419-8156-4E96-87A9-A79520F422A7}"/>
    <cellStyle name="Comma 4 9 2 2 2 2" xfId="11179" xr:uid="{FABACABF-EA2A-43EA-841D-303F66BED86F}"/>
    <cellStyle name="Comma 4 9 2 2 3" xfId="8530" xr:uid="{7DCE181D-9176-4CE9-9BA2-54C4F24A7D4B}"/>
    <cellStyle name="Comma 4 9 2 3" xfId="4558" xr:uid="{FC1A35F5-868F-4A48-9745-AE89FA09B76D}"/>
    <cellStyle name="Comma 4 9 2 3 2" xfId="9855" xr:uid="{4D93FEE7-BB2A-47CC-B0EA-E1C8537822C2}"/>
    <cellStyle name="Comma 4 9 2 4" xfId="7206" xr:uid="{575CC516-F4A0-47DC-B7D6-8538C7E13A31}"/>
    <cellStyle name="Comma 4 9 3" xfId="2705" xr:uid="{AED67295-A608-455A-BAA9-4520155045A1}"/>
    <cellStyle name="Comma 4 9 3 2" xfId="5354" xr:uid="{51FAF863-EDF1-40DA-A317-EC92C681F45C}"/>
    <cellStyle name="Comma 4 9 3 2 2" xfId="10651" xr:uid="{46376F12-35B2-4DC3-9DED-65080F755AF9}"/>
    <cellStyle name="Comma 4 9 3 3" xfId="8002" xr:uid="{D7C33078-7408-44B6-BC0A-8E253D96C4B8}"/>
    <cellStyle name="Comma 4 9 4" xfId="4030" xr:uid="{4E96FCBA-5E9B-442F-B8A0-8993C5883526}"/>
    <cellStyle name="Comma 4 9 4 2" xfId="9327" xr:uid="{74A7BC94-F2E6-4F61-BC25-D659289B0B6A}"/>
    <cellStyle name="Comma 4 9 5" xfId="6678" xr:uid="{1BFCF975-F0AC-492D-8293-C92618707C4A}"/>
    <cellStyle name="Comma 5" xfId="15" xr:uid="{AB542243-5D0E-4312-8384-79618D5AD894}"/>
    <cellStyle name="Comma 5 10" xfId="513" xr:uid="{CCEAD066-643A-4615-875F-DEF7F07F13E5}"/>
    <cellStyle name="Comma 5 10 2" xfId="2189" xr:uid="{C77DC00C-CA16-49DA-A024-DAC46123BB92}"/>
    <cellStyle name="Comma 5 10 2 2" xfId="4838" xr:uid="{38710CC4-302C-496E-88A6-A4EEAF5D57E4}"/>
    <cellStyle name="Comma 5 10 2 2 2" xfId="10135" xr:uid="{7C282ABB-03BB-4B95-8915-6D705B69E717}"/>
    <cellStyle name="Comma 5 10 2 3" xfId="7486" xr:uid="{8D81C105-B89F-4659-9B9F-AF624863700F}"/>
    <cellStyle name="Comma 5 10 3" xfId="3514" xr:uid="{886937AE-2674-4DC8-B94B-1FDD93F441C1}"/>
    <cellStyle name="Comma 5 10 3 2" xfId="8811" xr:uid="{D4682A33-B007-429E-9ADE-9C14BFF4201F}"/>
    <cellStyle name="Comma 5 10 4" xfId="6162" xr:uid="{67E206F4-669B-448D-B8AE-C23FF5A2FC75}"/>
    <cellStyle name="Comma 5 11" xfId="2023" xr:uid="{B6D587B6-CC29-403D-974E-4AB0B3259F1A}"/>
    <cellStyle name="Comma 5 11 2" xfId="3358" xr:uid="{26BF059C-2545-4D5E-A9DC-7B3FA0E2CDE0}"/>
    <cellStyle name="Comma 5 11 2 2" xfId="6007" xr:uid="{8B95AD25-F5EE-4A16-8B4B-4ED668AD9B3C}"/>
    <cellStyle name="Comma 5 11 2 2 2" xfId="11304" xr:uid="{C19D58DB-7FA3-43EE-BF0F-ABA9755CAA05}"/>
    <cellStyle name="Comma 5 11 2 3" xfId="8655" xr:uid="{19498153-00F0-4EEC-BDAA-C90CA7AD5C26}"/>
    <cellStyle name="Comma 5 11 3" xfId="4683" xr:uid="{83B65757-7646-46BF-8BC7-721335933D20}"/>
    <cellStyle name="Comma 5 11 3 2" xfId="9980" xr:uid="{D679115A-B3B4-4AEC-B576-96AF5E153453}"/>
    <cellStyle name="Comma 5 11 4" xfId="7331" xr:uid="{339C295B-97BB-471A-80E0-57F960F1E676}"/>
    <cellStyle name="Comma 5 12" xfId="2046" xr:uid="{EFAE5F28-C1F7-4923-B03C-B19FB318F846}"/>
    <cellStyle name="Comma 5 12 2" xfId="4695" xr:uid="{216A1B4F-AC5A-43D4-96BA-E003576D0ABD}"/>
    <cellStyle name="Comma 5 12 2 2" xfId="9992" xr:uid="{86EF34FD-1F6F-43EF-AFD3-BED9D992C6C7}"/>
    <cellStyle name="Comma 5 12 3" xfId="7343" xr:uid="{A1561111-17D4-401A-8C2E-CEC61ED83580}"/>
    <cellStyle name="Comma 5 13" xfId="3371" xr:uid="{A00534D4-C68E-4585-B9EA-16C8306141E9}"/>
    <cellStyle name="Comma 5 13 2" xfId="8668" xr:uid="{E09822C8-A891-413C-B9C1-A0CD45F3D805}"/>
    <cellStyle name="Comma 5 14" xfId="6019" xr:uid="{4A7B6627-FE07-4388-AAF4-4CB82AC32723}"/>
    <cellStyle name="Comma 5 2" xfId="35" xr:uid="{7D2B6192-102F-4C60-A6A7-49EA12AD5E52}"/>
    <cellStyle name="Comma 5 2 10" xfId="2051" xr:uid="{0A796C89-06D0-4744-ADB1-4B5A93456C66}"/>
    <cellStyle name="Comma 5 2 10 2" xfId="4700" xr:uid="{C939C6A7-66C2-43A5-BEB4-67B2F0F2F5EC}"/>
    <cellStyle name="Comma 5 2 10 2 2" xfId="9997" xr:uid="{B223681C-24AD-481B-B7EF-72BBDB03BAFE}"/>
    <cellStyle name="Comma 5 2 10 3" xfId="7348" xr:uid="{65AC4F31-5F21-4005-8ACC-8762F8286ADB}"/>
    <cellStyle name="Comma 5 2 11" xfId="3376" xr:uid="{EB9AC4BE-49A7-419B-B91C-7EC09361123E}"/>
    <cellStyle name="Comma 5 2 11 2" xfId="8673" xr:uid="{8A7D6581-7799-4618-BAE8-65FF285EF7F2}"/>
    <cellStyle name="Comma 5 2 12" xfId="6024" xr:uid="{EF150EEA-CD6F-4C2D-83E4-790871314B12}"/>
    <cellStyle name="Comma 5 2 2" xfId="78" xr:uid="{E35D3669-3950-4824-A88B-1F0918F2B96A}"/>
    <cellStyle name="Comma 5 2 2 2" xfId="310" xr:uid="{E5900266-9806-49E9-9DEF-242B4BAA0515}"/>
    <cellStyle name="Comma 5 2 2 2 2" xfId="1213" xr:uid="{3FBBCE6B-4B14-4F53-8B9F-6066ACD198FB}"/>
    <cellStyle name="Comma 5 2 2 2 2 2" xfId="1741" xr:uid="{40852097-079F-4D36-B2EE-95FE5FF32BAD}"/>
    <cellStyle name="Comma 5 2 2 2 2 2 2" xfId="3081" xr:uid="{ED93345F-363A-470A-8279-044B692816C0}"/>
    <cellStyle name="Comma 5 2 2 2 2 2 2 2" xfId="5730" xr:uid="{16644967-3F41-47DE-925A-80082CDD8CA8}"/>
    <cellStyle name="Comma 5 2 2 2 2 2 2 2 2" xfId="11027" xr:uid="{54B2AA9F-F1CD-4603-B69E-33B46DC30650}"/>
    <cellStyle name="Comma 5 2 2 2 2 2 2 3" xfId="8378" xr:uid="{C3B5A95F-9D6D-48E1-B0D5-A19BFBF1E808}"/>
    <cellStyle name="Comma 5 2 2 2 2 2 3" xfId="4406" xr:uid="{4F8041C8-2FB4-4222-8060-8871CEB91BAF}"/>
    <cellStyle name="Comma 5 2 2 2 2 2 3 2" xfId="9703" xr:uid="{C5E34417-7B2F-4685-959B-04665B817FE4}"/>
    <cellStyle name="Comma 5 2 2 2 2 2 4" xfId="7054" xr:uid="{FB2D1EB7-5DEA-401A-8491-2625BD3DD2F1}"/>
    <cellStyle name="Comma 5 2 2 2 2 3" xfId="2553" xr:uid="{5B0834C6-C7E2-49EE-A2B9-E038C7FEB047}"/>
    <cellStyle name="Comma 5 2 2 2 2 3 2" xfId="5202" xr:uid="{E382FAFB-EA5E-4951-B001-4656CB34A6F1}"/>
    <cellStyle name="Comma 5 2 2 2 2 3 2 2" xfId="10499" xr:uid="{45675BFA-0533-4EC8-8FD0-BF8D95EF4813}"/>
    <cellStyle name="Comma 5 2 2 2 2 3 3" xfId="7850" xr:uid="{6CF15BC8-52C9-4104-87E8-B6F1FBB1CE56}"/>
    <cellStyle name="Comma 5 2 2 2 2 4" xfId="3878" xr:uid="{51A24991-0A5D-4C82-88A0-1B585BE79CA2}"/>
    <cellStyle name="Comma 5 2 2 2 2 4 2" xfId="9175" xr:uid="{D208DE8E-6182-4D96-A844-A78349C3CB07}"/>
    <cellStyle name="Comma 5 2 2 2 2 5" xfId="6526" xr:uid="{657EB82B-06C0-49F8-A82D-9F668B933EBE}"/>
    <cellStyle name="Comma 5 2 2 2 3" xfId="1070" xr:uid="{21A76B1D-C866-4548-823C-2EBF9E7EDD7A}"/>
    <cellStyle name="Comma 5 2 2 2 3 2" xfId="1609" xr:uid="{8B95BCDD-0089-4DD3-8B35-9EB9322D5DD2}"/>
    <cellStyle name="Comma 5 2 2 2 3 2 2" xfId="2949" xr:uid="{E731BC89-680C-45D7-8287-1A787A2348D9}"/>
    <cellStyle name="Comma 5 2 2 2 3 2 2 2" xfId="5598" xr:uid="{62F14AB2-8FA5-4DB5-AB9B-E11DA435D6B2}"/>
    <cellStyle name="Comma 5 2 2 2 3 2 2 2 2" xfId="10895" xr:uid="{8BE6B826-1FE8-4A16-8BA6-2DAEFAEDE708}"/>
    <cellStyle name="Comma 5 2 2 2 3 2 2 3" xfId="8246" xr:uid="{F1CD1E14-5308-4928-BB29-8A1324BC0A05}"/>
    <cellStyle name="Comma 5 2 2 2 3 2 3" xfId="4274" xr:uid="{8A215DFC-1068-497B-B5E9-1B5920608CF4}"/>
    <cellStyle name="Comma 5 2 2 2 3 2 3 2" xfId="9571" xr:uid="{F8229927-A779-4ECE-8EFA-42D56E1A51B4}"/>
    <cellStyle name="Comma 5 2 2 2 3 2 4" xfId="6922" xr:uid="{BA6AD8C6-D289-4570-B80C-DBA5A0E49B44}"/>
    <cellStyle name="Comma 5 2 2 2 3 3" xfId="2421" xr:uid="{13786B1C-6C6A-4D57-84EA-DC25CBB9866E}"/>
    <cellStyle name="Comma 5 2 2 2 3 3 2" xfId="5070" xr:uid="{89167304-8A46-44FE-A04B-99466007C56D}"/>
    <cellStyle name="Comma 5 2 2 2 3 3 2 2" xfId="10367" xr:uid="{3D52B40A-264E-4EAC-9C5E-5C456F4E8695}"/>
    <cellStyle name="Comma 5 2 2 2 3 3 3" xfId="7718" xr:uid="{E6687810-B322-4556-8270-01E3853724CD}"/>
    <cellStyle name="Comma 5 2 2 2 3 4" xfId="3746" xr:uid="{47E987E7-B281-42BB-8DB4-F1347FDF12E9}"/>
    <cellStyle name="Comma 5 2 2 2 3 4 2" xfId="9043" xr:uid="{B0A9DC24-BACE-4CA1-BA0D-DA03BB259C71}"/>
    <cellStyle name="Comma 5 2 2 2 3 5" xfId="6394" xr:uid="{CEE40B55-1718-45A0-9198-9C2FB36F4B23}"/>
    <cellStyle name="Comma 5 2 2 2 4" xfId="1345" xr:uid="{F81F2013-3D70-4F25-8CC2-EB2707102BF4}"/>
    <cellStyle name="Comma 5 2 2 2 4 2" xfId="1873" xr:uid="{B10E6096-5A5D-4732-87CC-9ADC9F3E038D}"/>
    <cellStyle name="Comma 5 2 2 2 4 2 2" xfId="3213" xr:uid="{20852014-E6F9-4CBE-B9F4-F98AB5795D65}"/>
    <cellStyle name="Comma 5 2 2 2 4 2 2 2" xfId="5862" xr:uid="{0C641666-5E79-4A55-95BC-EC305BA9D518}"/>
    <cellStyle name="Comma 5 2 2 2 4 2 2 2 2" xfId="11159" xr:uid="{DC7FE633-9260-4DC4-8876-E16E3F3F5A16}"/>
    <cellStyle name="Comma 5 2 2 2 4 2 2 3" xfId="8510" xr:uid="{B1F67154-DA74-426E-ACA4-7F5229166737}"/>
    <cellStyle name="Comma 5 2 2 2 4 2 3" xfId="4538" xr:uid="{C6A57BC5-3A27-4320-B9C2-84742FC2C6F6}"/>
    <cellStyle name="Comma 5 2 2 2 4 2 3 2" xfId="9835" xr:uid="{8A58155F-BD4E-49AD-B6C8-75C154CA094C}"/>
    <cellStyle name="Comma 5 2 2 2 4 2 4" xfId="7186" xr:uid="{1CEFDAA5-743F-4E1C-BE39-03EBD6BF7B26}"/>
    <cellStyle name="Comma 5 2 2 2 4 3" xfId="2685" xr:uid="{7AC47385-E807-499D-B275-CC610845266C}"/>
    <cellStyle name="Comma 5 2 2 2 4 3 2" xfId="5334" xr:uid="{58EE3D2E-4F4B-4A56-95F7-F93397F061F8}"/>
    <cellStyle name="Comma 5 2 2 2 4 3 2 2" xfId="10631" xr:uid="{BC279DB9-16D8-44F9-89FC-CC2234C22CC8}"/>
    <cellStyle name="Comma 5 2 2 2 4 3 3" xfId="7982" xr:uid="{3DC74707-D22B-4B89-B14F-0541353D44E5}"/>
    <cellStyle name="Comma 5 2 2 2 4 4" xfId="4010" xr:uid="{CA67E9EE-FEAE-44C3-90EC-592E782DEDA7}"/>
    <cellStyle name="Comma 5 2 2 2 4 4 2" xfId="9307" xr:uid="{320634B4-F1AA-416E-A450-A7B39D41AE55}"/>
    <cellStyle name="Comma 5 2 2 2 4 5" xfId="6658" xr:uid="{AFE55F4A-568F-4F36-9065-98B320797024}"/>
    <cellStyle name="Comma 5 2 2 2 5" xfId="1477" xr:uid="{351B38E4-B2FE-475C-8D67-A70ABB0BF178}"/>
    <cellStyle name="Comma 5 2 2 2 5 2" xfId="2005" xr:uid="{01753A41-9AF9-4AD6-A219-DCFD432AD188}"/>
    <cellStyle name="Comma 5 2 2 2 5 2 2" xfId="3345" xr:uid="{7D071351-771D-4935-83A1-0E4265CD579E}"/>
    <cellStyle name="Comma 5 2 2 2 5 2 2 2" xfId="5994" xr:uid="{A550AE3D-BF2F-4120-91B2-FC48BD925E43}"/>
    <cellStyle name="Comma 5 2 2 2 5 2 2 2 2" xfId="11291" xr:uid="{EBFB0A78-3E60-45B4-89F8-66CD24CE9C46}"/>
    <cellStyle name="Comma 5 2 2 2 5 2 2 3" xfId="8642" xr:uid="{E8C45F7F-61CF-4DC7-92E8-E176193A8626}"/>
    <cellStyle name="Comma 5 2 2 2 5 2 3" xfId="4670" xr:uid="{08B48DAC-3F72-458D-B041-8B6E733BB64D}"/>
    <cellStyle name="Comma 5 2 2 2 5 2 3 2" xfId="9967" xr:uid="{C0E4FB76-EC39-4339-AE8C-ECA7EDF08AFF}"/>
    <cellStyle name="Comma 5 2 2 2 5 2 4" xfId="7318" xr:uid="{DA90D621-FFDE-454B-900C-B573661FE2A6}"/>
    <cellStyle name="Comma 5 2 2 2 5 3" xfId="2817" xr:uid="{A6F33488-15C1-4E49-8D57-E900101BD3E0}"/>
    <cellStyle name="Comma 5 2 2 2 5 3 2" xfId="5466" xr:uid="{30BB039C-689E-42C6-8788-54B735EE6498}"/>
    <cellStyle name="Comma 5 2 2 2 5 3 2 2" xfId="10763" xr:uid="{5D0C6725-99D4-430B-AB92-7F33E6186D0B}"/>
    <cellStyle name="Comma 5 2 2 2 5 3 3" xfId="8114" xr:uid="{BBF6080B-B611-412C-A8EF-26C5000135C1}"/>
    <cellStyle name="Comma 5 2 2 2 5 4" xfId="4142" xr:uid="{26087D53-F92C-4621-AE05-8F927134B0FB}"/>
    <cellStyle name="Comma 5 2 2 2 5 4 2" xfId="9439" xr:uid="{DA1D9F86-A2A5-4A39-9E44-C2A089275610}"/>
    <cellStyle name="Comma 5 2 2 2 5 5" xfId="6790" xr:uid="{AF4E5D2D-01EA-4AE0-A683-FD6A6BD3CB20}"/>
    <cellStyle name="Comma 5 2 2 2 6" xfId="2130" xr:uid="{80C46D77-571E-46BE-9720-75B5EBFB1544}"/>
    <cellStyle name="Comma 5 2 2 2 6 2" xfId="4779" xr:uid="{F73D9BDA-F5D6-4E5A-9DD9-781B4A9C7C32}"/>
    <cellStyle name="Comma 5 2 2 2 6 2 2" xfId="10076" xr:uid="{EADCA28C-46D3-4684-9415-F3869D6269B4}"/>
    <cellStyle name="Comma 5 2 2 2 6 3" xfId="7427" xr:uid="{BAC914F9-C83A-4E37-8A3F-0536A213F619}"/>
    <cellStyle name="Comma 5 2 2 2 7" xfId="3455" xr:uid="{554F1EAC-7BDF-4E8B-9F35-9A6B7B742587}"/>
    <cellStyle name="Comma 5 2 2 2 7 2" xfId="8752" xr:uid="{1F4B64C3-587B-4A88-AC2A-03AA23495B99}"/>
    <cellStyle name="Comma 5 2 2 2 8" xfId="6103" xr:uid="{655A6719-932B-4D91-878D-1EB86E14E3A3}"/>
    <cellStyle name="Comma 5 2 2 3" xfId="1121" xr:uid="{6C53483E-568D-4BCF-A523-6AA62753BE35}"/>
    <cellStyle name="Comma 5 2 2 3 2" xfId="1655" xr:uid="{29B81FF1-A7ED-4A3A-8CA8-E4FF8DB2CA23}"/>
    <cellStyle name="Comma 5 2 2 3 2 2" xfId="2995" xr:uid="{B3BC4BDE-047B-432C-A0F2-F799ECACBFE3}"/>
    <cellStyle name="Comma 5 2 2 3 2 2 2" xfId="5644" xr:uid="{EEB74E80-FAA2-4D3B-8C87-F12E746A831F}"/>
    <cellStyle name="Comma 5 2 2 3 2 2 2 2" xfId="10941" xr:uid="{6FE24D7A-F18A-494F-A90A-E480955B79BF}"/>
    <cellStyle name="Comma 5 2 2 3 2 2 3" xfId="8292" xr:uid="{4A60366B-4ECB-401F-8974-EBEE69F92A6B}"/>
    <cellStyle name="Comma 5 2 2 3 2 3" xfId="4320" xr:uid="{B8F98398-BAC5-46B0-9913-C3A553B570B0}"/>
    <cellStyle name="Comma 5 2 2 3 2 3 2" xfId="9617" xr:uid="{653D0593-82B5-4DE8-8377-D17367E651EA}"/>
    <cellStyle name="Comma 5 2 2 3 2 4" xfId="6968" xr:uid="{33A466CE-119D-45B0-9D5B-D279E2634AD6}"/>
    <cellStyle name="Comma 5 2 2 3 3" xfId="2467" xr:uid="{B920DDDC-82E7-4C8A-A9BA-056D0586CDFC}"/>
    <cellStyle name="Comma 5 2 2 3 3 2" xfId="5116" xr:uid="{0C14ED6C-9B98-472C-B66A-A372533CF261}"/>
    <cellStyle name="Comma 5 2 2 3 3 2 2" xfId="10413" xr:uid="{E9DEFF5F-C331-4B95-8183-008098CD863A}"/>
    <cellStyle name="Comma 5 2 2 3 3 3" xfId="7764" xr:uid="{A2DD7173-037B-4371-8803-AD964F964D7E}"/>
    <cellStyle name="Comma 5 2 2 3 4" xfId="3792" xr:uid="{B1442C9F-C62D-4006-B135-1B68A46129ED}"/>
    <cellStyle name="Comma 5 2 2 3 4 2" xfId="9089" xr:uid="{E6D0284A-3E8A-4698-812D-41152F504827}"/>
    <cellStyle name="Comma 5 2 2 3 5" xfId="6440" xr:uid="{95940AC9-9F99-40E8-9E7C-6D518A008F0A}"/>
    <cellStyle name="Comma 5 2 2 4" xfId="975" xr:uid="{25B45713-CD9E-4FDC-BE31-BB86B569B89C}"/>
    <cellStyle name="Comma 5 2 2 4 2" xfId="1523" xr:uid="{58AAABEE-E0DE-4DBB-8EC4-6DCBC93D8B24}"/>
    <cellStyle name="Comma 5 2 2 4 2 2" xfId="2863" xr:uid="{09FB06E5-8AEC-4741-BD5C-8D142B6F70D6}"/>
    <cellStyle name="Comma 5 2 2 4 2 2 2" xfId="5512" xr:uid="{6238EDAE-73F6-428D-A054-16F26E3A163A}"/>
    <cellStyle name="Comma 5 2 2 4 2 2 2 2" xfId="10809" xr:uid="{B96E7B89-63A3-4CAE-AA1D-742B95940870}"/>
    <cellStyle name="Comma 5 2 2 4 2 2 3" xfId="8160" xr:uid="{F5ADF520-812C-4C0F-9411-237F83F694EE}"/>
    <cellStyle name="Comma 5 2 2 4 2 3" xfId="4188" xr:uid="{099D3A41-1362-4C03-B448-E07BFA12B01D}"/>
    <cellStyle name="Comma 5 2 2 4 2 3 2" xfId="9485" xr:uid="{60C34828-FF60-4A63-95C9-C547F5F65FB7}"/>
    <cellStyle name="Comma 5 2 2 4 2 4" xfId="6836" xr:uid="{FD8FA96F-2900-4750-A544-82A32F77855E}"/>
    <cellStyle name="Comma 5 2 2 4 3" xfId="2335" xr:uid="{35AD4C24-E75E-452A-9801-84B71FEF9D0A}"/>
    <cellStyle name="Comma 5 2 2 4 3 2" xfId="4984" xr:uid="{C6EC41CF-1DFC-4B51-B244-669D989EF0F8}"/>
    <cellStyle name="Comma 5 2 2 4 3 2 2" xfId="10281" xr:uid="{3867076E-2630-4DC3-98E0-83A6A63B9862}"/>
    <cellStyle name="Comma 5 2 2 4 3 3" xfId="7632" xr:uid="{CC4EFB0D-A185-46B7-BDAC-20BE9FBBDCA7}"/>
    <cellStyle name="Comma 5 2 2 4 4" xfId="3660" xr:uid="{BC772CA1-DAF2-4D0E-BFA1-1091CE848A8E}"/>
    <cellStyle name="Comma 5 2 2 4 4 2" xfId="8957" xr:uid="{A943B281-AA9C-4ED4-827E-086F2E5C30D3}"/>
    <cellStyle name="Comma 5 2 2 4 5" xfId="6308" xr:uid="{1BE4B51D-2745-49DB-8A5B-560D0D9B84C1}"/>
    <cellStyle name="Comma 5 2 2 5" xfId="1259" xr:uid="{2063EDE6-FA2F-4021-B0B4-01DC15F1CCF1}"/>
    <cellStyle name="Comma 5 2 2 5 2" xfId="1787" xr:uid="{904F6BE7-6FCB-4B9D-8A02-8202830EE390}"/>
    <cellStyle name="Comma 5 2 2 5 2 2" xfId="3127" xr:uid="{A74E5774-152B-413B-BE16-B18BCEAE0070}"/>
    <cellStyle name="Comma 5 2 2 5 2 2 2" xfId="5776" xr:uid="{A2A51833-7D72-4703-90A7-08E66D306737}"/>
    <cellStyle name="Comma 5 2 2 5 2 2 2 2" xfId="11073" xr:uid="{54F5A67E-F014-432B-BA99-DC5A4A1B8BDE}"/>
    <cellStyle name="Comma 5 2 2 5 2 2 3" xfId="8424" xr:uid="{BCA346C6-0F82-4D14-BEB7-1CCE3AD64212}"/>
    <cellStyle name="Comma 5 2 2 5 2 3" xfId="4452" xr:uid="{73F6DC77-DFA3-4419-9B11-2B7AD6BD994A}"/>
    <cellStyle name="Comma 5 2 2 5 2 3 2" xfId="9749" xr:uid="{A4FAE4CE-44E0-4612-A17B-2453215BC3BC}"/>
    <cellStyle name="Comma 5 2 2 5 2 4" xfId="7100" xr:uid="{FA172160-CE64-41CD-9BFC-13BC5B360D05}"/>
    <cellStyle name="Comma 5 2 2 5 3" xfId="2599" xr:uid="{620265E8-E4F6-4ABA-932D-F2AD34542303}"/>
    <cellStyle name="Comma 5 2 2 5 3 2" xfId="5248" xr:uid="{8798F1E5-0AC3-4A52-A4C0-F31CB7A7B026}"/>
    <cellStyle name="Comma 5 2 2 5 3 2 2" xfId="10545" xr:uid="{B45349BD-2189-46FB-9ED4-373658374CB6}"/>
    <cellStyle name="Comma 5 2 2 5 3 3" xfId="7896" xr:uid="{021E353C-334D-4793-B61E-AD7C44487A31}"/>
    <cellStyle name="Comma 5 2 2 5 4" xfId="3924" xr:uid="{296902E5-8808-4EE1-8FCF-AE32E0CC96CC}"/>
    <cellStyle name="Comma 5 2 2 5 4 2" xfId="9221" xr:uid="{640EE81F-3C67-479D-9072-E3D4CDA1A78F}"/>
    <cellStyle name="Comma 5 2 2 5 5" xfId="6572" xr:uid="{87D1EE6B-7C5B-4AB9-B1F3-E3C3ED30D0B7}"/>
    <cellStyle name="Comma 5 2 2 6" xfId="1391" xr:uid="{80D1B9AD-E567-4097-B6CB-A1DA505413C9}"/>
    <cellStyle name="Comma 5 2 2 6 2" xfId="1919" xr:uid="{456CFAFF-9230-47DD-9541-DBAF9AD084C1}"/>
    <cellStyle name="Comma 5 2 2 6 2 2" xfId="3259" xr:uid="{9DA497D2-9020-4687-B436-DFA8B1D96983}"/>
    <cellStyle name="Comma 5 2 2 6 2 2 2" xfId="5908" xr:uid="{B21F1C84-B31F-47F3-AA81-DC8C7362CCB2}"/>
    <cellStyle name="Comma 5 2 2 6 2 2 2 2" xfId="11205" xr:uid="{939D1958-9B16-494E-A0DA-D7DC2F634F5A}"/>
    <cellStyle name="Comma 5 2 2 6 2 2 3" xfId="8556" xr:uid="{C5149C94-609A-4BC8-A8AF-83BB5D74257D}"/>
    <cellStyle name="Comma 5 2 2 6 2 3" xfId="4584" xr:uid="{42C6F865-4880-4AFD-ACB3-089924A868B8}"/>
    <cellStyle name="Comma 5 2 2 6 2 3 2" xfId="9881" xr:uid="{D4E40833-2D32-44BF-91F8-F641B55F1C8E}"/>
    <cellStyle name="Comma 5 2 2 6 2 4" xfId="7232" xr:uid="{903FCB9C-1193-4327-92A0-0AD65DBCE039}"/>
    <cellStyle name="Comma 5 2 2 6 3" xfId="2731" xr:uid="{33E5A136-9AC8-4798-917D-D0CB4E0A99DA}"/>
    <cellStyle name="Comma 5 2 2 6 3 2" xfId="5380" xr:uid="{B0250B99-9DBB-45C5-993F-EC42B211A256}"/>
    <cellStyle name="Comma 5 2 2 6 3 2 2" xfId="10677" xr:uid="{9E4EC119-A8F2-48EC-9D76-1FC85048876B}"/>
    <cellStyle name="Comma 5 2 2 6 3 3" xfId="8028" xr:uid="{2BB9317F-2569-46D3-95D9-F4EC5F571B2D}"/>
    <cellStyle name="Comma 5 2 2 6 4" xfId="4056" xr:uid="{F505C1D5-ACF2-4DE9-A8EC-2D434F858470}"/>
    <cellStyle name="Comma 5 2 2 6 4 2" xfId="9353" xr:uid="{FDEB4372-9AC1-447E-882E-183978A785DA}"/>
    <cellStyle name="Comma 5 2 2 6 5" xfId="6704" xr:uid="{F7042D2B-421E-4DB3-9E73-302365234F72}"/>
    <cellStyle name="Comma 5 2 2 7" xfId="2063" xr:uid="{A68894EF-953C-42E4-AD47-51D7BD140CBE}"/>
    <cellStyle name="Comma 5 2 2 7 2" xfId="4712" xr:uid="{B37A51C1-338D-4645-84EE-F890B355BB75}"/>
    <cellStyle name="Comma 5 2 2 7 2 2" xfId="10009" xr:uid="{E48381CF-023B-4C30-BF5A-A700DE98D15F}"/>
    <cellStyle name="Comma 5 2 2 7 3" xfId="7360" xr:uid="{1F0120D2-2A98-4B72-B610-D6AA702D3F4B}"/>
    <cellStyle name="Comma 5 2 2 8" xfId="3388" xr:uid="{937F778C-08C9-4DD1-8E2A-2AF3FB17532C}"/>
    <cellStyle name="Comma 5 2 2 8 2" xfId="8685" xr:uid="{C3878DA4-0B71-41FC-9A99-72417512E1EF}"/>
    <cellStyle name="Comma 5 2 2 9" xfId="6036" xr:uid="{42E46126-2EA3-42B9-AAEA-FC846DF5A315}"/>
    <cellStyle name="Comma 5 2 3" xfId="121" xr:uid="{3BA8848D-5693-47C6-B7AD-ECE813A49CF8}"/>
    <cellStyle name="Comma 5 2 3 2" xfId="353" xr:uid="{051CA502-BF4B-4453-89DB-3DC18EB4DA44}"/>
    <cellStyle name="Comma 5 2 3 2 2" xfId="1718" xr:uid="{32B68C2A-90B0-46F3-A93F-FC81F494A173}"/>
    <cellStyle name="Comma 5 2 3 2 2 2" xfId="3058" xr:uid="{128E6E2F-3BFD-419F-8838-1FA5BE33EA0D}"/>
    <cellStyle name="Comma 5 2 3 2 2 2 2" xfId="5707" xr:uid="{563B8CCB-C28B-4736-A718-CA86A5316C6C}"/>
    <cellStyle name="Comma 5 2 3 2 2 2 2 2" xfId="11004" xr:uid="{15A7113D-F8B2-4D98-832A-AED635E78FDB}"/>
    <cellStyle name="Comma 5 2 3 2 2 2 3" xfId="8355" xr:uid="{6639906F-3A05-4EE8-A817-E21E321989A6}"/>
    <cellStyle name="Comma 5 2 3 2 2 3" xfId="4383" xr:uid="{456F30A5-04F3-4712-8297-21E884E5BD67}"/>
    <cellStyle name="Comma 5 2 3 2 2 3 2" xfId="9680" xr:uid="{BD81345E-3094-4852-BC81-A758101991A1}"/>
    <cellStyle name="Comma 5 2 3 2 2 4" xfId="7031" xr:uid="{1C044CD2-18E1-499E-8D46-80AC77C9AA48}"/>
    <cellStyle name="Comma 5 2 3 2 3" xfId="1187" xr:uid="{A92A7178-8688-46AC-ACE2-7FDF5E6FF874}"/>
    <cellStyle name="Comma 5 2 3 2 3 2" xfId="2530" xr:uid="{D3573B78-9D78-458F-A6D7-50EB5C745DDE}"/>
    <cellStyle name="Comma 5 2 3 2 3 2 2" xfId="5179" xr:uid="{25BDD1A3-14BD-4D1B-9A79-D627129B7415}"/>
    <cellStyle name="Comma 5 2 3 2 3 2 2 2" xfId="10476" xr:uid="{E7E17EE4-626C-42C6-A699-FD4172DCAE19}"/>
    <cellStyle name="Comma 5 2 3 2 3 2 3" xfId="7827" xr:uid="{9D022286-F2BC-4A16-9551-7B154EA4C55D}"/>
    <cellStyle name="Comma 5 2 3 2 3 3" xfId="3855" xr:uid="{08068308-C39D-4896-BC1E-F1646B9A17DB}"/>
    <cellStyle name="Comma 5 2 3 2 3 3 2" xfId="9152" xr:uid="{09B8EF5E-4847-41E5-9C66-AC2CCAF7AB31}"/>
    <cellStyle name="Comma 5 2 3 2 3 4" xfId="6503" xr:uid="{B1BE04E7-0218-4AE3-BB2B-3D42F099BA80}"/>
    <cellStyle name="Comma 5 2 3 2 4" xfId="2142" xr:uid="{5DC3A15D-CA56-46BD-A916-3DEA974C7385}"/>
    <cellStyle name="Comma 5 2 3 2 4 2" xfId="4791" xr:uid="{F5CE6CD9-405E-4B59-8990-84B8F24AF72B}"/>
    <cellStyle name="Comma 5 2 3 2 4 2 2" xfId="10088" xr:uid="{2D295A17-B751-4C39-BE14-7583A47F1D48}"/>
    <cellStyle name="Comma 5 2 3 2 4 3" xfId="7439" xr:uid="{F909033B-77BC-48A0-8DC3-D966B5F181E0}"/>
    <cellStyle name="Comma 5 2 3 2 5" xfId="3467" xr:uid="{2935AD16-61F3-49E0-AF6A-E09DBDAA69EE}"/>
    <cellStyle name="Comma 5 2 3 2 5 2" xfId="8764" xr:uid="{0142E42F-61FC-426A-A8F8-430D617E1D86}"/>
    <cellStyle name="Comma 5 2 3 2 6" xfId="6115" xr:uid="{FAAAF3F8-4F45-483B-A921-542D758E26AA}"/>
    <cellStyle name="Comma 5 2 3 3" xfId="1043" xr:uid="{68B7583E-6CC0-4D42-9DD7-7EB92EB63E92}"/>
    <cellStyle name="Comma 5 2 3 3 2" xfId="1586" xr:uid="{3B5019EC-8559-41BD-9E09-E2B5FDC675AD}"/>
    <cellStyle name="Comma 5 2 3 3 2 2" xfId="2926" xr:uid="{2E88FFF9-3928-4D00-8B35-B5A5D0AC397C}"/>
    <cellStyle name="Comma 5 2 3 3 2 2 2" xfId="5575" xr:uid="{A043B387-C128-49FE-B722-AB3ED5EACEE1}"/>
    <cellStyle name="Comma 5 2 3 3 2 2 2 2" xfId="10872" xr:uid="{D16593CB-42BF-425D-B3D2-A7983EB8F930}"/>
    <cellStyle name="Comma 5 2 3 3 2 2 3" xfId="8223" xr:uid="{1C138FBB-4714-4C25-AEB0-CE164E1C664B}"/>
    <cellStyle name="Comma 5 2 3 3 2 3" xfId="4251" xr:uid="{C2FAA985-550F-4275-852B-8B9E5FA8313C}"/>
    <cellStyle name="Comma 5 2 3 3 2 3 2" xfId="9548" xr:uid="{525E248A-4676-4DAF-AE2A-A993342BAAC4}"/>
    <cellStyle name="Comma 5 2 3 3 2 4" xfId="6899" xr:uid="{3A1F73A3-646D-49FC-BDE6-960068D63085}"/>
    <cellStyle name="Comma 5 2 3 3 3" xfId="2398" xr:uid="{C051D55D-DDDF-49D8-B5CF-4B3289C8AAB9}"/>
    <cellStyle name="Comma 5 2 3 3 3 2" xfId="5047" xr:uid="{98497CC0-9662-456C-9D91-4FCE206346AA}"/>
    <cellStyle name="Comma 5 2 3 3 3 2 2" xfId="10344" xr:uid="{35988001-2E7E-43F5-82E6-129C140EDCBB}"/>
    <cellStyle name="Comma 5 2 3 3 3 3" xfId="7695" xr:uid="{1A045BE0-7E4E-49D7-A2A1-1F9BC5F7E0E4}"/>
    <cellStyle name="Comma 5 2 3 3 4" xfId="3723" xr:uid="{B3E86F97-44D8-49D8-9D2B-B17836793CF8}"/>
    <cellStyle name="Comma 5 2 3 3 4 2" xfId="9020" xr:uid="{7EEAEDD2-A3FA-45CA-AE96-E546947600FE}"/>
    <cellStyle name="Comma 5 2 3 3 5" xfId="6371" xr:uid="{D68BD1DF-A324-470D-9E8B-C78D07A01993}"/>
    <cellStyle name="Comma 5 2 3 4" xfId="1322" xr:uid="{3C0025E4-B2D2-463B-972A-447CAEAB6FEA}"/>
    <cellStyle name="Comma 5 2 3 4 2" xfId="1850" xr:uid="{71D044F1-4E78-4E41-B1DD-BA7B5A38AA8E}"/>
    <cellStyle name="Comma 5 2 3 4 2 2" xfId="3190" xr:uid="{0B24F6B0-887E-49B7-AD82-26D13FCD6D70}"/>
    <cellStyle name="Comma 5 2 3 4 2 2 2" xfId="5839" xr:uid="{E87A471C-D47B-4644-BBE5-1E6C774B985F}"/>
    <cellStyle name="Comma 5 2 3 4 2 2 2 2" xfId="11136" xr:uid="{223F5E7D-C8AC-4811-8B97-542972A242E3}"/>
    <cellStyle name="Comma 5 2 3 4 2 2 3" xfId="8487" xr:uid="{3ED1EB00-FF1F-4E0B-A426-271E6125D027}"/>
    <cellStyle name="Comma 5 2 3 4 2 3" xfId="4515" xr:uid="{3CE45DD2-BAE1-44D7-AC04-D994415016D2}"/>
    <cellStyle name="Comma 5 2 3 4 2 3 2" xfId="9812" xr:uid="{99A2CA21-C2B6-4991-9455-539463C3A926}"/>
    <cellStyle name="Comma 5 2 3 4 2 4" xfId="7163" xr:uid="{0C07E430-1738-4D55-B568-8D8F7F9E1E85}"/>
    <cellStyle name="Comma 5 2 3 4 3" xfId="2662" xr:uid="{684026EF-7CF3-43CF-95BA-7D49B15BBE68}"/>
    <cellStyle name="Comma 5 2 3 4 3 2" xfId="5311" xr:uid="{555EF302-6ADC-4B82-AAB9-94191578497B}"/>
    <cellStyle name="Comma 5 2 3 4 3 2 2" xfId="10608" xr:uid="{BA42AF1A-D995-4129-936B-CB1A04EF104A}"/>
    <cellStyle name="Comma 5 2 3 4 3 3" xfId="7959" xr:uid="{54F4E627-F322-4993-954D-E95779B6B02F}"/>
    <cellStyle name="Comma 5 2 3 4 4" xfId="3987" xr:uid="{9634CED2-2DC6-4DCB-9780-ECF6E8F5D5A4}"/>
    <cellStyle name="Comma 5 2 3 4 4 2" xfId="9284" xr:uid="{2E559D13-29D3-48C0-B6EA-060F3F805C25}"/>
    <cellStyle name="Comma 5 2 3 4 5" xfId="6635" xr:uid="{F7DE1070-008D-4AAB-9C63-AA3667AEEFFD}"/>
    <cellStyle name="Comma 5 2 3 5" xfId="1454" xr:uid="{EA638D37-93B3-461F-B0A2-43A7A8D2F433}"/>
    <cellStyle name="Comma 5 2 3 5 2" xfId="1982" xr:uid="{27B47719-2483-4028-913C-C10982754060}"/>
    <cellStyle name="Comma 5 2 3 5 2 2" xfId="3322" xr:uid="{FAD1F30B-1FA1-485F-818F-E28E1CCCE27C}"/>
    <cellStyle name="Comma 5 2 3 5 2 2 2" xfId="5971" xr:uid="{C2402314-0E78-4908-B75F-7093BFC5AD0E}"/>
    <cellStyle name="Comma 5 2 3 5 2 2 2 2" xfId="11268" xr:uid="{2B083CDF-79BB-4926-8DF8-5F45F56FCF47}"/>
    <cellStyle name="Comma 5 2 3 5 2 2 3" xfId="8619" xr:uid="{0FE5C39D-38CD-4FBF-8A18-E4900951007E}"/>
    <cellStyle name="Comma 5 2 3 5 2 3" xfId="4647" xr:uid="{1AA8EBFE-84E8-482E-A392-AEC17FD6BA77}"/>
    <cellStyle name="Comma 5 2 3 5 2 3 2" xfId="9944" xr:uid="{188027E9-691A-427A-B85D-DFAB1B3A481D}"/>
    <cellStyle name="Comma 5 2 3 5 2 4" xfId="7295" xr:uid="{32FFA1EB-F6B9-4B41-9FB9-65383AD81BC9}"/>
    <cellStyle name="Comma 5 2 3 5 3" xfId="2794" xr:uid="{96807AB9-9EA6-4D59-AA01-B4965A6BD5BB}"/>
    <cellStyle name="Comma 5 2 3 5 3 2" xfId="5443" xr:uid="{82EA751B-ED1B-4F33-B15F-A064B9C8D165}"/>
    <cellStyle name="Comma 5 2 3 5 3 2 2" xfId="10740" xr:uid="{57B12F0F-A68F-43A3-8898-84021CD78AFF}"/>
    <cellStyle name="Comma 5 2 3 5 3 3" xfId="8091" xr:uid="{AC05AAD9-CED2-45B0-92A2-C510DE1488DB}"/>
    <cellStyle name="Comma 5 2 3 5 4" xfId="4119" xr:uid="{255C759E-4BB3-4AF5-8BCF-E254C4DAD379}"/>
    <cellStyle name="Comma 5 2 3 5 4 2" xfId="9416" xr:uid="{E118BAD3-B4CB-46EB-A41E-4F38C92F2005}"/>
    <cellStyle name="Comma 5 2 3 5 5" xfId="6767" xr:uid="{9EF0A4E9-0CFC-40A9-B284-E9736E3DB523}"/>
    <cellStyle name="Comma 5 2 3 6" xfId="2075" xr:uid="{0D0589B4-7742-4C2C-9214-D271891FF325}"/>
    <cellStyle name="Comma 5 2 3 6 2" xfId="4724" xr:uid="{DE980AFB-1ABE-432B-B4F6-31443A1E70D7}"/>
    <cellStyle name="Comma 5 2 3 6 2 2" xfId="10021" xr:uid="{5CE4B107-6516-407E-A58A-15A4CDAFF4BE}"/>
    <cellStyle name="Comma 5 2 3 6 3" xfId="7372" xr:uid="{779A8D7F-0E85-43EA-9935-840B434710A2}"/>
    <cellStyle name="Comma 5 2 3 7" xfId="3400" xr:uid="{7D1B948C-C1A2-44BD-99AC-5D82FBC2CE56}"/>
    <cellStyle name="Comma 5 2 3 7 2" xfId="8697" xr:uid="{F9EC5E26-FD42-46B9-950D-650B224E4D2E}"/>
    <cellStyle name="Comma 5 2 3 8" xfId="6048" xr:uid="{D2E5E9B8-ACF0-47DF-8691-266E73E95BF7}"/>
    <cellStyle name="Comma 5 2 4" xfId="167" xr:uid="{A4B86315-F33C-41A0-AB19-3B21770D9A23}"/>
    <cellStyle name="Comma 5 2 4 2" xfId="399" xr:uid="{1ACE25EA-7D7E-4DA7-B99A-19F2EF5B0E18}"/>
    <cellStyle name="Comma 5 2 4 2 2" xfId="1693" xr:uid="{997BAE30-0956-480B-9FC6-061E6E754528}"/>
    <cellStyle name="Comma 5 2 4 2 2 2" xfId="3033" xr:uid="{41903A35-7FE5-4808-B8B3-D5765AFF8276}"/>
    <cellStyle name="Comma 5 2 4 2 2 2 2" xfId="5682" xr:uid="{6677727D-8E10-4289-8978-766904DB13C9}"/>
    <cellStyle name="Comma 5 2 4 2 2 2 2 2" xfId="10979" xr:uid="{2475DED3-2392-4099-8E02-57003D10D54A}"/>
    <cellStyle name="Comma 5 2 4 2 2 2 3" xfId="8330" xr:uid="{14805037-D373-4A48-B22C-4AEA851531ED}"/>
    <cellStyle name="Comma 5 2 4 2 2 3" xfId="4358" xr:uid="{236F0CE8-A5D1-43C2-B524-829279BD936D}"/>
    <cellStyle name="Comma 5 2 4 2 2 3 2" xfId="9655" xr:uid="{10B09245-87C1-4C9F-9FCF-F154649C2B0C}"/>
    <cellStyle name="Comma 5 2 4 2 2 4" xfId="7006" xr:uid="{33F22ACC-FAF3-4BED-B159-40966FBDE827}"/>
    <cellStyle name="Comma 5 2 4 2 3" xfId="1161" xr:uid="{85723724-4448-426A-8F5B-79A5785AC649}"/>
    <cellStyle name="Comma 5 2 4 2 3 2" xfId="2505" xr:uid="{9DAD81AE-F022-415F-8001-3BBB1F7CDA92}"/>
    <cellStyle name="Comma 5 2 4 2 3 2 2" xfId="5154" xr:uid="{3AE0B483-44A7-4AB4-B489-7B9B709A4E80}"/>
    <cellStyle name="Comma 5 2 4 2 3 2 2 2" xfId="10451" xr:uid="{2681CB34-79DB-4379-8E48-87480EB27917}"/>
    <cellStyle name="Comma 5 2 4 2 3 2 3" xfId="7802" xr:uid="{32261DB0-0430-40DD-97D9-4A0F0E351779}"/>
    <cellStyle name="Comma 5 2 4 2 3 3" xfId="3830" xr:uid="{DBC2C5A1-47E4-401F-B8A4-0DE2ADBD6252}"/>
    <cellStyle name="Comma 5 2 4 2 3 3 2" xfId="9127" xr:uid="{868DD8F6-94E6-4D1D-BAAC-B88E3964F225}"/>
    <cellStyle name="Comma 5 2 4 2 3 4" xfId="6478" xr:uid="{41C5FF11-5CB0-431B-9B84-113988CE422E}"/>
    <cellStyle name="Comma 5 2 4 2 4" xfId="2155" xr:uid="{DD53E955-58F7-4709-950D-A895E6D8C7BF}"/>
    <cellStyle name="Comma 5 2 4 2 4 2" xfId="4804" xr:uid="{94A306C3-30CC-42AC-B794-D384CCEF9F5F}"/>
    <cellStyle name="Comma 5 2 4 2 4 2 2" xfId="10101" xr:uid="{12B3EF3C-3C69-41C8-B788-B94845C0E2BC}"/>
    <cellStyle name="Comma 5 2 4 2 4 3" xfId="7452" xr:uid="{CC5CA319-6FFF-4958-946C-B56753DF93FC}"/>
    <cellStyle name="Comma 5 2 4 2 5" xfId="3480" xr:uid="{763594B3-9FC1-4637-B8E0-C9EFB363AF77}"/>
    <cellStyle name="Comma 5 2 4 2 5 2" xfId="8777" xr:uid="{172EC426-EB33-4576-AD08-7F96954B4FDF}"/>
    <cellStyle name="Comma 5 2 4 2 6" xfId="6128" xr:uid="{8AAEC97B-AC54-4610-BB2B-1CAF81867852}"/>
    <cellStyle name="Comma 5 2 4 3" xfId="1017" xr:uid="{7AA9DD39-0553-46C5-86E0-4A9903F23641}"/>
    <cellStyle name="Comma 5 2 4 3 2" xfId="1561" xr:uid="{D2BA705B-88D4-4693-8CC3-523BDE134A1E}"/>
    <cellStyle name="Comma 5 2 4 3 2 2" xfId="2901" xr:uid="{69EE978E-846E-48DB-8D3C-E7B70F5D659D}"/>
    <cellStyle name="Comma 5 2 4 3 2 2 2" xfId="5550" xr:uid="{8373838E-8F9C-43BB-909C-1E78EC6A555F}"/>
    <cellStyle name="Comma 5 2 4 3 2 2 2 2" xfId="10847" xr:uid="{FEAD3C40-9670-440A-B3BD-1153ACB54B8E}"/>
    <cellStyle name="Comma 5 2 4 3 2 2 3" xfId="8198" xr:uid="{76363762-87E6-4B48-86C2-1016EF20DC40}"/>
    <cellStyle name="Comma 5 2 4 3 2 3" xfId="4226" xr:uid="{4ED935E6-AF7D-419F-A1E7-FAB0ABE8CF7A}"/>
    <cellStyle name="Comma 5 2 4 3 2 3 2" xfId="9523" xr:uid="{F51BACB7-7C64-4562-8354-F4216D820A93}"/>
    <cellStyle name="Comma 5 2 4 3 2 4" xfId="6874" xr:uid="{B6B1FF11-E9D9-4D19-B6B4-B2500CC1CA1C}"/>
    <cellStyle name="Comma 5 2 4 3 3" xfId="2373" xr:uid="{26C1F7FF-5097-4F77-8A93-DB5C4EBBE515}"/>
    <cellStyle name="Comma 5 2 4 3 3 2" xfId="5022" xr:uid="{75D13762-38F0-427C-B93B-2255A9968A53}"/>
    <cellStyle name="Comma 5 2 4 3 3 2 2" xfId="10319" xr:uid="{C938942B-5618-490F-8DEF-5655DF4CE773}"/>
    <cellStyle name="Comma 5 2 4 3 3 3" xfId="7670" xr:uid="{6EAF2B3B-D2B8-48AE-A145-0EDE6723A181}"/>
    <cellStyle name="Comma 5 2 4 3 4" xfId="3698" xr:uid="{48EE3C02-88EE-4C42-B7E4-93A69DEB36EA}"/>
    <cellStyle name="Comma 5 2 4 3 4 2" xfId="8995" xr:uid="{794BFC91-29EB-4C75-982B-BF6AC4EDE578}"/>
    <cellStyle name="Comma 5 2 4 3 5" xfId="6346" xr:uid="{0B7A8BD9-19F3-4221-968E-9C6F692200BB}"/>
    <cellStyle name="Comma 5 2 4 4" xfId="1297" xr:uid="{147CC8A9-5243-4550-9686-0DA84657D6D1}"/>
    <cellStyle name="Comma 5 2 4 4 2" xfId="1825" xr:uid="{28217E7F-D804-4629-89AC-238012F0B3C4}"/>
    <cellStyle name="Comma 5 2 4 4 2 2" xfId="3165" xr:uid="{D17B727E-C67D-47AE-BD42-E1AC8A4142CA}"/>
    <cellStyle name="Comma 5 2 4 4 2 2 2" xfId="5814" xr:uid="{4B9E20E7-2BDB-4A27-AD75-A1E6EEE57875}"/>
    <cellStyle name="Comma 5 2 4 4 2 2 2 2" xfId="11111" xr:uid="{B39AA322-60DD-413E-8B91-9C17AE337D64}"/>
    <cellStyle name="Comma 5 2 4 4 2 2 3" xfId="8462" xr:uid="{62ADECF8-A038-4540-8C7E-E3F2DED8FCAB}"/>
    <cellStyle name="Comma 5 2 4 4 2 3" xfId="4490" xr:uid="{A28B50D1-C7DC-410B-9EEC-22088FE117CA}"/>
    <cellStyle name="Comma 5 2 4 4 2 3 2" xfId="9787" xr:uid="{9D25B480-5376-4813-A64E-8136BB767C94}"/>
    <cellStyle name="Comma 5 2 4 4 2 4" xfId="7138" xr:uid="{26676ED7-731C-4BDF-8D87-DF86E104257D}"/>
    <cellStyle name="Comma 5 2 4 4 3" xfId="2637" xr:uid="{C618A1D0-32D5-410C-A344-07234C425EDB}"/>
    <cellStyle name="Comma 5 2 4 4 3 2" xfId="5286" xr:uid="{618DE66B-3A3A-447D-948B-F52F33BD78AD}"/>
    <cellStyle name="Comma 5 2 4 4 3 2 2" xfId="10583" xr:uid="{77E9ECC3-97A0-4E6D-8E36-5058AA551822}"/>
    <cellStyle name="Comma 5 2 4 4 3 3" xfId="7934" xr:uid="{C459F1CA-4951-45A8-B096-5402E5FC7A9E}"/>
    <cellStyle name="Comma 5 2 4 4 4" xfId="3962" xr:uid="{8420984E-E08D-4EF0-A48B-AF639BB6BBCC}"/>
    <cellStyle name="Comma 5 2 4 4 4 2" xfId="9259" xr:uid="{0A923EB5-F16C-4FDB-94A4-B34087998218}"/>
    <cellStyle name="Comma 5 2 4 4 5" xfId="6610" xr:uid="{14DE716A-B631-4396-B27B-72A63BEC3A11}"/>
    <cellStyle name="Comma 5 2 4 5" xfId="1429" xr:uid="{2F34C2DF-0ED4-43FE-BB43-3CFACF9E5F78}"/>
    <cellStyle name="Comma 5 2 4 5 2" xfId="1957" xr:uid="{B1F49949-1BF7-4C57-BD66-D66920F5BE6B}"/>
    <cellStyle name="Comma 5 2 4 5 2 2" xfId="3297" xr:uid="{01B05773-3098-4279-B1E6-36DC02C85D28}"/>
    <cellStyle name="Comma 5 2 4 5 2 2 2" xfId="5946" xr:uid="{9A46BEEA-09AF-45EB-966B-F2920A25EA82}"/>
    <cellStyle name="Comma 5 2 4 5 2 2 2 2" xfId="11243" xr:uid="{CF5A2AC5-234F-4591-8051-814E6283C622}"/>
    <cellStyle name="Comma 5 2 4 5 2 2 3" xfId="8594" xr:uid="{AF7FAF1D-EE18-4235-BB81-F7BB5087F5C5}"/>
    <cellStyle name="Comma 5 2 4 5 2 3" xfId="4622" xr:uid="{3C9F6BC1-77C5-4B88-813C-69361FEA36E1}"/>
    <cellStyle name="Comma 5 2 4 5 2 3 2" xfId="9919" xr:uid="{BDA3ED6F-B54C-44A4-940E-E4C07CD85A9C}"/>
    <cellStyle name="Comma 5 2 4 5 2 4" xfId="7270" xr:uid="{354FA943-AF55-4C4F-BF27-BA73BB70D962}"/>
    <cellStyle name="Comma 5 2 4 5 3" xfId="2769" xr:uid="{10F29B11-D9DD-442B-A520-204593E0BAC8}"/>
    <cellStyle name="Comma 5 2 4 5 3 2" xfId="5418" xr:uid="{BC603B4F-FBC7-45AA-8474-82C0CC2EFDF0}"/>
    <cellStyle name="Comma 5 2 4 5 3 2 2" xfId="10715" xr:uid="{6AE38A25-A146-46F6-AA4D-4B0692B6D4AF}"/>
    <cellStyle name="Comma 5 2 4 5 3 3" xfId="8066" xr:uid="{98121578-EEF9-40CB-9D55-B3F1BE2AD558}"/>
    <cellStyle name="Comma 5 2 4 5 4" xfId="4094" xr:uid="{98EE7B86-621D-415D-A061-5F3F48DA9E56}"/>
    <cellStyle name="Comma 5 2 4 5 4 2" xfId="9391" xr:uid="{14895DC5-9127-433F-88DD-DE3F1ECC1988}"/>
    <cellStyle name="Comma 5 2 4 5 5" xfId="6742" xr:uid="{2468EA9F-7365-4676-B59A-6EFFD68C1E70}"/>
    <cellStyle name="Comma 5 2 4 6" xfId="800" xr:uid="{E1D52E51-FFE0-4BAF-BB9C-3A029DB787C2}"/>
    <cellStyle name="Comma 5 2 4 6 2" xfId="2245" xr:uid="{0084ADA1-B037-4524-8C54-FC1731B1F5A5}"/>
    <cellStyle name="Comma 5 2 4 6 2 2" xfId="4894" xr:uid="{5CCE2DB5-490B-47AB-BBFC-2A7057A1B559}"/>
    <cellStyle name="Comma 5 2 4 6 2 2 2" xfId="10191" xr:uid="{37D3AC44-2A62-42CF-B878-5205787A89FC}"/>
    <cellStyle name="Comma 5 2 4 6 2 3" xfId="7542" xr:uid="{196058E5-17F1-4CA5-8285-0F197F50F3B5}"/>
    <cellStyle name="Comma 5 2 4 6 3" xfId="3570" xr:uid="{5A803532-5232-4FEC-BA9C-3AB0CAFBF882}"/>
    <cellStyle name="Comma 5 2 4 6 3 2" xfId="8867" xr:uid="{A11D6616-1A46-403A-96CD-0A1586D03679}"/>
    <cellStyle name="Comma 5 2 4 6 4" xfId="6218" xr:uid="{DB34262C-3B07-447A-A8F2-4854E8D3B4AD}"/>
    <cellStyle name="Comma 5 2 4 7" xfId="2088" xr:uid="{BE14B32C-5BA2-40FD-B916-1C3EA59F8AEE}"/>
    <cellStyle name="Comma 5 2 4 7 2" xfId="4737" xr:uid="{8D1C66BC-EBDC-4F34-B99B-CC42831FF6AB}"/>
    <cellStyle name="Comma 5 2 4 7 2 2" xfId="10034" xr:uid="{F6A291D0-9E6B-456A-BD03-123C4850ED02}"/>
    <cellStyle name="Comma 5 2 4 7 3" xfId="7385" xr:uid="{B0E55203-3B7D-4499-BED8-C5244E2E1B24}"/>
    <cellStyle name="Comma 5 2 4 8" xfId="3413" xr:uid="{CB1FC3C1-72ED-43AF-BB07-82704B320164}"/>
    <cellStyle name="Comma 5 2 4 8 2" xfId="8710" xr:uid="{873939E1-F955-48BC-AA38-A8F1B149C7CA}"/>
    <cellStyle name="Comma 5 2 4 9" xfId="6061" xr:uid="{AC164B3A-0D22-47DB-B467-CB4182B654D3}"/>
    <cellStyle name="Comma 5 2 5" xfId="210" xr:uid="{36FCEDD9-6498-4056-BA34-AE5A4487BDD5}"/>
    <cellStyle name="Comma 5 2 5 2" xfId="442" xr:uid="{EEB0E693-447B-486D-A0AE-6A4B754BCB75}"/>
    <cellStyle name="Comma 5 2 5 2 2" xfId="1632" xr:uid="{DBC5C1FD-6D78-4F48-BE93-F69CE813ED04}"/>
    <cellStyle name="Comma 5 2 5 2 2 2" xfId="2972" xr:uid="{EF7313C0-FB86-4CFC-97B9-EFD0C83D469C}"/>
    <cellStyle name="Comma 5 2 5 2 2 2 2" xfId="5621" xr:uid="{4380BCF2-94B6-4807-B7CC-8B80E4A11699}"/>
    <cellStyle name="Comma 5 2 5 2 2 2 2 2" xfId="10918" xr:uid="{4A5F7B2C-B45D-4501-861A-07DD8DB74533}"/>
    <cellStyle name="Comma 5 2 5 2 2 2 3" xfId="8269" xr:uid="{ECD1718F-20DA-4CCD-83F9-27F73DC44DA3}"/>
    <cellStyle name="Comma 5 2 5 2 2 3" xfId="4297" xr:uid="{DC90B534-9C52-47E1-BBFF-9A1E87DBCC95}"/>
    <cellStyle name="Comma 5 2 5 2 2 3 2" xfId="9594" xr:uid="{8C7EC7CD-1B07-4900-93E9-FAEE9C96828B}"/>
    <cellStyle name="Comma 5 2 5 2 2 4" xfId="6945" xr:uid="{3E475467-3860-486D-8C40-758E5F07B24E}"/>
    <cellStyle name="Comma 5 2 5 2 3" xfId="2167" xr:uid="{96E3A190-F6EF-4EFE-B96F-31415659BAF3}"/>
    <cellStyle name="Comma 5 2 5 2 3 2" xfId="4816" xr:uid="{EBB594FF-9926-43FC-A97E-90450CEDC7F0}"/>
    <cellStyle name="Comma 5 2 5 2 3 2 2" xfId="10113" xr:uid="{BE87CF3E-052F-4967-9C0F-225E48BA3B41}"/>
    <cellStyle name="Comma 5 2 5 2 3 3" xfId="7464" xr:uid="{774E168E-AF7C-402E-B5ED-A28B68C074F9}"/>
    <cellStyle name="Comma 5 2 5 2 4" xfId="3492" xr:uid="{C9267321-85F6-445C-BF48-03F250037EF4}"/>
    <cellStyle name="Comma 5 2 5 2 4 2" xfId="8789" xr:uid="{54FA9415-3B61-426C-A643-DE1FE901FBAD}"/>
    <cellStyle name="Comma 5 2 5 2 5" xfId="6140" xr:uid="{757A6DAA-B1F9-475C-BA5B-1E105A4B2927}"/>
    <cellStyle name="Comma 5 2 5 3" xfId="1094" xr:uid="{B28AC866-C38C-4059-A6F6-D4C2CCB7476E}"/>
    <cellStyle name="Comma 5 2 5 3 2" xfId="2444" xr:uid="{ACD6AB08-8313-45B0-B172-30492E28A8D3}"/>
    <cellStyle name="Comma 5 2 5 3 2 2" xfId="5093" xr:uid="{867C05AC-DC67-4014-B3AC-DE408F4B38DA}"/>
    <cellStyle name="Comma 5 2 5 3 2 2 2" xfId="10390" xr:uid="{970C981F-7B7E-46AE-8925-ECAFF7F046AC}"/>
    <cellStyle name="Comma 5 2 5 3 2 3" xfId="7741" xr:uid="{AB5E9A7F-83C3-467F-A5A8-42521AEFF0A8}"/>
    <cellStyle name="Comma 5 2 5 3 3" xfId="3769" xr:uid="{6B3EE2EF-F840-44A3-887D-457EA7F950B8}"/>
    <cellStyle name="Comma 5 2 5 3 3 2" xfId="9066" xr:uid="{42E637AF-14BF-41C5-BA37-4DA8C1F7B163}"/>
    <cellStyle name="Comma 5 2 5 3 4" xfId="6417" xr:uid="{02EFB168-E06F-4D6C-84DE-6CBDDC088F98}"/>
    <cellStyle name="Comma 5 2 5 4" xfId="2100" xr:uid="{66CC98DA-89B2-40FC-8099-CBDB1BD51FD8}"/>
    <cellStyle name="Comma 5 2 5 4 2" xfId="4749" xr:uid="{E7A4F234-C014-46A0-BCED-A4F7E634EAFD}"/>
    <cellStyle name="Comma 5 2 5 4 2 2" xfId="10046" xr:uid="{4574A240-107E-4B13-8004-E1818E44FDED}"/>
    <cellStyle name="Comma 5 2 5 4 3" xfId="7397" xr:uid="{0F1AF9FF-9F08-432B-9446-C2EDB155FDAA}"/>
    <cellStyle name="Comma 5 2 5 5" xfId="3425" xr:uid="{31C1BC28-F34E-4B9E-882F-E70EE0E015E4}"/>
    <cellStyle name="Comma 5 2 5 5 2" xfId="8722" xr:uid="{934B1F54-CE39-47C8-AC5A-AAAC851C83B6}"/>
    <cellStyle name="Comma 5 2 5 6" xfId="6073" xr:uid="{3022FE4B-CBE3-44E4-8779-EE9B2AACC88A}"/>
    <cellStyle name="Comma 5 2 6" xfId="267" xr:uid="{1751C81A-C13F-429F-A257-746A9CB32039}"/>
    <cellStyle name="Comma 5 2 6 2" xfId="1500" xr:uid="{F8EE93CB-91E9-429F-9196-D666D9F88D3D}"/>
    <cellStyle name="Comma 5 2 6 2 2" xfId="2840" xr:uid="{1E356B03-905D-4BF5-9339-FD3E23744908}"/>
    <cellStyle name="Comma 5 2 6 2 2 2" xfId="5489" xr:uid="{1A2DEF96-CF32-45A5-A328-A632C72FEAE0}"/>
    <cellStyle name="Comma 5 2 6 2 2 2 2" xfId="10786" xr:uid="{614DD177-D9F0-4F53-9B06-8C556189DE35}"/>
    <cellStyle name="Comma 5 2 6 2 2 3" xfId="8137" xr:uid="{2C9DE332-4F5C-4D0F-960E-DD42A7DBDE9D}"/>
    <cellStyle name="Comma 5 2 6 2 3" xfId="4165" xr:uid="{3E7BFF03-14B7-43D0-BB73-FB633E9588BC}"/>
    <cellStyle name="Comma 5 2 6 2 3 2" xfId="9462" xr:uid="{493D254C-7404-462F-B8FE-91B243E4C601}"/>
    <cellStyle name="Comma 5 2 6 2 4" xfId="6813" xr:uid="{0DF1645E-FE43-4475-8AE7-8D95455CA4F5}"/>
    <cellStyle name="Comma 5 2 6 3" xfId="947" xr:uid="{7984DA8D-1BEE-40ED-9386-B0E0B97D3F66}"/>
    <cellStyle name="Comma 5 2 6 3 2" xfId="2312" xr:uid="{78FB50B5-1103-4D53-A3F8-7535DBA76FEF}"/>
    <cellStyle name="Comma 5 2 6 3 2 2" xfId="4961" xr:uid="{045F4A7C-7F9D-4446-8764-36DBD15A51BF}"/>
    <cellStyle name="Comma 5 2 6 3 2 2 2" xfId="10258" xr:uid="{7E1A70CF-9A8C-41CC-B7B6-49967AD3F4F2}"/>
    <cellStyle name="Comma 5 2 6 3 2 3" xfId="7609" xr:uid="{18AC7FAB-06DD-4CE1-AA5A-491C0E7DB1F2}"/>
    <cellStyle name="Comma 5 2 6 3 3" xfId="3637" xr:uid="{A76E08A8-A120-4835-9C24-22B84594B6D2}"/>
    <cellStyle name="Comma 5 2 6 3 3 2" xfId="8934" xr:uid="{72BA1907-1BBB-4616-A136-49C95BFEAC3C}"/>
    <cellStyle name="Comma 5 2 6 3 4" xfId="6285" xr:uid="{C06D158D-8CC2-470A-A58F-378A07622414}"/>
    <cellStyle name="Comma 5 2 6 4" xfId="2118" xr:uid="{DE754E33-7984-4A8C-8412-42D831B18F27}"/>
    <cellStyle name="Comma 5 2 6 4 2" xfId="4767" xr:uid="{A692D5DE-8D48-4BC9-A29B-F19D0C496F0A}"/>
    <cellStyle name="Comma 5 2 6 4 2 2" xfId="10064" xr:uid="{7355A7B7-65C1-45EC-8FC7-26B350C3AFFC}"/>
    <cellStyle name="Comma 5 2 6 4 3" xfId="7415" xr:uid="{5A428556-CBD7-4356-BDBA-1B5E655B283D}"/>
    <cellStyle name="Comma 5 2 6 5" xfId="3443" xr:uid="{2DECC4B0-2584-4213-B56A-A25AF6BB5896}"/>
    <cellStyle name="Comma 5 2 6 5 2" xfId="8740" xr:uid="{2231ABED-169B-4AA1-AF9D-D5C076024EC4}"/>
    <cellStyle name="Comma 5 2 6 6" xfId="6091" xr:uid="{5D1EBE0A-315B-4FDF-B05F-904C05468342}"/>
    <cellStyle name="Comma 5 2 7" xfId="1236" xr:uid="{08F19B0A-E990-4A38-B1D0-672FAF11A293}"/>
    <cellStyle name="Comma 5 2 7 2" xfId="1764" xr:uid="{E3054B17-DE8E-47E7-A10D-F1755241FFAB}"/>
    <cellStyle name="Comma 5 2 7 2 2" xfId="3104" xr:uid="{6C232AA9-007E-4124-9300-B2CB94B78EDB}"/>
    <cellStyle name="Comma 5 2 7 2 2 2" xfId="5753" xr:uid="{9EAEC348-284C-44AA-A186-39590F1E0FD2}"/>
    <cellStyle name="Comma 5 2 7 2 2 2 2" xfId="11050" xr:uid="{4C6C6A02-7D7A-4447-99EF-C9A86F7CCCB4}"/>
    <cellStyle name="Comma 5 2 7 2 2 3" xfId="8401" xr:uid="{CC2701DF-E81D-4B42-97FF-DBE289D27E77}"/>
    <cellStyle name="Comma 5 2 7 2 3" xfId="4429" xr:uid="{2925B172-3A58-4850-9A41-BEE97535DAB5}"/>
    <cellStyle name="Comma 5 2 7 2 3 2" xfId="9726" xr:uid="{B63F13FD-17F4-4732-A1B8-B2DB8B1DE1FD}"/>
    <cellStyle name="Comma 5 2 7 2 4" xfId="7077" xr:uid="{7FD701CA-2648-4C5A-8363-18E4398F08CC}"/>
    <cellStyle name="Comma 5 2 7 3" xfId="2576" xr:uid="{FFB98AA3-602C-434F-8B2A-85CDB5148A77}"/>
    <cellStyle name="Comma 5 2 7 3 2" xfId="5225" xr:uid="{68FEE073-A750-44DA-9424-A276E973E922}"/>
    <cellStyle name="Comma 5 2 7 3 2 2" xfId="10522" xr:uid="{E5962F23-7636-472B-A9B7-67983A10229C}"/>
    <cellStyle name="Comma 5 2 7 3 3" xfId="7873" xr:uid="{B2773071-B5FF-4271-8933-EB2ACDD89D38}"/>
    <cellStyle name="Comma 5 2 7 4" xfId="3901" xr:uid="{A46F1361-709D-4340-84C9-BCC0F125EFDF}"/>
    <cellStyle name="Comma 5 2 7 4 2" xfId="9198" xr:uid="{367B33E2-B695-4DD5-8885-BC32FC1D955E}"/>
    <cellStyle name="Comma 5 2 7 5" xfId="6549" xr:uid="{102248EB-EFFE-4414-AEEB-9DC97DDCC0C3}"/>
    <cellStyle name="Comma 5 2 8" xfId="1368" xr:uid="{8F96095C-42EC-4895-A649-10722D1B79F9}"/>
    <cellStyle name="Comma 5 2 8 2" xfId="1896" xr:uid="{F5861758-A68B-4F23-9F2A-929A8F4E89B5}"/>
    <cellStyle name="Comma 5 2 8 2 2" xfId="3236" xr:uid="{DD74C2FB-41ED-4E84-A6E3-2617C05CA36F}"/>
    <cellStyle name="Comma 5 2 8 2 2 2" xfId="5885" xr:uid="{7D44311D-D88D-4F5C-86A9-C622F4D3614E}"/>
    <cellStyle name="Comma 5 2 8 2 2 2 2" xfId="11182" xr:uid="{44A45D18-E59D-422B-8657-ABE8A9606F7C}"/>
    <cellStyle name="Comma 5 2 8 2 2 3" xfId="8533" xr:uid="{125659C2-671A-4DB8-AA41-331EBF844945}"/>
    <cellStyle name="Comma 5 2 8 2 3" xfId="4561" xr:uid="{88AAC17C-863C-4AA3-8B85-4BD715818828}"/>
    <cellStyle name="Comma 5 2 8 2 3 2" xfId="9858" xr:uid="{6A3EC708-6DE1-48B2-B830-80EFEEF22FE3}"/>
    <cellStyle name="Comma 5 2 8 2 4" xfId="7209" xr:uid="{13197738-C611-46BA-BF74-7B6F513160D6}"/>
    <cellStyle name="Comma 5 2 8 3" xfId="2708" xr:uid="{B43D6C26-D680-4592-AC97-66CADADD8B8A}"/>
    <cellStyle name="Comma 5 2 8 3 2" xfId="5357" xr:uid="{9AFA576B-0534-418C-81EF-90D5DDE2B596}"/>
    <cellStyle name="Comma 5 2 8 3 2 2" xfId="10654" xr:uid="{112BD270-F31C-4F39-B512-81FF2A8835D6}"/>
    <cellStyle name="Comma 5 2 8 3 3" xfId="8005" xr:uid="{11EE6AFC-9636-40DA-8589-1E1F8DA76ECC}"/>
    <cellStyle name="Comma 5 2 8 4" xfId="4033" xr:uid="{3313DCEB-08F2-46B4-8B85-6245B2E4484E}"/>
    <cellStyle name="Comma 5 2 8 4 2" xfId="9330" xr:uid="{B68E1996-0384-4DF6-9881-531ABA1C0A13}"/>
    <cellStyle name="Comma 5 2 8 5" xfId="6681" xr:uid="{DC2FB541-1052-4425-8940-AB2E74D51BB0}"/>
    <cellStyle name="Comma 5 2 9" xfId="2028" xr:uid="{8AB9CA90-B9C3-4705-AA78-9709D8BB6896}"/>
    <cellStyle name="Comma 5 2 9 2" xfId="3363" xr:uid="{7A863105-43E5-4808-AA16-33BF53EE9882}"/>
    <cellStyle name="Comma 5 2 9 2 2" xfId="6012" xr:uid="{CFDC8EC8-DD5F-4948-A5E1-7E2A1F839F66}"/>
    <cellStyle name="Comma 5 2 9 2 2 2" xfId="11309" xr:uid="{519DB8C8-6214-4C98-98D7-7BE1D9277057}"/>
    <cellStyle name="Comma 5 2 9 2 3" xfId="8660" xr:uid="{32F9B8C6-7DE7-405F-ADC2-A83B5A25A29B}"/>
    <cellStyle name="Comma 5 2 9 3" xfId="4688" xr:uid="{F3F6EE2E-2990-4DEF-A96E-291BDA405463}"/>
    <cellStyle name="Comma 5 2 9 3 2" xfId="9985" xr:uid="{2D628F70-8194-4848-9DA8-BA46069C9744}"/>
    <cellStyle name="Comma 5 2 9 4" xfId="7336" xr:uid="{24996BC5-D9A8-4EE2-8573-E38100F162E1}"/>
    <cellStyle name="Comma 5 3" xfId="59" xr:uid="{70B9F9B6-3DC0-4A92-BCFA-C24D0D7B0969}"/>
    <cellStyle name="Comma 5 3 10" xfId="3383" xr:uid="{BBC68EF4-DDB4-415A-9E7A-18FF2BF3C98F}"/>
    <cellStyle name="Comma 5 3 10 2" xfId="8680" xr:uid="{B2607849-F6E3-4813-A480-8DE0AF3A4F18}"/>
    <cellStyle name="Comma 5 3 11" xfId="6031" xr:uid="{83008AF4-0AC5-4FCB-BB30-231F6F5E2B6C}"/>
    <cellStyle name="Comma 5 3 2" xfId="291" xr:uid="{120D818E-233D-4943-9A0C-DB64B50E47B5}"/>
    <cellStyle name="Comma 5 3 2 2" xfId="1212" xr:uid="{4F6005E3-62E2-4A3F-9F3E-CD48428A8D15}"/>
    <cellStyle name="Comma 5 3 2 2 2" xfId="1740" xr:uid="{9FC77860-6D11-43B5-B981-6CF90FBBA22B}"/>
    <cellStyle name="Comma 5 3 2 2 2 2" xfId="3080" xr:uid="{071D6B9A-BAFF-43D1-B1BC-399BA7104E64}"/>
    <cellStyle name="Comma 5 3 2 2 2 2 2" xfId="5729" xr:uid="{00161DAF-4500-46A0-99BA-829906475343}"/>
    <cellStyle name="Comma 5 3 2 2 2 2 2 2" xfId="11026" xr:uid="{0EC8D85E-D971-455B-A7D4-E9DBB8FDCBE9}"/>
    <cellStyle name="Comma 5 3 2 2 2 2 3" xfId="8377" xr:uid="{BDFD5752-BA43-4CF1-9DA0-BE9E2DEB71B8}"/>
    <cellStyle name="Comma 5 3 2 2 2 3" xfId="4405" xr:uid="{F5740BA9-30A6-4E3F-9532-9FC1CE169C61}"/>
    <cellStyle name="Comma 5 3 2 2 2 3 2" xfId="9702" xr:uid="{2285D5EC-FC7C-4FF7-A396-5B36A43462A3}"/>
    <cellStyle name="Comma 5 3 2 2 2 4" xfId="7053" xr:uid="{D94DD4E1-083A-4456-9E34-A98624FFCBC8}"/>
    <cellStyle name="Comma 5 3 2 2 3" xfId="2552" xr:uid="{B715E8A4-9DDD-49B6-8AD6-61D505229200}"/>
    <cellStyle name="Comma 5 3 2 2 3 2" xfId="5201" xr:uid="{36EB501B-754B-4F7C-88B0-AAF1187927D1}"/>
    <cellStyle name="Comma 5 3 2 2 3 2 2" xfId="10498" xr:uid="{6A617ABE-A40C-4ACA-B231-B0CA8ED041EC}"/>
    <cellStyle name="Comma 5 3 2 2 3 3" xfId="7849" xr:uid="{9E3240D7-2E65-4724-8D12-8D76121853EA}"/>
    <cellStyle name="Comma 5 3 2 2 4" xfId="3877" xr:uid="{B13AFDC3-79D6-44F8-98A4-CDEF96ABEC5C}"/>
    <cellStyle name="Comma 5 3 2 2 4 2" xfId="9174" xr:uid="{E4F02CDA-456B-4984-BA0B-56017D34F1D7}"/>
    <cellStyle name="Comma 5 3 2 2 5" xfId="6525" xr:uid="{EE438333-31EB-4D7B-A4AC-7A4CCCF921F9}"/>
    <cellStyle name="Comma 5 3 2 3" xfId="1069" xr:uid="{200A508F-6217-45F2-9CDC-78E44D32EFD4}"/>
    <cellStyle name="Comma 5 3 2 3 2" xfId="1608" xr:uid="{04D23B49-A09B-44D4-B12F-A6740A9327AE}"/>
    <cellStyle name="Comma 5 3 2 3 2 2" xfId="2948" xr:uid="{11308210-D11B-49F6-8281-00322BDB6AD7}"/>
    <cellStyle name="Comma 5 3 2 3 2 2 2" xfId="5597" xr:uid="{0886F6E3-D19C-4171-869A-8FFDA5E70E7A}"/>
    <cellStyle name="Comma 5 3 2 3 2 2 2 2" xfId="10894" xr:uid="{D89A2F8C-88C0-469F-94C2-B37F6EC0A039}"/>
    <cellStyle name="Comma 5 3 2 3 2 2 3" xfId="8245" xr:uid="{B593F3C4-AA6A-4F27-BFD1-ECD22F2CB889}"/>
    <cellStyle name="Comma 5 3 2 3 2 3" xfId="4273" xr:uid="{5527C42B-7769-4C08-9E8B-A208BB33F674}"/>
    <cellStyle name="Comma 5 3 2 3 2 3 2" xfId="9570" xr:uid="{9203A9DA-80BC-4E58-AECC-4BE002E13D07}"/>
    <cellStyle name="Comma 5 3 2 3 2 4" xfId="6921" xr:uid="{B20DED72-17BC-4AC1-9CEE-2BF0B82D0FD4}"/>
    <cellStyle name="Comma 5 3 2 3 3" xfId="2420" xr:uid="{CA05D65E-FE70-4966-8DDE-83000363ADA1}"/>
    <cellStyle name="Comma 5 3 2 3 3 2" xfId="5069" xr:uid="{8EF6AE41-5784-4C6E-B2F4-A42D63A39CB6}"/>
    <cellStyle name="Comma 5 3 2 3 3 2 2" xfId="10366" xr:uid="{4BA9BEF3-6410-4BED-BDE6-B4721D2FD77E}"/>
    <cellStyle name="Comma 5 3 2 3 3 3" xfId="7717" xr:uid="{4E667532-8DAD-42B4-8D3A-C3D28C4C1B25}"/>
    <cellStyle name="Comma 5 3 2 3 4" xfId="3745" xr:uid="{4F98321E-A6E0-402D-A1F9-F88293F1817C}"/>
    <cellStyle name="Comma 5 3 2 3 4 2" xfId="9042" xr:uid="{FDE1D712-2175-4633-8F72-B9F75CDB0934}"/>
    <cellStyle name="Comma 5 3 2 3 5" xfId="6393" xr:uid="{1DA081F0-F992-4CE4-8F1E-F73961268E4A}"/>
    <cellStyle name="Comma 5 3 2 4" xfId="1344" xr:uid="{EAE56B81-3F7F-45B2-868F-3BC4E63276DA}"/>
    <cellStyle name="Comma 5 3 2 4 2" xfId="1872" xr:uid="{1C112477-09FB-4BC9-839B-FED1828AD9FF}"/>
    <cellStyle name="Comma 5 3 2 4 2 2" xfId="3212" xr:uid="{A6F1B66C-09B9-492A-89B3-1E34546F3000}"/>
    <cellStyle name="Comma 5 3 2 4 2 2 2" xfId="5861" xr:uid="{F52768F7-F2A6-463C-AD52-6F92E27BF98C}"/>
    <cellStyle name="Comma 5 3 2 4 2 2 2 2" xfId="11158" xr:uid="{9E066059-AFFA-4703-851B-09C86CBBB3F6}"/>
    <cellStyle name="Comma 5 3 2 4 2 2 3" xfId="8509" xr:uid="{934E08E0-CE01-428F-A4C6-9D225F2E748A}"/>
    <cellStyle name="Comma 5 3 2 4 2 3" xfId="4537" xr:uid="{999BE1B3-742E-411C-B5A8-E971AF9A9B37}"/>
    <cellStyle name="Comma 5 3 2 4 2 3 2" xfId="9834" xr:uid="{7D3C23F1-2A07-4D1B-881D-2AD58BF5D35C}"/>
    <cellStyle name="Comma 5 3 2 4 2 4" xfId="7185" xr:uid="{EFD1C8D0-78FE-4FF9-B405-F8910FFF5B91}"/>
    <cellStyle name="Comma 5 3 2 4 3" xfId="2684" xr:uid="{ED43F525-96D0-4B22-AC02-5906884C0070}"/>
    <cellStyle name="Comma 5 3 2 4 3 2" xfId="5333" xr:uid="{40BCA1A4-F054-4CD2-9A0A-C63DB2EE3EB2}"/>
    <cellStyle name="Comma 5 3 2 4 3 2 2" xfId="10630" xr:uid="{5914B537-85D0-47CE-8577-E4398DBA0B14}"/>
    <cellStyle name="Comma 5 3 2 4 3 3" xfId="7981" xr:uid="{1BFDB947-DFC0-44B5-AF9E-A3B3CD515135}"/>
    <cellStyle name="Comma 5 3 2 4 4" xfId="4009" xr:uid="{122AADF4-02A7-4F19-9C1A-25B0855BA18A}"/>
    <cellStyle name="Comma 5 3 2 4 4 2" xfId="9306" xr:uid="{2CDCBBE5-39F8-4370-B910-A06882B947D7}"/>
    <cellStyle name="Comma 5 3 2 4 5" xfId="6657" xr:uid="{911C4234-461A-4C26-B3D1-F834B3A7FCAD}"/>
    <cellStyle name="Comma 5 3 2 5" xfId="1476" xr:uid="{FB61CBDB-9F39-4EA1-855C-EAF18E0CF5F3}"/>
    <cellStyle name="Comma 5 3 2 5 2" xfId="2004" xr:uid="{79BA43A6-537C-494D-80F9-71B5C5012FA8}"/>
    <cellStyle name="Comma 5 3 2 5 2 2" xfId="3344" xr:uid="{A648A67D-D30A-45CC-B7F6-5F453E1BA788}"/>
    <cellStyle name="Comma 5 3 2 5 2 2 2" xfId="5993" xr:uid="{5560AA36-E680-4E5E-A6E6-E186A985C339}"/>
    <cellStyle name="Comma 5 3 2 5 2 2 2 2" xfId="11290" xr:uid="{5A7FD0EB-A2D6-4BB9-929F-8CEF837A6A7E}"/>
    <cellStyle name="Comma 5 3 2 5 2 2 3" xfId="8641" xr:uid="{4166B5E4-B73A-4B1B-A840-3F62FBEDB9C0}"/>
    <cellStyle name="Comma 5 3 2 5 2 3" xfId="4669" xr:uid="{B971257F-E800-432B-A4DD-1089B06B9FCE}"/>
    <cellStyle name="Comma 5 3 2 5 2 3 2" xfId="9966" xr:uid="{F74185B8-8C80-48AC-9DAE-6C24A7EFA40F}"/>
    <cellStyle name="Comma 5 3 2 5 2 4" xfId="7317" xr:uid="{C97FEA0C-D82C-4685-AFA0-E8C2A49A7390}"/>
    <cellStyle name="Comma 5 3 2 5 3" xfId="2816" xr:uid="{C477D757-7739-4057-86AE-4C50F6F9CCE7}"/>
    <cellStyle name="Comma 5 3 2 5 3 2" xfId="5465" xr:uid="{412E59B1-1CC9-4EF9-9B87-A5F7C317FD8B}"/>
    <cellStyle name="Comma 5 3 2 5 3 2 2" xfId="10762" xr:uid="{34126799-0DBB-4D6A-BDCE-09844AFE782F}"/>
    <cellStyle name="Comma 5 3 2 5 3 3" xfId="8113" xr:uid="{B16D9E47-2669-4228-8EF2-E7CDAAF1842E}"/>
    <cellStyle name="Comma 5 3 2 5 4" xfId="4141" xr:uid="{6BB725FA-7081-4292-B613-060F9659F797}"/>
    <cellStyle name="Comma 5 3 2 5 4 2" xfId="9438" xr:uid="{E2EE9D91-0C81-4747-A7C5-24FFCD6A3404}"/>
    <cellStyle name="Comma 5 3 2 5 5" xfId="6789" xr:uid="{1C42DCDF-3485-429E-A267-3621BEE1A61E}"/>
    <cellStyle name="Comma 5 3 2 6" xfId="922" xr:uid="{A86E356A-B20A-40C3-9B2D-EA3009C0695F}"/>
    <cellStyle name="Comma 5 3 2 6 2" xfId="2289" xr:uid="{CB5EE8D7-9628-4210-BADC-7D1A1347C4A7}"/>
    <cellStyle name="Comma 5 3 2 6 2 2" xfId="4938" xr:uid="{4874DC68-2262-4943-A915-7B77107DB847}"/>
    <cellStyle name="Comma 5 3 2 6 2 2 2" xfId="10235" xr:uid="{9FC49FCE-2EBC-4C6D-9030-70EE70938F14}"/>
    <cellStyle name="Comma 5 3 2 6 2 3" xfId="7586" xr:uid="{A40BFF9D-ABA4-426E-8909-BBD03121E1C9}"/>
    <cellStyle name="Comma 5 3 2 6 3" xfId="3614" xr:uid="{99FD7BD0-F333-4172-9859-696FB304D7B8}"/>
    <cellStyle name="Comma 5 3 2 6 3 2" xfId="8911" xr:uid="{F073E3AA-84BA-476C-916E-25E437F82E2F}"/>
    <cellStyle name="Comma 5 3 2 6 4" xfId="6262" xr:uid="{9F308D77-89ED-470B-B4E2-65718955F160}"/>
    <cellStyle name="Comma 5 3 2 7" xfId="2125" xr:uid="{2D0BE561-5A7F-4BF5-9C0C-F3DEE9B6B196}"/>
    <cellStyle name="Comma 5 3 2 7 2" xfId="4774" xr:uid="{B659646E-0A67-4F0D-AC3A-4E41FEFF412A}"/>
    <cellStyle name="Comma 5 3 2 7 2 2" xfId="10071" xr:uid="{DD58115D-B6F5-4809-9559-7AF10795D2BD}"/>
    <cellStyle name="Comma 5 3 2 7 3" xfId="7422" xr:uid="{BDD162B8-CE3B-46FE-A6D4-39E94B6443EA}"/>
    <cellStyle name="Comma 5 3 2 8" xfId="3450" xr:uid="{2D070024-105C-40E1-8D22-FB00AA377460}"/>
    <cellStyle name="Comma 5 3 2 8 2" xfId="8747" xr:uid="{43845E69-6BD5-4C6F-B4E9-2C9D0D6B3AB1}"/>
    <cellStyle name="Comma 5 3 2 9" xfId="6098" xr:uid="{EFD4BA24-5899-4515-B221-AA8729294447}"/>
    <cellStyle name="Comma 5 3 3" xfId="1120" xr:uid="{78C5641A-3949-483E-B9A8-2AEB333ABD6A}"/>
    <cellStyle name="Comma 5 3 3 2" xfId="1654" xr:uid="{810926FD-5D6E-4FAC-9198-11C8CA30D0A8}"/>
    <cellStyle name="Comma 5 3 3 2 2" xfId="2994" xr:uid="{D6F1E42B-F1C6-4C2F-A9E3-303A4223C779}"/>
    <cellStyle name="Comma 5 3 3 2 2 2" xfId="5643" xr:uid="{2C4F3201-829B-41A7-BEBA-D87EB0D20745}"/>
    <cellStyle name="Comma 5 3 3 2 2 2 2" xfId="10940" xr:uid="{E5CC1E4A-E564-4FCB-9AC5-E866B752FFA6}"/>
    <cellStyle name="Comma 5 3 3 2 2 3" xfId="8291" xr:uid="{47E44629-A382-42E4-8AD2-48D83EBEE3F4}"/>
    <cellStyle name="Comma 5 3 3 2 3" xfId="4319" xr:uid="{0B62B9E5-5404-48BD-93CA-6DBE4DD4BF9B}"/>
    <cellStyle name="Comma 5 3 3 2 3 2" xfId="9616" xr:uid="{6CE478AD-046E-447D-92DA-902D9692FEF7}"/>
    <cellStyle name="Comma 5 3 3 2 4" xfId="6967" xr:uid="{9A9D3485-E466-4C07-B2FF-0616C6D09926}"/>
    <cellStyle name="Comma 5 3 3 3" xfId="2466" xr:uid="{7B5087B3-17D0-4F4A-8D0E-08CD300052DA}"/>
    <cellStyle name="Comma 5 3 3 3 2" xfId="5115" xr:uid="{670ECD05-7EB7-47B6-A906-C95CE9165147}"/>
    <cellStyle name="Comma 5 3 3 3 2 2" xfId="10412" xr:uid="{40E34CB3-331B-4667-9FCA-F4AE83F51BEB}"/>
    <cellStyle name="Comma 5 3 3 3 3" xfId="7763" xr:uid="{74F69E67-AA45-460C-A896-59EDF9F9D41E}"/>
    <cellStyle name="Comma 5 3 3 4" xfId="3791" xr:uid="{74E803E7-E90E-4790-A601-112750E06A05}"/>
    <cellStyle name="Comma 5 3 3 4 2" xfId="9088" xr:uid="{944F14D3-2EA5-4E8E-A01A-2BFB7A35EE35}"/>
    <cellStyle name="Comma 5 3 3 5" xfId="6439" xr:uid="{B069A562-8847-4E58-90C7-D456C70B26B5}"/>
    <cellStyle name="Comma 5 3 4" xfId="974" xr:uid="{73CDCE6D-7C78-48E3-ACF7-68CDF12E955E}"/>
    <cellStyle name="Comma 5 3 4 2" xfId="1522" xr:uid="{FC3B4339-81A3-4DE7-89E3-03A7DAC5CC53}"/>
    <cellStyle name="Comma 5 3 4 2 2" xfId="2862" xr:uid="{BCEC4E43-E9EC-4A90-9CA7-6C0BD7618DA2}"/>
    <cellStyle name="Comma 5 3 4 2 2 2" xfId="5511" xr:uid="{9C72552E-714F-4696-BAF8-1A639148147D}"/>
    <cellStyle name="Comma 5 3 4 2 2 2 2" xfId="10808" xr:uid="{3BCB5F4E-AE9E-4FB2-ACA2-0530B7BBD9B2}"/>
    <cellStyle name="Comma 5 3 4 2 2 3" xfId="8159" xr:uid="{62285609-44A0-4A1A-AF9C-D1227C8B8BF9}"/>
    <cellStyle name="Comma 5 3 4 2 3" xfId="4187" xr:uid="{464EA681-7F75-421B-8628-2D62777297C1}"/>
    <cellStyle name="Comma 5 3 4 2 3 2" xfId="9484" xr:uid="{F645061E-EF28-4A21-B223-DE2616DC6B1E}"/>
    <cellStyle name="Comma 5 3 4 2 4" xfId="6835" xr:uid="{C0B18B8F-6469-4C4D-8D4B-0E54C303EB2C}"/>
    <cellStyle name="Comma 5 3 4 3" xfId="2334" xr:uid="{E9EED175-99F2-48F2-9A10-3E158057F95B}"/>
    <cellStyle name="Comma 5 3 4 3 2" xfId="4983" xr:uid="{B6A09327-2819-4D0C-AD28-9CA8B96E2BF6}"/>
    <cellStyle name="Comma 5 3 4 3 2 2" xfId="10280" xr:uid="{4A9E1B0C-94FA-420A-A6EB-BC534903A115}"/>
    <cellStyle name="Comma 5 3 4 3 3" xfId="7631" xr:uid="{5899BD69-6E9B-4B3B-9C48-B165EDF2F22C}"/>
    <cellStyle name="Comma 5 3 4 4" xfId="3659" xr:uid="{8AC827D5-4CAA-4132-90D8-3B6386EEB11D}"/>
    <cellStyle name="Comma 5 3 4 4 2" xfId="8956" xr:uid="{735DD8C1-D37E-467B-BFB3-337C77AF8335}"/>
    <cellStyle name="Comma 5 3 4 5" xfId="6307" xr:uid="{41E56006-E35B-41AF-8C15-586767ADCEC2}"/>
    <cellStyle name="Comma 5 3 5" xfId="1258" xr:uid="{48B808BD-5CE9-40B6-8D1E-D771629FF6D1}"/>
    <cellStyle name="Comma 5 3 5 2" xfId="1786" xr:uid="{30B738B4-1D1B-432D-8133-F3330A3F0E8A}"/>
    <cellStyle name="Comma 5 3 5 2 2" xfId="3126" xr:uid="{22383A85-756E-42A6-B8C2-16F30119FACD}"/>
    <cellStyle name="Comma 5 3 5 2 2 2" xfId="5775" xr:uid="{F4582EA0-06AE-47DD-BF70-156B6D743287}"/>
    <cellStyle name="Comma 5 3 5 2 2 2 2" xfId="11072" xr:uid="{AB66C64A-7588-45F0-A1AA-34D81FD3035B}"/>
    <cellStyle name="Comma 5 3 5 2 2 3" xfId="8423" xr:uid="{5559FDC5-FB21-401D-9AFA-B19A86487535}"/>
    <cellStyle name="Comma 5 3 5 2 3" xfId="4451" xr:uid="{1EA95F9B-6045-452A-A25E-54FF8883C4AA}"/>
    <cellStyle name="Comma 5 3 5 2 3 2" xfId="9748" xr:uid="{9CE0F0E4-AEEC-45C4-AE49-66081A74A758}"/>
    <cellStyle name="Comma 5 3 5 2 4" xfId="7099" xr:uid="{324A0DB7-7DD5-4AE6-AFB3-DF45050B89A8}"/>
    <cellStyle name="Comma 5 3 5 3" xfId="2598" xr:uid="{FC772C9E-4AC4-46D1-9927-FFF4539660F1}"/>
    <cellStyle name="Comma 5 3 5 3 2" xfId="5247" xr:uid="{516A0D29-6EFE-446C-8669-C0D6233207E7}"/>
    <cellStyle name="Comma 5 3 5 3 2 2" xfId="10544" xr:uid="{17CC72B2-0613-41B8-91AC-C4B9355C7B6D}"/>
    <cellStyle name="Comma 5 3 5 3 3" xfId="7895" xr:uid="{82AEFD3E-AF22-477A-A8FD-3C8E8AA55C26}"/>
    <cellStyle name="Comma 5 3 5 4" xfId="3923" xr:uid="{3758B82D-5F4E-4419-8633-246861927781}"/>
    <cellStyle name="Comma 5 3 5 4 2" xfId="9220" xr:uid="{F411CA4F-A4B7-4051-BE17-788E9CC76372}"/>
    <cellStyle name="Comma 5 3 5 5" xfId="6571" xr:uid="{775985F9-69A8-4B0C-839C-E29129ECA0E4}"/>
    <cellStyle name="Comma 5 3 6" xfId="1390" xr:uid="{8B25032B-0FFA-421E-997A-8D81894A577B}"/>
    <cellStyle name="Comma 5 3 6 2" xfId="1918" xr:uid="{5736EFD1-3514-4249-8DA6-1D47C01849E1}"/>
    <cellStyle name="Comma 5 3 6 2 2" xfId="3258" xr:uid="{6ABF44C2-A9BB-4BA0-A3D0-9163C6103F73}"/>
    <cellStyle name="Comma 5 3 6 2 2 2" xfId="5907" xr:uid="{D6718D40-433C-43BD-8459-4EA80CE4BFAE}"/>
    <cellStyle name="Comma 5 3 6 2 2 2 2" xfId="11204" xr:uid="{F7CF5379-72FD-4233-8EC3-60A3F8AC7BC2}"/>
    <cellStyle name="Comma 5 3 6 2 2 3" xfId="8555" xr:uid="{81326F92-6913-4A25-8981-B78565E9430E}"/>
    <cellStyle name="Comma 5 3 6 2 3" xfId="4583" xr:uid="{D2E95EDF-F2BF-4544-AA2A-6A817904A7E3}"/>
    <cellStyle name="Comma 5 3 6 2 3 2" xfId="9880" xr:uid="{8AD31F10-6163-4545-9920-20A4EB8A8F34}"/>
    <cellStyle name="Comma 5 3 6 2 4" xfId="7231" xr:uid="{D280BD71-AD97-4D06-B82E-5D64D8DE2726}"/>
    <cellStyle name="Comma 5 3 6 3" xfId="2730" xr:uid="{AD536118-0FA0-4873-A8C1-93A6C921D46D}"/>
    <cellStyle name="Comma 5 3 6 3 2" xfId="5379" xr:uid="{7A6D3E27-C891-4C10-95E3-EADEBCE3100B}"/>
    <cellStyle name="Comma 5 3 6 3 2 2" xfId="10676" xr:uid="{63F1BBDF-D28E-45DE-AEE3-48E1FEFECDA2}"/>
    <cellStyle name="Comma 5 3 6 3 3" xfId="8027" xr:uid="{1496155E-9226-404F-8091-7ADBA2F420D5}"/>
    <cellStyle name="Comma 5 3 6 4" xfId="4055" xr:uid="{D57FF6CD-165D-455E-8C53-FBC5EAF9F5FE}"/>
    <cellStyle name="Comma 5 3 6 4 2" xfId="9352" xr:uid="{5F0BBF21-50AA-4C57-BAEE-5062FA9585AE}"/>
    <cellStyle name="Comma 5 3 6 5" xfId="6703" xr:uid="{DF9B6373-D9D1-43AE-A58B-FE88BB595940}"/>
    <cellStyle name="Comma 5 3 7" xfId="648" xr:uid="{BBAABFB0-607D-4CE6-AACE-143E8FAAEC98}"/>
    <cellStyle name="Comma 5 3 7 2" xfId="2208" xr:uid="{0723217E-C625-4402-B28D-F9692E0A56CD}"/>
    <cellStyle name="Comma 5 3 7 2 2" xfId="4857" xr:uid="{8FB7506F-9A58-4CBF-9338-ECDB5CCD8D82}"/>
    <cellStyle name="Comma 5 3 7 2 2 2" xfId="10154" xr:uid="{7498A1E7-6B0F-4348-BE42-491F94DAEAAD}"/>
    <cellStyle name="Comma 5 3 7 2 3" xfId="7505" xr:uid="{09C9C5BD-84D0-46CF-B872-F8FBBC7E4CAB}"/>
    <cellStyle name="Comma 5 3 7 3" xfId="3533" xr:uid="{E9F38319-91AF-4E43-B6C0-4DB08546F828}"/>
    <cellStyle name="Comma 5 3 7 3 2" xfId="8830" xr:uid="{14675B39-8936-40A2-B035-3D16644A8C86}"/>
    <cellStyle name="Comma 5 3 7 4" xfId="6181" xr:uid="{BD04173E-C001-4E07-9835-E46047B73366}"/>
    <cellStyle name="Comma 5 3 8" xfId="2038" xr:uid="{AB9FDCFE-FF4D-4B09-8D17-F3F0DB3B5B24}"/>
    <cellStyle name="Comma 5 3 9" xfId="2058" xr:uid="{DE96A85D-EDB6-4515-AA74-4E4B3DFB6C70}"/>
    <cellStyle name="Comma 5 3 9 2" xfId="4707" xr:uid="{A0803A6A-C1FA-4CAF-9CCA-35A8125B6381}"/>
    <cellStyle name="Comma 5 3 9 2 2" xfId="10004" xr:uid="{87899D43-EE89-4909-BFA4-21A7F089187F}"/>
    <cellStyle name="Comma 5 3 9 3" xfId="7355" xr:uid="{B25947EC-8330-4A50-BF56-FFEC72897FAE}"/>
    <cellStyle name="Comma 5 4" xfId="102" xr:uid="{C6D2A931-18E1-426E-9527-CFE60A385114}"/>
    <cellStyle name="Comma 5 4 2" xfId="334" xr:uid="{697A7403-FBC9-4784-927D-4B1A03D708AA}"/>
    <cellStyle name="Comma 5 4 2 2" xfId="1717" xr:uid="{5A4A1939-9F42-47CD-9CCF-EDF1A683A24C}"/>
    <cellStyle name="Comma 5 4 2 2 2" xfId="3057" xr:uid="{CBCD7B1D-7A8A-49B1-A0D1-B187DB8F3A7F}"/>
    <cellStyle name="Comma 5 4 2 2 2 2" xfId="5706" xr:uid="{CF9DFD97-CF13-4CAF-9AC2-1D6B7E5A4840}"/>
    <cellStyle name="Comma 5 4 2 2 2 2 2" xfId="11003" xr:uid="{D6CC4E48-48DB-4EE9-B3CC-519B23B9388D}"/>
    <cellStyle name="Comma 5 4 2 2 2 3" xfId="8354" xr:uid="{5228B2EE-99E1-45AE-863C-E1B2A2BCDE64}"/>
    <cellStyle name="Comma 5 4 2 2 3" xfId="4382" xr:uid="{ED1AFD3F-70B6-4126-8761-4AC55F62B827}"/>
    <cellStyle name="Comma 5 4 2 2 3 2" xfId="9679" xr:uid="{380AB0C5-4168-4C00-98A8-98B6067FE18F}"/>
    <cellStyle name="Comma 5 4 2 2 4" xfId="7030" xr:uid="{E306510C-A7D8-49FF-9714-22CC76F5F725}"/>
    <cellStyle name="Comma 5 4 2 3" xfId="1186" xr:uid="{BEFD4B70-E28F-4D92-8270-BA68D9CBEDAF}"/>
    <cellStyle name="Comma 5 4 2 3 2" xfId="2529" xr:uid="{B152ACFF-6944-44A9-B863-354D5017BE36}"/>
    <cellStyle name="Comma 5 4 2 3 2 2" xfId="5178" xr:uid="{23223579-548C-4BDE-8C9C-46802CA57BCA}"/>
    <cellStyle name="Comma 5 4 2 3 2 2 2" xfId="10475" xr:uid="{0D10168F-3B54-43B8-B21D-A6BF58ED2522}"/>
    <cellStyle name="Comma 5 4 2 3 2 3" xfId="7826" xr:uid="{EE84F665-206E-4864-8DFC-B672C1A32E30}"/>
    <cellStyle name="Comma 5 4 2 3 3" xfId="3854" xr:uid="{B7E5F090-E77F-45E6-98FB-DCCD63784D33}"/>
    <cellStyle name="Comma 5 4 2 3 3 2" xfId="9151" xr:uid="{450425F3-B892-44B7-BB62-B1D12C06F014}"/>
    <cellStyle name="Comma 5 4 2 3 4" xfId="6502" xr:uid="{8EF0AE8D-8C85-49F6-A4E5-EB04F2E5D6AD}"/>
    <cellStyle name="Comma 5 4 2 4" xfId="2137" xr:uid="{ABC0FB75-C635-4A8E-A803-28EEE08552B0}"/>
    <cellStyle name="Comma 5 4 2 4 2" xfId="4786" xr:uid="{9A5D5F98-0228-4080-AFAE-C0A8EB9BE701}"/>
    <cellStyle name="Comma 5 4 2 4 2 2" xfId="10083" xr:uid="{CB0E68FE-9166-4595-BCE9-6D373289AC5F}"/>
    <cellStyle name="Comma 5 4 2 4 3" xfId="7434" xr:uid="{0DA27CD9-D43B-4A77-8677-8524CCB9CF85}"/>
    <cellStyle name="Comma 5 4 2 5" xfId="3462" xr:uid="{1FD164A8-909E-49AC-B9A1-0ED5FDD837F2}"/>
    <cellStyle name="Comma 5 4 2 5 2" xfId="8759" xr:uid="{E893D566-B45E-4626-A769-F3D29C0734DC}"/>
    <cellStyle name="Comma 5 4 2 6" xfId="6110" xr:uid="{14ABA466-2CE6-4800-88EE-A28FB26D766E}"/>
    <cellStyle name="Comma 5 4 3" xfId="1042" xr:uid="{9D6FB227-0091-4BD4-9D4A-B862BA47A4A6}"/>
    <cellStyle name="Comma 5 4 3 2" xfId="1585" xr:uid="{4E376995-2070-4915-83EE-2BFDDAE198E7}"/>
    <cellStyle name="Comma 5 4 3 2 2" xfId="2925" xr:uid="{61943C4E-EA07-4AFD-8BC8-7976270D826C}"/>
    <cellStyle name="Comma 5 4 3 2 2 2" xfId="5574" xr:uid="{75023FD9-6FB5-4F18-A71F-C4F023F3B79E}"/>
    <cellStyle name="Comma 5 4 3 2 2 2 2" xfId="10871" xr:uid="{3CF5F90C-418C-4107-B0CF-1BBEF3F027BA}"/>
    <cellStyle name="Comma 5 4 3 2 2 3" xfId="8222" xr:uid="{553B43D1-BA95-4A13-AC74-7DD8603090FD}"/>
    <cellStyle name="Comma 5 4 3 2 3" xfId="4250" xr:uid="{63EFE0BE-E267-4D4F-91C1-BAA01BB72EE8}"/>
    <cellStyle name="Comma 5 4 3 2 3 2" xfId="9547" xr:uid="{DABD13BD-A333-49C8-9612-8DA118F03AA6}"/>
    <cellStyle name="Comma 5 4 3 2 4" xfId="6898" xr:uid="{2ED5F4CA-69BC-444B-AB45-1AB02BC9178F}"/>
    <cellStyle name="Comma 5 4 3 3" xfId="2397" xr:uid="{541C562A-3866-49C0-AB3C-485E1E77DCD5}"/>
    <cellStyle name="Comma 5 4 3 3 2" xfId="5046" xr:uid="{62E1302D-2D18-460F-9B08-F6565D2875E1}"/>
    <cellStyle name="Comma 5 4 3 3 2 2" xfId="10343" xr:uid="{4E3BBB5E-33F7-4FB4-9AAA-7EC64E5B0E37}"/>
    <cellStyle name="Comma 5 4 3 3 3" xfId="7694" xr:uid="{AA57E750-44C4-4876-BAA5-CED3F2D53B5E}"/>
    <cellStyle name="Comma 5 4 3 4" xfId="3722" xr:uid="{049BC0F3-4076-439A-B35B-B62FE3EF3444}"/>
    <cellStyle name="Comma 5 4 3 4 2" xfId="9019" xr:uid="{C77F2150-8BDF-45CE-B7DE-95F1800E89CE}"/>
    <cellStyle name="Comma 5 4 3 5" xfId="6370" xr:uid="{AD02CE4D-890B-4242-AE62-EDDA957D7696}"/>
    <cellStyle name="Comma 5 4 4" xfId="1321" xr:uid="{B67BE158-C9D5-41DD-9838-681578CF5391}"/>
    <cellStyle name="Comma 5 4 4 2" xfId="1849" xr:uid="{1435C394-F330-4E29-A45F-E2731793718F}"/>
    <cellStyle name="Comma 5 4 4 2 2" xfId="3189" xr:uid="{7D6EF2C5-7511-430B-AB66-979803AD42DD}"/>
    <cellStyle name="Comma 5 4 4 2 2 2" xfId="5838" xr:uid="{3B65426B-DCAD-4B15-816A-F7080358B5C0}"/>
    <cellStyle name="Comma 5 4 4 2 2 2 2" xfId="11135" xr:uid="{D53401DF-7DDA-4F41-943C-E38CCAE76725}"/>
    <cellStyle name="Comma 5 4 4 2 2 3" xfId="8486" xr:uid="{2F196735-3F8B-4B35-BAB3-8BEBBA080F99}"/>
    <cellStyle name="Comma 5 4 4 2 3" xfId="4514" xr:uid="{F744C22E-D78E-4E58-81AA-665E89EA5264}"/>
    <cellStyle name="Comma 5 4 4 2 3 2" xfId="9811" xr:uid="{F0CB2841-FA34-4E20-B730-FA703931B182}"/>
    <cellStyle name="Comma 5 4 4 2 4" xfId="7162" xr:uid="{54D0329D-4934-426A-8351-4AD11FF4583F}"/>
    <cellStyle name="Comma 5 4 4 3" xfId="2661" xr:uid="{71779945-A426-496C-BDC9-C4FAF20009F4}"/>
    <cellStyle name="Comma 5 4 4 3 2" xfId="5310" xr:uid="{44FB4BA8-379B-4AA4-99F4-E6E03CD74527}"/>
    <cellStyle name="Comma 5 4 4 3 2 2" xfId="10607" xr:uid="{956F3644-8E56-4EAC-AB9E-E237D81D678C}"/>
    <cellStyle name="Comma 5 4 4 3 3" xfId="7958" xr:uid="{15DA96EC-D379-472B-89E5-8FDDCC033756}"/>
    <cellStyle name="Comma 5 4 4 4" xfId="3986" xr:uid="{DB5B9B57-BDD3-4FF3-B3A3-E6DC7B044EED}"/>
    <cellStyle name="Comma 5 4 4 4 2" xfId="9283" xr:uid="{21D9B90D-5022-43A6-B279-182F0E9EEA6A}"/>
    <cellStyle name="Comma 5 4 4 5" xfId="6634" xr:uid="{B2077411-A869-4A40-AA25-F590D16BD377}"/>
    <cellStyle name="Comma 5 4 5" xfId="1453" xr:uid="{88C39F3F-FD9A-4F7D-8FF3-65EFF0179C0D}"/>
    <cellStyle name="Comma 5 4 5 2" xfId="1981" xr:uid="{28B87D4D-10E1-45EC-9D5A-5BAE4473BD8F}"/>
    <cellStyle name="Comma 5 4 5 2 2" xfId="3321" xr:uid="{6C94D865-5561-4F0E-8C1A-267D9E5D973B}"/>
    <cellStyle name="Comma 5 4 5 2 2 2" xfId="5970" xr:uid="{783E7350-8C53-4F3E-AA2E-21FA24482B94}"/>
    <cellStyle name="Comma 5 4 5 2 2 2 2" xfId="11267" xr:uid="{87FD5AB1-66F6-4427-AA62-BA0CA1EB7D61}"/>
    <cellStyle name="Comma 5 4 5 2 2 3" xfId="8618" xr:uid="{A14D8AE1-60E9-4BFC-ADE2-B9C2D1BA7DC5}"/>
    <cellStyle name="Comma 5 4 5 2 3" xfId="4646" xr:uid="{69D46AD5-30A5-49D8-9ED4-133C55E24A71}"/>
    <cellStyle name="Comma 5 4 5 2 3 2" xfId="9943" xr:uid="{D696E02C-BD8E-468D-88A4-CF3B256F7CA5}"/>
    <cellStyle name="Comma 5 4 5 2 4" xfId="7294" xr:uid="{8A056DEF-AD70-42A0-BD58-827CA639181D}"/>
    <cellStyle name="Comma 5 4 5 3" xfId="2793" xr:uid="{3B5F1483-3623-44DD-94F3-1497166BDB35}"/>
    <cellStyle name="Comma 5 4 5 3 2" xfId="5442" xr:uid="{554E2A49-9EDD-4455-86D3-CA7CB910EF70}"/>
    <cellStyle name="Comma 5 4 5 3 2 2" xfId="10739" xr:uid="{91DC596A-F38E-48E5-AE01-A1D71B78FE5D}"/>
    <cellStyle name="Comma 5 4 5 3 3" xfId="8090" xr:uid="{8DA67253-C74B-4067-9550-EC6F430070E3}"/>
    <cellStyle name="Comma 5 4 5 4" xfId="4118" xr:uid="{9FB55651-0B6E-442E-935A-14FA281825D9}"/>
    <cellStyle name="Comma 5 4 5 4 2" xfId="9415" xr:uid="{2E6CB03A-162A-450D-B739-341C9F783026}"/>
    <cellStyle name="Comma 5 4 5 5" xfId="6766" xr:uid="{AA30BDEC-C194-4CEC-9880-E710F27EA937}"/>
    <cellStyle name="Comma 5 4 6" xfId="851" xr:uid="{8B567937-3147-498E-9B0D-D550D2D8F06F}"/>
    <cellStyle name="Comma 5 4 6 2" xfId="2268" xr:uid="{775B686C-6206-4D17-8C0A-8FDD166B1E99}"/>
    <cellStyle name="Comma 5 4 6 2 2" xfId="4917" xr:uid="{4CB008F5-5ABA-49D5-B46C-76900260B207}"/>
    <cellStyle name="Comma 5 4 6 2 2 2" xfId="10214" xr:uid="{D1822C7A-21C7-434A-86F4-AF7C3C8C8AD3}"/>
    <cellStyle name="Comma 5 4 6 2 3" xfId="7565" xr:uid="{55BCCEB7-BCD3-451E-82DB-173A8FA832B1}"/>
    <cellStyle name="Comma 5 4 6 3" xfId="3593" xr:uid="{3FA855D9-BA66-48EF-A87E-27D3FBE8D21A}"/>
    <cellStyle name="Comma 5 4 6 3 2" xfId="8890" xr:uid="{411B180F-A93B-47F4-8705-C2EC7E38E60E}"/>
    <cellStyle name="Comma 5 4 6 4" xfId="6241" xr:uid="{4699C0C5-2EBA-4EAF-9F48-0D54E35444A1}"/>
    <cellStyle name="Comma 5 4 7" xfId="2070" xr:uid="{88EC5190-7AAE-4C09-BACF-BFFAD491E381}"/>
    <cellStyle name="Comma 5 4 7 2" xfId="4719" xr:uid="{24134224-7A85-4ECF-AF3D-A20A420FED4F}"/>
    <cellStyle name="Comma 5 4 7 2 2" xfId="10016" xr:uid="{CA3F0790-1030-4C2E-8C8D-62AC3B3830C2}"/>
    <cellStyle name="Comma 5 4 7 3" xfId="7367" xr:uid="{D2649CD8-D83C-4385-8C72-38322B37B41C}"/>
    <cellStyle name="Comma 5 4 8" xfId="3395" xr:uid="{E8387C3C-87CE-495D-A00F-235D3B252F07}"/>
    <cellStyle name="Comma 5 4 8 2" xfId="8692" xr:uid="{FE28071B-59F2-4662-AE3B-E9CA349360F7}"/>
    <cellStyle name="Comma 5 4 9" xfId="6043" xr:uid="{FF329CF9-BC4F-4211-BBD2-3AB8D8F0BC1D}"/>
    <cellStyle name="Comma 5 5" xfId="148" xr:uid="{7C518917-D3F7-40C4-B7C5-1578FA34C410}"/>
    <cellStyle name="Comma 5 5 2" xfId="380" xr:uid="{EAAB3597-67AB-4720-B98F-E28C86221ACE}"/>
    <cellStyle name="Comma 5 5 2 2" xfId="1669" xr:uid="{0C317234-D6FC-4B55-A1CF-C732496880BE}"/>
    <cellStyle name="Comma 5 5 2 2 2" xfId="3009" xr:uid="{478EA536-B52E-4205-8AEA-C67F37329F13}"/>
    <cellStyle name="Comma 5 5 2 2 2 2" xfId="5658" xr:uid="{ABD68A85-842B-4DF2-A3C8-C6690D78BEA9}"/>
    <cellStyle name="Comma 5 5 2 2 2 2 2" xfId="10955" xr:uid="{54F696A6-F49B-430A-BA41-551CD520E48B}"/>
    <cellStyle name="Comma 5 5 2 2 2 3" xfId="8306" xr:uid="{16208A38-E860-45E7-803F-BAB51B1BF8DA}"/>
    <cellStyle name="Comma 5 5 2 2 3" xfId="4334" xr:uid="{AF1E753E-8549-4AF1-956A-EF394241F5AF}"/>
    <cellStyle name="Comma 5 5 2 2 3 2" xfId="9631" xr:uid="{A53C90EF-823C-4F42-A056-249410E9BA33}"/>
    <cellStyle name="Comma 5 5 2 2 4" xfId="6982" xr:uid="{A7EB8CC9-BD21-43C7-803A-E16261C696AD}"/>
    <cellStyle name="Comma 5 5 2 3" xfId="1137" xr:uid="{AC27520A-336A-4885-B35A-A05E6C456506}"/>
    <cellStyle name="Comma 5 5 2 3 2" xfId="2481" xr:uid="{EED04D8E-91B2-4FAA-8179-2D4222F3FBDD}"/>
    <cellStyle name="Comma 5 5 2 3 2 2" xfId="5130" xr:uid="{AF3E3347-B0DE-410A-B8BB-8B65363DC0A9}"/>
    <cellStyle name="Comma 5 5 2 3 2 2 2" xfId="10427" xr:uid="{DCE6A01D-AC8E-424C-B8DD-3AD4D05C351D}"/>
    <cellStyle name="Comma 5 5 2 3 2 3" xfId="7778" xr:uid="{172FC5AE-DB25-4DFE-9F72-D602650B45ED}"/>
    <cellStyle name="Comma 5 5 2 3 3" xfId="3806" xr:uid="{83F69677-3AA6-4BC4-982B-3382CEE34DC7}"/>
    <cellStyle name="Comma 5 5 2 3 3 2" xfId="9103" xr:uid="{4D87BEFB-B49F-45C4-9760-D836B8A22ACC}"/>
    <cellStyle name="Comma 5 5 2 3 4" xfId="6454" xr:uid="{A2C45DB4-7235-474C-8611-763584483C7B}"/>
    <cellStyle name="Comma 5 5 2 4" xfId="2150" xr:uid="{4D2CADBD-B5D4-448A-9D6D-EDAD92AC027D}"/>
    <cellStyle name="Comma 5 5 2 4 2" xfId="4799" xr:uid="{226F7C14-9DA8-4FC9-8CB2-C16CC6546CDA}"/>
    <cellStyle name="Comma 5 5 2 4 2 2" xfId="10096" xr:uid="{E1EB7878-0910-4E8A-9C11-9563F2C4C8A0}"/>
    <cellStyle name="Comma 5 5 2 4 3" xfId="7447" xr:uid="{8F56077F-D4CE-4C81-BCAB-6930F3012C34}"/>
    <cellStyle name="Comma 5 5 2 5" xfId="3475" xr:uid="{44683424-0CE3-4B43-AC76-68B89D84B571}"/>
    <cellStyle name="Comma 5 5 2 5 2" xfId="8772" xr:uid="{BDF932AB-AD6A-431D-92C8-C9CE2F61754C}"/>
    <cellStyle name="Comma 5 5 2 6" xfId="6123" xr:uid="{961A1D7E-E855-422A-985D-433089BBC15B}"/>
    <cellStyle name="Comma 5 5 3" xfId="993" xr:uid="{616831AA-5924-4F66-BD8B-7C74496F4378}"/>
    <cellStyle name="Comma 5 5 3 2" xfId="1537" xr:uid="{27F1AA62-5D33-44D3-ABC8-C5CDF256CE11}"/>
    <cellStyle name="Comma 5 5 3 2 2" xfId="2877" xr:uid="{6A93F09A-E488-492F-B4B8-B9E1527096A6}"/>
    <cellStyle name="Comma 5 5 3 2 2 2" xfId="5526" xr:uid="{C6B253FC-87C8-4ED6-B330-52A29961F0FD}"/>
    <cellStyle name="Comma 5 5 3 2 2 2 2" xfId="10823" xr:uid="{E53056F7-D295-4AA9-9178-73BC7A436574}"/>
    <cellStyle name="Comma 5 5 3 2 2 3" xfId="8174" xr:uid="{01B87DF2-5F69-4FE0-94D4-0B2427A3E2E9}"/>
    <cellStyle name="Comma 5 5 3 2 3" xfId="4202" xr:uid="{D02E521A-B377-4EA8-B082-53A87224AC5B}"/>
    <cellStyle name="Comma 5 5 3 2 3 2" xfId="9499" xr:uid="{EDCFB37A-8319-4699-864B-4443CD828662}"/>
    <cellStyle name="Comma 5 5 3 2 4" xfId="6850" xr:uid="{1D9BB21D-D4E1-45DD-93F4-6CED4212C669}"/>
    <cellStyle name="Comma 5 5 3 3" xfId="2349" xr:uid="{E666C09B-D5D8-4D18-BA96-D0F8617D8E09}"/>
    <cellStyle name="Comma 5 5 3 3 2" xfId="4998" xr:uid="{95BEFFD5-49FA-4E82-9E38-47BDCE13C02B}"/>
    <cellStyle name="Comma 5 5 3 3 2 2" xfId="10295" xr:uid="{57AD6E9D-CFB6-4CBD-8916-83D685388EE5}"/>
    <cellStyle name="Comma 5 5 3 3 3" xfId="7646" xr:uid="{E93663DB-3F20-401A-8DAC-5C3423AE1156}"/>
    <cellStyle name="Comma 5 5 3 4" xfId="3674" xr:uid="{09831134-B851-4D48-AD48-5C1D25058886}"/>
    <cellStyle name="Comma 5 5 3 4 2" xfId="8971" xr:uid="{3D2DA25E-28F2-439F-A6D2-763C418D1254}"/>
    <cellStyle name="Comma 5 5 3 5" xfId="6322" xr:uid="{B8465B06-B2F0-4A32-9A0B-1CA39B60BAC0}"/>
    <cellStyle name="Comma 5 5 4" xfId="1273" xr:uid="{2F64D247-3F4D-488C-A6A5-51B989DF4C02}"/>
    <cellStyle name="Comma 5 5 4 2" xfId="1801" xr:uid="{5B00C5A0-FA1B-4843-AD58-3D4C59256589}"/>
    <cellStyle name="Comma 5 5 4 2 2" xfId="3141" xr:uid="{9458CB5D-E309-403A-968B-807CF61F4B16}"/>
    <cellStyle name="Comma 5 5 4 2 2 2" xfId="5790" xr:uid="{610BA9E0-1620-441C-888D-BD8CC6D36C73}"/>
    <cellStyle name="Comma 5 5 4 2 2 2 2" xfId="11087" xr:uid="{CB02E58D-B903-44E0-9CFB-5EC6F0B1CAC9}"/>
    <cellStyle name="Comma 5 5 4 2 2 3" xfId="8438" xr:uid="{65C2A2C5-BB42-45EB-AD6A-E95C8E3E1ED6}"/>
    <cellStyle name="Comma 5 5 4 2 3" xfId="4466" xr:uid="{593D0BA5-1DAF-45A3-B512-CF6243D64F8E}"/>
    <cellStyle name="Comma 5 5 4 2 3 2" xfId="9763" xr:uid="{A14B2A41-45A9-49B2-98B2-C4453AACE01F}"/>
    <cellStyle name="Comma 5 5 4 2 4" xfId="7114" xr:uid="{D7C7CABB-5BCB-41B7-9159-35BC0AE54053}"/>
    <cellStyle name="Comma 5 5 4 3" xfId="2613" xr:uid="{FFA0E90B-6AD9-45CE-BB92-046FAAC66A00}"/>
    <cellStyle name="Comma 5 5 4 3 2" xfId="5262" xr:uid="{83BEFF4F-6C75-4A5A-9DF0-94AC61C8ED3F}"/>
    <cellStyle name="Comma 5 5 4 3 2 2" xfId="10559" xr:uid="{A12A7FAF-F170-44D8-B91E-5686F318B1F4}"/>
    <cellStyle name="Comma 5 5 4 3 3" xfId="7910" xr:uid="{AF9E9624-FEE1-4931-BB7D-5C065E0B4691}"/>
    <cellStyle name="Comma 5 5 4 4" xfId="3938" xr:uid="{65C38BCB-FBB6-461F-BD95-553296A7A477}"/>
    <cellStyle name="Comma 5 5 4 4 2" xfId="9235" xr:uid="{34C7A23A-463F-4823-81D0-AB2C15397290}"/>
    <cellStyle name="Comma 5 5 4 5" xfId="6586" xr:uid="{A7385611-F27B-4140-9E44-5EC6A2A439B0}"/>
    <cellStyle name="Comma 5 5 5" xfId="1405" xr:uid="{2DE324A2-4832-4105-8372-DE9F236578AE}"/>
    <cellStyle name="Comma 5 5 5 2" xfId="1933" xr:uid="{5B20015B-C4CB-4EEF-AA66-168966F53AB2}"/>
    <cellStyle name="Comma 5 5 5 2 2" xfId="3273" xr:uid="{77B4024C-DABB-4885-9118-3C2BC15EB22C}"/>
    <cellStyle name="Comma 5 5 5 2 2 2" xfId="5922" xr:uid="{A95258A5-3F0E-4DC5-942F-D1C77EDCF2E7}"/>
    <cellStyle name="Comma 5 5 5 2 2 2 2" xfId="11219" xr:uid="{D0E557CD-2BC8-4961-A4E8-364C76525330}"/>
    <cellStyle name="Comma 5 5 5 2 2 3" xfId="8570" xr:uid="{DFF6707F-14DF-4C19-9FA8-6D7F13BAA94D}"/>
    <cellStyle name="Comma 5 5 5 2 3" xfId="4598" xr:uid="{B75A725F-269E-4BE4-955B-4F880ABA266C}"/>
    <cellStyle name="Comma 5 5 5 2 3 2" xfId="9895" xr:uid="{F63BCA04-E41E-4575-A5C0-C9A32D3713C6}"/>
    <cellStyle name="Comma 5 5 5 2 4" xfId="7246" xr:uid="{F4FFA99F-5DC0-4EC5-9CC2-4EA241FE17DC}"/>
    <cellStyle name="Comma 5 5 5 3" xfId="2745" xr:uid="{807C48A5-9CF4-45D8-9ED4-1A0872ADAC20}"/>
    <cellStyle name="Comma 5 5 5 3 2" xfId="5394" xr:uid="{C7568C20-7F90-4B98-908A-F0824982D3EF}"/>
    <cellStyle name="Comma 5 5 5 3 2 2" xfId="10691" xr:uid="{A93964A3-448B-4A2A-AE3C-3C45B6730055}"/>
    <cellStyle name="Comma 5 5 5 3 3" xfId="8042" xr:uid="{0F8AC6CF-CE2A-42D6-88EF-2B2D1BC26228}"/>
    <cellStyle name="Comma 5 5 5 4" xfId="4070" xr:uid="{CA1963A7-0FC8-44B8-9F56-7D8B9741DCC6}"/>
    <cellStyle name="Comma 5 5 5 4 2" xfId="9367" xr:uid="{8D1ADFEE-6A29-4C01-BE2C-CAABC94F87F6}"/>
    <cellStyle name="Comma 5 5 5 5" xfId="6718" xr:uid="{221BEF81-42C5-41E7-90CF-4B8CB64EDA63}"/>
    <cellStyle name="Comma 5 5 6" xfId="717" xr:uid="{7B2770DA-217D-4F03-B584-A92A60B481FF}"/>
    <cellStyle name="Comma 5 5 6 2" xfId="2221" xr:uid="{961817C1-383E-42E8-A02B-80B5E0831B7B}"/>
    <cellStyle name="Comma 5 5 6 2 2" xfId="4870" xr:uid="{53FFD1E8-88AA-48C6-8335-A73D47220802}"/>
    <cellStyle name="Comma 5 5 6 2 2 2" xfId="10167" xr:uid="{47BDF66E-7327-4086-99C5-2A396DC82D60}"/>
    <cellStyle name="Comma 5 5 6 2 3" xfId="7518" xr:uid="{7278EA4E-6375-4089-B1D1-FA41DAC3DC40}"/>
    <cellStyle name="Comma 5 5 6 3" xfId="3546" xr:uid="{A2326ADB-CD70-40A6-BF7F-9F366E404551}"/>
    <cellStyle name="Comma 5 5 6 3 2" xfId="8843" xr:uid="{BDBD3CB3-53EC-4F55-A08A-910D354699A6}"/>
    <cellStyle name="Comma 5 5 6 4" xfId="6194" xr:uid="{6292CBAF-F7C0-4A6E-AD5F-3B3E8F755BEA}"/>
    <cellStyle name="Comma 5 5 7" xfId="2083" xr:uid="{5EE32554-F5AB-443F-923F-485627F486FA}"/>
    <cellStyle name="Comma 5 5 7 2" xfId="4732" xr:uid="{FC4C54FF-13DE-4EA6-B2CC-1F5ECD886960}"/>
    <cellStyle name="Comma 5 5 7 2 2" xfId="10029" xr:uid="{8E348E9E-596C-458B-96DF-4225CA8603B2}"/>
    <cellStyle name="Comma 5 5 7 3" xfId="7380" xr:uid="{F8A88EF4-C746-4783-BDEF-2D22B5A322A6}"/>
    <cellStyle name="Comma 5 5 8" xfId="3408" xr:uid="{F1A4C803-9DFB-4FEC-BE43-36FDBD6B98D0}"/>
    <cellStyle name="Comma 5 5 8 2" xfId="8705" xr:uid="{AF11260E-FF9F-41BE-A873-D1C16166DD76}"/>
    <cellStyle name="Comma 5 5 9" xfId="6056" xr:uid="{6BAD5BD0-0B67-47DC-8496-AC68CFCD750A}"/>
    <cellStyle name="Comma 5 6" xfId="191" xr:uid="{B1A824FB-BE48-4794-A6B2-444F92C72E05}"/>
    <cellStyle name="Comma 5 6 2" xfId="423" xr:uid="{12D0C260-065A-48E8-9062-FCFE06AAB1D3}"/>
    <cellStyle name="Comma 5 6 2 2" xfId="1631" xr:uid="{8BBC7951-3FE8-4B08-ACE1-5087E6C53DA0}"/>
    <cellStyle name="Comma 5 6 2 2 2" xfId="2971" xr:uid="{4A85EB66-8D03-460A-996A-B545C55DD5D4}"/>
    <cellStyle name="Comma 5 6 2 2 2 2" xfId="5620" xr:uid="{D1CA58FE-5643-4477-A642-78498050B7A9}"/>
    <cellStyle name="Comma 5 6 2 2 2 2 2" xfId="10917" xr:uid="{0C307648-FA64-4256-866F-F5B7C076E2F2}"/>
    <cellStyle name="Comma 5 6 2 2 2 3" xfId="8268" xr:uid="{510CD08F-B00D-41F6-9694-A2DE4E25D8B8}"/>
    <cellStyle name="Comma 5 6 2 2 3" xfId="4296" xr:uid="{B86DBF35-80E9-48CB-8581-F7B9D3773CB7}"/>
    <cellStyle name="Comma 5 6 2 2 3 2" xfId="9593" xr:uid="{E4FAE2DC-2E9B-4C64-B34F-47483854DD1E}"/>
    <cellStyle name="Comma 5 6 2 2 4" xfId="6944" xr:uid="{30A2ADB9-B0F8-4672-809B-7B0955387700}"/>
    <cellStyle name="Comma 5 6 2 3" xfId="2162" xr:uid="{78CCAA91-94B5-401C-91E9-1D458A787676}"/>
    <cellStyle name="Comma 5 6 2 3 2" xfId="4811" xr:uid="{35EC66C8-71B4-496A-82DD-7311B33716FF}"/>
    <cellStyle name="Comma 5 6 2 3 2 2" xfId="10108" xr:uid="{3D0BCE09-AFE4-48F1-B729-FB27C9703BB1}"/>
    <cellStyle name="Comma 5 6 2 3 3" xfId="7459" xr:uid="{A1D2A14A-0334-46B6-BE3D-8DDD8B24EEA4}"/>
    <cellStyle name="Comma 5 6 2 4" xfId="3487" xr:uid="{93133082-8AFC-44EA-889C-05208E2F3C00}"/>
    <cellStyle name="Comma 5 6 2 4 2" xfId="8784" xr:uid="{9AC9DDAE-64F7-4B48-BAAA-BE4C2B3B3329}"/>
    <cellStyle name="Comma 5 6 2 5" xfId="6135" xr:uid="{64A5C023-5C7A-4BA2-A5F6-ACF9B9C5F309}"/>
    <cellStyle name="Comma 5 6 3" xfId="1093" xr:uid="{4479AE30-EDC0-4A88-A013-D0922F0C859C}"/>
    <cellStyle name="Comma 5 6 3 2" xfId="2443" xr:uid="{FD57E860-A1B6-4201-B937-6DF0AA621779}"/>
    <cellStyle name="Comma 5 6 3 2 2" xfId="5092" xr:uid="{8A675590-0941-4179-B619-B3C01C33672A}"/>
    <cellStyle name="Comma 5 6 3 2 2 2" xfId="10389" xr:uid="{442DA741-E4B3-4882-B22F-9D5DC02F28F4}"/>
    <cellStyle name="Comma 5 6 3 2 3" xfId="7740" xr:uid="{3CC37DA8-6BAC-4F7F-B39D-70153EDB9053}"/>
    <cellStyle name="Comma 5 6 3 3" xfId="3768" xr:uid="{13FA3646-0D97-4E03-86CE-541A05654549}"/>
    <cellStyle name="Comma 5 6 3 3 2" xfId="9065" xr:uid="{6B9BB2A6-6D20-4061-9C64-1E3FBB8F06DC}"/>
    <cellStyle name="Comma 5 6 3 4" xfId="6416" xr:uid="{BF833C91-7EB8-455C-9454-6AF8C40056A2}"/>
    <cellStyle name="Comma 5 6 4" xfId="2095" xr:uid="{9D3B4E52-2C0D-49D7-B8F9-9E7CA3343ACA}"/>
    <cellStyle name="Comma 5 6 4 2" xfId="4744" xr:uid="{9DF3B536-3011-4FB9-9E30-2FDED8A06FB1}"/>
    <cellStyle name="Comma 5 6 4 2 2" xfId="10041" xr:uid="{E6986991-3BF2-4517-BCE7-DCDBF525F7DD}"/>
    <cellStyle name="Comma 5 6 4 3" xfId="7392" xr:uid="{7C2D883D-D635-4A04-A757-736F3F63F62A}"/>
    <cellStyle name="Comma 5 6 5" xfId="3420" xr:uid="{5B2569DE-CBF2-4004-BA25-B189F6F3F804}"/>
    <cellStyle name="Comma 5 6 5 2" xfId="8717" xr:uid="{C4B46120-C2F7-4D04-AC43-BA6550CBEE06}"/>
    <cellStyle name="Comma 5 6 6" xfId="6068" xr:uid="{D53B9905-5FDC-4651-A18A-01B352EE114B}"/>
    <cellStyle name="Comma 5 7" xfId="248" xr:uid="{8143DBB1-669E-418F-9842-8E570454332D}"/>
    <cellStyle name="Comma 5 7 2" xfId="1499" xr:uid="{93B947EE-BDB7-4CEC-822F-9802D9823CFA}"/>
    <cellStyle name="Comma 5 7 2 2" xfId="2839" xr:uid="{FC0DAD0A-16AB-4856-BB12-ECF21C11F1F7}"/>
    <cellStyle name="Comma 5 7 2 2 2" xfId="5488" xr:uid="{D3EAAF21-E917-47CB-B7C1-76CD819B2C23}"/>
    <cellStyle name="Comma 5 7 2 2 2 2" xfId="10785" xr:uid="{07A539AB-3DAB-4C8B-8490-6F88F39BF67D}"/>
    <cellStyle name="Comma 5 7 2 2 3" xfId="8136" xr:uid="{8FFCE0D8-586A-4FD8-A69A-368477CEB215}"/>
    <cellStyle name="Comma 5 7 2 3" xfId="4164" xr:uid="{FF962E41-8C1A-4D75-86C5-3D3B796D7E42}"/>
    <cellStyle name="Comma 5 7 2 3 2" xfId="9461" xr:uid="{25D71EF9-B200-473C-8D9B-3D6EF727F10D}"/>
    <cellStyle name="Comma 5 7 2 4" xfId="6812" xr:uid="{BDE7C861-DDD4-4A25-9ED8-BACA4879573E}"/>
    <cellStyle name="Comma 5 7 3" xfId="946" xr:uid="{4A16C8B5-6A4A-4A19-BE45-E7BF00A26111}"/>
    <cellStyle name="Comma 5 7 3 2" xfId="2311" xr:uid="{67AFCE08-B92E-47FC-9044-0B131D5EE324}"/>
    <cellStyle name="Comma 5 7 3 2 2" xfId="4960" xr:uid="{9292F6A6-4B72-43F3-B538-02442BFEB353}"/>
    <cellStyle name="Comma 5 7 3 2 2 2" xfId="10257" xr:uid="{EF9F9BB8-7EE8-4F61-9219-40CDE1C850E8}"/>
    <cellStyle name="Comma 5 7 3 2 3" xfId="7608" xr:uid="{FC4499D7-DCA7-48D1-A2FA-485F9A923C58}"/>
    <cellStyle name="Comma 5 7 3 3" xfId="3636" xr:uid="{746BA1AF-1B0C-4F9E-A853-2226520A80A1}"/>
    <cellStyle name="Comma 5 7 3 3 2" xfId="8933" xr:uid="{22783376-E6A8-4341-8133-57C1575CC2FA}"/>
    <cellStyle name="Comma 5 7 3 4" xfId="6284" xr:uid="{6D4DA175-3FD9-4286-B4B0-09A9EBBEDF48}"/>
    <cellStyle name="Comma 5 7 4" xfId="2113" xr:uid="{E0DC5455-8481-4464-8A24-946951A5E8D0}"/>
    <cellStyle name="Comma 5 7 4 2" xfId="4762" xr:uid="{C31BF24A-2396-421B-A2EB-0B42CADA078D}"/>
    <cellStyle name="Comma 5 7 4 2 2" xfId="10059" xr:uid="{B697CF19-775F-48BA-B349-BBD758B05572}"/>
    <cellStyle name="Comma 5 7 4 3" xfId="7410" xr:uid="{772D112C-6291-4360-A830-E7BF8F56FCF1}"/>
    <cellStyle name="Comma 5 7 5" xfId="3438" xr:uid="{83C27E36-7F46-4BC0-9E36-8468D422979A}"/>
    <cellStyle name="Comma 5 7 5 2" xfId="8735" xr:uid="{E878DE0A-2583-42EF-8AA3-13973735E9D7}"/>
    <cellStyle name="Comma 5 7 6" xfId="6086" xr:uid="{D149C97F-E306-4222-AFBD-9E42BDED5F20}"/>
    <cellStyle name="Comma 5 8" xfId="1235" xr:uid="{C3DAD625-FC0A-4579-B367-880B26D2C678}"/>
    <cellStyle name="Comma 5 8 2" xfId="1763" xr:uid="{234FF6A3-63FC-4812-BD59-46A8D6796BCD}"/>
    <cellStyle name="Comma 5 8 2 2" xfId="3103" xr:uid="{F3BBEE7E-F48E-4E99-99BB-AAECF27F81C5}"/>
    <cellStyle name="Comma 5 8 2 2 2" xfId="5752" xr:uid="{99F0AB09-185B-4502-9466-1B103A969B48}"/>
    <cellStyle name="Comma 5 8 2 2 2 2" xfId="11049" xr:uid="{5E54C50C-3271-4313-B9F8-15019B6143AB}"/>
    <cellStyle name="Comma 5 8 2 2 3" xfId="8400" xr:uid="{81580C65-C627-424C-B202-33AF3E70BCFA}"/>
    <cellStyle name="Comma 5 8 2 3" xfId="4428" xr:uid="{FA75734F-A279-4498-8307-46099A9FE5E5}"/>
    <cellStyle name="Comma 5 8 2 3 2" xfId="9725" xr:uid="{D51B68D3-188A-436C-86DC-6BEB030593BC}"/>
    <cellStyle name="Comma 5 8 2 4" xfId="7076" xr:uid="{B6553D41-089F-478B-9267-74619D4885B7}"/>
    <cellStyle name="Comma 5 8 3" xfId="2575" xr:uid="{675D0C9A-4CF5-4619-9641-7F611A693B35}"/>
    <cellStyle name="Comma 5 8 3 2" xfId="5224" xr:uid="{78E03AEB-4620-4506-A4F2-7F6752FFB88C}"/>
    <cellStyle name="Comma 5 8 3 2 2" xfId="10521" xr:uid="{5CA09ED1-6AB7-4D42-BF4C-F4F42B896A11}"/>
    <cellStyle name="Comma 5 8 3 3" xfId="7872" xr:uid="{A1AD5322-9DD8-4791-95CA-C381145A4026}"/>
    <cellStyle name="Comma 5 8 4" xfId="3900" xr:uid="{37EAC064-4C81-4262-BEB8-40CB8DFDD399}"/>
    <cellStyle name="Comma 5 8 4 2" xfId="9197" xr:uid="{EA0CD585-B2DC-40BB-95EB-E1A7396CF54A}"/>
    <cellStyle name="Comma 5 8 5" xfId="6548" xr:uid="{6A6B6E8D-AF45-4EA5-9069-2027FAFD1D64}"/>
    <cellStyle name="Comma 5 9" xfId="1367" xr:uid="{97F82974-D8CA-4A45-8019-171568A9F2AC}"/>
    <cellStyle name="Comma 5 9 2" xfId="1895" xr:uid="{9FFFB775-D6A7-4EE8-BAC0-2A2ABE4C32E9}"/>
    <cellStyle name="Comma 5 9 2 2" xfId="3235" xr:uid="{17862315-83F2-46C9-B4E0-A3D59572BEAE}"/>
    <cellStyle name="Comma 5 9 2 2 2" xfId="5884" xr:uid="{65B71B3E-E78F-4090-9D83-F742A4EC0796}"/>
    <cellStyle name="Comma 5 9 2 2 2 2" xfId="11181" xr:uid="{26B7EE78-3558-4D48-894E-4FF6AF3C3557}"/>
    <cellStyle name="Comma 5 9 2 2 3" xfId="8532" xr:uid="{829955CC-AFDE-41A2-A829-85ABDEE6B1A6}"/>
    <cellStyle name="Comma 5 9 2 3" xfId="4560" xr:uid="{BFF7C45E-72D3-4E3B-A801-4835622C9932}"/>
    <cellStyle name="Comma 5 9 2 3 2" xfId="9857" xr:uid="{6C184DBD-D93D-4E26-B2F7-E2A912E71836}"/>
    <cellStyle name="Comma 5 9 2 4" xfId="7208" xr:uid="{84BA8470-8248-4D77-B349-3ADB3F7D3BC3}"/>
    <cellStyle name="Comma 5 9 3" xfId="2707" xr:uid="{544FB0A8-8B5C-4E89-8948-9C4292592C69}"/>
    <cellStyle name="Comma 5 9 3 2" xfId="5356" xr:uid="{25CAF89A-2E63-40F7-85FA-0BE524A75760}"/>
    <cellStyle name="Comma 5 9 3 2 2" xfId="10653" xr:uid="{B0594A48-9CB2-4E23-8A91-661DF37DF472}"/>
    <cellStyle name="Comma 5 9 3 3" xfId="8004" xr:uid="{7CD6A4FF-58A0-4AF8-9205-F197E2056A04}"/>
    <cellStyle name="Comma 5 9 4" xfId="4032" xr:uid="{954F9B05-AEBC-4994-A420-105214D17C50}"/>
    <cellStyle name="Comma 5 9 4 2" xfId="9329" xr:uid="{D5E85521-CAC2-4ECD-8FC8-AE04FC6F0B89}"/>
    <cellStyle name="Comma 5 9 5" xfId="6680" xr:uid="{3EC6EC3E-96C4-4678-859C-CBC415762BE6}"/>
    <cellStyle name="Comma 6" xfId="46" xr:uid="{3ED8B28E-E6C0-4E2C-A622-8E0388ACD60E}"/>
    <cellStyle name="Comma 6 10" xfId="2019" xr:uid="{7D04FD2A-C18A-4750-BAC3-E9B839453F4B}"/>
    <cellStyle name="Comma 6 11" xfId="2054" xr:uid="{73783578-9CAF-4D3A-BA6C-997A2137243D}"/>
    <cellStyle name="Comma 6 11 2" xfId="4703" xr:uid="{D8D8279B-8A10-4B26-8CAC-E65724BDD3DC}"/>
    <cellStyle name="Comma 6 11 2 2" xfId="10000" xr:uid="{14461825-5086-413B-AAD2-ACAC1BDC1228}"/>
    <cellStyle name="Comma 6 11 3" xfId="7351" xr:uid="{4DB132F6-7942-441C-9260-CC62C22E9425}"/>
    <cellStyle name="Comma 6 12" xfId="3379" xr:uid="{64F5D026-A955-4505-80EB-1BB2EADBE242}"/>
    <cellStyle name="Comma 6 12 2" xfId="8676" xr:uid="{DFCA209D-31B8-4693-BB85-4E4D9E46E76E}"/>
    <cellStyle name="Comma 6 13" xfId="6027" xr:uid="{339EE973-CC95-468E-BD65-EB48313BB096}"/>
    <cellStyle name="Comma 6 2" xfId="89" xr:uid="{3615A99E-3A0C-4BEF-96BC-D378C3352641}"/>
    <cellStyle name="Comma 6 2 10" xfId="3391" xr:uid="{7C29BDEF-A7A8-4B2A-AE7F-BA5D36FA6FF9}"/>
    <cellStyle name="Comma 6 2 10 2" xfId="8688" xr:uid="{3B235537-2B3D-4A8E-8203-D1E26A4CB025}"/>
    <cellStyle name="Comma 6 2 11" xfId="6039" xr:uid="{0E86408F-8A6F-462F-9F98-A80364B32E23}"/>
    <cellStyle name="Comma 6 2 2" xfId="321" xr:uid="{4E5CE047-1A8A-43B3-AC4B-C068E6FD3EEC}"/>
    <cellStyle name="Comma 6 2 2 2" xfId="1214" xr:uid="{35C31836-7100-4A1C-A3E1-455E4BE7B398}"/>
    <cellStyle name="Comma 6 2 2 2 2" xfId="1742" xr:uid="{859E6F6B-2115-492F-B44E-C9DB6AA792F4}"/>
    <cellStyle name="Comma 6 2 2 2 2 2" xfId="3082" xr:uid="{93E2A3B2-4C0A-4616-813F-1E651F3C9BBC}"/>
    <cellStyle name="Comma 6 2 2 2 2 2 2" xfId="5731" xr:uid="{CBA4627A-42DA-479B-91A4-C4A4BA4BE3C6}"/>
    <cellStyle name="Comma 6 2 2 2 2 2 2 2" xfId="11028" xr:uid="{17E55BFA-2B6E-453E-A949-3B6F9363D3C1}"/>
    <cellStyle name="Comma 6 2 2 2 2 2 3" xfId="8379" xr:uid="{4BFF9028-5C5B-4AA4-AAC1-258EC811964F}"/>
    <cellStyle name="Comma 6 2 2 2 2 3" xfId="4407" xr:uid="{57B0E544-D293-4B21-A9E5-04B697B49A16}"/>
    <cellStyle name="Comma 6 2 2 2 2 3 2" xfId="9704" xr:uid="{2DFB2AC7-4D53-4314-8C89-3A410D7E3F96}"/>
    <cellStyle name="Comma 6 2 2 2 2 4" xfId="7055" xr:uid="{6E34B010-F320-4C96-AB9D-ADB3F8AD9874}"/>
    <cellStyle name="Comma 6 2 2 2 3" xfId="2554" xr:uid="{C1ED7ADE-E7AC-46CD-839A-AE1253EB075B}"/>
    <cellStyle name="Comma 6 2 2 2 3 2" xfId="5203" xr:uid="{5A42EC5D-A1C0-40C8-B9D1-B64ABBD4368E}"/>
    <cellStyle name="Comma 6 2 2 2 3 2 2" xfId="10500" xr:uid="{B5C27958-C198-4DD0-91A7-551D7086A6BA}"/>
    <cellStyle name="Comma 6 2 2 2 3 3" xfId="7851" xr:uid="{42C9DAA7-92AA-42B7-926F-C618A1DA21EB}"/>
    <cellStyle name="Comma 6 2 2 2 4" xfId="3879" xr:uid="{A10A4884-D4BC-432A-B116-C58217F85B7D}"/>
    <cellStyle name="Comma 6 2 2 2 4 2" xfId="9176" xr:uid="{979E20EC-D002-4EFC-A6D9-ACB19D93456E}"/>
    <cellStyle name="Comma 6 2 2 2 5" xfId="6527" xr:uid="{21E9410F-3AF8-4138-8A20-A5A4EA2B3111}"/>
    <cellStyle name="Comma 6 2 2 3" xfId="1071" xr:uid="{F57595C6-B024-4D51-A411-53A420891275}"/>
    <cellStyle name="Comma 6 2 2 3 2" xfId="1610" xr:uid="{5F08FBFC-7438-46A9-9A4E-DFBC7AF80BC0}"/>
    <cellStyle name="Comma 6 2 2 3 2 2" xfId="2950" xr:uid="{84AD9A21-0949-4794-8203-C8E40D5ED72B}"/>
    <cellStyle name="Comma 6 2 2 3 2 2 2" xfId="5599" xr:uid="{E630EB78-0C76-410F-809B-FF6A0B901F9F}"/>
    <cellStyle name="Comma 6 2 2 3 2 2 2 2" xfId="10896" xr:uid="{DF0C0E4E-2606-4E29-9BE3-C31005966ABF}"/>
    <cellStyle name="Comma 6 2 2 3 2 2 3" xfId="8247" xr:uid="{D8453495-4FD5-459B-8D21-B5C0DAB2DCC8}"/>
    <cellStyle name="Comma 6 2 2 3 2 3" xfId="4275" xr:uid="{EA88EA79-0C58-4061-8FC9-94E92F87FCF3}"/>
    <cellStyle name="Comma 6 2 2 3 2 3 2" xfId="9572" xr:uid="{CD6F2E94-DEC3-4F5B-B646-6294690DF839}"/>
    <cellStyle name="Comma 6 2 2 3 2 4" xfId="6923" xr:uid="{50F15AC3-DDDF-4632-AB55-E293BFF4FCEF}"/>
    <cellStyle name="Comma 6 2 2 3 3" xfId="2422" xr:uid="{6EDBB766-6311-49D7-A8C0-68D61CA1F122}"/>
    <cellStyle name="Comma 6 2 2 3 3 2" xfId="5071" xr:uid="{A5B71DFF-CF20-4459-B288-F705C00EF590}"/>
    <cellStyle name="Comma 6 2 2 3 3 2 2" xfId="10368" xr:uid="{235FACA7-D076-42F5-B0CC-2A42432A32D7}"/>
    <cellStyle name="Comma 6 2 2 3 3 3" xfId="7719" xr:uid="{16118780-18E2-4FE7-BA92-552187615439}"/>
    <cellStyle name="Comma 6 2 2 3 4" xfId="3747" xr:uid="{E87B27B7-0B74-444B-BFFB-D3937DDDA961}"/>
    <cellStyle name="Comma 6 2 2 3 4 2" xfId="9044" xr:uid="{FD4CE967-A97A-4A89-812D-2D41179E4904}"/>
    <cellStyle name="Comma 6 2 2 3 5" xfId="6395" xr:uid="{4974C689-86B8-408C-B0C8-7A7E73E47C86}"/>
    <cellStyle name="Comma 6 2 2 4" xfId="1346" xr:uid="{2EE255A7-A813-4AE4-9DC8-1CAECF7EEA67}"/>
    <cellStyle name="Comma 6 2 2 4 2" xfId="1874" xr:uid="{70E80C8A-3B7F-4F57-9B5D-D792FE87963F}"/>
    <cellStyle name="Comma 6 2 2 4 2 2" xfId="3214" xr:uid="{BB2B0C03-3E85-4950-A912-25AD287ECED2}"/>
    <cellStyle name="Comma 6 2 2 4 2 2 2" xfId="5863" xr:uid="{22248385-191A-4C87-8402-32B773F69174}"/>
    <cellStyle name="Comma 6 2 2 4 2 2 2 2" xfId="11160" xr:uid="{1B2BA83A-C756-4B4B-A4DC-82682C2C8670}"/>
    <cellStyle name="Comma 6 2 2 4 2 2 3" xfId="8511" xr:uid="{69CE77B2-FE32-4D01-AA2F-5E3D307B325F}"/>
    <cellStyle name="Comma 6 2 2 4 2 3" xfId="4539" xr:uid="{27885711-8073-4479-83DF-CC757730B59D}"/>
    <cellStyle name="Comma 6 2 2 4 2 3 2" xfId="9836" xr:uid="{201B64CF-54D7-4360-B438-1F20F1C5B40F}"/>
    <cellStyle name="Comma 6 2 2 4 2 4" xfId="7187" xr:uid="{336A2FA8-31DC-40C8-8FDB-346ADDA320A6}"/>
    <cellStyle name="Comma 6 2 2 4 3" xfId="2686" xr:uid="{4A27F917-92F3-4415-9871-7E28ECC3439D}"/>
    <cellStyle name="Comma 6 2 2 4 3 2" xfId="5335" xr:uid="{04D3A020-14A4-4071-A2E5-FA79A7CF5ADA}"/>
    <cellStyle name="Comma 6 2 2 4 3 2 2" xfId="10632" xr:uid="{375FBFF9-A262-4F3B-A022-51114775CA4E}"/>
    <cellStyle name="Comma 6 2 2 4 3 3" xfId="7983" xr:uid="{29917149-1C46-4248-A2A5-2094BD6F7C65}"/>
    <cellStyle name="Comma 6 2 2 4 4" xfId="4011" xr:uid="{643BF723-DA1E-4807-AA21-05C74D31AA06}"/>
    <cellStyle name="Comma 6 2 2 4 4 2" xfId="9308" xr:uid="{944C7844-7DEE-4DC2-9A1C-74D3EF5625CA}"/>
    <cellStyle name="Comma 6 2 2 4 5" xfId="6659" xr:uid="{AB97938E-AE07-478C-85E3-346808B6DC37}"/>
    <cellStyle name="Comma 6 2 2 5" xfId="1478" xr:uid="{15103DD1-2841-4B62-85D6-DA8AC3C29091}"/>
    <cellStyle name="Comma 6 2 2 5 2" xfId="2006" xr:uid="{453A669D-1378-40B9-938F-661FA5C1E276}"/>
    <cellStyle name="Comma 6 2 2 5 2 2" xfId="3346" xr:uid="{70205DEE-D569-4D9C-95B1-A6857D5457BA}"/>
    <cellStyle name="Comma 6 2 2 5 2 2 2" xfId="5995" xr:uid="{37A7601A-EB47-4744-BA9E-0D8C987761AA}"/>
    <cellStyle name="Comma 6 2 2 5 2 2 2 2" xfId="11292" xr:uid="{51211EE6-96DA-42D6-B59F-E658496C5646}"/>
    <cellStyle name="Comma 6 2 2 5 2 2 3" xfId="8643" xr:uid="{182E4683-3464-4C53-905D-A058F22564C1}"/>
    <cellStyle name="Comma 6 2 2 5 2 3" xfId="4671" xr:uid="{87E71EDF-F50A-42D5-A8C7-2949AF82D76F}"/>
    <cellStyle name="Comma 6 2 2 5 2 3 2" xfId="9968" xr:uid="{DC641F88-6AC0-4DC1-B741-2AFCD65970AA}"/>
    <cellStyle name="Comma 6 2 2 5 2 4" xfId="7319" xr:uid="{332A894A-FB64-4F32-8BD6-0B9259048A8E}"/>
    <cellStyle name="Comma 6 2 2 5 3" xfId="2818" xr:uid="{BBF4665A-82DB-4DAF-980C-226042D384F8}"/>
    <cellStyle name="Comma 6 2 2 5 3 2" xfId="5467" xr:uid="{C6635597-E45E-4B69-8ABD-E0F950C8B7AB}"/>
    <cellStyle name="Comma 6 2 2 5 3 2 2" xfId="10764" xr:uid="{46EB4593-8488-4F04-983A-44FA9BF479C6}"/>
    <cellStyle name="Comma 6 2 2 5 3 3" xfId="8115" xr:uid="{421A11A0-4328-4978-ADDD-0D461A7BE2FE}"/>
    <cellStyle name="Comma 6 2 2 5 4" xfId="4143" xr:uid="{CAC3EA9D-AAFF-4D52-B553-62551D41AB4B}"/>
    <cellStyle name="Comma 6 2 2 5 4 2" xfId="9440" xr:uid="{67379F08-6832-4551-97B6-7C66B1070A2D}"/>
    <cellStyle name="Comma 6 2 2 5 5" xfId="6791" xr:uid="{DDA7C682-C8BF-4B7E-93F6-EDB6968B925E}"/>
    <cellStyle name="Comma 6 2 2 6" xfId="923" xr:uid="{912C5D8E-4AC0-4CF6-B3F1-DD50AA892D73}"/>
    <cellStyle name="Comma 6 2 2 6 2" xfId="2290" xr:uid="{E8CFC16D-25C9-48BC-88CF-C9DB834A2CC6}"/>
    <cellStyle name="Comma 6 2 2 6 2 2" xfId="4939" xr:uid="{D4288944-E65C-4826-8975-E96129CCC7E9}"/>
    <cellStyle name="Comma 6 2 2 6 2 2 2" xfId="10236" xr:uid="{4E47000D-2374-4C60-9E11-33F914954C4A}"/>
    <cellStyle name="Comma 6 2 2 6 2 3" xfId="7587" xr:uid="{4110833F-40C1-4BD7-AE63-D6FF52914D52}"/>
    <cellStyle name="Comma 6 2 2 6 3" xfId="3615" xr:uid="{F076BA7F-8DAE-4A81-9D3A-FB3BA9D2B395}"/>
    <cellStyle name="Comma 6 2 2 6 3 2" xfId="8912" xr:uid="{B0F319AB-70AC-477C-9386-AA6B86E691DF}"/>
    <cellStyle name="Comma 6 2 2 6 4" xfId="6263" xr:uid="{5DAF9D09-448F-419B-9BB4-9006EF244174}"/>
    <cellStyle name="Comma 6 2 2 7" xfId="2133" xr:uid="{13CBF13A-3704-4435-8D02-06B1B766621C}"/>
    <cellStyle name="Comma 6 2 2 7 2" xfId="4782" xr:uid="{49A84F67-6EFC-4686-9BEA-184216258DEF}"/>
    <cellStyle name="Comma 6 2 2 7 2 2" xfId="10079" xr:uid="{C9D7486B-438E-4161-B994-CB815CCCEDC3}"/>
    <cellStyle name="Comma 6 2 2 7 3" xfId="7430" xr:uid="{1FC06961-6C21-4E96-B6F6-64221DF719EF}"/>
    <cellStyle name="Comma 6 2 2 8" xfId="3458" xr:uid="{5A0C69C8-8554-41D0-95E1-9EE67A5A5AB4}"/>
    <cellStyle name="Comma 6 2 2 8 2" xfId="8755" xr:uid="{B098253A-75A9-4F16-AC28-8781A17F2B06}"/>
    <cellStyle name="Comma 6 2 2 9" xfId="6106" xr:uid="{01080894-C2BE-4C42-B87E-A281CB6D16E4}"/>
    <cellStyle name="Comma 6 2 3" xfId="801" xr:uid="{55ECBC84-3EC5-44D1-AE39-1DA4E9713791}"/>
    <cellStyle name="Comma 6 2 3 2" xfId="1162" xr:uid="{FC34CC95-899A-4E03-BCC2-6750237841AC}"/>
    <cellStyle name="Comma 6 2 3 2 2" xfId="1694" xr:uid="{C026FC41-5ED8-4162-AA2E-D25251F2B1F7}"/>
    <cellStyle name="Comma 6 2 3 2 2 2" xfId="3034" xr:uid="{195642E4-B7BF-47A5-9B17-6FC3A4B24E68}"/>
    <cellStyle name="Comma 6 2 3 2 2 2 2" xfId="5683" xr:uid="{C12444DC-A61A-467E-975F-EE050CC207F4}"/>
    <cellStyle name="Comma 6 2 3 2 2 2 2 2" xfId="10980" xr:uid="{5651D613-5DFF-45F5-90AC-BB924CD686A9}"/>
    <cellStyle name="Comma 6 2 3 2 2 2 3" xfId="8331" xr:uid="{4A8966C7-EB83-4B8E-A5BA-04F7A8BBE1DB}"/>
    <cellStyle name="Comma 6 2 3 2 2 3" xfId="4359" xr:uid="{E51782EE-67C6-4F4F-AE27-EC293B302D12}"/>
    <cellStyle name="Comma 6 2 3 2 2 3 2" xfId="9656" xr:uid="{C81A34EF-7A2A-41E6-8CEE-D561AAD46AA5}"/>
    <cellStyle name="Comma 6 2 3 2 2 4" xfId="7007" xr:uid="{93922515-651E-400D-9672-B228DFE2C747}"/>
    <cellStyle name="Comma 6 2 3 2 3" xfId="2506" xr:uid="{B6F6C45E-7732-453A-B024-5F289FDDED25}"/>
    <cellStyle name="Comma 6 2 3 2 3 2" xfId="5155" xr:uid="{244E590E-1106-45F0-9FF3-69CB63525461}"/>
    <cellStyle name="Comma 6 2 3 2 3 2 2" xfId="10452" xr:uid="{7D2DEB7A-FC1A-48A2-95B5-182446A5F2BD}"/>
    <cellStyle name="Comma 6 2 3 2 3 3" xfId="7803" xr:uid="{1846CBF6-97F6-4078-A222-11CFBE09D112}"/>
    <cellStyle name="Comma 6 2 3 2 4" xfId="3831" xr:uid="{725B0BFC-A3AB-4C40-A908-C197F48E0210}"/>
    <cellStyle name="Comma 6 2 3 2 4 2" xfId="9128" xr:uid="{FD3631E6-FFFE-4EE2-A91B-0131AA48EB64}"/>
    <cellStyle name="Comma 6 2 3 2 5" xfId="6479" xr:uid="{564662C0-C558-4C9C-9868-E1A90E422F98}"/>
    <cellStyle name="Comma 6 2 3 3" xfId="1018" xr:uid="{0C7DB318-827C-49F9-B321-5A7D51E936A9}"/>
    <cellStyle name="Comma 6 2 3 3 2" xfId="1562" xr:uid="{1A5C196F-8B7C-464A-B792-DBC6C9419EAF}"/>
    <cellStyle name="Comma 6 2 3 3 2 2" xfId="2902" xr:uid="{38F1B07C-4E10-498E-8B35-1537BEA9B153}"/>
    <cellStyle name="Comma 6 2 3 3 2 2 2" xfId="5551" xr:uid="{DCBDF441-D129-498A-82FA-F7267D4733B9}"/>
    <cellStyle name="Comma 6 2 3 3 2 2 2 2" xfId="10848" xr:uid="{FBE23876-F1D5-4F0C-A276-6A7B223619F0}"/>
    <cellStyle name="Comma 6 2 3 3 2 2 3" xfId="8199" xr:uid="{B12D9DF2-68AD-400A-8805-04E2B55F03EC}"/>
    <cellStyle name="Comma 6 2 3 3 2 3" xfId="4227" xr:uid="{AD281A50-07AF-4C0A-87A5-402037AA7F89}"/>
    <cellStyle name="Comma 6 2 3 3 2 3 2" xfId="9524" xr:uid="{808D333F-4A9D-4EE1-9585-97B104069A11}"/>
    <cellStyle name="Comma 6 2 3 3 2 4" xfId="6875" xr:uid="{13650BA1-D37A-4ACB-836A-0D30BB1F0DAD}"/>
    <cellStyle name="Comma 6 2 3 3 3" xfId="2374" xr:uid="{129E8EAE-7856-4409-A187-32E0BB441D51}"/>
    <cellStyle name="Comma 6 2 3 3 3 2" xfId="5023" xr:uid="{1BD3F999-40EC-4227-B1A3-56034D7E659C}"/>
    <cellStyle name="Comma 6 2 3 3 3 2 2" xfId="10320" xr:uid="{E0565E92-0AFA-448A-9D03-7788C0202B51}"/>
    <cellStyle name="Comma 6 2 3 3 3 3" xfId="7671" xr:uid="{2B590A0A-1793-46B8-BCAA-BCD7981541A3}"/>
    <cellStyle name="Comma 6 2 3 3 4" xfId="3699" xr:uid="{B507F3E6-39C3-40AB-9374-C7F4307BBD9B}"/>
    <cellStyle name="Comma 6 2 3 3 4 2" xfId="8996" xr:uid="{BFED8AB5-4BEB-4F39-A03D-DFA2CF182BA6}"/>
    <cellStyle name="Comma 6 2 3 3 5" xfId="6347" xr:uid="{0BFEAC93-58DA-42AB-ACA1-070E62D26C12}"/>
    <cellStyle name="Comma 6 2 3 4" xfId="1298" xr:uid="{30FE7D02-DB00-483A-9648-5DA67E75269A}"/>
    <cellStyle name="Comma 6 2 3 4 2" xfId="1826" xr:uid="{CB5EDBD8-EC19-4313-AD02-B23AAD871804}"/>
    <cellStyle name="Comma 6 2 3 4 2 2" xfId="3166" xr:uid="{A797DFC1-26CC-4380-B50C-18D3BFFA6750}"/>
    <cellStyle name="Comma 6 2 3 4 2 2 2" xfId="5815" xr:uid="{C7970AD8-E228-4D4C-B52B-A4B913ED8C7B}"/>
    <cellStyle name="Comma 6 2 3 4 2 2 2 2" xfId="11112" xr:uid="{553F0CAC-4402-449C-A6E9-EBCB632ED595}"/>
    <cellStyle name="Comma 6 2 3 4 2 2 3" xfId="8463" xr:uid="{8B6B146C-3DAA-495D-83CF-FEF8D0C38117}"/>
    <cellStyle name="Comma 6 2 3 4 2 3" xfId="4491" xr:uid="{7CA8A0BF-33EA-44B4-99FF-DB978737A5F0}"/>
    <cellStyle name="Comma 6 2 3 4 2 3 2" xfId="9788" xr:uid="{E72CAC68-78D7-4777-A439-A74D0EF260C6}"/>
    <cellStyle name="Comma 6 2 3 4 2 4" xfId="7139" xr:uid="{0694588B-FC74-4C31-9A1C-0042E1236974}"/>
    <cellStyle name="Comma 6 2 3 4 3" xfId="2638" xr:uid="{E52CCDC5-F8B0-4FA7-B49E-0B079CD3A39C}"/>
    <cellStyle name="Comma 6 2 3 4 3 2" xfId="5287" xr:uid="{CC057537-5E92-4497-8250-4CF3F0080A27}"/>
    <cellStyle name="Comma 6 2 3 4 3 2 2" xfId="10584" xr:uid="{0776AED4-4B5D-43BF-8802-56CC7046F32B}"/>
    <cellStyle name="Comma 6 2 3 4 3 3" xfId="7935" xr:uid="{827E935C-8880-44E6-9885-D836A39357D2}"/>
    <cellStyle name="Comma 6 2 3 4 4" xfId="3963" xr:uid="{AD1DC43A-E6F3-424A-81E4-557A14D0A916}"/>
    <cellStyle name="Comma 6 2 3 4 4 2" xfId="9260" xr:uid="{8754DEC6-45A2-4871-8946-0C30AE5A0DE5}"/>
    <cellStyle name="Comma 6 2 3 4 5" xfId="6611" xr:uid="{DA74DCD6-BA9C-452A-95B8-DF75FC69B01B}"/>
    <cellStyle name="Comma 6 2 3 5" xfId="1430" xr:uid="{5FAA86D1-79F9-4518-B235-5E02DC03FFF7}"/>
    <cellStyle name="Comma 6 2 3 5 2" xfId="1958" xr:uid="{4511750D-723B-42F7-AD1C-EA6416A3F68A}"/>
    <cellStyle name="Comma 6 2 3 5 2 2" xfId="3298" xr:uid="{9CB52DE6-EBA2-4739-953B-9104719D3261}"/>
    <cellStyle name="Comma 6 2 3 5 2 2 2" xfId="5947" xr:uid="{27A2B990-BCDC-4010-A2E0-11285712B1B7}"/>
    <cellStyle name="Comma 6 2 3 5 2 2 2 2" xfId="11244" xr:uid="{266A4EA5-BA8C-45CE-9A29-4AB138FE4204}"/>
    <cellStyle name="Comma 6 2 3 5 2 2 3" xfId="8595" xr:uid="{820EA1E1-5C50-4D8D-B554-D21F4C2961BC}"/>
    <cellStyle name="Comma 6 2 3 5 2 3" xfId="4623" xr:uid="{F33DEB6B-D64C-4FE8-9478-18D9800640B2}"/>
    <cellStyle name="Comma 6 2 3 5 2 3 2" xfId="9920" xr:uid="{115DF82D-B574-4797-8AD4-D1FD46797EE3}"/>
    <cellStyle name="Comma 6 2 3 5 2 4" xfId="7271" xr:uid="{9F9B8A55-E7E4-4A17-8131-D5F78065D4B3}"/>
    <cellStyle name="Comma 6 2 3 5 3" xfId="2770" xr:uid="{80FDA74E-07C4-4DB8-BD6E-FFD03132C73F}"/>
    <cellStyle name="Comma 6 2 3 5 3 2" xfId="5419" xr:uid="{CD6620E5-52B5-4337-B148-94E22D9B94A8}"/>
    <cellStyle name="Comma 6 2 3 5 3 2 2" xfId="10716" xr:uid="{CE339CF3-3156-4175-A8B9-50563D61C32F}"/>
    <cellStyle name="Comma 6 2 3 5 3 3" xfId="8067" xr:uid="{DF4D45C6-EA0D-4378-9698-5299217F6B12}"/>
    <cellStyle name="Comma 6 2 3 5 4" xfId="4095" xr:uid="{861ADB40-29DD-4202-8BF4-FB9050A035E1}"/>
    <cellStyle name="Comma 6 2 3 5 4 2" xfId="9392" xr:uid="{604A60A3-2EE4-4E65-8F85-1CEAD0F9522F}"/>
    <cellStyle name="Comma 6 2 3 5 5" xfId="6743" xr:uid="{B093004C-82BA-46F8-A622-39A93C1A1CFE}"/>
    <cellStyle name="Comma 6 2 3 6" xfId="2246" xr:uid="{3719ADF6-39E3-4624-B66B-EC99F1BD1D4E}"/>
    <cellStyle name="Comma 6 2 3 6 2" xfId="4895" xr:uid="{66C6A1A3-DA03-4804-96A7-A216956F0E81}"/>
    <cellStyle name="Comma 6 2 3 6 2 2" xfId="10192" xr:uid="{C395F20C-DCE3-46D4-B5C6-613980E6C0F8}"/>
    <cellStyle name="Comma 6 2 3 6 3" xfId="7543" xr:uid="{A4D6318F-D073-4368-A721-260A406AE807}"/>
    <cellStyle name="Comma 6 2 3 7" xfId="3571" xr:uid="{5EFB13E7-D5B7-438D-9BC3-B27364021F9F}"/>
    <cellStyle name="Comma 6 2 3 7 2" xfId="8868" xr:uid="{2958D808-B6EA-4B4F-BAA5-78DE8470F170}"/>
    <cellStyle name="Comma 6 2 3 8" xfId="6219" xr:uid="{917A1399-2144-4C61-914D-EAA338B44740}"/>
    <cellStyle name="Comma 6 2 4" xfId="1122" xr:uid="{5E66C888-A75D-42AA-A300-409A7BC09D9C}"/>
    <cellStyle name="Comma 6 2 4 2" xfId="1656" xr:uid="{FD6196C0-8FD3-4992-AC3E-0411913DEA3B}"/>
    <cellStyle name="Comma 6 2 4 2 2" xfId="2996" xr:uid="{D07D9BF2-8F85-4664-B503-38EDF23F747F}"/>
    <cellStyle name="Comma 6 2 4 2 2 2" xfId="5645" xr:uid="{0CE0CE34-0DDE-45B0-B528-07B609471485}"/>
    <cellStyle name="Comma 6 2 4 2 2 2 2" xfId="10942" xr:uid="{20BD34B6-D8BC-4C4E-BEC8-897904876767}"/>
    <cellStyle name="Comma 6 2 4 2 2 3" xfId="8293" xr:uid="{9FD9BA27-4329-4EC8-965A-F8FCCEBCC881}"/>
    <cellStyle name="Comma 6 2 4 2 3" xfId="4321" xr:uid="{FF770049-7015-4AE9-9FAD-1D155AF8AB6D}"/>
    <cellStyle name="Comma 6 2 4 2 3 2" xfId="9618" xr:uid="{BC94D001-71BF-44D3-8BAA-8D3F7E74F2FA}"/>
    <cellStyle name="Comma 6 2 4 2 4" xfId="6969" xr:uid="{74315A9E-475F-44F7-9246-719A39169BEE}"/>
    <cellStyle name="Comma 6 2 4 3" xfId="2468" xr:uid="{9A5275EC-05D5-4ADC-AEE0-E53DBD7ECE5B}"/>
    <cellStyle name="Comma 6 2 4 3 2" xfId="5117" xr:uid="{C1F0CEF7-ED65-4E2D-A0D8-36484CA08F2C}"/>
    <cellStyle name="Comma 6 2 4 3 2 2" xfId="10414" xr:uid="{F157FA3D-6207-4E40-B52C-D2B8233E5674}"/>
    <cellStyle name="Comma 6 2 4 3 3" xfId="7765" xr:uid="{7FA20BAD-B3F7-4841-94F9-C2B94A32B0D3}"/>
    <cellStyle name="Comma 6 2 4 4" xfId="3793" xr:uid="{40BEF2CD-DF8A-4C56-A86C-4B833C204DD1}"/>
    <cellStyle name="Comma 6 2 4 4 2" xfId="9090" xr:uid="{E1E5C76C-72C9-4568-8673-790B47CE280C}"/>
    <cellStyle name="Comma 6 2 4 5" xfId="6441" xr:uid="{87C257A5-2597-4F65-878A-B5ADDCDE0F59}"/>
    <cellStyle name="Comma 6 2 5" xfId="976" xr:uid="{AD209C7B-F790-45CE-ACB8-95D5FBC28214}"/>
    <cellStyle name="Comma 6 2 5 2" xfId="1524" xr:uid="{F59C4F4F-973A-4F22-98FB-72A7A2DCA1DF}"/>
    <cellStyle name="Comma 6 2 5 2 2" xfId="2864" xr:uid="{67A62452-CFA1-4DC1-A07F-79F22DDD2683}"/>
    <cellStyle name="Comma 6 2 5 2 2 2" xfId="5513" xr:uid="{A3C9462D-B6BC-4674-93B0-D9BBBA257FDE}"/>
    <cellStyle name="Comma 6 2 5 2 2 2 2" xfId="10810" xr:uid="{74858DA2-9571-4E84-9655-D5DB232B0059}"/>
    <cellStyle name="Comma 6 2 5 2 2 3" xfId="8161" xr:uid="{F1EC3DF3-5D33-4C06-8298-ACF5EBAF3196}"/>
    <cellStyle name="Comma 6 2 5 2 3" xfId="4189" xr:uid="{32EA5873-7AC6-44FB-AEA0-EC787AB18FA5}"/>
    <cellStyle name="Comma 6 2 5 2 3 2" xfId="9486" xr:uid="{6FA4249A-40FB-4C49-A637-15641A63E83D}"/>
    <cellStyle name="Comma 6 2 5 2 4" xfId="6837" xr:uid="{430DE507-9B23-489A-BAA4-4DADA72DA71B}"/>
    <cellStyle name="Comma 6 2 5 3" xfId="2336" xr:uid="{FB27D689-020A-43DE-B800-9135BB4B0BFD}"/>
    <cellStyle name="Comma 6 2 5 3 2" xfId="4985" xr:uid="{A5470058-9D37-4222-889F-E188E3486788}"/>
    <cellStyle name="Comma 6 2 5 3 2 2" xfId="10282" xr:uid="{BBB01907-10F2-4D90-8783-A2577FEE08A8}"/>
    <cellStyle name="Comma 6 2 5 3 3" xfId="7633" xr:uid="{562B9364-B289-4B30-8075-D590C4AD2F67}"/>
    <cellStyle name="Comma 6 2 5 4" xfId="3661" xr:uid="{4A141138-6B36-4538-A036-07F4260907EB}"/>
    <cellStyle name="Comma 6 2 5 4 2" xfId="8958" xr:uid="{6A37038C-E90C-4E03-8697-F0BE80D32A42}"/>
    <cellStyle name="Comma 6 2 5 5" xfId="6309" xr:uid="{791F0F8F-87E4-48F9-A671-47F1E4DAC839}"/>
    <cellStyle name="Comma 6 2 6" xfId="1260" xr:uid="{7379C088-93FD-4346-A4DF-9AE00CFFAF5E}"/>
    <cellStyle name="Comma 6 2 6 2" xfId="1788" xr:uid="{E3E26A4C-CB3D-48B7-B0E1-67D8109DC2F1}"/>
    <cellStyle name="Comma 6 2 6 2 2" xfId="3128" xr:uid="{5ACF028D-4F16-4C93-8865-A3A75300E62B}"/>
    <cellStyle name="Comma 6 2 6 2 2 2" xfId="5777" xr:uid="{159CC5A5-E9F4-42D9-B71A-D5C2D59342DC}"/>
    <cellStyle name="Comma 6 2 6 2 2 2 2" xfId="11074" xr:uid="{2559A339-9303-439E-8797-226DA166D49F}"/>
    <cellStyle name="Comma 6 2 6 2 2 3" xfId="8425" xr:uid="{3DF86866-8F44-42D7-B79A-C794540E5F0A}"/>
    <cellStyle name="Comma 6 2 6 2 3" xfId="4453" xr:uid="{0C9605DF-4C91-4D21-A7F9-E78BA0E07B32}"/>
    <cellStyle name="Comma 6 2 6 2 3 2" xfId="9750" xr:uid="{EC3F0718-6735-4568-8F45-4C2929359BE1}"/>
    <cellStyle name="Comma 6 2 6 2 4" xfId="7101" xr:uid="{19709A8E-DE98-4F0F-923A-F3D537FFED2C}"/>
    <cellStyle name="Comma 6 2 6 3" xfId="2600" xr:uid="{58DBD794-80FA-477E-B0B7-8B28FEF1DA35}"/>
    <cellStyle name="Comma 6 2 6 3 2" xfId="5249" xr:uid="{CA6B35D7-EB94-4B74-BE69-15F359E042CF}"/>
    <cellStyle name="Comma 6 2 6 3 2 2" xfId="10546" xr:uid="{38FCA18D-04AE-4975-B9C1-8635C4534E69}"/>
    <cellStyle name="Comma 6 2 6 3 3" xfId="7897" xr:uid="{E6F3985F-DACC-4E29-9D5E-778C1863C19A}"/>
    <cellStyle name="Comma 6 2 6 4" xfId="3925" xr:uid="{501A386F-F7FC-4DBD-BC7C-9B0BD1FE10C1}"/>
    <cellStyle name="Comma 6 2 6 4 2" xfId="9222" xr:uid="{971A7F08-079F-48E4-B159-DCB8B91F24A3}"/>
    <cellStyle name="Comma 6 2 6 5" xfId="6573" xr:uid="{7DB605D2-C70A-4B0A-AA19-81BE48AE5911}"/>
    <cellStyle name="Comma 6 2 7" xfId="1392" xr:uid="{A0DE8A6F-DB16-47D3-9286-501DEA929851}"/>
    <cellStyle name="Comma 6 2 7 2" xfId="1920" xr:uid="{D8C23F06-D296-4C8D-976F-BB08E6DBDD5C}"/>
    <cellStyle name="Comma 6 2 7 2 2" xfId="3260" xr:uid="{60A34EA6-A105-4DA7-91A2-1A80A31D67C7}"/>
    <cellStyle name="Comma 6 2 7 2 2 2" xfId="5909" xr:uid="{AE738393-939F-42A5-9877-8E44B6ABED97}"/>
    <cellStyle name="Comma 6 2 7 2 2 2 2" xfId="11206" xr:uid="{FDE7A85A-74DA-481F-BC51-98D49EC2D1E6}"/>
    <cellStyle name="Comma 6 2 7 2 2 3" xfId="8557" xr:uid="{832A6162-FEBD-417C-938F-D7B47E402906}"/>
    <cellStyle name="Comma 6 2 7 2 3" xfId="4585" xr:uid="{7BEEF155-ADEC-448F-A2C2-E80F39EBA362}"/>
    <cellStyle name="Comma 6 2 7 2 3 2" xfId="9882" xr:uid="{144963B5-9849-4D47-84FA-BDFBE0098D75}"/>
    <cellStyle name="Comma 6 2 7 2 4" xfId="7233" xr:uid="{3D7F137F-F20E-42AE-8569-D9F2EAA2DA05}"/>
    <cellStyle name="Comma 6 2 7 3" xfId="2732" xr:uid="{3325CB2B-0271-49F5-9DB4-DE50BDB0AD51}"/>
    <cellStyle name="Comma 6 2 7 3 2" xfId="5381" xr:uid="{1DB7B088-4348-4487-9092-31CA6DF54C8E}"/>
    <cellStyle name="Comma 6 2 7 3 2 2" xfId="10678" xr:uid="{1E0FC6A6-74C2-4C16-9D00-30BBEFC1C4D2}"/>
    <cellStyle name="Comma 6 2 7 3 3" xfId="8029" xr:uid="{4BE198AE-6078-4B4E-B124-19FA2C08ED18}"/>
    <cellStyle name="Comma 6 2 7 4" xfId="4057" xr:uid="{8CAA8E7E-4DD8-465F-8369-C0D0D2D20C1E}"/>
    <cellStyle name="Comma 6 2 7 4 2" xfId="9354" xr:uid="{A67C04E3-9C1A-499C-AA2E-72D27ACC86E1}"/>
    <cellStyle name="Comma 6 2 7 5" xfId="6705" xr:uid="{3DC7FC0B-D6BD-4662-8763-324B98DC8327}"/>
    <cellStyle name="Comma 6 2 8" xfId="649" xr:uid="{2D41DE0A-DE6B-478C-B5CC-E93B87F3F941}"/>
    <cellStyle name="Comma 6 2 8 2" xfId="2209" xr:uid="{39D266D2-8C3E-400D-B0B6-33FBC1837274}"/>
    <cellStyle name="Comma 6 2 8 2 2" xfId="4858" xr:uid="{CCF00701-D18E-4512-8005-86F66034FF55}"/>
    <cellStyle name="Comma 6 2 8 2 2 2" xfId="10155" xr:uid="{4CF28A64-68BD-406E-88D1-CBC5B0917283}"/>
    <cellStyle name="Comma 6 2 8 2 3" xfId="7506" xr:uid="{EC0CC1D0-DF06-4D57-B1B5-E2B6C6D2B640}"/>
    <cellStyle name="Comma 6 2 8 3" xfId="3534" xr:uid="{3C7CD51D-17F6-454C-8BB3-F3E52EACE7F6}"/>
    <cellStyle name="Comma 6 2 8 3 2" xfId="8831" xr:uid="{28F8D726-8E42-4F99-9934-09FBB7074147}"/>
    <cellStyle name="Comma 6 2 8 4" xfId="6182" xr:uid="{54308529-4831-4772-B6ED-F0BFE6F18C65}"/>
    <cellStyle name="Comma 6 2 9" xfId="2066" xr:uid="{C25A9129-5B64-4869-9029-2C9FDBF00161}"/>
    <cellStyle name="Comma 6 2 9 2" xfId="4715" xr:uid="{4730E7DA-8DBE-4578-BEA2-38F300412DA8}"/>
    <cellStyle name="Comma 6 2 9 2 2" xfId="10012" xr:uid="{3E2A51C1-D0B8-4A10-9BFD-2758B52ACC05}"/>
    <cellStyle name="Comma 6 2 9 3" xfId="7363" xr:uid="{2F94D1C9-6D3F-4BB4-BC56-D01C243E65B8}"/>
    <cellStyle name="Comma 6 3" xfId="132" xr:uid="{400BD53F-EBE3-424A-9E5A-DD8F75C4E6C7}"/>
    <cellStyle name="Comma 6 3 2" xfId="364" xr:uid="{B50CEE4F-ACED-4CA8-8901-298FCDA98186}"/>
    <cellStyle name="Comma 6 3 2 2" xfId="1719" xr:uid="{031DDF62-3D1B-4289-BB8D-0E3685BF4D68}"/>
    <cellStyle name="Comma 6 3 2 2 2" xfId="3059" xr:uid="{FED361B6-04DF-4847-AA38-A2A28584D8B9}"/>
    <cellStyle name="Comma 6 3 2 2 2 2" xfId="5708" xr:uid="{81FF5697-176D-43EF-8EF9-75BED74B003D}"/>
    <cellStyle name="Comma 6 3 2 2 2 2 2" xfId="11005" xr:uid="{B1B7116A-7D9F-4E95-8866-F356F2D86F35}"/>
    <cellStyle name="Comma 6 3 2 2 2 3" xfId="8356" xr:uid="{29DC409C-1D92-42A2-A901-6CBDDF83441B}"/>
    <cellStyle name="Comma 6 3 2 2 3" xfId="4384" xr:uid="{3B9EBC39-8CB9-4F98-A4AB-98E2078DFD94}"/>
    <cellStyle name="Comma 6 3 2 2 3 2" xfId="9681" xr:uid="{623221D8-C5E9-4F9C-A191-361C91DF747E}"/>
    <cellStyle name="Comma 6 3 2 2 4" xfId="7032" xr:uid="{3A7C5542-834B-4D47-9AB2-4F562D30D6C3}"/>
    <cellStyle name="Comma 6 3 2 3" xfId="1188" xr:uid="{4B484B6B-A170-4E4F-BC14-9BD79D2DAB64}"/>
    <cellStyle name="Comma 6 3 2 3 2" xfId="2531" xr:uid="{0C780D86-4A9E-4E87-99EC-E984C5DB383A}"/>
    <cellStyle name="Comma 6 3 2 3 2 2" xfId="5180" xr:uid="{AEEEE61D-FCA8-4E2A-A7A7-40ED544A68A3}"/>
    <cellStyle name="Comma 6 3 2 3 2 2 2" xfId="10477" xr:uid="{7FBC7E10-C3AD-413D-A9A7-44D9F97F69CA}"/>
    <cellStyle name="Comma 6 3 2 3 2 3" xfId="7828" xr:uid="{11954D4A-8718-4A49-9EF5-278B7DA90555}"/>
    <cellStyle name="Comma 6 3 2 3 3" xfId="3856" xr:uid="{49D98F17-7A80-4172-B9DA-3A78C051959E}"/>
    <cellStyle name="Comma 6 3 2 3 3 2" xfId="9153" xr:uid="{8DC9A66B-1351-4B85-B5D9-50C5E85ED648}"/>
    <cellStyle name="Comma 6 3 2 3 4" xfId="6504" xr:uid="{7386A350-A2D5-4651-A0D7-36B77EFC0960}"/>
    <cellStyle name="Comma 6 3 2 4" xfId="2145" xr:uid="{73D5406D-88AC-4101-87DB-E284F3CC0A9F}"/>
    <cellStyle name="Comma 6 3 2 4 2" xfId="4794" xr:uid="{A55DFD10-57E8-4807-A4E1-5E9BF0C7B99D}"/>
    <cellStyle name="Comma 6 3 2 4 2 2" xfId="10091" xr:uid="{FE523A5E-2D79-493B-AEC7-B4B74DE63CB3}"/>
    <cellStyle name="Comma 6 3 2 4 3" xfId="7442" xr:uid="{88858938-4372-41ED-8B53-4F606A797BFB}"/>
    <cellStyle name="Comma 6 3 2 5" xfId="3470" xr:uid="{6912F1E2-D92C-40EA-BC1A-44AD521F365D}"/>
    <cellStyle name="Comma 6 3 2 5 2" xfId="8767" xr:uid="{31F9D03B-6977-4C48-B0B6-B48534CE35CD}"/>
    <cellStyle name="Comma 6 3 2 6" xfId="6118" xr:uid="{38EFBF0E-F50B-461D-ADCE-F7D48449E160}"/>
    <cellStyle name="Comma 6 3 3" xfId="1044" xr:uid="{C2424FAA-CBFE-42CC-8E8A-AED1E9F9E7FC}"/>
    <cellStyle name="Comma 6 3 3 2" xfId="1587" xr:uid="{CF2D2C10-CBC8-4188-9714-6C277C4B0AB9}"/>
    <cellStyle name="Comma 6 3 3 2 2" xfId="2927" xr:uid="{CB504137-A10C-406E-886A-4BD591A928E8}"/>
    <cellStyle name="Comma 6 3 3 2 2 2" xfId="5576" xr:uid="{5E12B5C8-1055-40BB-935F-2BECBBA9A468}"/>
    <cellStyle name="Comma 6 3 3 2 2 2 2" xfId="10873" xr:uid="{0425D092-9C52-4C4A-B3B3-05245815ED9F}"/>
    <cellStyle name="Comma 6 3 3 2 2 3" xfId="8224" xr:uid="{AF75560A-69E9-4F90-B1DF-4744849A5AF3}"/>
    <cellStyle name="Comma 6 3 3 2 3" xfId="4252" xr:uid="{3A034D63-D81B-4CDC-9C2B-F9C8097A457A}"/>
    <cellStyle name="Comma 6 3 3 2 3 2" xfId="9549" xr:uid="{E43EE8D5-C499-4379-936A-83B64A23F4D9}"/>
    <cellStyle name="Comma 6 3 3 2 4" xfId="6900" xr:uid="{AE99AF54-A3B9-4124-8E6E-EAC67A207CFD}"/>
    <cellStyle name="Comma 6 3 3 3" xfId="2399" xr:uid="{5ED50254-DF46-41F3-B2AF-F82ED0C3D91D}"/>
    <cellStyle name="Comma 6 3 3 3 2" xfId="5048" xr:uid="{22882165-65A7-42D5-ADA9-7B9B1034D070}"/>
    <cellStyle name="Comma 6 3 3 3 2 2" xfId="10345" xr:uid="{59D68100-4625-4D7C-A825-860462D863EA}"/>
    <cellStyle name="Comma 6 3 3 3 3" xfId="7696" xr:uid="{869FE18B-7420-47A7-BB7C-591153EE3245}"/>
    <cellStyle name="Comma 6 3 3 4" xfId="3724" xr:uid="{64C6182D-C493-43D1-93B2-AEDD787F19C5}"/>
    <cellStyle name="Comma 6 3 3 4 2" xfId="9021" xr:uid="{ED05F949-548F-4B20-B848-4A3BD0695FA1}"/>
    <cellStyle name="Comma 6 3 3 5" xfId="6372" xr:uid="{84C720ED-63A4-436B-8762-5FBBB4F707C9}"/>
    <cellStyle name="Comma 6 3 4" xfId="1323" xr:uid="{2AA71858-7864-484B-8DC1-87B60A4DF3E4}"/>
    <cellStyle name="Comma 6 3 4 2" xfId="1851" xr:uid="{9B235F06-3310-4CCE-92C6-A0A526DF618E}"/>
    <cellStyle name="Comma 6 3 4 2 2" xfId="3191" xr:uid="{937C11B9-E4EB-44FA-944A-AAE2BC7C5D37}"/>
    <cellStyle name="Comma 6 3 4 2 2 2" xfId="5840" xr:uid="{81CB5445-4613-4934-922A-7B9C83F4FC02}"/>
    <cellStyle name="Comma 6 3 4 2 2 2 2" xfId="11137" xr:uid="{427970E6-A290-416A-A516-3529F7510976}"/>
    <cellStyle name="Comma 6 3 4 2 2 3" xfId="8488" xr:uid="{65B5B59B-0104-42A1-BEA6-EA689929ECA9}"/>
    <cellStyle name="Comma 6 3 4 2 3" xfId="4516" xr:uid="{0321CD6E-1012-4CBE-AEE1-8EECA403D1AC}"/>
    <cellStyle name="Comma 6 3 4 2 3 2" xfId="9813" xr:uid="{4055E5B6-FBFD-4EAB-BEF6-A058A8CDF50C}"/>
    <cellStyle name="Comma 6 3 4 2 4" xfId="7164" xr:uid="{26A9B9FF-35DC-4706-89D2-D3A21F563C7A}"/>
    <cellStyle name="Comma 6 3 4 3" xfId="2663" xr:uid="{6B9C8A3D-0A7F-44D2-8843-1CE3F2B8D0AF}"/>
    <cellStyle name="Comma 6 3 4 3 2" xfId="5312" xr:uid="{D77E5449-50AD-4F33-AABF-FB845A880CF5}"/>
    <cellStyle name="Comma 6 3 4 3 2 2" xfId="10609" xr:uid="{B211DD1B-5BA9-4037-A66E-8B6C802CACA6}"/>
    <cellStyle name="Comma 6 3 4 3 3" xfId="7960" xr:uid="{B334AA0B-D070-4CC3-8374-4DBDB84A9CD3}"/>
    <cellStyle name="Comma 6 3 4 4" xfId="3988" xr:uid="{5680EE21-5092-40C7-9883-10D44B6B54C1}"/>
    <cellStyle name="Comma 6 3 4 4 2" xfId="9285" xr:uid="{D73F3185-8E6B-4CEF-8666-6D9E66BFA08B}"/>
    <cellStyle name="Comma 6 3 4 5" xfId="6636" xr:uid="{4E361AAF-D5E5-4685-BE2C-D03A3D884F4D}"/>
    <cellStyle name="Comma 6 3 5" xfId="1455" xr:uid="{B7E5B885-003F-44C6-B5C4-C14F339F66C6}"/>
    <cellStyle name="Comma 6 3 5 2" xfId="1983" xr:uid="{EB49B4A6-C8FB-44D5-8E07-80139CACCE34}"/>
    <cellStyle name="Comma 6 3 5 2 2" xfId="3323" xr:uid="{A8B9E40E-4764-46A0-9DDF-65E625863EEB}"/>
    <cellStyle name="Comma 6 3 5 2 2 2" xfId="5972" xr:uid="{9E00AFEB-9EAC-44C0-9E67-F58520B764C9}"/>
    <cellStyle name="Comma 6 3 5 2 2 2 2" xfId="11269" xr:uid="{41738F6F-CB78-40D2-90AA-7D8E1F94BADE}"/>
    <cellStyle name="Comma 6 3 5 2 2 3" xfId="8620" xr:uid="{DD8CD396-DCFC-43B6-94A9-71C05D28F8A3}"/>
    <cellStyle name="Comma 6 3 5 2 3" xfId="4648" xr:uid="{32614E32-A565-48D7-9837-D6756D2AD48E}"/>
    <cellStyle name="Comma 6 3 5 2 3 2" xfId="9945" xr:uid="{87D8A2E8-EE9A-41F5-A96E-ACFBDEC2C194}"/>
    <cellStyle name="Comma 6 3 5 2 4" xfId="7296" xr:uid="{9BA0024A-C232-4EDB-BE32-58AA5D0A543D}"/>
    <cellStyle name="Comma 6 3 5 3" xfId="2795" xr:uid="{C4DFB5A7-8C1B-43F4-8886-241BB9AC9390}"/>
    <cellStyle name="Comma 6 3 5 3 2" xfId="5444" xr:uid="{7BD6983B-ADE0-4CDC-87B4-26108D7284A2}"/>
    <cellStyle name="Comma 6 3 5 3 2 2" xfId="10741" xr:uid="{F51BAD33-4155-48F6-A26F-E924046A09FE}"/>
    <cellStyle name="Comma 6 3 5 3 3" xfId="8092" xr:uid="{C6DC4B86-1588-4692-8623-3660F4B4E946}"/>
    <cellStyle name="Comma 6 3 5 4" xfId="4120" xr:uid="{05777CA5-50AE-4507-B2BB-F7B6EF4A969F}"/>
    <cellStyle name="Comma 6 3 5 4 2" xfId="9417" xr:uid="{D3194E83-01D7-4FD2-B980-4C058EDE0755}"/>
    <cellStyle name="Comma 6 3 5 5" xfId="6768" xr:uid="{3E256D36-9344-4AA3-92B1-2B196BAC8E3D}"/>
    <cellStyle name="Comma 6 3 6" xfId="852" xr:uid="{4703E56B-DA56-4F6B-8E0A-7F12C9D13F57}"/>
    <cellStyle name="Comma 6 3 6 2" xfId="2269" xr:uid="{45B3399C-DA72-4747-BF74-D9A38597D504}"/>
    <cellStyle name="Comma 6 3 6 2 2" xfId="4918" xr:uid="{C8578357-8448-4F7F-A4BE-AC0D34796DF0}"/>
    <cellStyle name="Comma 6 3 6 2 2 2" xfId="10215" xr:uid="{DCB56CDB-6EEB-4A87-BC6B-4812FA2E2017}"/>
    <cellStyle name="Comma 6 3 6 2 3" xfId="7566" xr:uid="{98EDB37D-824C-4A95-A798-70712ED04152}"/>
    <cellStyle name="Comma 6 3 6 3" xfId="3594" xr:uid="{B19F826F-BA82-4A30-B547-C37327E89E8A}"/>
    <cellStyle name="Comma 6 3 6 3 2" xfId="8891" xr:uid="{B70F3881-EBD6-463C-A098-60CC1D2B96D2}"/>
    <cellStyle name="Comma 6 3 6 4" xfId="6242" xr:uid="{FF5A27F7-DD16-4F54-B6B6-6D45E2BD6CF7}"/>
    <cellStyle name="Comma 6 3 7" xfId="2078" xr:uid="{2CE9DFED-6B87-4FD0-9F3D-A95773214F4A}"/>
    <cellStyle name="Comma 6 3 7 2" xfId="4727" xr:uid="{6AAAE7F5-2201-4255-9877-0F4C78119050}"/>
    <cellStyle name="Comma 6 3 7 2 2" xfId="10024" xr:uid="{C45ED288-7983-4302-A194-5EBAC700055A}"/>
    <cellStyle name="Comma 6 3 7 3" xfId="7375" xr:uid="{4F97FF50-8D46-4A4D-91E1-2C24BEB88B20}"/>
    <cellStyle name="Comma 6 3 8" xfId="3403" xr:uid="{59AC38CA-96DA-4A10-B931-228733AB6585}"/>
    <cellStyle name="Comma 6 3 8 2" xfId="8700" xr:uid="{C51106CB-67EE-41B1-9289-E8569CE63B60}"/>
    <cellStyle name="Comma 6 3 9" xfId="6051" xr:uid="{291CF42E-624E-4C5F-9144-D8694373C889}"/>
    <cellStyle name="Comma 6 4" xfId="178" xr:uid="{50DF9990-F224-422E-9D1F-CEFCE42B0A0A}"/>
    <cellStyle name="Comma 6 4 2" xfId="410" xr:uid="{7BFBD0E4-0952-42A0-8550-78E9EBFF8B59}"/>
    <cellStyle name="Comma 6 4 2 2" xfId="1670" xr:uid="{7F3D6FD9-FCB5-451F-AC21-18B5210ABB49}"/>
    <cellStyle name="Comma 6 4 2 2 2" xfId="3010" xr:uid="{1B9F026A-72FA-4A37-96C4-B14D266D171D}"/>
    <cellStyle name="Comma 6 4 2 2 2 2" xfId="5659" xr:uid="{43BEF763-1D06-4814-8008-09E38B9044D3}"/>
    <cellStyle name="Comma 6 4 2 2 2 2 2" xfId="10956" xr:uid="{F7237C86-B983-4CD2-A696-AABFFEE935BD}"/>
    <cellStyle name="Comma 6 4 2 2 2 3" xfId="8307" xr:uid="{7A00D239-546E-4FED-903D-A247FE81F7C3}"/>
    <cellStyle name="Comma 6 4 2 2 3" xfId="4335" xr:uid="{C250D14C-37B2-4BF8-9D70-C9C703F75CF7}"/>
    <cellStyle name="Comma 6 4 2 2 3 2" xfId="9632" xr:uid="{9A4E85B5-802C-4450-A833-EACD13941022}"/>
    <cellStyle name="Comma 6 4 2 2 4" xfId="6983" xr:uid="{2453860E-0C9F-42CB-9AA4-10A5753A71D2}"/>
    <cellStyle name="Comma 6 4 2 3" xfId="1138" xr:uid="{E4B8734A-1F6E-4BF1-AC9C-2090AB4A8B34}"/>
    <cellStyle name="Comma 6 4 2 3 2" xfId="2482" xr:uid="{D948B2A4-F5AD-48DB-BF14-22F220FB6AAF}"/>
    <cellStyle name="Comma 6 4 2 3 2 2" xfId="5131" xr:uid="{A176DD5A-942D-45C2-8693-2A23ADABB500}"/>
    <cellStyle name="Comma 6 4 2 3 2 2 2" xfId="10428" xr:uid="{018C71CD-DDAD-4D13-92EA-DD1D53B135CC}"/>
    <cellStyle name="Comma 6 4 2 3 2 3" xfId="7779" xr:uid="{50823C39-DB0F-449E-9645-2635CD960487}"/>
    <cellStyle name="Comma 6 4 2 3 3" xfId="3807" xr:uid="{9A684C85-1D49-42DB-AE3B-7FAEC045F2F6}"/>
    <cellStyle name="Comma 6 4 2 3 3 2" xfId="9104" xr:uid="{A5D8CB3D-C301-46C2-BDC6-C419C5B876CF}"/>
    <cellStyle name="Comma 6 4 2 3 4" xfId="6455" xr:uid="{F4FCC5B9-75CE-4D4C-921F-3C8FE223F893}"/>
    <cellStyle name="Comma 6 4 2 4" xfId="2158" xr:uid="{3C7B3BB3-4614-443F-9B7C-6166FD6582F0}"/>
    <cellStyle name="Comma 6 4 2 4 2" xfId="4807" xr:uid="{E3C9FEAF-B58A-4E17-8D9B-EA0D8A32ACF6}"/>
    <cellStyle name="Comma 6 4 2 4 2 2" xfId="10104" xr:uid="{A5B73246-3487-4EFC-BFFC-7D99A50D75BA}"/>
    <cellStyle name="Comma 6 4 2 4 3" xfId="7455" xr:uid="{6CC660D8-C4D3-4D46-81B2-36047388FD7D}"/>
    <cellStyle name="Comma 6 4 2 5" xfId="3483" xr:uid="{F5DFB9D3-E020-42A8-883A-7B4DC7742DC9}"/>
    <cellStyle name="Comma 6 4 2 5 2" xfId="8780" xr:uid="{ADE68C16-4C90-492C-AF7D-2C784E097133}"/>
    <cellStyle name="Comma 6 4 2 6" xfId="6131" xr:uid="{AED229BA-5ABE-4955-9133-EEEF42319B33}"/>
    <cellStyle name="Comma 6 4 3" xfId="994" xr:uid="{242C293B-E8DE-4E5C-90E6-E6581F328F4E}"/>
    <cellStyle name="Comma 6 4 3 2" xfId="1538" xr:uid="{D9ED46DB-C962-44E2-A580-0B7ECDEB4288}"/>
    <cellStyle name="Comma 6 4 3 2 2" xfId="2878" xr:uid="{C5070254-3B54-4E1A-A273-46BCF5594EA8}"/>
    <cellStyle name="Comma 6 4 3 2 2 2" xfId="5527" xr:uid="{EF86A4DB-60AD-4F4B-84AA-B4B60BE77C7D}"/>
    <cellStyle name="Comma 6 4 3 2 2 2 2" xfId="10824" xr:uid="{0327FD3B-A2A9-4BB9-8EC5-5CAAA0BB32B3}"/>
    <cellStyle name="Comma 6 4 3 2 2 3" xfId="8175" xr:uid="{9EDF1728-0F14-4324-BDEA-B9BA72568555}"/>
    <cellStyle name="Comma 6 4 3 2 3" xfId="4203" xr:uid="{F5F65C7B-3218-4A6A-AF61-A284617F4127}"/>
    <cellStyle name="Comma 6 4 3 2 3 2" xfId="9500" xr:uid="{662BDBAC-CF7D-4DE9-9630-913279F9021C}"/>
    <cellStyle name="Comma 6 4 3 2 4" xfId="6851" xr:uid="{31AE0F34-3523-4D1E-8428-118898A7481C}"/>
    <cellStyle name="Comma 6 4 3 3" xfId="2350" xr:uid="{6B024228-4F4C-43C9-90EC-130786E991A3}"/>
    <cellStyle name="Comma 6 4 3 3 2" xfId="4999" xr:uid="{696B87DC-9E4F-47A1-A42D-CAD6C3B47D68}"/>
    <cellStyle name="Comma 6 4 3 3 2 2" xfId="10296" xr:uid="{B6F49620-D344-4263-9ACB-311F60C99BD9}"/>
    <cellStyle name="Comma 6 4 3 3 3" xfId="7647" xr:uid="{CBED19F8-669A-4953-BFE9-76F0AEF4AA5D}"/>
    <cellStyle name="Comma 6 4 3 4" xfId="3675" xr:uid="{BB69B75C-E0D4-472B-AC9E-85078B6827AF}"/>
    <cellStyle name="Comma 6 4 3 4 2" xfId="8972" xr:uid="{37C6AD5A-4A1A-490F-87E2-109E071E6404}"/>
    <cellStyle name="Comma 6 4 3 5" xfId="6323" xr:uid="{B021C838-F9E1-461A-AA5C-D7ACCBB65C73}"/>
    <cellStyle name="Comma 6 4 4" xfId="1274" xr:uid="{5799E0D8-BFB6-4742-844A-2691DA45CA34}"/>
    <cellStyle name="Comma 6 4 4 2" xfId="1802" xr:uid="{79A7F257-419B-4F27-B4D1-7969CC004DE7}"/>
    <cellStyle name="Comma 6 4 4 2 2" xfId="3142" xr:uid="{2351FDB9-2726-4DEA-AD8E-1E596F03DB45}"/>
    <cellStyle name="Comma 6 4 4 2 2 2" xfId="5791" xr:uid="{43FD677E-06FE-4F1F-8506-722F2C763B54}"/>
    <cellStyle name="Comma 6 4 4 2 2 2 2" xfId="11088" xr:uid="{6185E71B-DA78-45EC-ABF8-5A7C377400A1}"/>
    <cellStyle name="Comma 6 4 4 2 2 3" xfId="8439" xr:uid="{4A544FC1-5B71-40E8-B412-B8412E43D64C}"/>
    <cellStyle name="Comma 6 4 4 2 3" xfId="4467" xr:uid="{43F7A166-1D31-429C-9925-78FFDCA50683}"/>
    <cellStyle name="Comma 6 4 4 2 3 2" xfId="9764" xr:uid="{8CC6BF84-65C4-4944-9A4F-74A9B23F84F8}"/>
    <cellStyle name="Comma 6 4 4 2 4" xfId="7115" xr:uid="{582F66FB-5BF2-4048-A143-51B45701E73D}"/>
    <cellStyle name="Comma 6 4 4 3" xfId="2614" xr:uid="{9F1AD8CF-F605-49F9-8C06-82896BF03568}"/>
    <cellStyle name="Comma 6 4 4 3 2" xfId="5263" xr:uid="{0AAA8005-7A2C-46F9-9B1B-D09BAFC7DD74}"/>
    <cellStyle name="Comma 6 4 4 3 2 2" xfId="10560" xr:uid="{A35AF4B7-F50C-43D7-B634-9C116A1CB2B6}"/>
    <cellStyle name="Comma 6 4 4 3 3" xfId="7911" xr:uid="{36461F7E-7AF0-4EF2-97D9-086D1F3C109A}"/>
    <cellStyle name="Comma 6 4 4 4" xfId="3939" xr:uid="{97473489-75A9-421F-B2D2-EB44569C458C}"/>
    <cellStyle name="Comma 6 4 4 4 2" xfId="9236" xr:uid="{66564089-6E19-4DB4-A604-809E359464E1}"/>
    <cellStyle name="Comma 6 4 4 5" xfId="6587" xr:uid="{A71108EE-AD6F-4199-9B12-6633083AF42C}"/>
    <cellStyle name="Comma 6 4 5" xfId="1406" xr:uid="{69390CA1-DE0A-495F-A1C2-44933283EE59}"/>
    <cellStyle name="Comma 6 4 5 2" xfId="1934" xr:uid="{AAAF47CA-CF9A-4997-9C4A-6BEB0A96CC75}"/>
    <cellStyle name="Comma 6 4 5 2 2" xfId="3274" xr:uid="{49FF51DF-9DCC-40CB-8866-4BA75488AAB4}"/>
    <cellStyle name="Comma 6 4 5 2 2 2" xfId="5923" xr:uid="{FD4D41EF-AF08-4B05-9B72-ED3F514F5AC5}"/>
    <cellStyle name="Comma 6 4 5 2 2 2 2" xfId="11220" xr:uid="{6254D05D-5AB8-405C-9E6F-0043E8FAA0DD}"/>
    <cellStyle name="Comma 6 4 5 2 2 3" xfId="8571" xr:uid="{BC5FF940-0062-4F6A-8FFA-7BF7EAD0A091}"/>
    <cellStyle name="Comma 6 4 5 2 3" xfId="4599" xr:uid="{BA5223CB-8D12-41DC-B90C-D94997160931}"/>
    <cellStyle name="Comma 6 4 5 2 3 2" xfId="9896" xr:uid="{E9B68837-47A6-44DC-A794-F87FAA2EAE71}"/>
    <cellStyle name="Comma 6 4 5 2 4" xfId="7247" xr:uid="{525A9C56-8B27-48C7-8050-25DA78F11CCB}"/>
    <cellStyle name="Comma 6 4 5 3" xfId="2746" xr:uid="{273D2A90-288C-4013-8DCB-F78961993C48}"/>
    <cellStyle name="Comma 6 4 5 3 2" xfId="5395" xr:uid="{C4492291-90F4-4E1C-8E9E-8DC59C01DD2B}"/>
    <cellStyle name="Comma 6 4 5 3 2 2" xfId="10692" xr:uid="{157279E3-56C1-42E6-A258-CDA960422A1F}"/>
    <cellStyle name="Comma 6 4 5 3 3" xfId="8043" xr:uid="{1F5B0715-CA47-4B56-BA5E-FBC5BC72283B}"/>
    <cellStyle name="Comma 6 4 5 4" xfId="4071" xr:uid="{8068DDF6-AE74-48B8-8296-17D5EEA284BD}"/>
    <cellStyle name="Comma 6 4 5 4 2" xfId="9368" xr:uid="{CADD7B23-EF22-4DB6-88E2-214588C79DB0}"/>
    <cellStyle name="Comma 6 4 5 5" xfId="6719" xr:uid="{4252E141-9B7F-44DA-A7EC-A28AA1B9C1C9}"/>
    <cellStyle name="Comma 6 4 6" xfId="718" xr:uid="{C589ACFD-D0C5-4249-A032-9CBDAE76EBC4}"/>
    <cellStyle name="Comma 6 4 6 2" xfId="2222" xr:uid="{0A5F93BB-0942-48B7-9D84-6E84E2BBE007}"/>
    <cellStyle name="Comma 6 4 6 2 2" xfId="4871" xr:uid="{EB826223-4B12-42E3-8906-1BD41BDC15C7}"/>
    <cellStyle name="Comma 6 4 6 2 2 2" xfId="10168" xr:uid="{67194458-E8D5-49BF-8490-2AE950143B5C}"/>
    <cellStyle name="Comma 6 4 6 2 3" xfId="7519" xr:uid="{F96B6246-0296-4B93-BF3C-EB6A62EBA351}"/>
    <cellStyle name="Comma 6 4 6 3" xfId="3547" xr:uid="{23107FA0-CE03-4948-9724-175C69CF686C}"/>
    <cellStyle name="Comma 6 4 6 3 2" xfId="8844" xr:uid="{2BB56188-7BA1-49DA-A607-96B4CACD3232}"/>
    <cellStyle name="Comma 6 4 6 4" xfId="6195" xr:uid="{B8573F4B-7D99-4A8F-915A-8CA0BCC63A49}"/>
    <cellStyle name="Comma 6 4 7" xfId="2091" xr:uid="{B4633766-957F-4200-AF2C-258D0B259382}"/>
    <cellStyle name="Comma 6 4 7 2" xfId="4740" xr:uid="{3C22EDBE-3366-4F30-8CA5-43715F11A168}"/>
    <cellStyle name="Comma 6 4 7 2 2" xfId="10037" xr:uid="{956AE1E6-C257-4280-AC99-80324F1F2EE7}"/>
    <cellStyle name="Comma 6 4 7 3" xfId="7388" xr:uid="{5C4BA7DB-9EF3-4B65-BE19-52D8D89D9937}"/>
    <cellStyle name="Comma 6 4 8" xfId="3416" xr:uid="{28CA0B39-2CF9-4420-8382-8158329161CB}"/>
    <cellStyle name="Comma 6 4 8 2" xfId="8713" xr:uid="{56B342CC-5347-42FD-976F-F6595BEA8313}"/>
    <cellStyle name="Comma 6 4 9" xfId="6064" xr:uid="{B571C0FD-1DB2-4246-ACB6-4E5177842968}"/>
    <cellStyle name="Comma 6 5" xfId="221" xr:uid="{5945DC68-20DE-4FDF-AC80-1B4EDB3A994C}"/>
    <cellStyle name="Comma 6 5 2" xfId="453" xr:uid="{7A91AF2A-5A8F-4553-BD2E-65A4E8BBF2EC}"/>
    <cellStyle name="Comma 6 5 2 2" xfId="1633" xr:uid="{EE2BBCE4-041E-44FF-8D83-33663515CEFD}"/>
    <cellStyle name="Comma 6 5 2 2 2" xfId="2973" xr:uid="{8B5D1E9C-8EB5-421A-B4BE-2A66E11F2EE5}"/>
    <cellStyle name="Comma 6 5 2 2 2 2" xfId="5622" xr:uid="{0ECE7E00-225A-4692-A43B-CB47E4A98CA8}"/>
    <cellStyle name="Comma 6 5 2 2 2 2 2" xfId="10919" xr:uid="{E9BCC0B0-2E39-4D7C-914E-3603F7FA6CF5}"/>
    <cellStyle name="Comma 6 5 2 2 2 3" xfId="8270" xr:uid="{45702C7D-88AB-4CA8-BD3E-65091501A89C}"/>
    <cellStyle name="Comma 6 5 2 2 3" xfId="4298" xr:uid="{919BDE97-FE9A-4615-AB86-ED281C37976A}"/>
    <cellStyle name="Comma 6 5 2 2 3 2" xfId="9595" xr:uid="{1ECBB6E2-7709-4C4D-917E-C8E0FDAC2EAB}"/>
    <cellStyle name="Comma 6 5 2 2 4" xfId="6946" xr:uid="{E1C1674C-79FD-4C10-88A0-BEE9588B2DF0}"/>
    <cellStyle name="Comma 6 5 2 3" xfId="2170" xr:uid="{FA7027A3-0425-47DF-9E38-E3514D70A07A}"/>
    <cellStyle name="Comma 6 5 2 3 2" xfId="4819" xr:uid="{9C9C6124-5674-4AD4-A610-3E6225E4747F}"/>
    <cellStyle name="Comma 6 5 2 3 2 2" xfId="10116" xr:uid="{B9852062-60E3-44A5-BC7D-867123351C0C}"/>
    <cellStyle name="Comma 6 5 2 3 3" xfId="7467" xr:uid="{AC7862C8-A4CB-4831-B70D-82860DED94D6}"/>
    <cellStyle name="Comma 6 5 2 4" xfId="3495" xr:uid="{0FFA3737-1F64-40FF-8B47-3FBDA27E1576}"/>
    <cellStyle name="Comma 6 5 2 4 2" xfId="8792" xr:uid="{A165014B-4F35-4B6C-B609-CE343BD3568D}"/>
    <cellStyle name="Comma 6 5 2 5" xfId="6143" xr:uid="{53BF842A-A9F1-47CA-AC55-3D36B1BCA5C4}"/>
    <cellStyle name="Comma 6 5 3" xfId="1095" xr:uid="{C225F2E7-B1BA-46A8-8D80-79AE239DAA88}"/>
    <cellStyle name="Comma 6 5 3 2" xfId="2445" xr:uid="{981CB971-3F71-47F5-A510-66EFFCF133CB}"/>
    <cellStyle name="Comma 6 5 3 2 2" xfId="5094" xr:uid="{532D30ED-BFE0-4568-87F8-9E72AAE87825}"/>
    <cellStyle name="Comma 6 5 3 2 2 2" xfId="10391" xr:uid="{F8253FDD-621B-4EB9-AE2E-8A03B73E142E}"/>
    <cellStyle name="Comma 6 5 3 2 3" xfId="7742" xr:uid="{F0B03E76-2D3D-4EBA-AEF4-A5EE48D0FB94}"/>
    <cellStyle name="Comma 6 5 3 3" xfId="3770" xr:uid="{754B037B-87AB-4A41-9A69-0B038F595BC6}"/>
    <cellStyle name="Comma 6 5 3 3 2" xfId="9067" xr:uid="{96BBAF8F-0790-466F-AF71-3D4C87F98F5D}"/>
    <cellStyle name="Comma 6 5 3 4" xfId="6418" xr:uid="{01376327-8E67-4C77-B23E-F5865C2CD0E9}"/>
    <cellStyle name="Comma 6 5 4" xfId="2103" xr:uid="{CF594A76-57C6-47A2-8B3A-32AED1E60B62}"/>
    <cellStyle name="Comma 6 5 4 2" xfId="4752" xr:uid="{10FF3D51-4BED-42E7-A275-D3A7776D3B95}"/>
    <cellStyle name="Comma 6 5 4 2 2" xfId="10049" xr:uid="{0FC8DE2F-7791-4F6D-B124-579BEA7EDC1F}"/>
    <cellStyle name="Comma 6 5 4 3" xfId="7400" xr:uid="{C7C2E487-4968-4CAB-A586-07E60AFBA5C3}"/>
    <cellStyle name="Comma 6 5 5" xfId="3428" xr:uid="{7B1C4DAD-01F4-442F-A687-7C445A8E7B16}"/>
    <cellStyle name="Comma 6 5 5 2" xfId="8725" xr:uid="{7FCF7295-9CEA-42CB-9FD1-F89E8934A4C1}"/>
    <cellStyle name="Comma 6 5 6" xfId="6076" xr:uid="{B458D7E0-F7FE-4284-9F7C-435717E3A8A0}"/>
    <cellStyle name="Comma 6 6" xfId="278" xr:uid="{B6856313-8C84-461B-8ACB-7771832006F2}"/>
    <cellStyle name="Comma 6 6 2" xfId="1501" xr:uid="{3A98F945-53D1-48D6-AA8C-507CF7A7BC54}"/>
    <cellStyle name="Comma 6 6 2 2" xfId="2841" xr:uid="{B63E9531-ABD6-4BE3-86FF-570A84AAF8AB}"/>
    <cellStyle name="Comma 6 6 2 2 2" xfId="5490" xr:uid="{CDE7A7B0-6422-493B-886B-3AD11DD6969F}"/>
    <cellStyle name="Comma 6 6 2 2 2 2" xfId="10787" xr:uid="{96905247-097E-46E9-90B4-F8C715E98038}"/>
    <cellStyle name="Comma 6 6 2 2 3" xfId="8138" xr:uid="{DF741105-C36B-4860-9115-64E604BB782B}"/>
    <cellStyle name="Comma 6 6 2 3" xfId="4166" xr:uid="{C76442DB-6C09-419B-956B-EBDBFF7B2D12}"/>
    <cellStyle name="Comma 6 6 2 3 2" xfId="9463" xr:uid="{B7B62200-0D42-460E-A425-0D2819E34A37}"/>
    <cellStyle name="Comma 6 6 2 4" xfId="6814" xr:uid="{5BD876B6-5814-4413-B3F1-C9BCAB25BF18}"/>
    <cellStyle name="Comma 6 6 3" xfId="948" xr:uid="{83D9FF0D-1372-48DD-BAE8-0AA577DC6FBC}"/>
    <cellStyle name="Comma 6 6 3 2" xfId="2313" xr:uid="{D620ECA4-E398-4D54-8376-C69522128CDC}"/>
    <cellStyle name="Comma 6 6 3 2 2" xfId="4962" xr:uid="{A213F5A8-82E5-4F92-8199-088ABD76B4A1}"/>
    <cellStyle name="Comma 6 6 3 2 2 2" xfId="10259" xr:uid="{C2EBCC13-8B0A-4F0D-8661-78311AB67D28}"/>
    <cellStyle name="Comma 6 6 3 2 3" xfId="7610" xr:uid="{B2CF360B-13E8-4D3C-8868-E1C5EAB0A707}"/>
    <cellStyle name="Comma 6 6 3 3" xfId="3638" xr:uid="{B4DD0952-6CD7-4106-86D6-A62A17196688}"/>
    <cellStyle name="Comma 6 6 3 3 2" xfId="8935" xr:uid="{B9D03293-034F-4631-A688-1FD460BB0119}"/>
    <cellStyle name="Comma 6 6 3 4" xfId="6286" xr:uid="{CC32A0DF-607D-4A19-82F6-DDCF43CA90C6}"/>
    <cellStyle name="Comma 6 6 4" xfId="2121" xr:uid="{302AD9F8-373A-49AD-A6AC-D3744FA5E93F}"/>
    <cellStyle name="Comma 6 6 4 2" xfId="4770" xr:uid="{D51BB694-FC83-4EC6-930E-83E04284AEDA}"/>
    <cellStyle name="Comma 6 6 4 2 2" xfId="10067" xr:uid="{60FF4443-7A48-420E-9D46-63148B96B389}"/>
    <cellStyle name="Comma 6 6 4 3" xfId="7418" xr:uid="{0B8184BC-E4BC-4150-A04E-F42875F2F223}"/>
    <cellStyle name="Comma 6 6 5" xfId="3446" xr:uid="{BF83E760-760A-4221-95D5-38957CAB74E9}"/>
    <cellStyle name="Comma 6 6 5 2" xfId="8743" xr:uid="{29ED0ED7-BD2D-4FA2-A245-B3A1D7BF26B8}"/>
    <cellStyle name="Comma 6 6 6" xfId="6094" xr:uid="{CB05C589-3596-43D2-BE39-3DC34AA8AC44}"/>
    <cellStyle name="Comma 6 7" xfId="1237" xr:uid="{BC32FB5E-B4C9-47B2-93CE-A11CD869853A}"/>
    <cellStyle name="Comma 6 7 2" xfId="1765" xr:uid="{F69229F3-1075-4F64-A746-9DABFFB75A10}"/>
    <cellStyle name="Comma 6 7 2 2" xfId="3105" xr:uid="{DE77C2D4-BBED-42D4-8CB2-7620B54137E6}"/>
    <cellStyle name="Comma 6 7 2 2 2" xfId="5754" xr:uid="{57A7A48F-8F7E-4F3C-8A9A-A688632C45F4}"/>
    <cellStyle name="Comma 6 7 2 2 2 2" xfId="11051" xr:uid="{A61395B9-F01E-4748-8664-0978FBD25E71}"/>
    <cellStyle name="Comma 6 7 2 2 3" xfId="8402" xr:uid="{871BEF74-99DA-4CEA-AEA2-8D81D435E2F0}"/>
    <cellStyle name="Comma 6 7 2 3" xfId="4430" xr:uid="{F50239CD-B7A9-46A2-BD6E-CB19869182D0}"/>
    <cellStyle name="Comma 6 7 2 3 2" xfId="9727" xr:uid="{57D8AE85-75C4-4D6E-A61C-16BE6290D41C}"/>
    <cellStyle name="Comma 6 7 2 4" xfId="7078" xr:uid="{9C5B3932-8F46-4FEB-8ED5-2758FB23E6D4}"/>
    <cellStyle name="Comma 6 7 3" xfId="2577" xr:uid="{3D10673A-179B-4429-965D-FA28983C9105}"/>
    <cellStyle name="Comma 6 7 3 2" xfId="5226" xr:uid="{1368D0F9-F8BA-4AFE-81B1-D80A907CBC3B}"/>
    <cellStyle name="Comma 6 7 3 2 2" xfId="10523" xr:uid="{F693EEE8-B583-4598-8668-F1281AAD6804}"/>
    <cellStyle name="Comma 6 7 3 3" xfId="7874" xr:uid="{ECD327B8-8DB5-4EA5-86FC-4709131A63A5}"/>
    <cellStyle name="Comma 6 7 4" xfId="3902" xr:uid="{F404AAA5-6083-43AA-9CBD-4A7DEFA206E8}"/>
    <cellStyle name="Comma 6 7 4 2" xfId="9199" xr:uid="{719B4807-0B51-47AB-8AE8-D473658EBF7B}"/>
    <cellStyle name="Comma 6 7 5" xfId="6550" xr:uid="{E409E248-0EB9-4CC0-9139-4479F5E20246}"/>
    <cellStyle name="Comma 6 8" xfId="1369" xr:uid="{5C89643C-828D-499C-8001-56C24CCE4630}"/>
    <cellStyle name="Comma 6 8 2" xfId="1897" xr:uid="{F0635C80-C1D2-44A4-BFAB-78CCB9FD0AA0}"/>
    <cellStyle name="Comma 6 8 2 2" xfId="3237" xr:uid="{90FEF456-EDC8-4638-9706-A616156CAE37}"/>
    <cellStyle name="Comma 6 8 2 2 2" xfId="5886" xr:uid="{0F34208A-E85C-4405-8926-92F1B3880A4F}"/>
    <cellStyle name="Comma 6 8 2 2 2 2" xfId="11183" xr:uid="{9E6338F7-78B0-4158-847F-9C5E8DE4CBAB}"/>
    <cellStyle name="Comma 6 8 2 2 3" xfId="8534" xr:uid="{692E7FB7-DB77-492A-848C-C6807B83FE02}"/>
    <cellStyle name="Comma 6 8 2 3" xfId="4562" xr:uid="{3F62C30B-D71B-4855-863D-D18A98621B3B}"/>
    <cellStyle name="Comma 6 8 2 3 2" xfId="9859" xr:uid="{D9B1A8ED-9C56-45BC-AEBE-7D7759CBB4F8}"/>
    <cellStyle name="Comma 6 8 2 4" xfId="7210" xr:uid="{1A2C51E0-D200-44CA-97BD-4703CBCBD7F0}"/>
    <cellStyle name="Comma 6 8 3" xfId="2709" xr:uid="{C2FC5C76-A36B-49E3-9F63-B82CD77D5BB7}"/>
    <cellStyle name="Comma 6 8 3 2" xfId="5358" xr:uid="{C62E16E2-7C85-45E4-A353-C100D732B640}"/>
    <cellStyle name="Comma 6 8 3 2 2" xfId="10655" xr:uid="{D99B981E-95B3-4A3E-944C-3BB325D1B2A9}"/>
    <cellStyle name="Comma 6 8 3 3" xfId="8006" xr:uid="{4B181259-DBBE-4367-82CD-EDFE67E1A591}"/>
    <cellStyle name="Comma 6 8 4" xfId="4034" xr:uid="{2F547021-35DD-461F-94A4-1B91FA30BFCD}"/>
    <cellStyle name="Comma 6 8 4 2" xfId="9331" xr:uid="{7B7496A0-604E-4054-8920-9F3FEDB6B406}"/>
    <cellStyle name="Comma 6 8 5" xfId="6682" xr:uid="{941C4CD4-A1B8-4278-B581-17B367432196}"/>
    <cellStyle name="Comma 6 9" xfId="514" xr:uid="{58EE9A2D-5F2F-4ECA-9F07-1D3E4903F331}"/>
    <cellStyle name="Comma 6 9 2" xfId="2190" xr:uid="{343485A3-1DFB-4131-9BBC-AC03CFE63CAB}"/>
    <cellStyle name="Comma 6 9 2 2" xfId="4839" xr:uid="{683A6136-39C5-4542-8E14-36CA1F16F1F9}"/>
    <cellStyle name="Comma 6 9 2 2 2" xfId="10136" xr:uid="{E70459F8-7883-498B-AF39-5C2C4D0FD883}"/>
    <cellStyle name="Comma 6 9 2 3" xfId="7487" xr:uid="{F07DD803-08EE-4AF9-A023-6DFAA26E2979}"/>
    <cellStyle name="Comma 6 9 3" xfId="3515" xr:uid="{B588938F-ED19-4557-B78B-0A6BA0232C3D}"/>
    <cellStyle name="Comma 6 9 3 2" xfId="8812" xr:uid="{BBF236BB-EF2F-4FA7-95BB-D88320F7ECDB}"/>
    <cellStyle name="Comma 6 9 4" xfId="6163" xr:uid="{125B7490-4BB4-4B9C-9DDB-4217106B172B}"/>
    <cellStyle name="Comma 7" xfId="50" xr:uid="{ED784C37-93DE-4EE7-8929-AEA8F88952E3}"/>
    <cellStyle name="Comma 7 10" xfId="515" xr:uid="{7AC8C21B-5894-4233-B327-0E9F00B015B0}"/>
    <cellStyle name="Comma 7 10 2" xfId="2191" xr:uid="{9B73E1FC-A329-4285-81B3-0EB925671C8E}"/>
    <cellStyle name="Comma 7 10 2 2" xfId="4840" xr:uid="{10B94BC6-6FF0-4F84-B082-4E1AF4BEBF76}"/>
    <cellStyle name="Comma 7 10 2 2 2" xfId="10137" xr:uid="{5896E122-D901-4681-95A1-BE47A97B2178}"/>
    <cellStyle name="Comma 7 10 2 3" xfId="7488" xr:uid="{83F9194B-2D76-43D7-ACE7-F0028366ED26}"/>
    <cellStyle name="Comma 7 10 3" xfId="3516" xr:uid="{F6E8E965-A25F-4B78-B7AF-7305AFAD87F9}"/>
    <cellStyle name="Comma 7 10 3 2" xfId="8813" xr:uid="{68EAB4D2-9B95-4A6D-AF73-0A1672BF0061}"/>
    <cellStyle name="Comma 7 10 4" xfId="6164" xr:uid="{27EF78B0-CC8A-4DF1-BB4B-34C7838A372F}"/>
    <cellStyle name="Comma 7 11" xfId="2056" xr:uid="{B075F93C-73F8-4634-92BE-3319265EF171}"/>
    <cellStyle name="Comma 7 11 2" xfId="4705" xr:uid="{060363AE-EA03-409E-B3A8-7BED80E26246}"/>
    <cellStyle name="Comma 7 11 2 2" xfId="10002" xr:uid="{5A318794-4B62-4C8C-8564-2C78FFDF0D6C}"/>
    <cellStyle name="Comma 7 11 3" xfId="7353" xr:uid="{E677F1FF-9BDE-4AA9-9443-3F746D7DCE88}"/>
    <cellStyle name="Comma 7 12" xfId="3381" xr:uid="{793E822A-E8AC-49EC-88F2-A6468CAB71E2}"/>
    <cellStyle name="Comma 7 12 2" xfId="8678" xr:uid="{3AF84DAE-714F-4665-ADC1-DE136EA11B93}"/>
    <cellStyle name="Comma 7 13" xfId="6029" xr:uid="{B52B7FB7-F431-4D6C-990D-0D7DA4E3D325}"/>
    <cellStyle name="Comma 7 2" xfId="93" xr:uid="{749ECFB2-1DF1-4BD8-90E7-688947343F50}"/>
    <cellStyle name="Comma 7 2 10" xfId="2068" xr:uid="{BFCBF107-B070-44B9-BE5A-D30F1CAEE24C}"/>
    <cellStyle name="Comma 7 2 10 2" xfId="4717" xr:uid="{6C6D9670-2421-466E-A47A-D48CE45C53A3}"/>
    <cellStyle name="Comma 7 2 10 2 2" xfId="10014" xr:uid="{14BD2939-AC54-4B07-AB7B-9B64C9DF4570}"/>
    <cellStyle name="Comma 7 2 10 3" xfId="7365" xr:uid="{6E47D598-53EE-45FD-BC5E-B3C444EF49BB}"/>
    <cellStyle name="Comma 7 2 11" xfId="3393" xr:uid="{729BCF7C-5831-432C-B58E-F51EBFAD3C5E}"/>
    <cellStyle name="Comma 7 2 11 2" xfId="8690" xr:uid="{A1D1C5DB-866A-423D-B235-1D15E21D22CD}"/>
    <cellStyle name="Comma 7 2 12" xfId="6041" xr:uid="{629B0B15-2A30-4E6E-B45F-657048DDA56A}"/>
    <cellStyle name="Comma 7 2 2" xfId="325" xr:uid="{9F4113F3-7789-4094-AC54-4FF145B98081}"/>
    <cellStyle name="Comma 7 2 2 10" xfId="6108" xr:uid="{3535EEB2-21A3-4D15-8CBC-FC54A448BDC9}"/>
    <cellStyle name="Comma 7 2 2 2" xfId="925" xr:uid="{BEA86408-D3A5-4BCC-AB44-4FF457247E8A}"/>
    <cellStyle name="Comma 7 2 2 2 2" xfId="1216" xr:uid="{2B7E2600-5B9F-4127-BF3E-FAA9FD25B031}"/>
    <cellStyle name="Comma 7 2 2 2 2 2" xfId="1744" xr:uid="{C7ADF188-09F5-4195-9C17-0967DEEDB803}"/>
    <cellStyle name="Comma 7 2 2 2 2 2 2" xfId="3084" xr:uid="{F071558E-05FD-4D9E-9016-54593870C4D9}"/>
    <cellStyle name="Comma 7 2 2 2 2 2 2 2" xfId="5733" xr:uid="{4711F1CB-2465-42D1-8044-80DFE19658C3}"/>
    <cellStyle name="Comma 7 2 2 2 2 2 2 2 2" xfId="11030" xr:uid="{31D41D6F-3CB5-454A-8C58-49D91449AA33}"/>
    <cellStyle name="Comma 7 2 2 2 2 2 2 3" xfId="8381" xr:uid="{A2B37883-A6AA-4CE1-B998-368C2ADA4BD5}"/>
    <cellStyle name="Comma 7 2 2 2 2 2 3" xfId="4409" xr:uid="{C8CFDB16-858C-4579-8B9E-C2C6D896B80E}"/>
    <cellStyle name="Comma 7 2 2 2 2 2 3 2" xfId="9706" xr:uid="{45BE0FCD-D42F-407F-8219-E7A527EC5147}"/>
    <cellStyle name="Comma 7 2 2 2 2 2 4" xfId="7057" xr:uid="{B7B6CA2D-9A54-4E1B-B87F-E17404FC1A34}"/>
    <cellStyle name="Comma 7 2 2 2 2 3" xfId="2556" xr:uid="{F1B238F9-2DF5-4D17-999A-443E3ED621B0}"/>
    <cellStyle name="Comma 7 2 2 2 2 3 2" xfId="5205" xr:uid="{D88D02C5-792A-40AD-B00C-08FE57A7A0B2}"/>
    <cellStyle name="Comma 7 2 2 2 2 3 2 2" xfId="10502" xr:uid="{95E4717A-B836-4117-B98D-26B6E75817C9}"/>
    <cellStyle name="Comma 7 2 2 2 2 3 3" xfId="7853" xr:uid="{B4AC2617-3509-4FDE-B2BF-1BFA15C84D38}"/>
    <cellStyle name="Comma 7 2 2 2 2 4" xfId="3881" xr:uid="{88C6EDC8-1898-4DBC-8F96-AA056CAF529C}"/>
    <cellStyle name="Comma 7 2 2 2 2 4 2" xfId="9178" xr:uid="{AFBE139A-4201-4BD9-A9BE-885EC260FA37}"/>
    <cellStyle name="Comma 7 2 2 2 2 5" xfId="6529" xr:uid="{833171B2-932B-4CBF-93E7-54834F8AB3D7}"/>
    <cellStyle name="Comma 7 2 2 2 3" xfId="1073" xr:uid="{9D5551B2-C77C-4332-9E42-1573C7FB6A08}"/>
    <cellStyle name="Comma 7 2 2 2 3 2" xfId="1612" xr:uid="{CC994B37-D732-44EE-B25E-21E39AF17FDA}"/>
    <cellStyle name="Comma 7 2 2 2 3 2 2" xfId="2952" xr:uid="{216BE226-5128-4AD8-93A6-687387E2576B}"/>
    <cellStyle name="Comma 7 2 2 2 3 2 2 2" xfId="5601" xr:uid="{0DC09F49-3647-4343-9B32-00331A5CCFED}"/>
    <cellStyle name="Comma 7 2 2 2 3 2 2 2 2" xfId="10898" xr:uid="{73A4CB95-725E-4FDF-8DB7-D79A0B9A574F}"/>
    <cellStyle name="Comma 7 2 2 2 3 2 2 3" xfId="8249" xr:uid="{0513D752-D8A7-4B9D-B8AB-2831F84F8B85}"/>
    <cellStyle name="Comma 7 2 2 2 3 2 3" xfId="4277" xr:uid="{C1B6AB6D-0896-4C4B-8621-A7B386CF5279}"/>
    <cellStyle name="Comma 7 2 2 2 3 2 3 2" xfId="9574" xr:uid="{3952AD28-D2C6-45D7-8FCB-49071AA82D7A}"/>
    <cellStyle name="Comma 7 2 2 2 3 2 4" xfId="6925" xr:uid="{5ED0535F-AF10-4FA1-8A19-869485FFA747}"/>
    <cellStyle name="Comma 7 2 2 2 3 3" xfId="2424" xr:uid="{50A32A95-DB10-40AF-BF41-5AC7457170FD}"/>
    <cellStyle name="Comma 7 2 2 2 3 3 2" xfId="5073" xr:uid="{E1D09265-6B1C-4ABB-9301-B4DFD6FAD78E}"/>
    <cellStyle name="Comma 7 2 2 2 3 3 2 2" xfId="10370" xr:uid="{E3BE3393-89C5-47A3-9055-EABE5BBA6503}"/>
    <cellStyle name="Comma 7 2 2 2 3 3 3" xfId="7721" xr:uid="{55EC6168-3B0A-4792-BA6F-AFC530AFFFAC}"/>
    <cellStyle name="Comma 7 2 2 2 3 4" xfId="3749" xr:uid="{E8F048F7-7396-4F3E-96FE-050CA22E3A93}"/>
    <cellStyle name="Comma 7 2 2 2 3 4 2" xfId="9046" xr:uid="{359CB9C8-E139-4783-853F-9F9E0CBD15E4}"/>
    <cellStyle name="Comma 7 2 2 2 3 5" xfId="6397" xr:uid="{6A8EF84E-12DE-40CA-9A10-2A2024BCDF90}"/>
    <cellStyle name="Comma 7 2 2 2 4" xfId="1348" xr:uid="{82482475-F21A-4EF2-98B8-78835775B052}"/>
    <cellStyle name="Comma 7 2 2 2 4 2" xfId="1876" xr:uid="{D002C1BC-A509-4632-95AD-BA289669E2EF}"/>
    <cellStyle name="Comma 7 2 2 2 4 2 2" xfId="3216" xr:uid="{E512C219-E193-48FF-8A45-AF5C79BCBE20}"/>
    <cellStyle name="Comma 7 2 2 2 4 2 2 2" xfId="5865" xr:uid="{F0C496F1-9D87-41AC-924F-DEAC1723B3DC}"/>
    <cellStyle name="Comma 7 2 2 2 4 2 2 2 2" xfId="11162" xr:uid="{5144A404-FDE5-4929-9F04-360BEFDBE721}"/>
    <cellStyle name="Comma 7 2 2 2 4 2 2 3" xfId="8513" xr:uid="{DE49D922-D4CD-40F1-A45D-81085FE2D851}"/>
    <cellStyle name="Comma 7 2 2 2 4 2 3" xfId="4541" xr:uid="{03C2FA38-B86A-45B4-A617-18DA9E9F1F18}"/>
    <cellStyle name="Comma 7 2 2 2 4 2 3 2" xfId="9838" xr:uid="{5EA28A6A-AF76-4E05-BFEE-87A2DD8A24C6}"/>
    <cellStyle name="Comma 7 2 2 2 4 2 4" xfId="7189" xr:uid="{44B24C68-5699-4320-98F1-FA3EAED97626}"/>
    <cellStyle name="Comma 7 2 2 2 4 3" xfId="2688" xr:uid="{BFB2FA34-7C23-4BCD-86EE-EEDC07E64502}"/>
    <cellStyle name="Comma 7 2 2 2 4 3 2" xfId="5337" xr:uid="{4F25741F-4964-4AE9-BE76-B9917E664B15}"/>
    <cellStyle name="Comma 7 2 2 2 4 3 2 2" xfId="10634" xr:uid="{919EDBB2-F875-419C-9023-86FD995133CC}"/>
    <cellStyle name="Comma 7 2 2 2 4 3 3" xfId="7985" xr:uid="{B5AE00F6-7064-4FCA-AAA1-426FC73C347E}"/>
    <cellStyle name="Comma 7 2 2 2 4 4" xfId="4013" xr:uid="{73380FD8-8BF6-4DC8-8271-905FDEF23A04}"/>
    <cellStyle name="Comma 7 2 2 2 4 4 2" xfId="9310" xr:uid="{8F9E8595-841C-4205-B6E5-A012B3AAA617}"/>
    <cellStyle name="Comma 7 2 2 2 4 5" xfId="6661" xr:uid="{87EB6063-5495-407D-AC9A-8F13669C54B2}"/>
    <cellStyle name="Comma 7 2 2 2 5" xfId="1480" xr:uid="{6869FF14-D4CE-42C5-9D40-D235648FD91F}"/>
    <cellStyle name="Comma 7 2 2 2 5 2" xfId="2008" xr:uid="{C179EFED-93F7-49EB-98E0-47FDC5681211}"/>
    <cellStyle name="Comma 7 2 2 2 5 2 2" xfId="3348" xr:uid="{769FE1D8-9006-4132-9230-5ECF21493C74}"/>
    <cellStyle name="Comma 7 2 2 2 5 2 2 2" xfId="5997" xr:uid="{9DC76EA6-5A6D-4B71-BD81-F1ED16667637}"/>
    <cellStyle name="Comma 7 2 2 2 5 2 2 2 2" xfId="11294" xr:uid="{EB4D75D8-CF10-40CE-B9D5-9AD502045031}"/>
    <cellStyle name="Comma 7 2 2 2 5 2 2 3" xfId="8645" xr:uid="{097C3249-EF16-40AF-8FE7-52F834868765}"/>
    <cellStyle name="Comma 7 2 2 2 5 2 3" xfId="4673" xr:uid="{77D7EF1E-84A8-4C95-94AA-977D2A249292}"/>
    <cellStyle name="Comma 7 2 2 2 5 2 3 2" xfId="9970" xr:uid="{8B448C20-8CCD-4887-A97F-33DAE5217A00}"/>
    <cellStyle name="Comma 7 2 2 2 5 2 4" xfId="7321" xr:uid="{F648E094-255A-44CC-84B6-0A318A3D3210}"/>
    <cellStyle name="Comma 7 2 2 2 5 3" xfId="2820" xr:uid="{63ECD91C-45E1-4183-BDDD-BB560775E706}"/>
    <cellStyle name="Comma 7 2 2 2 5 3 2" xfId="5469" xr:uid="{94E5803B-4380-4462-B358-0F044C4DBD86}"/>
    <cellStyle name="Comma 7 2 2 2 5 3 2 2" xfId="10766" xr:uid="{CDBF521C-B6E7-46FD-90DA-E23A1CF72692}"/>
    <cellStyle name="Comma 7 2 2 2 5 3 3" xfId="8117" xr:uid="{1C2277C9-1FDF-48EE-A4C5-881F599B7609}"/>
    <cellStyle name="Comma 7 2 2 2 5 4" xfId="4145" xr:uid="{20355E65-DD95-4DD6-9C22-58BC3575DE49}"/>
    <cellStyle name="Comma 7 2 2 2 5 4 2" xfId="9442" xr:uid="{D6DE9592-B9AF-4DA3-AE6D-E83B2A4B57E3}"/>
    <cellStyle name="Comma 7 2 2 2 5 5" xfId="6793" xr:uid="{18DA42A6-238C-408F-87B8-293207B3EBCE}"/>
    <cellStyle name="Comma 7 2 2 2 6" xfId="2292" xr:uid="{86946A49-2D7B-4544-9C54-43E5CC0A31F3}"/>
    <cellStyle name="Comma 7 2 2 2 6 2" xfId="4941" xr:uid="{31D64DCA-454E-4A8A-B0A7-A974FD742B71}"/>
    <cellStyle name="Comma 7 2 2 2 6 2 2" xfId="10238" xr:uid="{19D74558-21AE-49CE-93AB-7C49FF61A165}"/>
    <cellStyle name="Comma 7 2 2 2 6 3" xfId="7589" xr:uid="{4A22F0A5-5683-42F2-ADB6-B8917BAFD78A}"/>
    <cellStyle name="Comma 7 2 2 2 7" xfId="3617" xr:uid="{94A71D3C-6EAD-4799-9C24-954872373981}"/>
    <cellStyle name="Comma 7 2 2 2 7 2" xfId="8914" xr:uid="{D01EAE9D-ECE1-466E-B7FF-83731B900AA7}"/>
    <cellStyle name="Comma 7 2 2 2 8" xfId="6265" xr:uid="{7E2AB65F-0EBF-4DC1-9912-B45D9BE634E5}"/>
    <cellStyle name="Comma 7 2 2 3" xfId="1124" xr:uid="{373247D3-2D70-4CDB-9FE6-1B340DBC2BCA}"/>
    <cellStyle name="Comma 7 2 2 3 2" xfId="1658" xr:uid="{F7A4DE17-F308-487C-9FD1-0FC44E59B083}"/>
    <cellStyle name="Comma 7 2 2 3 2 2" xfId="2998" xr:uid="{B0CE445E-5C1A-44FB-8EF9-EB0B0CB732A9}"/>
    <cellStyle name="Comma 7 2 2 3 2 2 2" xfId="5647" xr:uid="{C5A48C44-3554-47D3-9C6D-311FF8682337}"/>
    <cellStyle name="Comma 7 2 2 3 2 2 2 2" xfId="10944" xr:uid="{22D8FA57-7C10-40F0-B1A6-BEC09573C680}"/>
    <cellStyle name="Comma 7 2 2 3 2 2 3" xfId="8295" xr:uid="{29445F4C-1242-410C-BC47-78D11F2CA35E}"/>
    <cellStyle name="Comma 7 2 2 3 2 3" xfId="4323" xr:uid="{EEA8CAE6-CD83-4D48-B60B-B8D095CA418F}"/>
    <cellStyle name="Comma 7 2 2 3 2 3 2" xfId="9620" xr:uid="{7E42FAC1-A94F-4CAD-9F29-30AC66BEDFD4}"/>
    <cellStyle name="Comma 7 2 2 3 2 4" xfId="6971" xr:uid="{D62CE6BB-B093-4594-B4D0-584154E00F43}"/>
    <cellStyle name="Comma 7 2 2 3 3" xfId="2470" xr:uid="{500D7B1F-8971-45B6-A0C5-D1E3F4B52FEE}"/>
    <cellStyle name="Comma 7 2 2 3 3 2" xfId="5119" xr:uid="{B5081389-43AD-4FFA-AE30-0287DBB65555}"/>
    <cellStyle name="Comma 7 2 2 3 3 2 2" xfId="10416" xr:uid="{E7D0C1C6-C1FC-4E2E-9AE8-7C502B1DB06E}"/>
    <cellStyle name="Comma 7 2 2 3 3 3" xfId="7767" xr:uid="{188B3587-2C03-4031-B1E5-B9290CB661F6}"/>
    <cellStyle name="Comma 7 2 2 3 4" xfId="3795" xr:uid="{73C3787B-4434-451B-8E98-DAC158E538BE}"/>
    <cellStyle name="Comma 7 2 2 3 4 2" xfId="9092" xr:uid="{31EAAD85-AB2D-4B82-9A0E-563CA067F1DA}"/>
    <cellStyle name="Comma 7 2 2 3 5" xfId="6443" xr:uid="{2D62EE9F-AE4A-42E5-B7B0-8A4319C20FBE}"/>
    <cellStyle name="Comma 7 2 2 4" xfId="978" xr:uid="{75BABAD4-A51F-4EB7-AFF4-663672C81744}"/>
    <cellStyle name="Comma 7 2 2 4 2" xfId="1526" xr:uid="{932BB463-9C82-49DA-BFB0-64898F5F9B24}"/>
    <cellStyle name="Comma 7 2 2 4 2 2" xfId="2866" xr:uid="{0E439994-C8CB-45A5-BD3F-A4D748841E95}"/>
    <cellStyle name="Comma 7 2 2 4 2 2 2" xfId="5515" xr:uid="{52098A83-84DC-47C5-9630-B98E10C1506E}"/>
    <cellStyle name="Comma 7 2 2 4 2 2 2 2" xfId="10812" xr:uid="{A4BB7B35-E403-453B-852A-E36D0A164539}"/>
    <cellStyle name="Comma 7 2 2 4 2 2 3" xfId="8163" xr:uid="{9B441DC5-4407-4FD3-8BBB-4FF057A48EDF}"/>
    <cellStyle name="Comma 7 2 2 4 2 3" xfId="4191" xr:uid="{77B132A9-C96B-41C3-8BC6-5AD791F0CB49}"/>
    <cellStyle name="Comma 7 2 2 4 2 3 2" xfId="9488" xr:uid="{BD46D13F-58C3-486A-9668-D7BFF512BD3F}"/>
    <cellStyle name="Comma 7 2 2 4 2 4" xfId="6839" xr:uid="{C1548141-C04F-40BE-8EC5-84C5305B7EEA}"/>
    <cellStyle name="Comma 7 2 2 4 3" xfId="2338" xr:uid="{3297C80F-493C-40AB-ADC7-0092332FE3FD}"/>
    <cellStyle name="Comma 7 2 2 4 3 2" xfId="4987" xr:uid="{6CCADE44-12AB-405F-AE8F-B0F7E0ED126A}"/>
    <cellStyle name="Comma 7 2 2 4 3 2 2" xfId="10284" xr:uid="{B51BCA30-DE11-4055-AE42-4465E2B45FB0}"/>
    <cellStyle name="Comma 7 2 2 4 3 3" xfId="7635" xr:uid="{67C07BC2-75FB-477C-8979-9CF3C7EA0253}"/>
    <cellStyle name="Comma 7 2 2 4 4" xfId="3663" xr:uid="{49C66A6A-1398-47F8-A3B8-89D9544E12EE}"/>
    <cellStyle name="Comma 7 2 2 4 4 2" xfId="8960" xr:uid="{D9B78963-D5EC-4709-9651-801F614ECF06}"/>
    <cellStyle name="Comma 7 2 2 4 5" xfId="6311" xr:uid="{0A577BC1-C7CA-416C-B2FF-01AEF98D79BA}"/>
    <cellStyle name="Comma 7 2 2 5" xfId="1262" xr:uid="{C7A3C565-FD54-4E9F-812C-83356FE4141A}"/>
    <cellStyle name="Comma 7 2 2 5 2" xfId="1790" xr:uid="{A3D6A150-B230-430A-8FD9-BB7BCB4630F2}"/>
    <cellStyle name="Comma 7 2 2 5 2 2" xfId="3130" xr:uid="{1534694E-3DE9-47AA-9966-17F4990751A2}"/>
    <cellStyle name="Comma 7 2 2 5 2 2 2" xfId="5779" xr:uid="{AEB2E235-7DE7-4D23-8714-BB54535D7347}"/>
    <cellStyle name="Comma 7 2 2 5 2 2 2 2" xfId="11076" xr:uid="{C4FD4585-417D-4484-8933-36269ADA3A75}"/>
    <cellStyle name="Comma 7 2 2 5 2 2 3" xfId="8427" xr:uid="{331D37B6-FE0D-4E77-9D5A-01DB854C64AF}"/>
    <cellStyle name="Comma 7 2 2 5 2 3" xfId="4455" xr:uid="{5AC9D958-ADE6-4B0F-B1CC-50E5A8FAFE88}"/>
    <cellStyle name="Comma 7 2 2 5 2 3 2" xfId="9752" xr:uid="{B1C9C679-7782-44EC-9022-EEA8181B6AF5}"/>
    <cellStyle name="Comma 7 2 2 5 2 4" xfId="7103" xr:uid="{A76C3294-ACD6-4AAB-A0F8-7D2E7F8336A8}"/>
    <cellStyle name="Comma 7 2 2 5 3" xfId="2602" xr:uid="{2ABB4B4D-00D3-48CB-9683-8E87648D3264}"/>
    <cellStyle name="Comma 7 2 2 5 3 2" xfId="5251" xr:uid="{63657BE6-CA6F-4196-8CBC-28DE1C9DBE25}"/>
    <cellStyle name="Comma 7 2 2 5 3 2 2" xfId="10548" xr:uid="{9641EF70-E89F-4B56-A4C8-1A471CFD46F1}"/>
    <cellStyle name="Comma 7 2 2 5 3 3" xfId="7899" xr:uid="{2DA63D37-5EA2-4E9D-B8BA-BAAD7CCB2125}"/>
    <cellStyle name="Comma 7 2 2 5 4" xfId="3927" xr:uid="{D846A354-BF64-46BF-887C-2E9354345DB8}"/>
    <cellStyle name="Comma 7 2 2 5 4 2" xfId="9224" xr:uid="{EBDF251D-36D4-4366-89DD-F6B7FFBC48B8}"/>
    <cellStyle name="Comma 7 2 2 5 5" xfId="6575" xr:uid="{6FC4C400-563A-4A2C-9B71-34C17CAF0583}"/>
    <cellStyle name="Comma 7 2 2 6" xfId="1394" xr:uid="{7E378BAF-2FEC-4DEE-A01C-FB4E445B8384}"/>
    <cellStyle name="Comma 7 2 2 6 2" xfId="1922" xr:uid="{A592C5BE-A49B-4777-BC96-002DFDA57CD2}"/>
    <cellStyle name="Comma 7 2 2 6 2 2" xfId="3262" xr:uid="{496B9107-7E42-4F4E-8F97-339159C7C56B}"/>
    <cellStyle name="Comma 7 2 2 6 2 2 2" xfId="5911" xr:uid="{EE8F2E47-2EF2-47C2-B17D-7EFBE4B20A3F}"/>
    <cellStyle name="Comma 7 2 2 6 2 2 2 2" xfId="11208" xr:uid="{4FF154DA-169C-4582-98B9-0B8BEC5BA815}"/>
    <cellStyle name="Comma 7 2 2 6 2 2 3" xfId="8559" xr:uid="{28D502BF-92CB-4FE0-A4E7-296AA090CAC5}"/>
    <cellStyle name="Comma 7 2 2 6 2 3" xfId="4587" xr:uid="{591E335D-807D-4FB7-AA03-BDEC3025CD6B}"/>
    <cellStyle name="Comma 7 2 2 6 2 3 2" xfId="9884" xr:uid="{33C57A27-2D29-4DF7-8520-CB2A872F0B1A}"/>
    <cellStyle name="Comma 7 2 2 6 2 4" xfId="7235" xr:uid="{29173819-B539-4A93-891B-435048271C8D}"/>
    <cellStyle name="Comma 7 2 2 6 3" xfId="2734" xr:uid="{711B4C0D-EF0D-4801-8F9D-82EA2393FBEF}"/>
    <cellStyle name="Comma 7 2 2 6 3 2" xfId="5383" xr:uid="{2BC80D41-537F-4CDF-B9B3-BB97DBCFBB75}"/>
    <cellStyle name="Comma 7 2 2 6 3 2 2" xfId="10680" xr:uid="{2741F572-1AC2-4D49-A4D3-DE53838C5362}"/>
    <cellStyle name="Comma 7 2 2 6 3 3" xfId="8031" xr:uid="{C34FF9E7-8033-454C-A3DB-5E2D891DB13B}"/>
    <cellStyle name="Comma 7 2 2 6 4" xfId="4059" xr:uid="{85781D98-AD6B-445E-94F8-1FA90AC7D35E}"/>
    <cellStyle name="Comma 7 2 2 6 4 2" xfId="9356" xr:uid="{D674324E-D803-45A2-93C8-A3A8FF42BA62}"/>
    <cellStyle name="Comma 7 2 2 6 5" xfId="6707" xr:uid="{A6434181-7E91-4567-9C32-C52819C32235}"/>
    <cellStyle name="Comma 7 2 2 7" xfId="651" xr:uid="{DCF2B2A8-7728-46E3-8748-4F409D549F68}"/>
    <cellStyle name="Comma 7 2 2 7 2" xfId="2211" xr:uid="{E7AAE8A2-EA89-423C-94E8-449A557DB248}"/>
    <cellStyle name="Comma 7 2 2 7 2 2" xfId="4860" xr:uid="{939A3E8C-0AAC-4FCA-8111-9AFEE1CFA40E}"/>
    <cellStyle name="Comma 7 2 2 7 2 2 2" xfId="10157" xr:uid="{C543B174-C8E5-48BB-9239-E22352BF76C0}"/>
    <cellStyle name="Comma 7 2 2 7 2 3" xfId="7508" xr:uid="{D16D92A0-E62B-4876-9124-6012D8914760}"/>
    <cellStyle name="Comma 7 2 2 7 3" xfId="3536" xr:uid="{4A958D9F-C935-4A7E-83BB-C5D8F574731C}"/>
    <cellStyle name="Comma 7 2 2 7 3 2" xfId="8833" xr:uid="{E15CECF7-308C-4693-A38C-684A247D036F}"/>
    <cellStyle name="Comma 7 2 2 7 4" xfId="6184" xr:uid="{765810EB-9C17-48F4-9225-094A13EE83FC}"/>
    <cellStyle name="Comma 7 2 2 8" xfId="2135" xr:uid="{E377BF59-42F0-488F-81D6-5B7AC957BC83}"/>
    <cellStyle name="Comma 7 2 2 8 2" xfId="4784" xr:uid="{C12E9E75-6615-44C6-A794-E0F7BC93B041}"/>
    <cellStyle name="Comma 7 2 2 8 2 2" xfId="10081" xr:uid="{D773BA16-F12C-4E93-BB52-C34B3A0F5F09}"/>
    <cellStyle name="Comma 7 2 2 8 3" xfId="7432" xr:uid="{BC7D12B7-1D18-4766-84FA-1794CE14B158}"/>
    <cellStyle name="Comma 7 2 2 9" xfId="3460" xr:uid="{A055916B-CD31-4EB0-B515-0CB7773A7227}"/>
    <cellStyle name="Comma 7 2 2 9 2" xfId="8757" xr:uid="{A3C50AFE-C64A-488D-BC89-842C87FC04E1}"/>
    <cellStyle name="Comma 7 2 3" xfId="854" xr:uid="{E6D6AA87-DD3E-43CE-9160-1FDF6F098262}"/>
    <cellStyle name="Comma 7 2 3 2" xfId="1190" xr:uid="{28F7180D-0F69-4354-A299-9D4BC1ECDDED}"/>
    <cellStyle name="Comma 7 2 3 2 2" xfId="1721" xr:uid="{8DC75C42-B327-49C3-B1FD-94B31164FB7B}"/>
    <cellStyle name="Comma 7 2 3 2 2 2" xfId="3061" xr:uid="{99CFD316-004E-4772-9047-5BE008BB4D42}"/>
    <cellStyle name="Comma 7 2 3 2 2 2 2" xfId="5710" xr:uid="{DD5082CF-977D-4AEC-99BD-AE734DFB182A}"/>
    <cellStyle name="Comma 7 2 3 2 2 2 2 2" xfId="11007" xr:uid="{BFB34A3C-610F-4476-9EF7-7F4E523DAAC9}"/>
    <cellStyle name="Comma 7 2 3 2 2 2 3" xfId="8358" xr:uid="{C21078F8-9F65-4FDB-AE0E-28C2C96B29EE}"/>
    <cellStyle name="Comma 7 2 3 2 2 3" xfId="4386" xr:uid="{F9BB2A54-8C4F-4D0C-A11E-E4E62DFC7FE7}"/>
    <cellStyle name="Comma 7 2 3 2 2 3 2" xfId="9683" xr:uid="{3C90C00F-C8FE-4B61-8BEF-EE88633D27EA}"/>
    <cellStyle name="Comma 7 2 3 2 2 4" xfId="7034" xr:uid="{C3884C5B-986F-466D-ADE2-0ED1BFBD189A}"/>
    <cellStyle name="Comma 7 2 3 2 3" xfId="2533" xr:uid="{430E7B60-A4E1-46D2-8F0A-7B3AF29BAC31}"/>
    <cellStyle name="Comma 7 2 3 2 3 2" xfId="5182" xr:uid="{7EA210FD-2884-43DB-B647-844B8793D1D4}"/>
    <cellStyle name="Comma 7 2 3 2 3 2 2" xfId="10479" xr:uid="{0DE6EED8-C180-4544-BEC3-0106A3D4CE39}"/>
    <cellStyle name="Comma 7 2 3 2 3 3" xfId="7830" xr:uid="{6E054EC1-B5C9-40B9-9CF7-6881A72FB8C0}"/>
    <cellStyle name="Comma 7 2 3 2 4" xfId="3858" xr:uid="{781606E4-ACA9-46B0-97FD-079B40591FFF}"/>
    <cellStyle name="Comma 7 2 3 2 4 2" xfId="9155" xr:uid="{C822F2D5-48F3-44D3-80F9-BB31C16FC6CB}"/>
    <cellStyle name="Comma 7 2 3 2 5" xfId="6506" xr:uid="{115D2983-BE96-4AA3-89A8-11629C159C47}"/>
    <cellStyle name="Comma 7 2 3 3" xfId="1046" xr:uid="{E46F27E4-C690-4D66-ADD2-6CD4218B2BE2}"/>
    <cellStyle name="Comma 7 2 3 3 2" xfId="1589" xr:uid="{BEF0D4CD-DF19-4D44-831F-8E20B22D8401}"/>
    <cellStyle name="Comma 7 2 3 3 2 2" xfId="2929" xr:uid="{2FAA8A13-F88C-4CF1-BBD3-54C230B1A6F0}"/>
    <cellStyle name="Comma 7 2 3 3 2 2 2" xfId="5578" xr:uid="{640C6B8A-2ACC-4D91-B3AB-780EEB0CC5BA}"/>
    <cellStyle name="Comma 7 2 3 3 2 2 2 2" xfId="10875" xr:uid="{38C93F2B-E429-4222-8254-562EB4532E94}"/>
    <cellStyle name="Comma 7 2 3 3 2 2 3" xfId="8226" xr:uid="{919A117D-F39F-4444-B14A-B5C2E85B78BC}"/>
    <cellStyle name="Comma 7 2 3 3 2 3" xfId="4254" xr:uid="{FBF5331C-26B9-4DBA-BAB0-E29A291A0132}"/>
    <cellStyle name="Comma 7 2 3 3 2 3 2" xfId="9551" xr:uid="{652534A9-D930-45EE-95A9-84D2D2CED6A7}"/>
    <cellStyle name="Comma 7 2 3 3 2 4" xfId="6902" xr:uid="{1845D125-DC01-4E84-B395-18CA12F1DE1B}"/>
    <cellStyle name="Comma 7 2 3 3 3" xfId="2401" xr:uid="{862E62A8-7278-49CA-AD4D-6FE02ACF1167}"/>
    <cellStyle name="Comma 7 2 3 3 3 2" xfId="5050" xr:uid="{639B34F2-587E-4A5C-8A09-A350ECCDE5DB}"/>
    <cellStyle name="Comma 7 2 3 3 3 2 2" xfId="10347" xr:uid="{C9B1E81D-7EFF-47F6-B8A8-A8ADC6090146}"/>
    <cellStyle name="Comma 7 2 3 3 3 3" xfId="7698" xr:uid="{8513A3C0-E69D-4917-BFED-8D1EA8878443}"/>
    <cellStyle name="Comma 7 2 3 3 4" xfId="3726" xr:uid="{E4125AF7-8ACE-457F-9803-E01AE512D83E}"/>
    <cellStyle name="Comma 7 2 3 3 4 2" xfId="9023" xr:uid="{581C3505-9D22-4F30-B5DB-204C8C8EC319}"/>
    <cellStyle name="Comma 7 2 3 3 5" xfId="6374" xr:uid="{02F28574-1919-4AF4-9CE9-ACA2ADBC6081}"/>
    <cellStyle name="Comma 7 2 3 4" xfId="1325" xr:uid="{E4B18CA0-28F3-416D-907F-DA2A25661EAF}"/>
    <cellStyle name="Comma 7 2 3 4 2" xfId="1853" xr:uid="{255727E8-C679-4832-A32B-E9854EE06DCD}"/>
    <cellStyle name="Comma 7 2 3 4 2 2" xfId="3193" xr:uid="{A813F62C-D0EA-49F8-BCB7-6F424B21ED5D}"/>
    <cellStyle name="Comma 7 2 3 4 2 2 2" xfId="5842" xr:uid="{0F1E8886-BC7B-4D2F-9EBD-93A4D6ECE51F}"/>
    <cellStyle name="Comma 7 2 3 4 2 2 2 2" xfId="11139" xr:uid="{FD4155F4-120D-436C-A3A6-8A458DAB572A}"/>
    <cellStyle name="Comma 7 2 3 4 2 2 3" xfId="8490" xr:uid="{C1D1A08B-8709-4799-A86C-60EA3DA9C5F1}"/>
    <cellStyle name="Comma 7 2 3 4 2 3" xfId="4518" xr:uid="{80BD8AB9-03C7-4272-9F0D-37B72260D2B7}"/>
    <cellStyle name="Comma 7 2 3 4 2 3 2" xfId="9815" xr:uid="{F333EFEA-F18E-49CC-8DA1-9A68C9933B94}"/>
    <cellStyle name="Comma 7 2 3 4 2 4" xfId="7166" xr:uid="{47917C0F-4035-47B1-9FC4-76B9CFAAB3BB}"/>
    <cellStyle name="Comma 7 2 3 4 3" xfId="2665" xr:uid="{DEBB5E1F-7BCC-4798-82D5-C01AB9E2C353}"/>
    <cellStyle name="Comma 7 2 3 4 3 2" xfId="5314" xr:uid="{40D3C949-2418-41A8-8F09-AA73C1A79C37}"/>
    <cellStyle name="Comma 7 2 3 4 3 2 2" xfId="10611" xr:uid="{97DCA087-E90C-43DE-9F7A-F08E516D6A25}"/>
    <cellStyle name="Comma 7 2 3 4 3 3" xfId="7962" xr:uid="{86E6F2B0-269D-482B-AA7B-FAC4B0AE45BA}"/>
    <cellStyle name="Comma 7 2 3 4 4" xfId="3990" xr:uid="{FFEA1E63-9DC6-42F4-8BC6-850E7A7F4367}"/>
    <cellStyle name="Comma 7 2 3 4 4 2" xfId="9287" xr:uid="{EFA0A07A-9B48-4CFE-B226-2195953AA5DF}"/>
    <cellStyle name="Comma 7 2 3 4 5" xfId="6638" xr:uid="{B94871CA-6649-4E58-A1A7-896224D3C451}"/>
    <cellStyle name="Comma 7 2 3 5" xfId="1457" xr:uid="{A2450E3E-F7FC-4F76-9C08-47BE19FD64A2}"/>
    <cellStyle name="Comma 7 2 3 5 2" xfId="1985" xr:uid="{BF1FDEB7-BE6B-49D3-99A6-DC60863DF565}"/>
    <cellStyle name="Comma 7 2 3 5 2 2" xfId="3325" xr:uid="{16684245-5E22-40C7-915E-28DDF8A60CAF}"/>
    <cellStyle name="Comma 7 2 3 5 2 2 2" xfId="5974" xr:uid="{B9A26C31-D5C1-425C-AED4-5DF9F61ABFE2}"/>
    <cellStyle name="Comma 7 2 3 5 2 2 2 2" xfId="11271" xr:uid="{43742D0E-EC85-4D59-9B40-7746EFDF0F7C}"/>
    <cellStyle name="Comma 7 2 3 5 2 2 3" xfId="8622" xr:uid="{B5C214B6-4830-4B79-8E02-E94B2B7AA70B}"/>
    <cellStyle name="Comma 7 2 3 5 2 3" xfId="4650" xr:uid="{500FB3A8-EF34-464C-8158-2D42628C1199}"/>
    <cellStyle name="Comma 7 2 3 5 2 3 2" xfId="9947" xr:uid="{1A014FB8-38FD-4DC1-B263-593AF7540104}"/>
    <cellStyle name="Comma 7 2 3 5 2 4" xfId="7298" xr:uid="{E79E25AD-B626-4D4F-9A3A-6CBB2B6D8E28}"/>
    <cellStyle name="Comma 7 2 3 5 3" xfId="2797" xr:uid="{9E13BCAD-0DE5-4B2A-815F-D092600DB7C5}"/>
    <cellStyle name="Comma 7 2 3 5 3 2" xfId="5446" xr:uid="{E3F9FEFE-5D02-4FCA-9D9C-009AB9FCDEF1}"/>
    <cellStyle name="Comma 7 2 3 5 3 2 2" xfId="10743" xr:uid="{80D1A807-404E-4402-8E5B-7716A48686EC}"/>
    <cellStyle name="Comma 7 2 3 5 3 3" xfId="8094" xr:uid="{38113572-684D-4634-B11E-B1DD214F9040}"/>
    <cellStyle name="Comma 7 2 3 5 4" xfId="4122" xr:uid="{D67350A8-91F6-4275-AC17-9B3747E33728}"/>
    <cellStyle name="Comma 7 2 3 5 4 2" xfId="9419" xr:uid="{AA7C4138-6C4A-4A9C-9261-2547DBD26041}"/>
    <cellStyle name="Comma 7 2 3 5 5" xfId="6770" xr:uid="{DAFBAFCB-2BE3-48F7-A5D2-7B8B5B7B0313}"/>
    <cellStyle name="Comma 7 2 3 6" xfId="2271" xr:uid="{6C4C61B5-77EB-4511-9B2B-1ECDDD680BC2}"/>
    <cellStyle name="Comma 7 2 3 6 2" xfId="4920" xr:uid="{440B0A48-333E-4B28-8B74-B0110AB7C416}"/>
    <cellStyle name="Comma 7 2 3 6 2 2" xfId="10217" xr:uid="{22C536EC-7517-4C15-9A95-61A78B4283BB}"/>
    <cellStyle name="Comma 7 2 3 6 3" xfId="7568" xr:uid="{BDC7023C-C254-4456-B425-8699E9EC7A27}"/>
    <cellStyle name="Comma 7 2 3 7" xfId="3596" xr:uid="{47F6B67B-C3BE-49D0-A1DF-CE7747F07F3B}"/>
    <cellStyle name="Comma 7 2 3 7 2" xfId="8893" xr:uid="{062453F6-A72B-49E8-8F67-C25EFEC2B5DA}"/>
    <cellStyle name="Comma 7 2 3 8" xfId="6244" xr:uid="{33A3FF7D-C24B-482C-81EC-141F54E15F76}"/>
    <cellStyle name="Comma 7 2 4" xfId="802" xr:uid="{A8D5D25A-30E7-4706-A1CB-956B4B21972E}"/>
    <cellStyle name="Comma 7 2 4 2" xfId="1163" xr:uid="{BD6085BA-AA3E-49C4-890E-4AB476B160C4}"/>
    <cellStyle name="Comma 7 2 4 2 2" xfId="1695" xr:uid="{E001E6B4-0A05-4C33-8190-44216D57761B}"/>
    <cellStyle name="Comma 7 2 4 2 2 2" xfId="3035" xr:uid="{5DDA9C47-0BC6-46FE-B826-DD44C15298D7}"/>
    <cellStyle name="Comma 7 2 4 2 2 2 2" xfId="5684" xr:uid="{A080158C-A7A9-4D6A-96F7-06EC326C3DC4}"/>
    <cellStyle name="Comma 7 2 4 2 2 2 2 2" xfId="10981" xr:uid="{8E0620C6-D039-44F1-B671-5928AC3A9820}"/>
    <cellStyle name="Comma 7 2 4 2 2 2 3" xfId="8332" xr:uid="{06AA2C43-3B12-4C66-AA63-08A6EE5A85FE}"/>
    <cellStyle name="Comma 7 2 4 2 2 3" xfId="4360" xr:uid="{1BB00AF5-2164-4341-A7FF-61A917793E9C}"/>
    <cellStyle name="Comma 7 2 4 2 2 3 2" xfId="9657" xr:uid="{B0BFBEB5-3ACC-47AF-8B52-62E7B5351C87}"/>
    <cellStyle name="Comma 7 2 4 2 2 4" xfId="7008" xr:uid="{7EF17240-625F-4890-8D44-CD7123A1DD9E}"/>
    <cellStyle name="Comma 7 2 4 2 3" xfId="2507" xr:uid="{4E883605-A8B7-4FE5-A656-72BC8EE08FF8}"/>
    <cellStyle name="Comma 7 2 4 2 3 2" xfId="5156" xr:uid="{13089984-12B2-4A83-B150-D8FF97C52E89}"/>
    <cellStyle name="Comma 7 2 4 2 3 2 2" xfId="10453" xr:uid="{D6CB5E90-9111-4684-9339-DC8CD0D52F6C}"/>
    <cellStyle name="Comma 7 2 4 2 3 3" xfId="7804" xr:uid="{A588103A-0C93-4663-835A-4C9C8B7F0EA2}"/>
    <cellStyle name="Comma 7 2 4 2 4" xfId="3832" xr:uid="{4A062D37-74C1-4174-982F-E2B926D3BE60}"/>
    <cellStyle name="Comma 7 2 4 2 4 2" xfId="9129" xr:uid="{0299778E-71F5-43EB-A0F7-F14A8806C745}"/>
    <cellStyle name="Comma 7 2 4 2 5" xfId="6480" xr:uid="{F253118E-9EE6-4984-82B6-2888F13FFC17}"/>
    <cellStyle name="Comma 7 2 4 3" xfId="1019" xr:uid="{7381EB1E-1361-47D9-A889-B81FE1CE0BE5}"/>
    <cellStyle name="Comma 7 2 4 3 2" xfId="1563" xr:uid="{26DC80FC-65E8-41EC-80BD-C7B57CD4FF86}"/>
    <cellStyle name="Comma 7 2 4 3 2 2" xfId="2903" xr:uid="{DCDB7B07-BF77-4F48-9E2A-F91998F15BBE}"/>
    <cellStyle name="Comma 7 2 4 3 2 2 2" xfId="5552" xr:uid="{C2B75435-AB04-40BA-8E4D-B49F1A72F394}"/>
    <cellStyle name="Comma 7 2 4 3 2 2 2 2" xfId="10849" xr:uid="{31D3A6C2-3BF9-4172-BC36-7DE39A053410}"/>
    <cellStyle name="Comma 7 2 4 3 2 2 3" xfId="8200" xr:uid="{DD037022-DBE7-479C-82A4-67929E650208}"/>
    <cellStyle name="Comma 7 2 4 3 2 3" xfId="4228" xr:uid="{8F53F079-1D21-4366-826A-2FD435F52697}"/>
    <cellStyle name="Comma 7 2 4 3 2 3 2" xfId="9525" xr:uid="{C7E9F448-B535-4096-87B6-47AA3FC0C701}"/>
    <cellStyle name="Comma 7 2 4 3 2 4" xfId="6876" xr:uid="{683FB6FE-B122-43C1-A837-63718F02931B}"/>
    <cellStyle name="Comma 7 2 4 3 3" xfId="2375" xr:uid="{FEBADD32-5C07-44BE-BC93-73136F38AA4B}"/>
    <cellStyle name="Comma 7 2 4 3 3 2" xfId="5024" xr:uid="{7494ABBB-49C0-4C44-A099-2BE8E44B791E}"/>
    <cellStyle name="Comma 7 2 4 3 3 2 2" xfId="10321" xr:uid="{55D1B85F-1670-48CB-8D30-50079C2887B0}"/>
    <cellStyle name="Comma 7 2 4 3 3 3" xfId="7672" xr:uid="{DCE8AAA3-9B18-42C7-87DC-C71D234CD434}"/>
    <cellStyle name="Comma 7 2 4 3 4" xfId="3700" xr:uid="{B77662F0-E717-47F0-B772-BFE883427B6E}"/>
    <cellStyle name="Comma 7 2 4 3 4 2" xfId="8997" xr:uid="{1D6F9799-4C92-472B-87EB-82610F8F2ABE}"/>
    <cellStyle name="Comma 7 2 4 3 5" xfId="6348" xr:uid="{8A124493-564A-4361-A7FE-3A7910C423A5}"/>
    <cellStyle name="Comma 7 2 4 4" xfId="1299" xr:uid="{F4680B52-63EC-4D3F-84D2-99DF9B5246BB}"/>
    <cellStyle name="Comma 7 2 4 4 2" xfId="1827" xr:uid="{6F02206B-369E-4598-B1ED-B418E0E7ADE6}"/>
    <cellStyle name="Comma 7 2 4 4 2 2" xfId="3167" xr:uid="{0C81434A-6517-43DD-94FA-680F8D345652}"/>
    <cellStyle name="Comma 7 2 4 4 2 2 2" xfId="5816" xr:uid="{463A6AD3-1BFB-4751-B76C-DCB8B840F424}"/>
    <cellStyle name="Comma 7 2 4 4 2 2 2 2" xfId="11113" xr:uid="{D0E55B5C-3E61-4865-9D84-6A1960BD50A8}"/>
    <cellStyle name="Comma 7 2 4 4 2 2 3" xfId="8464" xr:uid="{F41ADB0E-EF86-4268-B5F9-B0D6D78D97D4}"/>
    <cellStyle name="Comma 7 2 4 4 2 3" xfId="4492" xr:uid="{845CFB37-E904-4C39-99C4-78DCD6A41095}"/>
    <cellStyle name="Comma 7 2 4 4 2 3 2" xfId="9789" xr:uid="{E94F774B-E949-4849-A00A-EA2EB01C4A1E}"/>
    <cellStyle name="Comma 7 2 4 4 2 4" xfId="7140" xr:uid="{4E52AED2-7555-49D5-A974-46DB2D123C20}"/>
    <cellStyle name="Comma 7 2 4 4 3" xfId="2639" xr:uid="{C44C07B7-D224-4B64-8432-B38DD5FAA1BB}"/>
    <cellStyle name="Comma 7 2 4 4 3 2" xfId="5288" xr:uid="{A249EB73-E7FF-4BDF-808E-77B2D042F5B5}"/>
    <cellStyle name="Comma 7 2 4 4 3 2 2" xfId="10585" xr:uid="{3D04C922-6E84-4BDA-B972-CB51272D630E}"/>
    <cellStyle name="Comma 7 2 4 4 3 3" xfId="7936" xr:uid="{D45125E9-635B-494A-8D80-C57687BCA682}"/>
    <cellStyle name="Comma 7 2 4 4 4" xfId="3964" xr:uid="{C61EE15B-DA7F-45C6-843D-2BBB94C98223}"/>
    <cellStyle name="Comma 7 2 4 4 4 2" xfId="9261" xr:uid="{6C2E6440-3245-467A-9F6D-57493176B165}"/>
    <cellStyle name="Comma 7 2 4 4 5" xfId="6612" xr:uid="{C933E598-52D6-4144-A654-540237FF0845}"/>
    <cellStyle name="Comma 7 2 4 5" xfId="1431" xr:uid="{16ED7E1A-1DE5-488C-80E1-AC7EBBD29756}"/>
    <cellStyle name="Comma 7 2 4 5 2" xfId="1959" xr:uid="{46D71CA0-E384-4EA4-AA6F-18ACED4B7C69}"/>
    <cellStyle name="Comma 7 2 4 5 2 2" xfId="3299" xr:uid="{622F0A56-4C77-48AF-B885-000640442B6A}"/>
    <cellStyle name="Comma 7 2 4 5 2 2 2" xfId="5948" xr:uid="{89FF300D-DB34-45FD-8D50-E5233A528A6E}"/>
    <cellStyle name="Comma 7 2 4 5 2 2 2 2" xfId="11245" xr:uid="{BA6FE3EC-08BE-44E0-9148-1973EC9F6100}"/>
    <cellStyle name="Comma 7 2 4 5 2 2 3" xfId="8596" xr:uid="{C0977BC0-846E-43EB-9E84-8EC8FF907D5A}"/>
    <cellStyle name="Comma 7 2 4 5 2 3" xfId="4624" xr:uid="{84EDC371-CEE2-4F2D-996B-CD89D0A51528}"/>
    <cellStyle name="Comma 7 2 4 5 2 3 2" xfId="9921" xr:uid="{AF42D970-1AC7-47E7-9D5A-B8255702CD3B}"/>
    <cellStyle name="Comma 7 2 4 5 2 4" xfId="7272" xr:uid="{95199234-0C38-4F11-8895-A16340665EA6}"/>
    <cellStyle name="Comma 7 2 4 5 3" xfId="2771" xr:uid="{6400C52D-FB73-4794-AE78-82D2D3610E26}"/>
    <cellStyle name="Comma 7 2 4 5 3 2" xfId="5420" xr:uid="{A35E96AE-0043-430D-AE45-9E69E20CF419}"/>
    <cellStyle name="Comma 7 2 4 5 3 2 2" xfId="10717" xr:uid="{483E9599-2D8E-4B45-A34A-FEAE94456ABC}"/>
    <cellStyle name="Comma 7 2 4 5 3 3" xfId="8068" xr:uid="{7F9EBFAA-D967-4DDF-AF26-A362EFE7E4B9}"/>
    <cellStyle name="Comma 7 2 4 5 4" xfId="4096" xr:uid="{12141A7C-7630-44F4-8F08-3E240AA8FFAF}"/>
    <cellStyle name="Comma 7 2 4 5 4 2" xfId="9393" xr:uid="{98B18164-D4BB-4D1E-AB6D-CAE27DC14B22}"/>
    <cellStyle name="Comma 7 2 4 5 5" xfId="6744" xr:uid="{F8419561-8F4C-486C-9772-28CAF6AA0162}"/>
    <cellStyle name="Comma 7 2 4 6" xfId="2247" xr:uid="{56AF3C19-5FFC-4BDC-A71C-305AE3BEF09A}"/>
    <cellStyle name="Comma 7 2 4 6 2" xfId="4896" xr:uid="{5A3C0EC7-BA77-400B-8FF0-B3FB0B617019}"/>
    <cellStyle name="Comma 7 2 4 6 2 2" xfId="10193" xr:uid="{113190F2-74F6-407F-AAC3-EDE37901A3B3}"/>
    <cellStyle name="Comma 7 2 4 6 3" xfId="7544" xr:uid="{D5572634-E7AB-4B1D-8707-3B678DBB5EBD}"/>
    <cellStyle name="Comma 7 2 4 7" xfId="3572" xr:uid="{B1D3B329-4D07-41BF-BE3F-12B5F37EF8F1}"/>
    <cellStyle name="Comma 7 2 4 7 2" xfId="8869" xr:uid="{779F109E-01C7-4A79-93BA-B39613AFFF2E}"/>
    <cellStyle name="Comma 7 2 4 8" xfId="6220" xr:uid="{E78A28B9-0A33-4C9D-8378-7D453AFAF976}"/>
    <cellStyle name="Comma 7 2 5" xfId="1097" xr:uid="{FEE119D1-F82C-463D-8738-7551B7C36915}"/>
    <cellStyle name="Comma 7 2 5 2" xfId="1635" xr:uid="{1F744528-3227-43EC-87CB-0B07BCEC3BA3}"/>
    <cellStyle name="Comma 7 2 5 2 2" xfId="2975" xr:uid="{53576CD1-2D7C-4248-8202-314CBE8ECDA4}"/>
    <cellStyle name="Comma 7 2 5 2 2 2" xfId="5624" xr:uid="{8676FDED-ED08-47A7-BBAA-453486088E06}"/>
    <cellStyle name="Comma 7 2 5 2 2 2 2" xfId="10921" xr:uid="{35E8FB77-F47C-429A-8DCA-C3236E3808B1}"/>
    <cellStyle name="Comma 7 2 5 2 2 3" xfId="8272" xr:uid="{D11A0744-2118-41CB-8776-2DA674C8C534}"/>
    <cellStyle name="Comma 7 2 5 2 3" xfId="4300" xr:uid="{86EE8ABC-8306-484B-A7E2-3A045360BC56}"/>
    <cellStyle name="Comma 7 2 5 2 3 2" xfId="9597" xr:uid="{12A1A2DB-C8A2-40D2-8387-070D32B65B82}"/>
    <cellStyle name="Comma 7 2 5 2 4" xfId="6948" xr:uid="{2829A99A-978C-4F18-9A35-358FBBB415E5}"/>
    <cellStyle name="Comma 7 2 5 3" xfId="2447" xr:uid="{17184564-A596-40E1-9EA5-686D80A7BEC9}"/>
    <cellStyle name="Comma 7 2 5 3 2" xfId="5096" xr:uid="{F741C847-1E80-4BC6-84AA-41D83A21E0ED}"/>
    <cellStyle name="Comma 7 2 5 3 2 2" xfId="10393" xr:uid="{2C005457-9A37-4F1D-B999-D1205F1EEF09}"/>
    <cellStyle name="Comma 7 2 5 3 3" xfId="7744" xr:uid="{12779DAB-416F-4FE5-9EE8-27A990AC21B9}"/>
    <cellStyle name="Comma 7 2 5 4" xfId="3772" xr:uid="{8266988C-AF75-4F31-8B75-6D6BA066814A}"/>
    <cellStyle name="Comma 7 2 5 4 2" xfId="9069" xr:uid="{B9108A31-FA3F-4389-9E2A-89ACBD30A93F}"/>
    <cellStyle name="Comma 7 2 5 5" xfId="6420" xr:uid="{4E831BD7-14F7-490A-9B7D-3B21CC1A4A68}"/>
    <cellStyle name="Comma 7 2 6" xfId="950" xr:uid="{E4C8B758-E0C4-46B5-B015-FB9C3C2F52FE}"/>
    <cellStyle name="Comma 7 2 6 2" xfId="1503" xr:uid="{AE64D4B4-240A-47EF-91C7-47A55DE0071D}"/>
    <cellStyle name="Comma 7 2 6 2 2" xfId="2843" xr:uid="{8104E3C3-8BD7-48F5-9075-1BFD444CFB6E}"/>
    <cellStyle name="Comma 7 2 6 2 2 2" xfId="5492" xr:uid="{7B57C024-D1F4-43E0-A7E4-AF40E0A963CB}"/>
    <cellStyle name="Comma 7 2 6 2 2 2 2" xfId="10789" xr:uid="{A6082236-B587-46B9-BB7B-7D10EC2C681A}"/>
    <cellStyle name="Comma 7 2 6 2 2 3" xfId="8140" xr:uid="{C2C3D067-C75F-409A-ACBE-649252C91B40}"/>
    <cellStyle name="Comma 7 2 6 2 3" xfId="4168" xr:uid="{4D2824EE-1F17-4100-A684-A6EB24B82FAD}"/>
    <cellStyle name="Comma 7 2 6 2 3 2" xfId="9465" xr:uid="{C09E2068-9671-4C70-ACA1-BB0886AE8F47}"/>
    <cellStyle name="Comma 7 2 6 2 4" xfId="6816" xr:uid="{4FFFD865-F4AF-4CE9-80C1-2F11E770990E}"/>
    <cellStyle name="Comma 7 2 6 3" xfId="2315" xr:uid="{FA24F426-1915-44D7-9687-FB219ABF0E1C}"/>
    <cellStyle name="Comma 7 2 6 3 2" xfId="4964" xr:uid="{C08ACF4F-0913-4789-BDB5-9D91A1076D78}"/>
    <cellStyle name="Comma 7 2 6 3 2 2" xfId="10261" xr:uid="{EC7D6DFE-DB1A-4052-8AF6-CE7FAB96863B}"/>
    <cellStyle name="Comma 7 2 6 3 3" xfId="7612" xr:uid="{074C9C05-9828-4991-9E2D-CF299DABA3EB}"/>
    <cellStyle name="Comma 7 2 6 4" xfId="3640" xr:uid="{92458108-6A40-4238-A9D6-C3FF0F0BFFF1}"/>
    <cellStyle name="Comma 7 2 6 4 2" xfId="8937" xr:uid="{7612F263-0910-4EEA-A38A-357820E9ED98}"/>
    <cellStyle name="Comma 7 2 6 5" xfId="6288" xr:uid="{78763333-F8F4-4AB9-9214-4B6570ED7074}"/>
    <cellStyle name="Comma 7 2 7" xfId="1239" xr:uid="{1DCED2DE-7B67-4625-8139-141000392ED9}"/>
    <cellStyle name="Comma 7 2 7 2" xfId="1767" xr:uid="{48EECBF8-E0B2-4DC4-AE0D-94C18B3D1E4C}"/>
    <cellStyle name="Comma 7 2 7 2 2" xfId="3107" xr:uid="{955360E1-2076-4BB3-B75E-B1FB44C0A9A6}"/>
    <cellStyle name="Comma 7 2 7 2 2 2" xfId="5756" xr:uid="{B3129890-6D2E-4064-8C60-EC46DB2C832E}"/>
    <cellStyle name="Comma 7 2 7 2 2 2 2" xfId="11053" xr:uid="{30B30EB8-7846-43EE-8659-46FC46C65E3C}"/>
    <cellStyle name="Comma 7 2 7 2 2 3" xfId="8404" xr:uid="{3752E38D-CBBA-48F2-98B2-0DC984B6265E}"/>
    <cellStyle name="Comma 7 2 7 2 3" xfId="4432" xr:uid="{BE5B0F8F-3E0D-420A-B602-52E6C7D5CAB0}"/>
    <cellStyle name="Comma 7 2 7 2 3 2" xfId="9729" xr:uid="{AB0DEBFF-1FCF-44AE-9DCE-EE91BBD33D30}"/>
    <cellStyle name="Comma 7 2 7 2 4" xfId="7080" xr:uid="{92D1680E-79AD-4BE6-8037-B2FB35AAB895}"/>
    <cellStyle name="Comma 7 2 7 3" xfId="2579" xr:uid="{1A6FDB0F-BE7E-4EE1-B005-0C3C930BCF86}"/>
    <cellStyle name="Comma 7 2 7 3 2" xfId="5228" xr:uid="{6D126A2C-829C-4EE1-AA86-32D3DB92909A}"/>
    <cellStyle name="Comma 7 2 7 3 2 2" xfId="10525" xr:uid="{5B5882EB-1A12-4975-A40C-4E0B5B889BD0}"/>
    <cellStyle name="Comma 7 2 7 3 3" xfId="7876" xr:uid="{283471DD-6935-4265-A202-F12AD3627B62}"/>
    <cellStyle name="Comma 7 2 7 4" xfId="3904" xr:uid="{267B66E8-6EDB-4EB4-9BBD-0BDA221EAC01}"/>
    <cellStyle name="Comma 7 2 7 4 2" xfId="9201" xr:uid="{D7DD33C0-51B0-47AE-B72E-D6C5B6DC00AD}"/>
    <cellStyle name="Comma 7 2 7 5" xfId="6552" xr:uid="{F78AEEAE-A2F7-42F5-8090-40DD9C654AE1}"/>
    <cellStyle name="Comma 7 2 8" xfId="1371" xr:uid="{D5F3D401-0C64-45A4-9D1E-593264A09982}"/>
    <cellStyle name="Comma 7 2 8 2" xfId="1899" xr:uid="{92236D84-6355-412B-9B83-3F7BD80178A1}"/>
    <cellStyle name="Comma 7 2 8 2 2" xfId="3239" xr:uid="{3EDC3758-8BFE-48CF-83C1-48F88F6B5B2C}"/>
    <cellStyle name="Comma 7 2 8 2 2 2" xfId="5888" xr:uid="{B682A400-11DA-4DAD-BA1E-09F029D0C66A}"/>
    <cellStyle name="Comma 7 2 8 2 2 2 2" xfId="11185" xr:uid="{28BE239D-4216-4890-9EBF-084BC644A4DB}"/>
    <cellStyle name="Comma 7 2 8 2 2 3" xfId="8536" xr:uid="{0AA76FA0-1BA7-4DFE-8449-930C86AFA783}"/>
    <cellStyle name="Comma 7 2 8 2 3" xfId="4564" xr:uid="{C5380EC0-D166-4261-968B-9DD1049CEA82}"/>
    <cellStyle name="Comma 7 2 8 2 3 2" xfId="9861" xr:uid="{1DF35675-8DCE-4922-B0F1-B5D554D82F46}"/>
    <cellStyle name="Comma 7 2 8 2 4" xfId="7212" xr:uid="{D6A0CD10-EBB7-4A18-B427-F4F90CA73564}"/>
    <cellStyle name="Comma 7 2 8 3" xfId="2711" xr:uid="{4EF7B7C1-6F00-4893-95A0-1D4D9B2587AC}"/>
    <cellStyle name="Comma 7 2 8 3 2" xfId="5360" xr:uid="{7192AF2B-36B3-41CD-B32F-69026959042F}"/>
    <cellStyle name="Comma 7 2 8 3 2 2" xfId="10657" xr:uid="{356C6F0B-0A7B-4107-82DE-93765E6CF652}"/>
    <cellStyle name="Comma 7 2 8 3 3" xfId="8008" xr:uid="{4274F8A8-ED55-4986-AAC8-44CBF34B405A}"/>
    <cellStyle name="Comma 7 2 8 4" xfId="4036" xr:uid="{7D204053-EA94-4DDC-A22D-432D3391766F}"/>
    <cellStyle name="Comma 7 2 8 4 2" xfId="9333" xr:uid="{8511EB38-7EDB-4F2F-A49C-0CFFE680D04E}"/>
    <cellStyle name="Comma 7 2 8 5" xfId="6684" xr:uid="{6F6BE91D-DB1B-4C45-8EDD-83015504A9CD}"/>
    <cellStyle name="Comma 7 2 9" xfId="516" xr:uid="{93E44192-58A1-4EF8-9671-943060B65203}"/>
    <cellStyle name="Comma 7 2 9 2" xfId="2192" xr:uid="{4B12095D-B781-42B0-A489-C4F31DF03B11}"/>
    <cellStyle name="Comma 7 2 9 2 2" xfId="4841" xr:uid="{FD9D8E84-0860-4952-BF9E-1A5BE51714D7}"/>
    <cellStyle name="Comma 7 2 9 2 2 2" xfId="10138" xr:uid="{E97CB6C2-D60A-422E-9E90-D671BCB039C5}"/>
    <cellStyle name="Comma 7 2 9 2 3" xfId="7489" xr:uid="{C57B6ABE-E628-4072-A70A-5D052CCA0717}"/>
    <cellStyle name="Comma 7 2 9 3" xfId="3517" xr:uid="{205A112F-0B04-4E9C-A604-1A1E7A20AD9F}"/>
    <cellStyle name="Comma 7 2 9 3 2" xfId="8814" xr:uid="{B957000E-6A01-4E93-A7EE-69C9FBE06742}"/>
    <cellStyle name="Comma 7 2 9 4" xfId="6165" xr:uid="{64CCD9B0-85A8-48AB-90CC-23CDB21E455C}"/>
    <cellStyle name="Comma 7 3" xfId="136" xr:uid="{0D2FE784-042D-4C98-8DBA-C061932B9A84}"/>
    <cellStyle name="Comma 7 3 10" xfId="6053" xr:uid="{CC9A66B6-64A8-4C77-A1FF-7EF817EC7A3C}"/>
    <cellStyle name="Comma 7 3 2" xfId="368" xr:uid="{189C704E-808B-4189-999E-CF59078B1B3B}"/>
    <cellStyle name="Comma 7 3 2 2" xfId="1215" xr:uid="{FBD529F7-8C64-4E05-B96F-CF032B49344B}"/>
    <cellStyle name="Comma 7 3 2 2 2" xfId="1743" xr:uid="{FCA17C4F-83FC-4617-A159-BDD22042889B}"/>
    <cellStyle name="Comma 7 3 2 2 2 2" xfId="3083" xr:uid="{5160ADAA-00D3-4C13-B7ED-29F738190BD7}"/>
    <cellStyle name="Comma 7 3 2 2 2 2 2" xfId="5732" xr:uid="{A3E15BD2-34F4-4066-8F93-B0FE93535AA5}"/>
    <cellStyle name="Comma 7 3 2 2 2 2 2 2" xfId="11029" xr:uid="{62C3B89C-BAA0-4696-9AEF-F0E52C9F1FBC}"/>
    <cellStyle name="Comma 7 3 2 2 2 2 3" xfId="8380" xr:uid="{D8A5CE65-02ED-410D-8F1F-61AF55DC3FA2}"/>
    <cellStyle name="Comma 7 3 2 2 2 3" xfId="4408" xr:uid="{EA2F8E03-F558-4C65-BC28-E3BAD7DD4BB2}"/>
    <cellStyle name="Comma 7 3 2 2 2 3 2" xfId="9705" xr:uid="{AC2DCB77-2141-4480-9E1F-6E62CE75BBE9}"/>
    <cellStyle name="Comma 7 3 2 2 2 4" xfId="7056" xr:uid="{95AAF9D9-FD18-491E-BFEB-9CB1C605260E}"/>
    <cellStyle name="Comma 7 3 2 2 3" xfId="2555" xr:uid="{FF3DE4A4-CB07-4475-891C-D4D2E681F8A8}"/>
    <cellStyle name="Comma 7 3 2 2 3 2" xfId="5204" xr:uid="{46522CE0-09B3-438D-A506-361376C2A147}"/>
    <cellStyle name="Comma 7 3 2 2 3 2 2" xfId="10501" xr:uid="{E879FA95-1360-4A1D-9297-D30BC2FE98B9}"/>
    <cellStyle name="Comma 7 3 2 2 3 3" xfId="7852" xr:uid="{4C7CC3D5-1450-491E-AC92-482E4569D726}"/>
    <cellStyle name="Comma 7 3 2 2 4" xfId="3880" xr:uid="{92899D43-D447-466E-A167-59D3EAE3FB5B}"/>
    <cellStyle name="Comma 7 3 2 2 4 2" xfId="9177" xr:uid="{3D01F15E-F0E1-4D25-A06A-AD8E823DDC54}"/>
    <cellStyle name="Comma 7 3 2 2 5" xfId="6528" xr:uid="{625924AE-EC62-45B2-A02C-C3C359E32DFB}"/>
    <cellStyle name="Comma 7 3 2 3" xfId="1072" xr:uid="{DFD89CF3-9463-4153-955A-EC123D917ADC}"/>
    <cellStyle name="Comma 7 3 2 3 2" xfId="1611" xr:uid="{245E9312-7D51-4E5C-9833-F3C7A48916EB}"/>
    <cellStyle name="Comma 7 3 2 3 2 2" xfId="2951" xr:uid="{60389B16-3B21-416C-B84C-035A38B163E9}"/>
    <cellStyle name="Comma 7 3 2 3 2 2 2" xfId="5600" xr:uid="{7F3A7134-EF2E-4FD1-A17D-C9BAEAA646BD}"/>
    <cellStyle name="Comma 7 3 2 3 2 2 2 2" xfId="10897" xr:uid="{9E930034-9301-44DE-9E7F-E604B72DE8D3}"/>
    <cellStyle name="Comma 7 3 2 3 2 2 3" xfId="8248" xr:uid="{4BF405CF-7F13-424C-B8E4-4D1516864EDD}"/>
    <cellStyle name="Comma 7 3 2 3 2 3" xfId="4276" xr:uid="{1FF6547D-BC40-419E-97CF-5EB3C3987818}"/>
    <cellStyle name="Comma 7 3 2 3 2 3 2" xfId="9573" xr:uid="{5A049C39-271D-4490-9180-4FEB9478DED5}"/>
    <cellStyle name="Comma 7 3 2 3 2 4" xfId="6924" xr:uid="{FB248981-C9B7-4E73-A90A-6C17AA7170A2}"/>
    <cellStyle name="Comma 7 3 2 3 3" xfId="2423" xr:uid="{4658069E-47FC-40DB-9CC4-3B22995487CD}"/>
    <cellStyle name="Comma 7 3 2 3 3 2" xfId="5072" xr:uid="{FB1ABA08-4895-44FC-A20B-17AE2EF9A111}"/>
    <cellStyle name="Comma 7 3 2 3 3 2 2" xfId="10369" xr:uid="{5D231803-EDE7-4D0A-84A8-053EDBC6F9F6}"/>
    <cellStyle name="Comma 7 3 2 3 3 3" xfId="7720" xr:uid="{F2BB9880-626F-4590-A80E-DE1E11BC34E9}"/>
    <cellStyle name="Comma 7 3 2 3 4" xfId="3748" xr:uid="{2876ECE7-63C8-4C4B-8523-08FBD69B368B}"/>
    <cellStyle name="Comma 7 3 2 3 4 2" xfId="9045" xr:uid="{01627182-1954-4AA8-B3F4-89F16EA4007B}"/>
    <cellStyle name="Comma 7 3 2 3 5" xfId="6396" xr:uid="{5A9DEF0D-B16F-4C32-8122-C690F88591AE}"/>
    <cellStyle name="Comma 7 3 2 4" xfId="1347" xr:uid="{DA3047EA-CDF2-4840-9EE1-4C0D33CEA27B}"/>
    <cellStyle name="Comma 7 3 2 4 2" xfId="1875" xr:uid="{B293B6B8-9FB0-4E3B-AC79-DA2AC9CC4FD4}"/>
    <cellStyle name="Comma 7 3 2 4 2 2" xfId="3215" xr:uid="{3B444BBB-286C-4F1F-AC99-2EA51F3C37C2}"/>
    <cellStyle name="Comma 7 3 2 4 2 2 2" xfId="5864" xr:uid="{30F618C1-1EC4-4541-A452-DB54B42C0F4E}"/>
    <cellStyle name="Comma 7 3 2 4 2 2 2 2" xfId="11161" xr:uid="{A52A729C-FBE6-4C9C-854D-E8AB91D4C995}"/>
    <cellStyle name="Comma 7 3 2 4 2 2 3" xfId="8512" xr:uid="{AABA93A3-0BA9-4F91-A32C-478BA2C72908}"/>
    <cellStyle name="Comma 7 3 2 4 2 3" xfId="4540" xr:uid="{F34AAE41-CC7F-4ECC-9A65-28455A267038}"/>
    <cellStyle name="Comma 7 3 2 4 2 3 2" xfId="9837" xr:uid="{AFDAA1D6-4FD2-48EA-AB57-82C7F985C295}"/>
    <cellStyle name="Comma 7 3 2 4 2 4" xfId="7188" xr:uid="{E6AEF51B-0F2F-48F4-8177-534BB114C429}"/>
    <cellStyle name="Comma 7 3 2 4 3" xfId="2687" xr:uid="{CABBFD51-7A54-4360-8D4E-A4684A758C7F}"/>
    <cellStyle name="Comma 7 3 2 4 3 2" xfId="5336" xr:uid="{974C5F22-A2E1-4F26-AA19-156337DA127F}"/>
    <cellStyle name="Comma 7 3 2 4 3 2 2" xfId="10633" xr:uid="{4A2ED2A1-FD51-42E4-AC28-B8891F31A6D3}"/>
    <cellStyle name="Comma 7 3 2 4 3 3" xfId="7984" xr:uid="{47F87FA7-B07E-442B-8920-E1BB1963AF66}"/>
    <cellStyle name="Comma 7 3 2 4 4" xfId="4012" xr:uid="{905E0596-1693-4B5D-8DF9-3DDAF2DE2BEB}"/>
    <cellStyle name="Comma 7 3 2 4 4 2" xfId="9309" xr:uid="{2ACEF0A0-4FE9-4575-972B-1CC2CD50D868}"/>
    <cellStyle name="Comma 7 3 2 4 5" xfId="6660" xr:uid="{1882BD64-8DFC-4997-B568-31F1BAE34C79}"/>
    <cellStyle name="Comma 7 3 2 5" xfId="1479" xr:uid="{1E958316-118D-497B-8CF5-DB88B9F6CB7F}"/>
    <cellStyle name="Comma 7 3 2 5 2" xfId="2007" xr:uid="{AE9C7F4F-A075-41A6-8DAF-9898B6D15EFD}"/>
    <cellStyle name="Comma 7 3 2 5 2 2" xfId="3347" xr:uid="{F6C07098-E85C-4F4F-9413-681182C012D2}"/>
    <cellStyle name="Comma 7 3 2 5 2 2 2" xfId="5996" xr:uid="{C67AAE37-604B-4227-B351-2193C415A684}"/>
    <cellStyle name="Comma 7 3 2 5 2 2 2 2" xfId="11293" xr:uid="{DBC518AB-9C02-4A1A-91A3-E599961839C0}"/>
    <cellStyle name="Comma 7 3 2 5 2 2 3" xfId="8644" xr:uid="{C7EE58DB-E5C7-41BE-AEBF-4CCC45DE2DBA}"/>
    <cellStyle name="Comma 7 3 2 5 2 3" xfId="4672" xr:uid="{451C52B7-F05D-470E-99B2-846A02FA8CBF}"/>
    <cellStyle name="Comma 7 3 2 5 2 3 2" xfId="9969" xr:uid="{8E041C98-E96D-49DF-963B-7496E2057AAB}"/>
    <cellStyle name="Comma 7 3 2 5 2 4" xfId="7320" xr:uid="{F42A70E9-5D07-4E7C-9538-DB47FF376213}"/>
    <cellStyle name="Comma 7 3 2 5 3" xfId="2819" xr:uid="{570A0307-8D7F-4AD6-8E33-804995EF741C}"/>
    <cellStyle name="Comma 7 3 2 5 3 2" xfId="5468" xr:uid="{9275ADD6-1614-4BD5-B682-3F6DFC930666}"/>
    <cellStyle name="Comma 7 3 2 5 3 2 2" xfId="10765" xr:uid="{92486B1D-BC9D-4C3D-8935-A467D7A5FF80}"/>
    <cellStyle name="Comma 7 3 2 5 3 3" xfId="8116" xr:uid="{27322E47-3BBD-4E11-9177-B3EFD44EAC6D}"/>
    <cellStyle name="Comma 7 3 2 5 4" xfId="4144" xr:uid="{C0047F19-9019-4E3A-9587-2473C15B32D5}"/>
    <cellStyle name="Comma 7 3 2 5 4 2" xfId="9441" xr:uid="{3337231D-D0D7-4337-B87A-66E5A957C808}"/>
    <cellStyle name="Comma 7 3 2 5 5" xfId="6792" xr:uid="{7564B9C0-1A82-41DB-AA8C-F693BF81FE25}"/>
    <cellStyle name="Comma 7 3 2 6" xfId="924" xr:uid="{9D8EFBAE-03FA-4968-A9A8-3A74E2F76FEA}"/>
    <cellStyle name="Comma 7 3 2 6 2" xfId="2291" xr:uid="{AD243EDB-AC95-4107-A7C3-0F8D203C28A5}"/>
    <cellStyle name="Comma 7 3 2 6 2 2" xfId="4940" xr:uid="{98CBA3A7-0F44-4BD8-9F4D-6DFF4FBE684F}"/>
    <cellStyle name="Comma 7 3 2 6 2 2 2" xfId="10237" xr:uid="{92355982-D72B-47C1-9DEB-FCB9E7440B63}"/>
    <cellStyle name="Comma 7 3 2 6 2 3" xfId="7588" xr:uid="{8F44AF73-EA02-48F3-8340-4DA8A6A2E01D}"/>
    <cellStyle name="Comma 7 3 2 6 3" xfId="3616" xr:uid="{AADDA8BC-87E3-4161-841D-B634F1C9D5C1}"/>
    <cellStyle name="Comma 7 3 2 6 3 2" xfId="8913" xr:uid="{32EB60F9-CD79-4F07-909E-DC0A17DF5255}"/>
    <cellStyle name="Comma 7 3 2 6 4" xfId="6264" xr:uid="{4B6B6E9B-291C-4E74-AEE2-ED3D4D2A18F9}"/>
    <cellStyle name="Comma 7 3 2 7" xfId="2147" xr:uid="{2AB16EFA-BDB6-45F8-A739-38B6DB81AA07}"/>
    <cellStyle name="Comma 7 3 2 7 2" xfId="4796" xr:uid="{3F1F9770-4660-4E49-84EE-B3E4E9C7C337}"/>
    <cellStyle name="Comma 7 3 2 7 2 2" xfId="10093" xr:uid="{46E60892-DDE3-46CC-ACD5-CBBD13F90B16}"/>
    <cellStyle name="Comma 7 3 2 7 3" xfId="7444" xr:uid="{3ABA8ECB-AC88-42A6-ADD7-C795A443AA2E}"/>
    <cellStyle name="Comma 7 3 2 8" xfId="3472" xr:uid="{203E691D-7916-46E5-9E30-8529625C4D72}"/>
    <cellStyle name="Comma 7 3 2 8 2" xfId="8769" xr:uid="{C9F580E8-07AC-42F6-9D90-5EF5E73C3D1E}"/>
    <cellStyle name="Comma 7 3 2 9" xfId="6120" xr:uid="{746F37C6-2743-4F78-95CF-FD073922BB55}"/>
    <cellStyle name="Comma 7 3 3" xfId="1123" xr:uid="{88FFCB02-4EC6-4445-B93F-0885ACBF10D7}"/>
    <cellStyle name="Comma 7 3 3 2" xfId="1657" xr:uid="{48A44C18-D98E-4E0C-890E-33FCDF105BB7}"/>
    <cellStyle name="Comma 7 3 3 2 2" xfId="2997" xr:uid="{9ED3EFE5-0484-4CE0-BCC8-CDE5D7FBD21E}"/>
    <cellStyle name="Comma 7 3 3 2 2 2" xfId="5646" xr:uid="{E3190F91-3EBC-4569-94C2-29F93AEC08C1}"/>
    <cellStyle name="Comma 7 3 3 2 2 2 2" xfId="10943" xr:uid="{05D8659F-DE47-4BC4-AE57-74D3905D88F1}"/>
    <cellStyle name="Comma 7 3 3 2 2 3" xfId="8294" xr:uid="{5D239B63-2671-4455-8DF4-E8F1DBBE0DEF}"/>
    <cellStyle name="Comma 7 3 3 2 3" xfId="4322" xr:uid="{CC1A9176-6941-43EC-B0EF-C8D08F26201E}"/>
    <cellStyle name="Comma 7 3 3 2 3 2" xfId="9619" xr:uid="{6B5A675D-2BE6-4539-B795-4E6FA54F0F4E}"/>
    <cellStyle name="Comma 7 3 3 2 4" xfId="6970" xr:uid="{BF588CE5-4C45-4EC7-9A28-B2A8160B3580}"/>
    <cellStyle name="Comma 7 3 3 3" xfId="2469" xr:uid="{D301F67E-F0C3-4882-9D32-AE40DF723216}"/>
    <cellStyle name="Comma 7 3 3 3 2" xfId="5118" xr:uid="{4609D35C-BD92-486D-A3C6-FF0473DA586A}"/>
    <cellStyle name="Comma 7 3 3 3 2 2" xfId="10415" xr:uid="{A9CCC4B2-957C-4A03-8A0C-FB9139F28582}"/>
    <cellStyle name="Comma 7 3 3 3 3" xfId="7766" xr:uid="{F2B4E142-2F2E-4B17-8C1A-73C7DD05DC98}"/>
    <cellStyle name="Comma 7 3 3 4" xfId="3794" xr:uid="{0B28E2D6-A715-401E-9E91-6DF834E747C5}"/>
    <cellStyle name="Comma 7 3 3 4 2" xfId="9091" xr:uid="{082CFD82-BFC0-4712-AAB6-366468A91990}"/>
    <cellStyle name="Comma 7 3 3 5" xfId="6442" xr:uid="{4FC16495-23C1-4C5A-8C28-95F793089399}"/>
    <cellStyle name="Comma 7 3 4" xfId="977" xr:uid="{BA2AAB8F-57A9-44C3-B876-154FA14DDC16}"/>
    <cellStyle name="Comma 7 3 4 2" xfId="1525" xr:uid="{0D451E82-6698-4BB3-93DC-3FE22B7435E1}"/>
    <cellStyle name="Comma 7 3 4 2 2" xfId="2865" xr:uid="{3E4D30A4-42E4-45A4-9775-552F2A8B2857}"/>
    <cellStyle name="Comma 7 3 4 2 2 2" xfId="5514" xr:uid="{FD847CB4-176C-43E1-82C1-CC978FDF9607}"/>
    <cellStyle name="Comma 7 3 4 2 2 2 2" xfId="10811" xr:uid="{2040AE76-6B11-4DBD-B758-78CCFB3EE634}"/>
    <cellStyle name="Comma 7 3 4 2 2 3" xfId="8162" xr:uid="{07F7EB57-731D-4C52-BFBB-321091EC614E}"/>
    <cellStyle name="Comma 7 3 4 2 3" xfId="4190" xr:uid="{30CC501B-EA5C-481D-A2C0-A1282D525916}"/>
    <cellStyle name="Comma 7 3 4 2 3 2" xfId="9487" xr:uid="{4C5DA56B-9316-4CD9-B7C9-5D3758141667}"/>
    <cellStyle name="Comma 7 3 4 2 4" xfId="6838" xr:uid="{7DBE211B-305E-4725-9810-D5F12CC6D64E}"/>
    <cellStyle name="Comma 7 3 4 3" xfId="2337" xr:uid="{F0D61FF5-A67C-489D-B78F-A4735B41EB6B}"/>
    <cellStyle name="Comma 7 3 4 3 2" xfId="4986" xr:uid="{332B49BB-4E77-4AED-9399-69F9F28EFB0A}"/>
    <cellStyle name="Comma 7 3 4 3 2 2" xfId="10283" xr:uid="{E060432B-2016-428D-BACC-1B163254D9BE}"/>
    <cellStyle name="Comma 7 3 4 3 3" xfId="7634" xr:uid="{0D6FFE04-4E90-4509-B8B2-AA1F7EA6A612}"/>
    <cellStyle name="Comma 7 3 4 4" xfId="3662" xr:uid="{CD092E9C-C30D-4729-8870-4ECFF44BE0FD}"/>
    <cellStyle name="Comma 7 3 4 4 2" xfId="8959" xr:uid="{D50C6987-1DE8-4B1D-88F6-54C8042781E4}"/>
    <cellStyle name="Comma 7 3 4 5" xfId="6310" xr:uid="{225EB811-F80B-40CB-B24D-15BDE0CB93AD}"/>
    <cellStyle name="Comma 7 3 5" xfId="1261" xr:uid="{CAA1D4AC-E8D3-4C5B-A059-11519E430061}"/>
    <cellStyle name="Comma 7 3 5 2" xfId="1789" xr:uid="{54EE6986-3D9E-4282-8180-29133CA43156}"/>
    <cellStyle name="Comma 7 3 5 2 2" xfId="3129" xr:uid="{635E73E8-6E53-4268-AB72-4A7F7A6B76A0}"/>
    <cellStyle name="Comma 7 3 5 2 2 2" xfId="5778" xr:uid="{C8826198-2736-4A01-905C-92E9F196A30F}"/>
    <cellStyle name="Comma 7 3 5 2 2 2 2" xfId="11075" xr:uid="{8BC2E273-3EEF-4147-BF67-F42B63CDE790}"/>
    <cellStyle name="Comma 7 3 5 2 2 3" xfId="8426" xr:uid="{C8D4F8C3-6BF6-4AB9-A40F-723B98FF0DAF}"/>
    <cellStyle name="Comma 7 3 5 2 3" xfId="4454" xr:uid="{4B3FC25A-E086-48E2-B452-9500BB989F31}"/>
    <cellStyle name="Comma 7 3 5 2 3 2" xfId="9751" xr:uid="{9C168998-199D-40C3-88AF-52C39FAEF908}"/>
    <cellStyle name="Comma 7 3 5 2 4" xfId="7102" xr:uid="{44CA3197-B051-4467-8C25-28BB4AAE5D0C}"/>
    <cellStyle name="Comma 7 3 5 3" xfId="2601" xr:uid="{700B71D6-FF76-4439-B8BA-7DA3CB450C23}"/>
    <cellStyle name="Comma 7 3 5 3 2" xfId="5250" xr:uid="{8B3E9B94-628A-4EF9-BF92-64272079114F}"/>
    <cellStyle name="Comma 7 3 5 3 2 2" xfId="10547" xr:uid="{B1BBD122-F5E9-4DF9-83BB-F89773E05857}"/>
    <cellStyle name="Comma 7 3 5 3 3" xfId="7898" xr:uid="{45463AED-242D-41FC-BE78-2B995C57D7C3}"/>
    <cellStyle name="Comma 7 3 5 4" xfId="3926" xr:uid="{51A602B7-BF1B-43DD-9394-87FB1218AF66}"/>
    <cellStyle name="Comma 7 3 5 4 2" xfId="9223" xr:uid="{BE37057A-BC29-4B9A-BBF8-73280E105888}"/>
    <cellStyle name="Comma 7 3 5 5" xfId="6574" xr:uid="{FDF06655-C4E6-4787-BC42-B17B369A8A09}"/>
    <cellStyle name="Comma 7 3 6" xfId="1393" xr:uid="{47BCD6CB-4D8D-4B96-9F6B-C9CC25506690}"/>
    <cellStyle name="Comma 7 3 6 2" xfId="1921" xr:uid="{81A4FCEB-0C31-49B7-BA57-7AD34C951DBF}"/>
    <cellStyle name="Comma 7 3 6 2 2" xfId="3261" xr:uid="{1DF477F5-4BA6-48FA-8C12-8E26430DED02}"/>
    <cellStyle name="Comma 7 3 6 2 2 2" xfId="5910" xr:uid="{165A8181-40DC-4D01-97C4-4ACB24A1971E}"/>
    <cellStyle name="Comma 7 3 6 2 2 2 2" xfId="11207" xr:uid="{C8A13DED-A437-4723-B02F-44DA18F6A9F9}"/>
    <cellStyle name="Comma 7 3 6 2 2 3" xfId="8558" xr:uid="{30DBD3D8-C8C8-44C3-8296-482E11FC2E75}"/>
    <cellStyle name="Comma 7 3 6 2 3" xfId="4586" xr:uid="{05B46F68-8A92-4547-96CA-DC1277D9B836}"/>
    <cellStyle name="Comma 7 3 6 2 3 2" xfId="9883" xr:uid="{6C8DD0F6-734E-4822-AF24-F9A7EC2F5709}"/>
    <cellStyle name="Comma 7 3 6 2 4" xfId="7234" xr:uid="{921592A2-5069-41A6-9221-4BA8D31E647B}"/>
    <cellStyle name="Comma 7 3 6 3" xfId="2733" xr:uid="{2ABAFAC2-13C3-4A9C-AA4E-763A3022FD64}"/>
    <cellStyle name="Comma 7 3 6 3 2" xfId="5382" xr:uid="{8408C854-27C9-43C7-A421-9F79D9C1EB7A}"/>
    <cellStyle name="Comma 7 3 6 3 2 2" xfId="10679" xr:uid="{3DFF3C39-5C28-484F-AE95-B57509D8C996}"/>
    <cellStyle name="Comma 7 3 6 3 3" xfId="8030" xr:uid="{41E71922-F826-4B89-92E4-23B2825935B8}"/>
    <cellStyle name="Comma 7 3 6 4" xfId="4058" xr:uid="{CFF783FA-A28F-40DB-A4F1-6E2AF0057D43}"/>
    <cellStyle name="Comma 7 3 6 4 2" xfId="9355" xr:uid="{FC41B592-6B83-4EDA-89FE-7A9E75FA5FE4}"/>
    <cellStyle name="Comma 7 3 6 5" xfId="6706" xr:uid="{D269C576-F7F7-4FA5-80C5-0B46E5D955FC}"/>
    <cellStyle name="Comma 7 3 7" xfId="650" xr:uid="{CC6A6374-3F33-42B1-B03C-D7F1CDE9B1EE}"/>
    <cellStyle name="Comma 7 3 7 2" xfId="2210" xr:uid="{46F41AD5-12A6-45F9-ADA6-7F0D9927405A}"/>
    <cellStyle name="Comma 7 3 7 2 2" xfId="4859" xr:uid="{BB27A1AA-16ED-4AD9-A73B-6CB18606CD8B}"/>
    <cellStyle name="Comma 7 3 7 2 2 2" xfId="10156" xr:uid="{05034DF2-1824-434C-B4E5-C9365A2CBB16}"/>
    <cellStyle name="Comma 7 3 7 2 3" xfId="7507" xr:uid="{182A729C-292E-418B-ACED-90C68A3B7581}"/>
    <cellStyle name="Comma 7 3 7 3" xfId="3535" xr:uid="{858F0F5F-B3A9-4605-B998-DB0A069CA68A}"/>
    <cellStyle name="Comma 7 3 7 3 2" xfId="8832" xr:uid="{C96AE2F5-DA0B-43DD-84A3-ABEB033AFF14}"/>
    <cellStyle name="Comma 7 3 7 4" xfId="6183" xr:uid="{F3CDE3D4-918C-46B8-9095-D5123A434078}"/>
    <cellStyle name="Comma 7 3 8" xfId="2080" xr:uid="{B15028A7-BBF4-48A1-8A41-38EBD69A6D28}"/>
    <cellStyle name="Comma 7 3 8 2" xfId="4729" xr:uid="{D83BBFB6-2BE7-4F61-93EB-62605A5D938E}"/>
    <cellStyle name="Comma 7 3 8 2 2" xfId="10026" xr:uid="{2AAA77F8-0C61-4112-AF15-DCE543804B89}"/>
    <cellStyle name="Comma 7 3 8 3" xfId="7377" xr:uid="{6DA58F0B-DA7E-4F50-9BBD-9B9525D10986}"/>
    <cellStyle name="Comma 7 3 9" xfId="3405" xr:uid="{4767C27B-51C0-4103-AC7C-CFB9AFA08B69}"/>
    <cellStyle name="Comma 7 3 9 2" xfId="8702" xr:uid="{139545FB-D70D-4754-968D-FB54F2A971C6}"/>
    <cellStyle name="Comma 7 4" xfId="182" xr:uid="{632FED99-D06D-406B-A05B-BDAC483D652F}"/>
    <cellStyle name="Comma 7 4 2" xfId="414" xr:uid="{F7B73864-74CC-4AAF-89F1-16E1FFFDB78F}"/>
    <cellStyle name="Comma 7 4 2 2" xfId="1720" xr:uid="{688407B3-68EE-45D1-AB87-8CA78B198D3B}"/>
    <cellStyle name="Comma 7 4 2 2 2" xfId="3060" xr:uid="{16AAA22E-7A8D-40FE-9CD0-E6246ABB9F1C}"/>
    <cellStyle name="Comma 7 4 2 2 2 2" xfId="5709" xr:uid="{11BEA2C8-76A4-4E80-9E06-C371499D487F}"/>
    <cellStyle name="Comma 7 4 2 2 2 2 2" xfId="11006" xr:uid="{20AD89EA-F2E8-46C6-B4F2-6ABCA26D1790}"/>
    <cellStyle name="Comma 7 4 2 2 2 3" xfId="8357" xr:uid="{3C7DC94F-E493-4F76-B566-71A16B473928}"/>
    <cellStyle name="Comma 7 4 2 2 3" xfId="4385" xr:uid="{FD6DBD9E-2C91-4F03-BA43-7D6E4AF28792}"/>
    <cellStyle name="Comma 7 4 2 2 3 2" xfId="9682" xr:uid="{EB72B428-1849-4476-958D-6F62EA114F38}"/>
    <cellStyle name="Comma 7 4 2 2 4" xfId="7033" xr:uid="{748D09A3-0D1E-4333-8F65-E87B6FFDED56}"/>
    <cellStyle name="Comma 7 4 2 3" xfId="1189" xr:uid="{D0C0A9BE-ECFA-4E1E-BFE8-328D56146318}"/>
    <cellStyle name="Comma 7 4 2 3 2" xfId="2532" xr:uid="{74B9E751-126B-408A-8EF6-E15865DA0493}"/>
    <cellStyle name="Comma 7 4 2 3 2 2" xfId="5181" xr:uid="{A11565B3-BD58-429F-A0D5-D185028F955F}"/>
    <cellStyle name="Comma 7 4 2 3 2 2 2" xfId="10478" xr:uid="{5E927A10-CE6B-43C5-909B-6ECB46F16E89}"/>
    <cellStyle name="Comma 7 4 2 3 2 3" xfId="7829" xr:uid="{7ABB80A7-EF2D-4D4E-AC78-9B327EA1891A}"/>
    <cellStyle name="Comma 7 4 2 3 3" xfId="3857" xr:uid="{035288ED-2137-4DA5-814A-D38235CB71AC}"/>
    <cellStyle name="Comma 7 4 2 3 3 2" xfId="9154" xr:uid="{1001F18C-2152-43D0-9328-8DD732591DD0}"/>
    <cellStyle name="Comma 7 4 2 3 4" xfId="6505" xr:uid="{10EBC089-98DF-4046-B085-4FE8A2EC1C9D}"/>
    <cellStyle name="Comma 7 4 2 4" xfId="2160" xr:uid="{914887C6-677D-4105-A388-6FFF292F0017}"/>
    <cellStyle name="Comma 7 4 2 4 2" xfId="4809" xr:uid="{F4D9154B-6E7B-4CF5-95FF-FAF66C05CE7A}"/>
    <cellStyle name="Comma 7 4 2 4 2 2" xfId="10106" xr:uid="{BAEBA715-CA9C-4148-909C-1033A8A54AC6}"/>
    <cellStyle name="Comma 7 4 2 4 3" xfId="7457" xr:uid="{2D27BDA5-75FB-4B10-AC2A-9853925CCC2C}"/>
    <cellStyle name="Comma 7 4 2 5" xfId="3485" xr:uid="{806962BA-1A19-4929-A33E-430148137D13}"/>
    <cellStyle name="Comma 7 4 2 5 2" xfId="8782" xr:uid="{8360850A-302D-4A39-93EA-60E15710A229}"/>
    <cellStyle name="Comma 7 4 2 6" xfId="6133" xr:uid="{AF372CD3-7BBD-4608-8784-B833BC13C93C}"/>
    <cellStyle name="Comma 7 4 3" xfId="1045" xr:uid="{870641FE-B79F-4853-AA71-DF8E203CCEC5}"/>
    <cellStyle name="Comma 7 4 3 2" xfId="1588" xr:uid="{3ACC9D7B-F8D5-41F0-A408-3C1876D825D8}"/>
    <cellStyle name="Comma 7 4 3 2 2" xfId="2928" xr:uid="{8318B91D-5255-417B-ACEC-54033D354F4E}"/>
    <cellStyle name="Comma 7 4 3 2 2 2" xfId="5577" xr:uid="{41613B86-B715-41F5-B83E-9586672EF3BB}"/>
    <cellStyle name="Comma 7 4 3 2 2 2 2" xfId="10874" xr:uid="{1EBDD4C9-5A33-42AA-BB95-2AAF90D48A4C}"/>
    <cellStyle name="Comma 7 4 3 2 2 3" xfId="8225" xr:uid="{C84A890A-5366-4663-B845-78C690C68661}"/>
    <cellStyle name="Comma 7 4 3 2 3" xfId="4253" xr:uid="{594D4361-88E4-4E37-99DF-94E1BD6017CC}"/>
    <cellStyle name="Comma 7 4 3 2 3 2" xfId="9550" xr:uid="{781CFBF0-2A13-42FE-BCEB-22A0FCA8A5D1}"/>
    <cellStyle name="Comma 7 4 3 2 4" xfId="6901" xr:uid="{06F9F267-9C60-4CF9-B661-58F0DFA56FD4}"/>
    <cellStyle name="Comma 7 4 3 3" xfId="2400" xr:uid="{F291936D-CF98-4859-90EC-CC4421551C03}"/>
    <cellStyle name="Comma 7 4 3 3 2" xfId="5049" xr:uid="{C4FBACA1-ECD8-4613-AC08-E47FF8D9523F}"/>
    <cellStyle name="Comma 7 4 3 3 2 2" xfId="10346" xr:uid="{D99B0106-9131-4D6B-9B3F-2993ED0815AA}"/>
    <cellStyle name="Comma 7 4 3 3 3" xfId="7697" xr:uid="{A6885333-2079-4301-869B-62551E340A12}"/>
    <cellStyle name="Comma 7 4 3 4" xfId="3725" xr:uid="{3EB1F047-CC0A-4EFC-9EBD-B69DE3247DBA}"/>
    <cellStyle name="Comma 7 4 3 4 2" xfId="9022" xr:uid="{B74D227D-8E73-47E1-BFB1-945353760D9B}"/>
    <cellStyle name="Comma 7 4 3 5" xfId="6373" xr:uid="{5947DE92-1A10-490A-A7B2-5565E83AA032}"/>
    <cellStyle name="Comma 7 4 4" xfId="1324" xr:uid="{959EC668-0D00-4951-A13C-15087E9D0848}"/>
    <cellStyle name="Comma 7 4 4 2" xfId="1852" xr:uid="{83B779DB-100D-4826-87C9-C81ED27A2C69}"/>
    <cellStyle name="Comma 7 4 4 2 2" xfId="3192" xr:uid="{56BFE9A1-804E-4457-BBD1-140103C352DA}"/>
    <cellStyle name="Comma 7 4 4 2 2 2" xfId="5841" xr:uid="{2389CEC1-40BC-4B4C-B983-5A31CAC2DF4A}"/>
    <cellStyle name="Comma 7 4 4 2 2 2 2" xfId="11138" xr:uid="{CC5D172E-F6DC-4251-B93F-18A01083E7A5}"/>
    <cellStyle name="Comma 7 4 4 2 2 3" xfId="8489" xr:uid="{F706C5E7-7BBA-4F26-9ED9-DE291264B6D6}"/>
    <cellStyle name="Comma 7 4 4 2 3" xfId="4517" xr:uid="{0B5594FB-293D-4FF8-A18B-0B0E3DC85A5D}"/>
    <cellStyle name="Comma 7 4 4 2 3 2" xfId="9814" xr:uid="{862EF877-F9B3-4BAD-90B3-B188FEE7794F}"/>
    <cellStyle name="Comma 7 4 4 2 4" xfId="7165" xr:uid="{8BA48FD8-F049-4141-92B0-E009A873DDC5}"/>
    <cellStyle name="Comma 7 4 4 3" xfId="2664" xr:uid="{FBC11A1F-BEA9-4D8B-968F-45305CDB22E5}"/>
    <cellStyle name="Comma 7 4 4 3 2" xfId="5313" xr:uid="{E942F0BF-57EA-4A5D-91D9-83477C8CF72E}"/>
    <cellStyle name="Comma 7 4 4 3 2 2" xfId="10610" xr:uid="{0503A74A-573D-4D8E-AE6B-B06BB496CA0C}"/>
    <cellStyle name="Comma 7 4 4 3 3" xfId="7961" xr:uid="{98850E10-62A1-4820-B909-330C2275A494}"/>
    <cellStyle name="Comma 7 4 4 4" xfId="3989" xr:uid="{A5B2E13E-03D6-4B4A-8467-5A75CD1D2C82}"/>
    <cellStyle name="Comma 7 4 4 4 2" xfId="9286" xr:uid="{672B7D17-EDF1-4966-A071-72B6A1C9FF7A}"/>
    <cellStyle name="Comma 7 4 4 5" xfId="6637" xr:uid="{87284A79-DAEF-4545-8873-7953FF945AA8}"/>
    <cellStyle name="Comma 7 4 5" xfId="1456" xr:uid="{E2F59460-B504-4E10-8A60-68BCCB43A77B}"/>
    <cellStyle name="Comma 7 4 5 2" xfId="1984" xr:uid="{A95AD10C-58F5-48BE-B7D4-D4973F9CAB6F}"/>
    <cellStyle name="Comma 7 4 5 2 2" xfId="3324" xr:uid="{53548BBE-D255-49E6-B768-0611F61C37D7}"/>
    <cellStyle name="Comma 7 4 5 2 2 2" xfId="5973" xr:uid="{46B9D24E-BA5C-4854-ABE8-A415BBFA673A}"/>
    <cellStyle name="Comma 7 4 5 2 2 2 2" xfId="11270" xr:uid="{7D820C2E-6F0D-4978-B33F-DB682E67A045}"/>
    <cellStyle name="Comma 7 4 5 2 2 3" xfId="8621" xr:uid="{40FDE1D4-8D71-411B-9E22-8B47FEF62D5D}"/>
    <cellStyle name="Comma 7 4 5 2 3" xfId="4649" xr:uid="{83AEE6D1-35AF-4AA1-92AD-04362F955818}"/>
    <cellStyle name="Comma 7 4 5 2 3 2" xfId="9946" xr:uid="{F52A205A-4D79-44F9-B4A4-7310530FF259}"/>
    <cellStyle name="Comma 7 4 5 2 4" xfId="7297" xr:uid="{8EE5BBD1-64A0-4363-80AC-6E78C4975B1F}"/>
    <cellStyle name="Comma 7 4 5 3" xfId="2796" xr:uid="{4A2643BC-0F36-4FC7-B23E-A18D49819CEB}"/>
    <cellStyle name="Comma 7 4 5 3 2" xfId="5445" xr:uid="{7A5B1079-68C0-4DBD-B0BE-A975448780AE}"/>
    <cellStyle name="Comma 7 4 5 3 2 2" xfId="10742" xr:uid="{B0F3B5D5-0D83-4032-92B1-8D3B638DD16B}"/>
    <cellStyle name="Comma 7 4 5 3 3" xfId="8093" xr:uid="{DAA47C65-6702-46B6-9063-DE0ED07D0C28}"/>
    <cellStyle name="Comma 7 4 5 4" xfId="4121" xr:uid="{70231452-21A7-4B90-AB94-1F4F32CC6FE4}"/>
    <cellStyle name="Comma 7 4 5 4 2" xfId="9418" xr:uid="{B07CBE9C-37C0-4D9E-A11F-07C8B95B0CB0}"/>
    <cellStyle name="Comma 7 4 5 5" xfId="6769" xr:uid="{3539324F-489A-4A36-822B-01CD96D7C712}"/>
    <cellStyle name="Comma 7 4 6" xfId="853" xr:uid="{36059946-2A81-4CD6-830E-F4603F58F31F}"/>
    <cellStyle name="Comma 7 4 6 2" xfId="2270" xr:uid="{51CC5A9A-2C93-4B69-8C43-5C2F0E6842B9}"/>
    <cellStyle name="Comma 7 4 6 2 2" xfId="4919" xr:uid="{D921DEC6-97B4-474A-B20A-7A5C62B0CD94}"/>
    <cellStyle name="Comma 7 4 6 2 2 2" xfId="10216" xr:uid="{4265B136-A005-4A59-AED8-F2944D445268}"/>
    <cellStyle name="Comma 7 4 6 2 3" xfId="7567" xr:uid="{37AC2646-6354-45F7-80A9-177E07EAB96E}"/>
    <cellStyle name="Comma 7 4 6 3" xfId="3595" xr:uid="{B10DD0CD-CE1C-448D-B77E-9427209E0B29}"/>
    <cellStyle name="Comma 7 4 6 3 2" xfId="8892" xr:uid="{2FBD6943-3F93-4BD0-ADA9-C19910888FE6}"/>
    <cellStyle name="Comma 7 4 6 4" xfId="6243" xr:uid="{EEB2D134-404F-4C5C-BBD9-2F8AA7FC2C1C}"/>
    <cellStyle name="Comma 7 4 7" xfId="2093" xr:uid="{A88E15EC-83F0-4E00-A4A1-62917FDB4189}"/>
    <cellStyle name="Comma 7 4 7 2" xfId="4742" xr:uid="{869A5980-BEDA-441A-9E0D-B595773010AF}"/>
    <cellStyle name="Comma 7 4 7 2 2" xfId="10039" xr:uid="{91BE9983-143E-42A7-9A39-AF3B73F83E06}"/>
    <cellStyle name="Comma 7 4 7 3" xfId="7390" xr:uid="{4A4537F9-A876-4E85-ABCD-27FB1BB71B34}"/>
    <cellStyle name="Comma 7 4 8" xfId="3418" xr:uid="{43EDB166-1309-47B0-840E-76FE58B2F4F5}"/>
    <cellStyle name="Comma 7 4 8 2" xfId="8715" xr:uid="{E4F761B1-D3BD-43FB-AEEA-18C3E065BA64}"/>
    <cellStyle name="Comma 7 4 9" xfId="6066" xr:uid="{A6110AC6-FC8C-44AE-B570-FF37242462B4}"/>
    <cellStyle name="Comma 7 5" xfId="225" xr:uid="{6840201B-747C-4EB7-8335-9ED7751FE98B}"/>
    <cellStyle name="Comma 7 5 2" xfId="457" xr:uid="{D80E33E3-3CF7-43D9-AB3D-822AE3139922}"/>
    <cellStyle name="Comma 7 5 2 2" xfId="1671" xr:uid="{A0218F14-9DE2-4828-BFF1-4F339936A76A}"/>
    <cellStyle name="Comma 7 5 2 2 2" xfId="3011" xr:uid="{E6961734-6711-4690-AB7B-E6976D68911B}"/>
    <cellStyle name="Comma 7 5 2 2 2 2" xfId="5660" xr:uid="{98FA7851-4B04-4C33-9280-D517A26888C1}"/>
    <cellStyle name="Comma 7 5 2 2 2 2 2" xfId="10957" xr:uid="{00FD9BD5-312A-4D2C-A2FC-06105E7807CD}"/>
    <cellStyle name="Comma 7 5 2 2 2 3" xfId="8308" xr:uid="{5A0D4AB1-2D5D-4DDC-8A2B-8A71955C091D}"/>
    <cellStyle name="Comma 7 5 2 2 3" xfId="4336" xr:uid="{8153CF20-D4E6-4DC7-B3B5-D189B6D3DF11}"/>
    <cellStyle name="Comma 7 5 2 2 3 2" xfId="9633" xr:uid="{F69734F2-D398-43A0-95BD-D49B9941F784}"/>
    <cellStyle name="Comma 7 5 2 2 4" xfId="6984" xr:uid="{0A76CC56-378E-4A55-834E-44DFB015D6F4}"/>
    <cellStyle name="Comma 7 5 2 3" xfId="1139" xr:uid="{73CAB796-A47D-49E6-B044-6C25B8A7E086}"/>
    <cellStyle name="Comma 7 5 2 3 2" xfId="2483" xr:uid="{3F934E83-9DDC-475A-99C5-68434480FC57}"/>
    <cellStyle name="Comma 7 5 2 3 2 2" xfId="5132" xr:uid="{34B66D5C-AEC5-4F0C-A54E-A4AB9D6DD4D6}"/>
    <cellStyle name="Comma 7 5 2 3 2 2 2" xfId="10429" xr:uid="{19A5FA95-E024-44E8-B457-F87FF929A4EB}"/>
    <cellStyle name="Comma 7 5 2 3 2 3" xfId="7780" xr:uid="{5E1FA7C1-EF93-4846-9316-C93C803D5212}"/>
    <cellStyle name="Comma 7 5 2 3 3" xfId="3808" xr:uid="{A324DF75-4655-4676-ABA5-B03275DB4161}"/>
    <cellStyle name="Comma 7 5 2 3 3 2" xfId="9105" xr:uid="{D411E49F-3718-4FF5-A668-7FE3EE6153CA}"/>
    <cellStyle name="Comma 7 5 2 3 4" xfId="6456" xr:uid="{753C1826-4FCD-4064-9B94-158983C741CD}"/>
    <cellStyle name="Comma 7 5 2 4" xfId="2172" xr:uid="{8ED0D30B-0216-4CB3-A7E0-920FC644D745}"/>
    <cellStyle name="Comma 7 5 2 4 2" xfId="4821" xr:uid="{AD450EB4-0528-4A73-A459-3F797A2D8962}"/>
    <cellStyle name="Comma 7 5 2 4 2 2" xfId="10118" xr:uid="{F70F8AB3-78AB-4492-9AEB-968648569DE4}"/>
    <cellStyle name="Comma 7 5 2 4 3" xfId="7469" xr:uid="{315CFD0B-E585-4D77-99B0-B36FF13956AF}"/>
    <cellStyle name="Comma 7 5 2 5" xfId="3497" xr:uid="{9FDF19A5-370C-4E43-862D-CFF6F6331636}"/>
    <cellStyle name="Comma 7 5 2 5 2" xfId="8794" xr:uid="{978A453A-3DEB-4FF6-A525-6AD3F22880F8}"/>
    <cellStyle name="Comma 7 5 2 6" xfId="6145" xr:uid="{0EE05B70-B3C5-449F-B27A-B300AA1C45F9}"/>
    <cellStyle name="Comma 7 5 3" xfId="995" xr:uid="{27B7D94B-8BA4-4B94-8E9B-9CA34D0FA1DF}"/>
    <cellStyle name="Comma 7 5 3 2" xfId="1539" xr:uid="{DD6163D4-9F23-4EEF-8DB9-11878E05C34D}"/>
    <cellStyle name="Comma 7 5 3 2 2" xfId="2879" xr:uid="{A786366A-B8DB-47BE-8FA7-F77464C6975C}"/>
    <cellStyle name="Comma 7 5 3 2 2 2" xfId="5528" xr:uid="{DB89DB9A-2433-404D-B5AF-3DA7988D132D}"/>
    <cellStyle name="Comma 7 5 3 2 2 2 2" xfId="10825" xr:uid="{77E58CF9-BB8C-4A8A-AF39-251F16C99748}"/>
    <cellStyle name="Comma 7 5 3 2 2 3" xfId="8176" xr:uid="{FAFC2129-2795-48B4-8BE6-2DD8CA13B04D}"/>
    <cellStyle name="Comma 7 5 3 2 3" xfId="4204" xr:uid="{527E9F0C-93FC-45D9-A0A1-C3230EB93BFC}"/>
    <cellStyle name="Comma 7 5 3 2 3 2" xfId="9501" xr:uid="{6F013D9D-F313-4690-A7FE-412C53A5A20B}"/>
    <cellStyle name="Comma 7 5 3 2 4" xfId="6852" xr:uid="{92F65548-652B-40AC-BD5F-D465434CA641}"/>
    <cellStyle name="Comma 7 5 3 3" xfId="2351" xr:uid="{8BFA0D06-71BB-43B5-A3D2-214E4D3D66E9}"/>
    <cellStyle name="Comma 7 5 3 3 2" xfId="5000" xr:uid="{782EA467-97B9-4136-BBC1-02A87B2EC664}"/>
    <cellStyle name="Comma 7 5 3 3 2 2" xfId="10297" xr:uid="{FD98D128-B34D-405A-A950-4B103937104C}"/>
    <cellStyle name="Comma 7 5 3 3 3" xfId="7648" xr:uid="{A62F9DE3-4D3B-4D9D-A355-AC7A56F9350B}"/>
    <cellStyle name="Comma 7 5 3 4" xfId="3676" xr:uid="{6E50A059-3732-47CA-91CC-98CF2C307733}"/>
    <cellStyle name="Comma 7 5 3 4 2" xfId="8973" xr:uid="{F2956822-6E9C-4E37-ACA0-5219ADE8D3C6}"/>
    <cellStyle name="Comma 7 5 3 5" xfId="6324" xr:uid="{A07E920F-A5C8-4CF4-9EE4-EBFE357D2999}"/>
    <cellStyle name="Comma 7 5 4" xfId="1275" xr:uid="{FF40EA12-9DC4-4682-A0FC-707449053502}"/>
    <cellStyle name="Comma 7 5 4 2" xfId="1803" xr:uid="{34C5EBE5-B6AF-4538-9FB6-83FC9335B871}"/>
    <cellStyle name="Comma 7 5 4 2 2" xfId="3143" xr:uid="{BA808213-5B84-49F9-A112-819832327583}"/>
    <cellStyle name="Comma 7 5 4 2 2 2" xfId="5792" xr:uid="{E4FA3CF0-7B09-4687-B2DA-002F3B8E9628}"/>
    <cellStyle name="Comma 7 5 4 2 2 2 2" xfId="11089" xr:uid="{DD3312DD-B3B0-4352-B321-B643AAEF4C07}"/>
    <cellStyle name="Comma 7 5 4 2 2 3" xfId="8440" xr:uid="{63774785-01FA-44A4-9DB4-23C7F82D1C77}"/>
    <cellStyle name="Comma 7 5 4 2 3" xfId="4468" xr:uid="{6C286CEA-53CA-46CF-970E-64F64E1FC75E}"/>
    <cellStyle name="Comma 7 5 4 2 3 2" xfId="9765" xr:uid="{4CDE6ADA-459A-4B09-B6DF-F41DAF87A176}"/>
    <cellStyle name="Comma 7 5 4 2 4" xfId="7116" xr:uid="{FEBB2702-E048-43CC-B4F8-1CE1DAF986A4}"/>
    <cellStyle name="Comma 7 5 4 3" xfId="2615" xr:uid="{939AAE14-E834-4958-BAFA-246979317CEC}"/>
    <cellStyle name="Comma 7 5 4 3 2" xfId="5264" xr:uid="{8AC23F81-3094-400F-AFD5-DE19BCA57B5D}"/>
    <cellStyle name="Comma 7 5 4 3 2 2" xfId="10561" xr:uid="{9F18B784-F2B6-4DC7-A1C3-98C0C7EEFCAC}"/>
    <cellStyle name="Comma 7 5 4 3 3" xfId="7912" xr:uid="{9ECF5890-797D-4CCA-A62E-8E5EC2B0CE7D}"/>
    <cellStyle name="Comma 7 5 4 4" xfId="3940" xr:uid="{E053040E-E96B-404B-9C50-7100ACAE362A}"/>
    <cellStyle name="Comma 7 5 4 4 2" xfId="9237" xr:uid="{07D098B3-64CA-40D7-8502-C1DD58D90E8A}"/>
    <cellStyle name="Comma 7 5 4 5" xfId="6588" xr:uid="{761ABF14-8F64-4184-A787-FE11E0EDAEA1}"/>
    <cellStyle name="Comma 7 5 5" xfId="1407" xr:uid="{1CD31A4E-6FD5-4219-B11B-7777118962C3}"/>
    <cellStyle name="Comma 7 5 5 2" xfId="1935" xr:uid="{FA25E8ED-9C14-4870-8186-62BE766C7F1C}"/>
    <cellStyle name="Comma 7 5 5 2 2" xfId="3275" xr:uid="{57652059-F4DC-4C7C-A464-4BA0DE424F1F}"/>
    <cellStyle name="Comma 7 5 5 2 2 2" xfId="5924" xr:uid="{9657C82E-3EE1-4CC0-9793-489B81017C41}"/>
    <cellStyle name="Comma 7 5 5 2 2 2 2" xfId="11221" xr:uid="{2ABBFADB-4D51-405B-8F82-0BEC38605E62}"/>
    <cellStyle name="Comma 7 5 5 2 2 3" xfId="8572" xr:uid="{F4C864B4-BCD8-450E-9E17-8ADDAECD84B3}"/>
    <cellStyle name="Comma 7 5 5 2 3" xfId="4600" xr:uid="{903A8EC7-39A6-4DE4-81D9-3C72F6B4121F}"/>
    <cellStyle name="Comma 7 5 5 2 3 2" xfId="9897" xr:uid="{EE7439FA-652B-4368-AA99-86F6C7E5C9F0}"/>
    <cellStyle name="Comma 7 5 5 2 4" xfId="7248" xr:uid="{10748C02-3659-4423-8254-3E879466C361}"/>
    <cellStyle name="Comma 7 5 5 3" xfId="2747" xr:uid="{73537778-EBA0-478C-AC7C-3B2D461A75E1}"/>
    <cellStyle name="Comma 7 5 5 3 2" xfId="5396" xr:uid="{AD477886-4FA3-4075-9E8D-473E8E34B0FE}"/>
    <cellStyle name="Comma 7 5 5 3 2 2" xfId="10693" xr:uid="{15F553FE-3BAB-45AA-B3FF-E2F57D757FF8}"/>
    <cellStyle name="Comma 7 5 5 3 3" xfId="8044" xr:uid="{562D3D63-A11A-46BB-BF3F-4010DB23CA0E}"/>
    <cellStyle name="Comma 7 5 5 4" xfId="4072" xr:uid="{1667F931-FF8E-47AE-B5C9-49D1A3292CCB}"/>
    <cellStyle name="Comma 7 5 5 4 2" xfId="9369" xr:uid="{E5B98E17-6A7A-4651-B557-74B4D47FFB27}"/>
    <cellStyle name="Comma 7 5 5 5" xfId="6720" xr:uid="{FB35E5DE-C2C2-4952-87A0-493566ADC8FE}"/>
    <cellStyle name="Comma 7 5 6" xfId="719" xr:uid="{DFA3BB2B-2B14-4232-9568-76DDCA96FC0A}"/>
    <cellStyle name="Comma 7 5 6 2" xfId="2223" xr:uid="{8E339921-3750-4AC7-B336-76336F6DF731}"/>
    <cellStyle name="Comma 7 5 6 2 2" xfId="4872" xr:uid="{FF7233BB-C116-4348-A544-53D352B50442}"/>
    <cellStyle name="Comma 7 5 6 2 2 2" xfId="10169" xr:uid="{6BC59B00-2655-40AA-880E-3F4C250C7773}"/>
    <cellStyle name="Comma 7 5 6 2 3" xfId="7520" xr:uid="{4C78DD80-4CD2-4C8D-BF9F-D47275BA1F33}"/>
    <cellStyle name="Comma 7 5 6 3" xfId="3548" xr:uid="{B4C18C62-AF4A-41EB-BEEB-9156BD4701FE}"/>
    <cellStyle name="Comma 7 5 6 3 2" xfId="8845" xr:uid="{3E4C4B19-A4C7-4B2C-B58D-27A37AE62BD4}"/>
    <cellStyle name="Comma 7 5 6 4" xfId="6196" xr:uid="{EE3755D9-E17A-4863-90A7-C7A1604BAF7A}"/>
    <cellStyle name="Comma 7 5 7" xfId="2105" xr:uid="{CE69A901-C901-41BB-8684-B0DB7BB948F6}"/>
    <cellStyle name="Comma 7 5 7 2" xfId="4754" xr:uid="{16E02523-BA1C-4E4B-A242-7FC1E6D3BF86}"/>
    <cellStyle name="Comma 7 5 7 2 2" xfId="10051" xr:uid="{58709130-89AC-4560-A423-9F122D7F589F}"/>
    <cellStyle name="Comma 7 5 7 3" xfId="7402" xr:uid="{3920F7EF-7A83-4074-98F5-71FEEAC405A4}"/>
    <cellStyle name="Comma 7 5 8" xfId="3430" xr:uid="{5B321AE9-52C0-4CFB-AAAB-ED702573F826}"/>
    <cellStyle name="Comma 7 5 8 2" xfId="8727" xr:uid="{B86F8500-C6F9-4E17-82BC-C052C58DBA07}"/>
    <cellStyle name="Comma 7 5 9" xfId="6078" xr:uid="{0D418E44-C3A0-4933-96DD-934AD791D87B}"/>
    <cellStyle name="Comma 7 6" xfId="282" xr:uid="{16A3990B-1379-4A04-B5F5-43149FCD2996}"/>
    <cellStyle name="Comma 7 6 2" xfId="1634" xr:uid="{EA2168FE-8B4D-43AA-95A5-98CFC2D360F6}"/>
    <cellStyle name="Comma 7 6 2 2" xfId="2974" xr:uid="{4098C5E3-666D-418C-AC0F-F7BAF53F6D24}"/>
    <cellStyle name="Comma 7 6 2 2 2" xfId="5623" xr:uid="{E6CB4D7F-CB03-4AFB-BE1C-8345EBA648A9}"/>
    <cellStyle name="Comma 7 6 2 2 2 2" xfId="10920" xr:uid="{AF7F947D-7ACC-4282-AA4B-ECC8448B0266}"/>
    <cellStyle name="Comma 7 6 2 2 3" xfId="8271" xr:uid="{38081922-D8F6-4B50-B8F1-6BDAA55CC6A4}"/>
    <cellStyle name="Comma 7 6 2 3" xfId="4299" xr:uid="{394CF42D-16F0-48F5-956E-7699ABDAC1EE}"/>
    <cellStyle name="Comma 7 6 2 3 2" xfId="9596" xr:uid="{B8EFECA7-E2D2-42C4-95C1-F88AA495CEF1}"/>
    <cellStyle name="Comma 7 6 2 4" xfId="6947" xr:uid="{0E7778E1-EDC7-4FCF-ADDE-F99FA6192189}"/>
    <cellStyle name="Comma 7 6 3" xfId="1096" xr:uid="{59E1FAEA-380F-458E-8832-F9313EB5F04C}"/>
    <cellStyle name="Comma 7 6 3 2" xfId="2446" xr:uid="{869BDAAD-CD8F-4776-AB75-625F3D82F5A6}"/>
    <cellStyle name="Comma 7 6 3 2 2" xfId="5095" xr:uid="{93C7B501-1ED1-472F-AF83-B0549F4739BA}"/>
    <cellStyle name="Comma 7 6 3 2 2 2" xfId="10392" xr:uid="{3FF91824-540D-4B23-B589-127765F9BDDB}"/>
    <cellStyle name="Comma 7 6 3 2 3" xfId="7743" xr:uid="{8B9497FE-09A0-47B2-9D0C-EE0187F4904A}"/>
    <cellStyle name="Comma 7 6 3 3" xfId="3771" xr:uid="{BBDCF068-2181-4E6C-921C-6250F5547566}"/>
    <cellStyle name="Comma 7 6 3 3 2" xfId="9068" xr:uid="{CAB37B41-D897-421D-9DF2-0B45E63F0512}"/>
    <cellStyle name="Comma 7 6 3 4" xfId="6419" xr:uid="{C45D00C3-6358-4A22-BC35-FF3D95E4F298}"/>
    <cellStyle name="Comma 7 6 4" xfId="2123" xr:uid="{520BC061-D577-4F5E-8213-77BA45B7D5E6}"/>
    <cellStyle name="Comma 7 6 4 2" xfId="4772" xr:uid="{E1E45038-6759-4D4A-B765-130D32E2ECBA}"/>
    <cellStyle name="Comma 7 6 4 2 2" xfId="10069" xr:uid="{0A8C1BD7-158B-480B-8ED7-BA072A0F4A3A}"/>
    <cellStyle name="Comma 7 6 4 3" xfId="7420" xr:uid="{50FB827E-F515-49C1-BFA8-2F7BCC8C0915}"/>
    <cellStyle name="Comma 7 6 5" xfId="3448" xr:uid="{8477590D-E464-47DD-B708-8BF73C90DC11}"/>
    <cellStyle name="Comma 7 6 5 2" xfId="8745" xr:uid="{AD2637D2-BB88-424F-A2A5-A116ACA3D7E2}"/>
    <cellStyle name="Comma 7 6 6" xfId="6096" xr:uid="{29E2ADC1-8F74-4A2A-8B58-5F5FA81ACC90}"/>
    <cellStyle name="Comma 7 7" xfId="949" xr:uid="{F1365023-6F10-40FD-9DEE-BA4676454233}"/>
    <cellStyle name="Comma 7 7 2" xfId="1502" xr:uid="{B9E1C946-87A5-4C63-9CC7-5CB99741884F}"/>
    <cellStyle name="Comma 7 7 2 2" xfId="2842" xr:uid="{D0C9C5FC-C6DF-4F0A-859B-F830C547894B}"/>
    <cellStyle name="Comma 7 7 2 2 2" xfId="5491" xr:uid="{D43934FF-2BBB-4D61-83B7-8378CE65E8BE}"/>
    <cellStyle name="Comma 7 7 2 2 2 2" xfId="10788" xr:uid="{E909FFB8-3B9C-4CB0-8C94-036821243D2F}"/>
    <cellStyle name="Comma 7 7 2 2 3" xfId="8139" xr:uid="{378A7319-E4F7-4CB5-84D7-602CF7B1EB61}"/>
    <cellStyle name="Comma 7 7 2 3" xfId="4167" xr:uid="{3BB35364-67AA-4986-89C2-2A51547AD99D}"/>
    <cellStyle name="Comma 7 7 2 3 2" xfId="9464" xr:uid="{9C1EB7FD-2E05-43E4-B220-8BF2AD8A1639}"/>
    <cellStyle name="Comma 7 7 2 4" xfId="6815" xr:uid="{D82444A8-8FF3-4131-BD40-A74A1E98FA9F}"/>
    <cellStyle name="Comma 7 7 3" xfId="2314" xr:uid="{67F4D81B-4DE7-4F2E-80EB-310047260655}"/>
    <cellStyle name="Comma 7 7 3 2" xfId="4963" xr:uid="{D8B7A425-3CEA-4F9F-8206-8063808710F1}"/>
    <cellStyle name="Comma 7 7 3 2 2" xfId="10260" xr:uid="{6AE385D1-9AE8-4C30-BC25-76564F8C828F}"/>
    <cellStyle name="Comma 7 7 3 3" xfId="7611" xr:uid="{8FD99CBF-9DD9-4D70-A188-DA2AC8B031C2}"/>
    <cellStyle name="Comma 7 7 4" xfId="3639" xr:uid="{67DF8CB6-0D67-4D28-8B8B-04432F79F4F3}"/>
    <cellStyle name="Comma 7 7 4 2" xfId="8936" xr:uid="{51DCE8E4-9518-48BA-A474-ABB3469886D7}"/>
    <cellStyle name="Comma 7 7 5" xfId="6287" xr:uid="{972102D0-0E3F-49FD-9B2F-70DB5ED01D5A}"/>
    <cellStyle name="Comma 7 8" xfId="1238" xr:uid="{E4D759C3-7F59-4896-A624-D51313D99826}"/>
    <cellStyle name="Comma 7 8 2" xfId="1766" xr:uid="{81F5DDD7-F74D-4865-A9DC-D3B4B21E7C70}"/>
    <cellStyle name="Comma 7 8 2 2" xfId="3106" xr:uid="{3801B2A2-8EA7-43C8-96D7-1F982ACE02F8}"/>
    <cellStyle name="Comma 7 8 2 2 2" xfId="5755" xr:uid="{736F7C52-98FC-416D-93A4-B116EAFD9F2E}"/>
    <cellStyle name="Comma 7 8 2 2 2 2" xfId="11052" xr:uid="{32AD19E1-8B9C-4E50-96E3-E9E1617AA33C}"/>
    <cellStyle name="Comma 7 8 2 2 3" xfId="8403" xr:uid="{5335B14C-9845-4931-8F39-84CFB0E9EBB4}"/>
    <cellStyle name="Comma 7 8 2 3" xfId="4431" xr:uid="{1E1B6900-1171-4307-B2F1-1B42C848FB7C}"/>
    <cellStyle name="Comma 7 8 2 3 2" xfId="9728" xr:uid="{7C889BB2-E111-4A82-BA86-00CC27250C2A}"/>
    <cellStyle name="Comma 7 8 2 4" xfId="7079" xr:uid="{25C3CD22-9613-4BAC-A055-22B585EF5B10}"/>
    <cellStyle name="Comma 7 8 3" xfId="2578" xr:uid="{7B735729-FFBD-4D51-BC29-D74E4A2E36B6}"/>
    <cellStyle name="Comma 7 8 3 2" xfId="5227" xr:uid="{D4547FA3-84EF-4462-BA50-E7F00D1EF291}"/>
    <cellStyle name="Comma 7 8 3 2 2" xfId="10524" xr:uid="{25EBA523-95A6-4E9C-BDAF-321A5B5CA098}"/>
    <cellStyle name="Comma 7 8 3 3" xfId="7875" xr:uid="{61300430-D221-44FF-B8CB-57B7854BF6E6}"/>
    <cellStyle name="Comma 7 8 4" xfId="3903" xr:uid="{F1580416-053A-41D8-A6DE-3F04538F1F81}"/>
    <cellStyle name="Comma 7 8 4 2" xfId="9200" xr:uid="{6DE89730-A982-49D4-9441-77D3668359DE}"/>
    <cellStyle name="Comma 7 8 5" xfId="6551" xr:uid="{91071079-71BB-4C31-8592-B58C583C8633}"/>
    <cellStyle name="Comma 7 9" xfId="1370" xr:uid="{30A2DE25-8F6D-487F-9BBA-3533EB09C15E}"/>
    <cellStyle name="Comma 7 9 2" xfId="1898" xr:uid="{2BC11523-CD6A-44BC-9ABC-0BC99105F1E5}"/>
    <cellStyle name="Comma 7 9 2 2" xfId="3238" xr:uid="{503936DA-1F0A-4FD6-A9F8-94B3A9B5C35E}"/>
    <cellStyle name="Comma 7 9 2 2 2" xfId="5887" xr:uid="{C680C8C9-8D1A-42E9-BA8C-C4BDA5FD901E}"/>
    <cellStyle name="Comma 7 9 2 2 2 2" xfId="11184" xr:uid="{5E43C8C0-12FF-4953-8D3E-6C0D767890A3}"/>
    <cellStyle name="Comma 7 9 2 2 3" xfId="8535" xr:uid="{896FE155-6EC1-43F3-8121-702F9204C0E4}"/>
    <cellStyle name="Comma 7 9 2 3" xfId="4563" xr:uid="{ABC00391-0ED7-4569-8243-D33C5D1BE3E4}"/>
    <cellStyle name="Comma 7 9 2 3 2" xfId="9860" xr:uid="{8A86CEF1-F2BF-4043-AAC6-4F705DD645B1}"/>
    <cellStyle name="Comma 7 9 2 4" xfId="7211" xr:uid="{60DAD767-FC66-4691-BD30-C5B3980BED8A}"/>
    <cellStyle name="Comma 7 9 3" xfId="2710" xr:uid="{1603C5D2-E4E1-4A33-BBE9-08C5B2541598}"/>
    <cellStyle name="Comma 7 9 3 2" xfId="5359" xr:uid="{4E952486-7724-4D48-AE81-F6E33944EB62}"/>
    <cellStyle name="Comma 7 9 3 2 2" xfId="10656" xr:uid="{359DECBA-EB4C-46D1-803D-4913511FD04E}"/>
    <cellStyle name="Comma 7 9 3 3" xfId="8007" xr:uid="{6006B023-7D89-4AC6-905A-C801962DFB90}"/>
    <cellStyle name="Comma 7 9 4" xfId="4035" xr:uid="{F658A00F-BB0A-4E65-BED8-A738D5EDCAE9}"/>
    <cellStyle name="Comma 7 9 4 2" xfId="9332" xr:uid="{DCE1962A-A928-45FD-9617-B7934A30BF93}"/>
    <cellStyle name="Comma 7 9 5" xfId="6683" xr:uid="{8BFC37D3-9320-4A34-B216-A8DB4124CC3C}"/>
    <cellStyle name="Comma 8" xfId="139" xr:uid="{B8A633F5-7C4D-4A19-8CAF-54DB93F31E9E}"/>
    <cellStyle name="Comma 8 10" xfId="2081" xr:uid="{E5BC7707-0966-4925-AA33-041B2FAA0763}"/>
    <cellStyle name="Comma 8 10 2" xfId="4730" xr:uid="{E518DAE7-012C-4C90-8792-DABBB289E473}"/>
    <cellStyle name="Comma 8 10 2 2" xfId="10027" xr:uid="{E5DCBC4F-DD3E-4D1C-A825-66AA4EE8B1CF}"/>
    <cellStyle name="Comma 8 10 3" xfId="7378" xr:uid="{C1CE9A62-EC6C-4CF0-9075-4CD222CA79F3}"/>
    <cellStyle name="Comma 8 11" xfId="3406" xr:uid="{84C2B676-E7E8-4BDD-8004-6CFA4B56A04E}"/>
    <cellStyle name="Comma 8 11 2" xfId="8703" xr:uid="{8F34E475-DE79-4EA6-A00B-48C8AE8CC4DE}"/>
    <cellStyle name="Comma 8 12" xfId="6054" xr:uid="{EC16FFD4-2A91-4236-9487-94298E276BF6}"/>
    <cellStyle name="Comma 8 2" xfId="371" xr:uid="{49C5FB57-4808-4DFD-81C1-7CF99244318A}"/>
    <cellStyle name="Comma 8 2 10" xfId="6121" xr:uid="{0A234AB1-4FDA-4989-A5F4-362B7967BF56}"/>
    <cellStyle name="Comma 8 2 2" xfId="926" xr:uid="{9F049C9D-764D-47B8-B511-80CDDE2FD48F}"/>
    <cellStyle name="Comma 8 2 2 2" xfId="1217" xr:uid="{F0B6F308-3F7A-4464-BB9D-E1F0E18F848D}"/>
    <cellStyle name="Comma 8 2 2 2 2" xfId="1745" xr:uid="{887AB0A9-32B7-4CA5-8137-F9D194C44A89}"/>
    <cellStyle name="Comma 8 2 2 2 2 2" xfId="3085" xr:uid="{D1AFE769-076F-4FCB-BFB1-BB7874618EC4}"/>
    <cellStyle name="Comma 8 2 2 2 2 2 2" xfId="5734" xr:uid="{9C2F4C2D-D024-4520-A930-1EFDADCBC0AB}"/>
    <cellStyle name="Comma 8 2 2 2 2 2 2 2" xfId="11031" xr:uid="{450847E5-A7F3-4D48-82E1-8E4460A2956E}"/>
    <cellStyle name="Comma 8 2 2 2 2 2 3" xfId="8382" xr:uid="{37DF758B-2D15-480A-B6C2-057666B65EDD}"/>
    <cellStyle name="Comma 8 2 2 2 2 3" xfId="4410" xr:uid="{99D07BF9-6AE4-4865-B78E-4306EA8C856F}"/>
    <cellStyle name="Comma 8 2 2 2 2 3 2" xfId="9707" xr:uid="{73AA2B8C-5390-4588-9CC0-9FE0BB8CDB86}"/>
    <cellStyle name="Comma 8 2 2 2 2 4" xfId="7058" xr:uid="{06A48DC0-137D-452F-8E56-39CE11A1D039}"/>
    <cellStyle name="Comma 8 2 2 2 3" xfId="2557" xr:uid="{6F33F40F-5A0E-4920-B621-F86C0EB1E2E0}"/>
    <cellStyle name="Comma 8 2 2 2 3 2" xfId="5206" xr:uid="{C2963E3C-0B75-43B8-A912-ABE9945C52E8}"/>
    <cellStyle name="Comma 8 2 2 2 3 2 2" xfId="10503" xr:uid="{68FA912E-7233-4F77-8872-BD510EFCE312}"/>
    <cellStyle name="Comma 8 2 2 2 3 3" xfId="7854" xr:uid="{648E859D-C687-40E0-BC08-2762CA3DEBEC}"/>
    <cellStyle name="Comma 8 2 2 2 4" xfId="3882" xr:uid="{BD877F17-515C-414E-A26D-4F85F4ED5CF4}"/>
    <cellStyle name="Comma 8 2 2 2 4 2" xfId="9179" xr:uid="{124F1462-BA7E-424C-A1A4-DB1D628B15D9}"/>
    <cellStyle name="Comma 8 2 2 2 5" xfId="6530" xr:uid="{77499E82-88F7-4BD8-BC12-84E5AD536266}"/>
    <cellStyle name="Comma 8 2 2 3" xfId="1074" xr:uid="{98441B6F-73C4-4165-B83A-729C2DAB883F}"/>
    <cellStyle name="Comma 8 2 2 3 2" xfId="1613" xr:uid="{3AA9E426-2871-4C95-BC8E-764528E6873F}"/>
    <cellStyle name="Comma 8 2 2 3 2 2" xfId="2953" xr:uid="{ED9FA010-3262-4ED2-90F0-4CAB34A15E26}"/>
    <cellStyle name="Comma 8 2 2 3 2 2 2" xfId="5602" xr:uid="{C8EF040A-599B-4B76-AAC7-4F948A75C733}"/>
    <cellStyle name="Comma 8 2 2 3 2 2 2 2" xfId="10899" xr:uid="{3677A0A5-705C-4BCD-B385-5FFC9B455F18}"/>
    <cellStyle name="Comma 8 2 2 3 2 2 3" xfId="8250" xr:uid="{B070BD46-0A76-4622-AEEE-964ACFAD75BB}"/>
    <cellStyle name="Comma 8 2 2 3 2 3" xfId="4278" xr:uid="{F581B5B7-F460-47BA-B8C9-5E6031971F62}"/>
    <cellStyle name="Comma 8 2 2 3 2 3 2" xfId="9575" xr:uid="{540099F2-80B2-4ECB-BB54-1AA5D3D6B27F}"/>
    <cellStyle name="Comma 8 2 2 3 2 4" xfId="6926" xr:uid="{9BEAEA83-4A1A-476E-98CD-0FA1B4369A8E}"/>
    <cellStyle name="Comma 8 2 2 3 3" xfId="2425" xr:uid="{281C94C1-3396-40C0-8CF4-D884CDF9EC7D}"/>
    <cellStyle name="Comma 8 2 2 3 3 2" xfId="5074" xr:uid="{4AB01556-7A8B-4812-B2DE-B94A4319ADAD}"/>
    <cellStyle name="Comma 8 2 2 3 3 2 2" xfId="10371" xr:uid="{97177BB5-DD88-4823-93B3-9E2E1E41517E}"/>
    <cellStyle name="Comma 8 2 2 3 3 3" xfId="7722" xr:uid="{BBA56359-52D7-4C0B-87F3-29F567A4BF4B}"/>
    <cellStyle name="Comma 8 2 2 3 4" xfId="3750" xr:uid="{72C2A854-AF8F-441E-897D-DEEFEB63D88D}"/>
    <cellStyle name="Comma 8 2 2 3 4 2" xfId="9047" xr:uid="{9E7945E0-7C5B-4EDC-A213-79014321D137}"/>
    <cellStyle name="Comma 8 2 2 3 5" xfId="6398" xr:uid="{381C2EBC-6629-4A91-A528-B1DF01BF3FEF}"/>
    <cellStyle name="Comma 8 2 2 4" xfId="1349" xr:uid="{0A04783C-169F-4821-AB1C-1940DB6CB5A8}"/>
    <cellStyle name="Comma 8 2 2 4 2" xfId="1877" xr:uid="{A0E261E2-2311-49D0-8145-B6A6E155BD26}"/>
    <cellStyle name="Comma 8 2 2 4 2 2" xfId="3217" xr:uid="{840F6840-5565-4F2E-934D-8DCA58EEC8FE}"/>
    <cellStyle name="Comma 8 2 2 4 2 2 2" xfId="5866" xr:uid="{0F85F934-0851-405C-A2A8-53EF7E99E58F}"/>
    <cellStyle name="Comma 8 2 2 4 2 2 2 2" xfId="11163" xr:uid="{973DB1C0-89BA-408B-8988-7F34B0B48F7D}"/>
    <cellStyle name="Comma 8 2 2 4 2 2 3" xfId="8514" xr:uid="{7B5D6091-E2B7-4344-8F4A-19AA8F7FFF11}"/>
    <cellStyle name="Comma 8 2 2 4 2 3" xfId="4542" xr:uid="{3651EFCE-FD4B-451D-8B4C-61DBC0FE816F}"/>
    <cellStyle name="Comma 8 2 2 4 2 3 2" xfId="9839" xr:uid="{13C6503F-E6A6-4C48-AED7-B7C957333656}"/>
    <cellStyle name="Comma 8 2 2 4 2 4" xfId="7190" xr:uid="{B74E2FBF-25EC-4DD7-B7B6-FAED90B9EB84}"/>
    <cellStyle name="Comma 8 2 2 4 3" xfId="2689" xr:uid="{E0CCA17E-A085-4D3A-A759-FDA292EA00B5}"/>
    <cellStyle name="Comma 8 2 2 4 3 2" xfId="5338" xr:uid="{58F86EC9-4285-4AFB-BCAB-0177AC0E931D}"/>
    <cellStyle name="Comma 8 2 2 4 3 2 2" xfId="10635" xr:uid="{76B59537-7FC4-438C-9994-0F75B1B36B9B}"/>
    <cellStyle name="Comma 8 2 2 4 3 3" xfId="7986" xr:uid="{9C9C9F99-F964-4A69-B205-64426BA72CDE}"/>
    <cellStyle name="Comma 8 2 2 4 4" xfId="4014" xr:uid="{975505FF-39E0-4E5B-81D5-E88018DDCAA8}"/>
    <cellStyle name="Comma 8 2 2 4 4 2" xfId="9311" xr:uid="{89343857-C7CA-43C6-AD0A-E5405DB0F02D}"/>
    <cellStyle name="Comma 8 2 2 4 5" xfId="6662" xr:uid="{2B05DA77-2383-4450-B9E6-4F3A6FF37672}"/>
    <cellStyle name="Comma 8 2 2 5" xfId="1481" xr:uid="{EAC72C98-4CFC-43C9-9E65-CA6079A8C50C}"/>
    <cellStyle name="Comma 8 2 2 5 2" xfId="2009" xr:uid="{FF57B446-AE8E-4E46-8E79-767C4E48D436}"/>
    <cellStyle name="Comma 8 2 2 5 2 2" xfId="3349" xr:uid="{B1D59F80-861E-4019-BF9B-DB228088337F}"/>
    <cellStyle name="Comma 8 2 2 5 2 2 2" xfId="5998" xr:uid="{0E248F04-6495-4195-A6CE-D0B8219D1B34}"/>
    <cellStyle name="Comma 8 2 2 5 2 2 2 2" xfId="11295" xr:uid="{D2997E76-6D7E-4E14-8D2D-EEE3E33A2D7C}"/>
    <cellStyle name="Comma 8 2 2 5 2 2 3" xfId="8646" xr:uid="{4F642890-C046-4B97-99DB-3D21BA58B590}"/>
    <cellStyle name="Comma 8 2 2 5 2 3" xfId="4674" xr:uid="{4D1D2A77-38F4-4102-BA15-FD8B53F3B282}"/>
    <cellStyle name="Comma 8 2 2 5 2 3 2" xfId="9971" xr:uid="{043E21AA-822E-44B9-A36D-9B05AF730639}"/>
    <cellStyle name="Comma 8 2 2 5 2 4" xfId="7322" xr:uid="{C9D13FE0-7D12-4F38-B796-A8FE50768534}"/>
    <cellStyle name="Comma 8 2 2 5 3" xfId="2821" xr:uid="{2C71D522-A574-4594-AFA8-08A94E7D03D5}"/>
    <cellStyle name="Comma 8 2 2 5 3 2" xfId="5470" xr:uid="{410A9037-DE63-4FE8-97C0-7B8953FB1AE4}"/>
    <cellStyle name="Comma 8 2 2 5 3 2 2" xfId="10767" xr:uid="{7F3E8E4A-2051-4399-99F6-480E25CBBC18}"/>
    <cellStyle name="Comma 8 2 2 5 3 3" xfId="8118" xr:uid="{FF364309-C8D2-49BC-A0E0-EF28E87DBC5D}"/>
    <cellStyle name="Comma 8 2 2 5 4" xfId="4146" xr:uid="{267ACB04-A059-4895-B7D2-B85991EE9D1B}"/>
    <cellStyle name="Comma 8 2 2 5 4 2" xfId="9443" xr:uid="{798BE8CC-4536-4EC9-A096-92ECA4F1F879}"/>
    <cellStyle name="Comma 8 2 2 5 5" xfId="6794" xr:uid="{EE3A1CC8-6F15-491B-AD8C-9CAB1087B664}"/>
    <cellStyle name="Comma 8 2 2 6" xfId="2293" xr:uid="{F4DA31CF-EEE8-4A53-8531-4ABD53B65709}"/>
    <cellStyle name="Comma 8 2 2 6 2" xfId="4942" xr:uid="{93376DAF-3B99-4C17-9E12-E3DE8D952C9C}"/>
    <cellStyle name="Comma 8 2 2 6 2 2" xfId="10239" xr:uid="{99E5BF9A-CBCC-437F-A802-087DE29A0E44}"/>
    <cellStyle name="Comma 8 2 2 6 3" xfId="7590" xr:uid="{0FDF4F28-A78E-497D-AD2A-728D58DB8B31}"/>
    <cellStyle name="Comma 8 2 2 7" xfId="3618" xr:uid="{7A10F8C1-4187-4120-93F2-0163002E8368}"/>
    <cellStyle name="Comma 8 2 2 7 2" xfId="8915" xr:uid="{B04A7EB5-F711-4CA6-886B-09FC329F6235}"/>
    <cellStyle name="Comma 8 2 2 8" xfId="6266" xr:uid="{846F5E7E-FD00-4BFE-914B-F05077711FE8}"/>
    <cellStyle name="Comma 8 2 3" xfId="746" xr:uid="{55AB7FEF-9009-47C6-BC6E-C9BB612536EA}"/>
    <cellStyle name="Comma 8 2 4" xfId="1125" xr:uid="{1DCBD914-D27D-4C24-A8E9-7AF74ABFF6A0}"/>
    <cellStyle name="Comma 8 2 4 2" xfId="1659" xr:uid="{F4CA5FC0-9CFB-42ED-B80C-0052FD37B796}"/>
    <cellStyle name="Comma 8 2 4 2 2" xfId="2999" xr:uid="{28FC8D82-3ECC-467F-B096-19479AED667A}"/>
    <cellStyle name="Comma 8 2 4 2 2 2" xfId="5648" xr:uid="{8364BD2A-FB91-438A-AF01-60E971638958}"/>
    <cellStyle name="Comma 8 2 4 2 2 2 2" xfId="10945" xr:uid="{82EFFD8E-057B-4E76-A7CE-6EB2AECC22A2}"/>
    <cellStyle name="Comma 8 2 4 2 2 3" xfId="8296" xr:uid="{7F0DE92D-34CB-4BBE-A738-4BE0293D6108}"/>
    <cellStyle name="Comma 8 2 4 2 3" xfId="4324" xr:uid="{F1741F7C-EABB-4121-8394-3F79E70C51BC}"/>
    <cellStyle name="Comma 8 2 4 2 3 2" xfId="9621" xr:uid="{73A6F392-B473-47E0-B647-2AB777DED637}"/>
    <cellStyle name="Comma 8 2 4 2 4" xfId="6972" xr:uid="{59C84935-66C4-4C00-8930-119228B52CEE}"/>
    <cellStyle name="Comma 8 2 4 3" xfId="2471" xr:uid="{3464041A-46BA-4B65-9D52-36C363C08E7C}"/>
    <cellStyle name="Comma 8 2 4 3 2" xfId="5120" xr:uid="{2CD1C6E9-1AE2-447E-A45B-83170FDF5F1C}"/>
    <cellStyle name="Comma 8 2 4 3 2 2" xfId="10417" xr:uid="{2F2DF451-D109-4656-8E6C-DF3E73B5398B}"/>
    <cellStyle name="Comma 8 2 4 3 3" xfId="7768" xr:uid="{E0924B42-C4E8-4F31-A2F8-C58B17EB0AE9}"/>
    <cellStyle name="Comma 8 2 4 4" xfId="3796" xr:uid="{81AD718A-E106-4EE3-865D-CBAA504503C5}"/>
    <cellStyle name="Comma 8 2 4 4 2" xfId="9093" xr:uid="{5B3FF46E-91BC-4A18-8DC8-8BA99458211C}"/>
    <cellStyle name="Comma 8 2 4 5" xfId="6444" xr:uid="{C8ECC541-0D5E-4BCC-8E03-712A5F875E90}"/>
    <cellStyle name="Comma 8 2 5" xfId="979" xr:uid="{7CFE8E5B-0B7B-4E75-B9C2-1B4FAE1B273B}"/>
    <cellStyle name="Comma 8 2 5 2" xfId="1527" xr:uid="{D5D0295B-7AD0-43DC-AE9B-BF0377CAC287}"/>
    <cellStyle name="Comma 8 2 5 2 2" xfId="2867" xr:uid="{9CCF0B31-FF26-4CFC-A1A2-408440257F0F}"/>
    <cellStyle name="Comma 8 2 5 2 2 2" xfId="5516" xr:uid="{7F339D5B-B46B-49DA-8514-17E25B2DC8E4}"/>
    <cellStyle name="Comma 8 2 5 2 2 2 2" xfId="10813" xr:uid="{AFEC5DB4-650E-4D89-B7EC-93A85D7472E3}"/>
    <cellStyle name="Comma 8 2 5 2 2 3" xfId="8164" xr:uid="{531EEF5C-796F-43B6-8DFA-4A48A5EEB60A}"/>
    <cellStyle name="Comma 8 2 5 2 3" xfId="4192" xr:uid="{133FDD39-AA59-4C0C-B851-F0E7B09D4C28}"/>
    <cellStyle name="Comma 8 2 5 2 3 2" xfId="9489" xr:uid="{EFE6E066-09C9-44A3-9493-53D9171C5745}"/>
    <cellStyle name="Comma 8 2 5 2 4" xfId="6840" xr:uid="{413FB260-CE76-4669-8CE1-8A0C6B8D7238}"/>
    <cellStyle name="Comma 8 2 5 3" xfId="2339" xr:uid="{92385F83-807A-48DE-BB6E-0E23E8D5762C}"/>
    <cellStyle name="Comma 8 2 5 3 2" xfId="4988" xr:uid="{801D9132-9900-4E27-8723-81B10F7463A6}"/>
    <cellStyle name="Comma 8 2 5 3 2 2" xfId="10285" xr:uid="{53EA9082-C927-4465-B486-A339DBAFCECA}"/>
    <cellStyle name="Comma 8 2 5 3 3" xfId="7636" xr:uid="{285D7A7B-86C6-4334-9071-87DD6D59ACB4}"/>
    <cellStyle name="Comma 8 2 5 4" xfId="3664" xr:uid="{1C7ADB96-AF7D-4B0C-9381-8D3756341CB1}"/>
    <cellStyle name="Comma 8 2 5 4 2" xfId="8961" xr:uid="{3B531606-5496-4DC1-976A-3EA6D8B38567}"/>
    <cellStyle name="Comma 8 2 5 5" xfId="6312" xr:uid="{6167DC1B-E363-4BCF-B96C-8A4EBC171E19}"/>
    <cellStyle name="Comma 8 2 6" xfId="1263" xr:uid="{1B84B81D-003A-422C-8713-E4A00846AE13}"/>
    <cellStyle name="Comma 8 2 6 2" xfId="1791" xr:uid="{0F40F2E8-F2A6-40EB-8925-3C6BF375FE93}"/>
    <cellStyle name="Comma 8 2 6 2 2" xfId="3131" xr:uid="{5B1E5680-B06B-4DF6-9FDD-5F8D6CA1DB38}"/>
    <cellStyle name="Comma 8 2 6 2 2 2" xfId="5780" xr:uid="{15A80766-72F9-4188-AE96-802648E3945A}"/>
    <cellStyle name="Comma 8 2 6 2 2 2 2" xfId="11077" xr:uid="{AC0A12E5-1592-4DC8-8A8E-F408587D1BF3}"/>
    <cellStyle name="Comma 8 2 6 2 2 3" xfId="8428" xr:uid="{40A8365E-E5AD-48F8-8AD3-5D4C25F33D38}"/>
    <cellStyle name="Comma 8 2 6 2 3" xfId="4456" xr:uid="{A84731DE-2A22-44A8-BA59-A59B61D96907}"/>
    <cellStyle name="Comma 8 2 6 2 3 2" xfId="9753" xr:uid="{3800DFA0-2E13-4380-B5D7-D04C049E2473}"/>
    <cellStyle name="Comma 8 2 6 2 4" xfId="7104" xr:uid="{4E7ADDB6-09CB-4DF8-99D8-0715AC54AF6B}"/>
    <cellStyle name="Comma 8 2 6 3" xfId="2603" xr:uid="{2662A445-95F5-4600-82D4-A23451293900}"/>
    <cellStyle name="Comma 8 2 6 3 2" xfId="5252" xr:uid="{79DA75DB-AEDA-443D-ADD9-4E633280AC8E}"/>
    <cellStyle name="Comma 8 2 6 3 2 2" xfId="10549" xr:uid="{5B705C05-9C8F-4B85-A0E4-E82E8B809CE1}"/>
    <cellStyle name="Comma 8 2 6 3 3" xfId="7900" xr:uid="{B8BC3EE4-B728-486A-A92E-67EC99968F72}"/>
    <cellStyle name="Comma 8 2 6 4" xfId="3928" xr:uid="{288B2EA1-31DE-4A79-9A79-73B5BF65F7DB}"/>
    <cellStyle name="Comma 8 2 6 4 2" xfId="9225" xr:uid="{587ACBB1-8B88-4216-8565-F154365BDE17}"/>
    <cellStyle name="Comma 8 2 6 5" xfId="6576" xr:uid="{681DEF8B-0027-47E4-833D-E00469E3BB3B}"/>
    <cellStyle name="Comma 8 2 7" xfId="1395" xr:uid="{903CB8AE-02E1-4D5A-94A0-04A4AEC77FDC}"/>
    <cellStyle name="Comma 8 2 7 2" xfId="1923" xr:uid="{7C0B979D-71F8-47FD-9930-3FCBE2995BFE}"/>
    <cellStyle name="Comma 8 2 7 2 2" xfId="3263" xr:uid="{79EBB195-7CAB-43C2-B163-E03D977B3285}"/>
    <cellStyle name="Comma 8 2 7 2 2 2" xfId="5912" xr:uid="{110A697D-BE5D-4135-AE85-EE5D9A233BE4}"/>
    <cellStyle name="Comma 8 2 7 2 2 2 2" xfId="11209" xr:uid="{9BCA2081-B8E0-4042-99E1-98A37E9FFD24}"/>
    <cellStyle name="Comma 8 2 7 2 2 3" xfId="8560" xr:uid="{86B0F364-7D63-4EC6-AB48-B0E425058DBC}"/>
    <cellStyle name="Comma 8 2 7 2 3" xfId="4588" xr:uid="{C1C769FF-9A78-4890-AE8F-EAB78A727B11}"/>
    <cellStyle name="Comma 8 2 7 2 3 2" xfId="9885" xr:uid="{3FB62FB8-D6F5-4DAD-80A9-A3C28132951C}"/>
    <cellStyle name="Comma 8 2 7 2 4" xfId="7236" xr:uid="{BE8CE07B-FB7D-4010-A0EB-E07231CED786}"/>
    <cellStyle name="Comma 8 2 7 3" xfId="2735" xr:uid="{03E37ADA-7D99-4573-A138-2A53AC5B4CA9}"/>
    <cellStyle name="Comma 8 2 7 3 2" xfId="5384" xr:uid="{BFC59365-CD6F-44A3-8988-3F76307E972E}"/>
    <cellStyle name="Comma 8 2 7 3 2 2" xfId="10681" xr:uid="{809A8ACE-B8F1-4918-BD11-422C82D54970}"/>
    <cellStyle name="Comma 8 2 7 3 3" xfId="8032" xr:uid="{B0012C50-78A9-484B-8A6A-7A5F7008AFED}"/>
    <cellStyle name="Comma 8 2 7 4" xfId="4060" xr:uid="{FA9B6749-FB43-48DD-94A2-0FD954B38BF9}"/>
    <cellStyle name="Comma 8 2 7 4 2" xfId="9357" xr:uid="{0CFFAA6B-144B-4EF8-A1C0-051583BD6CA4}"/>
    <cellStyle name="Comma 8 2 7 5" xfId="6708" xr:uid="{9DF36983-F391-4090-8B5C-FDB53C53F8CA}"/>
    <cellStyle name="Comma 8 2 8" xfId="2148" xr:uid="{8E85C2EE-7274-40B5-8D4B-A6318A2E3EAC}"/>
    <cellStyle name="Comma 8 2 8 2" xfId="4797" xr:uid="{C54FBD1D-0399-4731-9465-5131AEDF613E}"/>
    <cellStyle name="Comma 8 2 8 2 2" xfId="10094" xr:uid="{A6E24941-D307-4C6D-9F56-EC9894FD8E66}"/>
    <cellStyle name="Comma 8 2 8 3" xfId="7445" xr:uid="{2E6EE660-D95D-4B19-9F2A-6194388425B1}"/>
    <cellStyle name="Comma 8 2 9" xfId="3473" xr:uid="{4038A1A4-8D63-4247-A88D-50DF4ED3AECB}"/>
    <cellStyle name="Comma 8 2 9 2" xfId="8770" xr:uid="{174C3AFC-3D16-43E8-8AA8-F71C97FF29AC}"/>
    <cellStyle name="Comma 8 3" xfId="855" xr:uid="{AF737985-0FB4-4219-889A-C30C15C1CEEE}"/>
    <cellStyle name="Comma 8 3 2" xfId="1191" xr:uid="{BD27E440-BE94-4D28-ABAC-A5471059A343}"/>
    <cellStyle name="Comma 8 3 2 2" xfId="1722" xr:uid="{D191F65D-EF6B-4821-90EB-AACEED6902CB}"/>
    <cellStyle name="Comma 8 3 2 2 2" xfId="3062" xr:uid="{E90B6FBA-0496-4A02-96FC-EC9A805C1E4E}"/>
    <cellStyle name="Comma 8 3 2 2 2 2" xfId="5711" xr:uid="{122496A6-5576-459D-84E0-52A612D5A363}"/>
    <cellStyle name="Comma 8 3 2 2 2 2 2" xfId="11008" xr:uid="{7AA1AB37-AF6E-43EC-AA19-AAC49034621B}"/>
    <cellStyle name="Comma 8 3 2 2 2 3" xfId="8359" xr:uid="{7E6A9110-5978-4BED-979A-7FEB61C85F0F}"/>
    <cellStyle name="Comma 8 3 2 2 3" xfId="4387" xr:uid="{9BF75DD3-A7F9-47E9-9A63-47DA0B2194E4}"/>
    <cellStyle name="Comma 8 3 2 2 3 2" xfId="9684" xr:uid="{14C5BB54-F636-4B90-89CF-947E0BD849EC}"/>
    <cellStyle name="Comma 8 3 2 2 4" xfId="7035" xr:uid="{1BB63C65-7ED8-4B8C-B029-BFC073B6E247}"/>
    <cellStyle name="Comma 8 3 2 3" xfId="2534" xr:uid="{CCBE0D96-BC8E-4288-9D75-52EAD7BFF764}"/>
    <cellStyle name="Comma 8 3 2 3 2" xfId="5183" xr:uid="{77496D1F-C9AC-4E11-B82E-9618F9038521}"/>
    <cellStyle name="Comma 8 3 2 3 2 2" xfId="10480" xr:uid="{F94E53FC-94C7-438B-94F5-6DFB1BFDBBE3}"/>
    <cellStyle name="Comma 8 3 2 3 3" xfId="7831" xr:uid="{8FD2DDE3-9482-4B63-85C3-54FB391E92EA}"/>
    <cellStyle name="Comma 8 3 2 4" xfId="3859" xr:uid="{491B64A3-DEB8-4B08-96CB-4317852EAF16}"/>
    <cellStyle name="Comma 8 3 2 4 2" xfId="9156" xr:uid="{51C6D948-7584-41DB-87F2-6DB6E6F3EB0F}"/>
    <cellStyle name="Comma 8 3 2 5" xfId="6507" xr:uid="{05CB8540-6EAC-407C-9016-646D43E0831A}"/>
    <cellStyle name="Comma 8 3 3" xfId="1047" xr:uid="{2BC45E02-E5D3-458B-9A53-0CFA24C2462B}"/>
    <cellStyle name="Comma 8 3 3 2" xfId="1590" xr:uid="{419EA578-4C9C-4B8D-B0AC-A570FF8F138F}"/>
    <cellStyle name="Comma 8 3 3 2 2" xfId="2930" xr:uid="{EE4533F4-C6E1-4B7F-A00C-CD40A600C689}"/>
    <cellStyle name="Comma 8 3 3 2 2 2" xfId="5579" xr:uid="{ADA7735E-3180-48BB-955A-3CC40E0E96BA}"/>
    <cellStyle name="Comma 8 3 3 2 2 2 2" xfId="10876" xr:uid="{039B0E76-D739-44CC-8FF1-D9C10B7BD4D3}"/>
    <cellStyle name="Comma 8 3 3 2 2 3" xfId="8227" xr:uid="{B5F59E8C-AD35-47F8-AED6-BF149DF5D691}"/>
    <cellStyle name="Comma 8 3 3 2 3" xfId="4255" xr:uid="{A7D620CD-EC59-4456-9DCA-FB563D77DC44}"/>
    <cellStyle name="Comma 8 3 3 2 3 2" xfId="9552" xr:uid="{C28070B2-A1AE-4C36-848C-D4224BDE96AE}"/>
    <cellStyle name="Comma 8 3 3 2 4" xfId="6903" xr:uid="{246F9D61-A314-4323-B139-90E21AB89044}"/>
    <cellStyle name="Comma 8 3 3 3" xfId="2402" xr:uid="{D122A597-60D8-4F0D-8E23-F95008071617}"/>
    <cellStyle name="Comma 8 3 3 3 2" xfId="5051" xr:uid="{6EB3E475-3C05-4715-8776-90C3EBC1C4BB}"/>
    <cellStyle name="Comma 8 3 3 3 2 2" xfId="10348" xr:uid="{0B4B3B6F-9F8E-4EEE-B43C-CAC625DC06D5}"/>
    <cellStyle name="Comma 8 3 3 3 3" xfId="7699" xr:uid="{0B0DCF1A-7F6B-46DF-A6D9-C5717DA1299F}"/>
    <cellStyle name="Comma 8 3 3 4" xfId="3727" xr:uid="{84962BC4-2882-402D-B6DA-137E1EA0F8E5}"/>
    <cellStyle name="Comma 8 3 3 4 2" xfId="9024" xr:uid="{46BBAA90-9282-48BB-BA13-57AF1F076C36}"/>
    <cellStyle name="Comma 8 3 3 5" xfId="6375" xr:uid="{39761E5F-AB7F-4CF8-B821-CCEDDC777B46}"/>
    <cellStyle name="Comma 8 3 4" xfId="1326" xr:uid="{2E33AE1C-E32F-42E6-AC1F-3FA107C2D3EB}"/>
    <cellStyle name="Comma 8 3 4 2" xfId="1854" xr:uid="{0F6DE320-9968-406E-A8DD-EB40B4A19E35}"/>
    <cellStyle name="Comma 8 3 4 2 2" xfId="3194" xr:uid="{CE1C6CB5-41D9-4800-A5F9-07FCD4469111}"/>
    <cellStyle name="Comma 8 3 4 2 2 2" xfId="5843" xr:uid="{4517BDF1-33CE-4DFA-A4BA-7B454F44D40E}"/>
    <cellStyle name="Comma 8 3 4 2 2 2 2" xfId="11140" xr:uid="{A724FA4B-9325-48DE-BE41-3FDD2FE40D7A}"/>
    <cellStyle name="Comma 8 3 4 2 2 3" xfId="8491" xr:uid="{5D6E7C8D-3D3A-4DBE-B628-65042FCAA30C}"/>
    <cellStyle name="Comma 8 3 4 2 3" xfId="4519" xr:uid="{4A5CBDD3-AA01-4780-9B86-E1205CD66373}"/>
    <cellStyle name="Comma 8 3 4 2 3 2" xfId="9816" xr:uid="{6D89564B-D7E1-4894-B691-7ADF1B615D7A}"/>
    <cellStyle name="Comma 8 3 4 2 4" xfId="7167" xr:uid="{66D875AA-1829-4D0C-AC43-7AF6D8B1B0E8}"/>
    <cellStyle name="Comma 8 3 4 3" xfId="2666" xr:uid="{0C93CF4C-3FAB-44AC-AA02-E1980C0D5373}"/>
    <cellStyle name="Comma 8 3 4 3 2" xfId="5315" xr:uid="{A61C618E-04E6-4877-B9A9-D0E1298270ED}"/>
    <cellStyle name="Comma 8 3 4 3 2 2" xfId="10612" xr:uid="{B505D4A8-F0EB-4738-ABA4-7DA96E2F1957}"/>
    <cellStyle name="Comma 8 3 4 3 3" xfId="7963" xr:uid="{B6056686-3195-4A9D-996E-FD36D6D739DE}"/>
    <cellStyle name="Comma 8 3 4 4" xfId="3991" xr:uid="{B1B8B94F-9746-4EF1-A99E-1B59E521DE18}"/>
    <cellStyle name="Comma 8 3 4 4 2" xfId="9288" xr:uid="{29F56C93-9782-4345-BA2D-F59C51C86712}"/>
    <cellStyle name="Comma 8 3 4 5" xfId="6639" xr:uid="{969026F6-B15D-4740-9DB1-89FF1BBB8E2A}"/>
    <cellStyle name="Comma 8 3 5" xfId="1458" xr:uid="{7D2E1393-3487-4D72-8E5B-E5DF80BD3112}"/>
    <cellStyle name="Comma 8 3 5 2" xfId="1986" xr:uid="{15C6FF5E-865D-43C5-A9D7-F56082EE5151}"/>
    <cellStyle name="Comma 8 3 5 2 2" xfId="3326" xr:uid="{CC410D97-8113-41D5-A5D2-0AE67E6B5C28}"/>
    <cellStyle name="Comma 8 3 5 2 2 2" xfId="5975" xr:uid="{230DC989-CF56-4FCC-90C4-BFC458D2C624}"/>
    <cellStyle name="Comma 8 3 5 2 2 2 2" xfId="11272" xr:uid="{71B09C8B-668F-4EAD-915E-B8F55C84CB26}"/>
    <cellStyle name="Comma 8 3 5 2 2 3" xfId="8623" xr:uid="{A4382665-0A47-429D-B62F-0862BF5CBA90}"/>
    <cellStyle name="Comma 8 3 5 2 3" xfId="4651" xr:uid="{CE2065C2-D335-4082-A938-CB57A3C0CEF2}"/>
    <cellStyle name="Comma 8 3 5 2 3 2" xfId="9948" xr:uid="{D77FD531-4301-48DD-8768-93FA40FF708F}"/>
    <cellStyle name="Comma 8 3 5 2 4" xfId="7299" xr:uid="{A13ED561-585B-4B75-A6CB-EE1CB5F44EFD}"/>
    <cellStyle name="Comma 8 3 5 3" xfId="2798" xr:uid="{2208BB7E-6E45-45D0-B21E-0686910AC34C}"/>
    <cellStyle name="Comma 8 3 5 3 2" xfId="5447" xr:uid="{57A29B07-410B-4843-BA30-AA3668127238}"/>
    <cellStyle name="Comma 8 3 5 3 2 2" xfId="10744" xr:uid="{781A005C-5B55-4075-B179-69E2FF3579DE}"/>
    <cellStyle name="Comma 8 3 5 3 3" xfId="8095" xr:uid="{01D0B7D7-82F7-4B88-8F3A-B5BF5366BED0}"/>
    <cellStyle name="Comma 8 3 5 4" xfId="4123" xr:uid="{03427C49-E643-4CD4-B2D2-386167902296}"/>
    <cellStyle name="Comma 8 3 5 4 2" xfId="9420" xr:uid="{A6856698-7D33-470C-8FCE-4F760E7F849E}"/>
    <cellStyle name="Comma 8 3 5 5" xfId="6771" xr:uid="{9F066611-2CC5-4734-9A5B-3283A96B534F}"/>
    <cellStyle name="Comma 8 3 6" xfId="2272" xr:uid="{2A4D395F-742E-472D-B5CD-B2CB382385F1}"/>
    <cellStyle name="Comma 8 3 6 2" xfId="4921" xr:uid="{EF661DD5-BFC0-43CA-AC27-03FBD364740F}"/>
    <cellStyle name="Comma 8 3 6 2 2" xfId="10218" xr:uid="{67A935D8-B5EC-457D-8583-AE120091F8EE}"/>
    <cellStyle name="Comma 8 3 6 3" xfId="7569" xr:uid="{3D764C33-A619-4465-B412-C4C92991F57A}"/>
    <cellStyle name="Comma 8 3 7" xfId="3597" xr:uid="{34FDA831-1534-4BDD-9CB9-81EB3CB1DFEA}"/>
    <cellStyle name="Comma 8 3 7 2" xfId="8894" xr:uid="{AE8C8A2F-14F3-4C55-8175-C9B706A4C713}"/>
    <cellStyle name="Comma 8 3 8" xfId="6245" xr:uid="{67AC70EA-0D0F-4665-8B49-FA5A0DBB1FDE}"/>
    <cellStyle name="Comma 8 4" xfId="714" xr:uid="{3488699C-A202-492B-A6DF-5EA6277E4525}"/>
    <cellStyle name="Comma 8 5" xfId="1098" xr:uid="{A430EDF4-79AA-4B9B-ADDC-94ADC0C1EBD1}"/>
    <cellStyle name="Comma 8 5 2" xfId="1636" xr:uid="{ED0268E3-5565-4E1A-901F-129D5BC17507}"/>
    <cellStyle name="Comma 8 5 2 2" xfId="2976" xr:uid="{CA261A17-6758-472D-B171-C6C7A4475E75}"/>
    <cellStyle name="Comma 8 5 2 2 2" xfId="5625" xr:uid="{B107D496-CFCF-42CB-8B73-CDE943DAD9C9}"/>
    <cellStyle name="Comma 8 5 2 2 2 2" xfId="10922" xr:uid="{0A8EE850-EA10-4AD4-A807-3761A48F388A}"/>
    <cellStyle name="Comma 8 5 2 2 3" xfId="8273" xr:uid="{06B87869-64B7-4CF1-B432-99AAC989A757}"/>
    <cellStyle name="Comma 8 5 2 3" xfId="4301" xr:uid="{B30E0097-111A-41D7-B9FC-9A889BECFF94}"/>
    <cellStyle name="Comma 8 5 2 3 2" xfId="9598" xr:uid="{1F31CA01-5821-4FF5-8CC7-6AC2A374EBAF}"/>
    <cellStyle name="Comma 8 5 2 4" xfId="6949" xr:uid="{4EC8E3D3-E84B-4F21-8FBA-A1F8146D971C}"/>
    <cellStyle name="Comma 8 5 3" xfId="2448" xr:uid="{14C2009F-49FC-4EA3-9A7B-37328137A1F1}"/>
    <cellStyle name="Comma 8 5 3 2" xfId="5097" xr:uid="{444EE7DD-9CAA-4998-802C-60411770D069}"/>
    <cellStyle name="Comma 8 5 3 2 2" xfId="10394" xr:uid="{F3D6ADA8-D107-47A1-A605-8F1E234BC426}"/>
    <cellStyle name="Comma 8 5 3 3" xfId="7745" xr:uid="{A2691DDB-AA46-4C44-BE3A-E9340EE11502}"/>
    <cellStyle name="Comma 8 5 4" xfId="3773" xr:uid="{027B74AC-5EC5-42F1-87ED-046AFB6A37FF}"/>
    <cellStyle name="Comma 8 5 4 2" xfId="9070" xr:uid="{EC4EDA6E-3904-4A2B-AD9B-3AAC64068558}"/>
    <cellStyle name="Comma 8 5 5" xfId="6421" xr:uid="{9215EB23-FE92-47DD-8518-17A531898542}"/>
    <cellStyle name="Comma 8 6" xfId="951" xr:uid="{D19785CC-12FE-411E-A678-D8F3782BC4D8}"/>
    <cellStyle name="Comma 8 6 2" xfId="1504" xr:uid="{694B86AF-9D53-4BAF-B551-3E7DA48D4AE8}"/>
    <cellStyle name="Comma 8 6 2 2" xfId="2844" xr:uid="{E1C7492C-C6AA-4352-8A40-859DC93F20AC}"/>
    <cellStyle name="Comma 8 6 2 2 2" xfId="5493" xr:uid="{0E310AD9-DA7E-422D-8FF7-9F74030CAB1B}"/>
    <cellStyle name="Comma 8 6 2 2 2 2" xfId="10790" xr:uid="{0114CB44-24C1-4622-A79D-87EE52AD8BE9}"/>
    <cellStyle name="Comma 8 6 2 2 3" xfId="8141" xr:uid="{D8B86C45-42D4-48F2-9337-10DA57211A6B}"/>
    <cellStyle name="Comma 8 6 2 3" xfId="4169" xr:uid="{56BA48EE-4F5F-4F6C-8DC8-E0EEF06E14D3}"/>
    <cellStyle name="Comma 8 6 2 3 2" xfId="9466" xr:uid="{BE510483-A89B-412C-ADCE-818FC6DD7DA6}"/>
    <cellStyle name="Comma 8 6 2 4" xfId="6817" xr:uid="{1E04EA6B-98A6-40D9-8BF2-F387E4271B79}"/>
    <cellStyle name="Comma 8 6 3" xfId="2316" xr:uid="{241EAA8A-D919-4C55-AB26-B87552585E73}"/>
    <cellStyle name="Comma 8 6 3 2" xfId="4965" xr:uid="{83CC4790-7455-4053-861B-6C0C49F76F2E}"/>
    <cellStyle name="Comma 8 6 3 2 2" xfId="10262" xr:uid="{57BCB2B3-E022-459B-9458-481BA5CD7170}"/>
    <cellStyle name="Comma 8 6 3 3" xfId="7613" xr:uid="{4A7F4E27-84A3-41D1-90D6-C4B3CE4E52EF}"/>
    <cellStyle name="Comma 8 6 4" xfId="3641" xr:uid="{554F996B-5B70-403B-AC2E-5EA1FB0A5EBB}"/>
    <cellStyle name="Comma 8 6 4 2" xfId="8938" xr:uid="{B073C91B-D201-4CD9-BAE0-1B25382CEEF7}"/>
    <cellStyle name="Comma 8 6 5" xfId="6289" xr:uid="{183C40F2-0F71-4C72-B9EA-94CD0B3EC23E}"/>
    <cellStyle name="Comma 8 7" xfId="1240" xr:uid="{A7F96FBC-2EB9-41AE-AD60-6166E266EAB9}"/>
    <cellStyle name="Comma 8 7 2" xfId="1768" xr:uid="{6B47DF9F-1844-4AE7-9E64-B95DB45BBA7F}"/>
    <cellStyle name="Comma 8 7 2 2" xfId="3108" xr:uid="{4FA2EECC-E884-46E2-BE70-B586467493F2}"/>
    <cellStyle name="Comma 8 7 2 2 2" xfId="5757" xr:uid="{5314E3C0-B6BF-44B1-97D4-B39826E11D66}"/>
    <cellStyle name="Comma 8 7 2 2 2 2" xfId="11054" xr:uid="{6EAA0E3A-528D-47A8-8214-981C0DD74789}"/>
    <cellStyle name="Comma 8 7 2 2 3" xfId="8405" xr:uid="{E6FE5AA4-17C8-4035-8AA2-B38FB47C9752}"/>
    <cellStyle name="Comma 8 7 2 3" xfId="4433" xr:uid="{E7E3B37B-64BB-4A7E-B9A2-E3AFCBD32A08}"/>
    <cellStyle name="Comma 8 7 2 3 2" xfId="9730" xr:uid="{53D04F0A-5688-48A0-A453-5E982AC61620}"/>
    <cellStyle name="Comma 8 7 2 4" xfId="7081" xr:uid="{7C4A3175-D269-4539-B089-152381158D92}"/>
    <cellStyle name="Comma 8 7 3" xfId="2580" xr:uid="{01431F66-EA3C-4AF2-AA0F-829FC5C5EEAB}"/>
    <cellStyle name="Comma 8 7 3 2" xfId="5229" xr:uid="{3575BFE9-B0D4-47A4-84F9-27376141867E}"/>
    <cellStyle name="Comma 8 7 3 2 2" xfId="10526" xr:uid="{569C3FA4-309B-4321-9E2C-61EC48202834}"/>
    <cellStyle name="Comma 8 7 3 3" xfId="7877" xr:uid="{D45F798A-8E14-4A92-A8F2-369ED1507CEF}"/>
    <cellStyle name="Comma 8 7 4" xfId="3905" xr:uid="{56EEF636-D586-43CF-807F-85C5F1058188}"/>
    <cellStyle name="Comma 8 7 4 2" xfId="9202" xr:uid="{03AE3903-41F2-4B4F-846E-D2C53123C936}"/>
    <cellStyle name="Comma 8 7 5" xfId="6553" xr:uid="{F79758A0-7103-4288-BA08-F50697D82862}"/>
    <cellStyle name="Comma 8 8" xfId="1372" xr:uid="{827DE708-39BC-4C22-9D06-908D02AAF1B8}"/>
    <cellStyle name="Comma 8 8 2" xfId="1900" xr:uid="{8FB21A10-4627-411E-A70C-FF5510EB2474}"/>
    <cellStyle name="Comma 8 8 2 2" xfId="3240" xr:uid="{273DE66F-B718-4D96-8561-37E5B7B44289}"/>
    <cellStyle name="Comma 8 8 2 2 2" xfId="5889" xr:uid="{607D4AA5-56BE-4E6E-B48E-D26110C3CBCC}"/>
    <cellStyle name="Comma 8 8 2 2 2 2" xfId="11186" xr:uid="{3A1ED74A-8185-4AA3-8BF2-66724EE4356E}"/>
    <cellStyle name="Comma 8 8 2 2 3" xfId="8537" xr:uid="{C9268811-0B1D-4808-A48C-B0C133DB4CC8}"/>
    <cellStyle name="Comma 8 8 2 3" xfId="4565" xr:uid="{9DF55084-6715-4B9C-9AB6-EAAFF4F0F576}"/>
    <cellStyle name="Comma 8 8 2 3 2" xfId="9862" xr:uid="{DD7065B4-191C-4654-9E4B-1FAC41830BD9}"/>
    <cellStyle name="Comma 8 8 2 4" xfId="7213" xr:uid="{8A758BF1-0708-4605-AF16-7564E877DC8B}"/>
    <cellStyle name="Comma 8 8 3" xfId="2712" xr:uid="{DE65FF97-2C31-4B1B-A63E-97ED9E80648A}"/>
    <cellStyle name="Comma 8 8 3 2" xfId="5361" xr:uid="{0CB25198-8FC2-47BA-98B3-EAD3EEB36B24}"/>
    <cellStyle name="Comma 8 8 3 2 2" xfId="10658" xr:uid="{A715B1F6-FF7C-4B69-90AC-E733D57D81D0}"/>
    <cellStyle name="Comma 8 8 3 3" xfId="8009" xr:uid="{2C867DB4-7216-4214-B927-0D41C7B4DDD5}"/>
    <cellStyle name="Comma 8 8 4" xfId="4037" xr:uid="{2E8BDF6A-7A65-4B64-B2C0-81D7958765C1}"/>
    <cellStyle name="Comma 8 8 4 2" xfId="9334" xr:uid="{00F1AED4-0AA7-40CE-8C74-9D31A69A34C2}"/>
    <cellStyle name="Comma 8 8 5" xfId="6685" xr:uid="{EC35ECBA-A23F-41CC-80DD-699311CD6879}"/>
    <cellStyle name="Comma 8 9" xfId="2036" xr:uid="{C7DBF34E-A5D6-48EF-BB1E-B5078367F963}"/>
    <cellStyle name="Comma 8 9 2" xfId="3366" xr:uid="{5BBBA0B5-EC2E-474F-AE65-BC3B6446764F}"/>
    <cellStyle name="Comma 8 9 2 2" xfId="6015" xr:uid="{F99D9650-BA44-417F-9DC3-8B0F05F824BA}"/>
    <cellStyle name="Comma 8 9 2 2 2" xfId="11312" xr:uid="{31CB11EE-CE9E-4015-A2C1-342C7D37D9D0}"/>
    <cellStyle name="Comma 8 9 2 3" xfId="8663" xr:uid="{C36A0AFE-A5DF-42D5-B482-232204AA8C89}"/>
    <cellStyle name="Comma 8 9 3" xfId="4691" xr:uid="{2BDA1BA7-8102-4DF5-91ED-BCC9BB51F384}"/>
    <cellStyle name="Comma 8 9 3 2" xfId="9988" xr:uid="{D113DC07-7CB9-4531-8924-0E6FA16C1796}"/>
    <cellStyle name="Comma 8 9 4" xfId="7339" xr:uid="{0889ACF9-5A86-4308-924D-DCC2DFDBAF01}"/>
    <cellStyle name="Comma 9" xfId="228" xr:uid="{6C31BE24-A0F2-4459-AC9E-E7FC20634EB2}"/>
    <cellStyle name="Comma 9 10" xfId="2106" xr:uid="{B2E20616-76D6-4A90-AA9E-3EF71051F404}"/>
    <cellStyle name="Comma 9 10 2" xfId="4755" xr:uid="{88AF8A89-2D54-48AF-8F9A-6E091A8620E6}"/>
    <cellStyle name="Comma 9 10 2 2" xfId="10052" xr:uid="{FC0441A7-0BDF-4E9D-8104-3806A8E9B08F}"/>
    <cellStyle name="Comma 9 10 3" xfId="7403" xr:uid="{7D97207F-B117-44D9-9B19-A1BF8AFE9E68}"/>
    <cellStyle name="Comma 9 11" xfId="3431" xr:uid="{2BD9AA0C-F80B-4919-9520-8DE0C1096CEE}"/>
    <cellStyle name="Comma 9 11 2" xfId="8728" xr:uid="{56BFA3A5-78FF-4195-8B5A-76A904A191D4}"/>
    <cellStyle name="Comma 9 12" xfId="6079" xr:uid="{388E456B-5028-4D9A-9A42-EED23B64068C}"/>
    <cellStyle name="Comma 9 2" xfId="460" xr:uid="{B54219BF-27EA-402D-B86E-D7AF481ADDB4}"/>
    <cellStyle name="Comma 9 2 10" xfId="3498" xr:uid="{E33F6B87-29EF-410B-B8B2-94B8DE63400E}"/>
    <cellStyle name="Comma 9 2 10 2" xfId="8795" xr:uid="{2DF40B55-8EE9-404F-8E48-D97B3225280C}"/>
    <cellStyle name="Comma 9 2 11" xfId="6146" xr:uid="{AFD09350-350D-4F7C-96FA-76A410B59975}"/>
    <cellStyle name="Comma 9 2 2" xfId="927" xr:uid="{E7EC3D49-C3F9-4341-BAFE-3B9C7DAE700D}"/>
    <cellStyle name="Comma 9 2 2 2" xfId="1218" xr:uid="{D96786E7-40BA-4E01-8396-D3FF56C5B4F8}"/>
    <cellStyle name="Comma 9 2 2 2 2" xfId="1746" xr:uid="{73BA2CBA-2387-4461-ADB4-CB9E5698E5B4}"/>
    <cellStyle name="Comma 9 2 2 2 2 2" xfId="3086" xr:uid="{E8B2E2F5-2B31-4108-94CE-65D518A6C364}"/>
    <cellStyle name="Comma 9 2 2 2 2 2 2" xfId="5735" xr:uid="{1C43DFC2-BC66-4C7A-8324-E6B41534AF69}"/>
    <cellStyle name="Comma 9 2 2 2 2 2 2 2" xfId="11032" xr:uid="{9874384B-438D-4B1F-962B-6EB47B1F72E7}"/>
    <cellStyle name="Comma 9 2 2 2 2 2 3" xfId="8383" xr:uid="{C01677E9-5AFF-41A7-819B-1E55F2218DF0}"/>
    <cellStyle name="Comma 9 2 2 2 2 3" xfId="4411" xr:uid="{B95D6890-DFC6-4F8C-877B-6FE45E18534C}"/>
    <cellStyle name="Comma 9 2 2 2 2 3 2" xfId="9708" xr:uid="{C483868A-5F40-4571-8FDF-5686F7DC0625}"/>
    <cellStyle name="Comma 9 2 2 2 2 4" xfId="7059" xr:uid="{626E1174-8F37-47CD-8BD4-1CBEC7481766}"/>
    <cellStyle name="Comma 9 2 2 2 3" xfId="2558" xr:uid="{538AD52C-1D6B-439D-9323-EF79339D89B5}"/>
    <cellStyle name="Comma 9 2 2 2 3 2" xfId="5207" xr:uid="{61A24710-92E4-434E-B427-08E1E86565AB}"/>
    <cellStyle name="Comma 9 2 2 2 3 2 2" xfId="10504" xr:uid="{9C47848A-1290-40C6-BA84-DC5B07E6BCE7}"/>
    <cellStyle name="Comma 9 2 2 2 3 3" xfId="7855" xr:uid="{F356D577-8669-4DEE-9249-8C95E9C6873E}"/>
    <cellStyle name="Comma 9 2 2 2 4" xfId="3883" xr:uid="{A8365BED-C945-4045-95F6-8539EB501511}"/>
    <cellStyle name="Comma 9 2 2 2 4 2" xfId="9180" xr:uid="{001358E8-79A3-42BE-9C93-AE4C0E7D92B7}"/>
    <cellStyle name="Comma 9 2 2 2 5" xfId="6531" xr:uid="{A3A67344-4DC1-4E0E-946E-7777943B6C8C}"/>
    <cellStyle name="Comma 9 2 2 3" xfId="1075" xr:uid="{5DB9F62A-E39A-468B-A838-54FB00DCC1EA}"/>
    <cellStyle name="Comma 9 2 2 3 2" xfId="1614" xr:uid="{1F1AF6F7-FEBE-4B5F-99FD-975BFD6DEEDF}"/>
    <cellStyle name="Comma 9 2 2 3 2 2" xfId="2954" xr:uid="{8B922D0C-C73A-4FFE-9C77-48554F8B5A4A}"/>
    <cellStyle name="Comma 9 2 2 3 2 2 2" xfId="5603" xr:uid="{B9730469-8A7B-40EC-82B0-E17333BE6C52}"/>
    <cellStyle name="Comma 9 2 2 3 2 2 2 2" xfId="10900" xr:uid="{2E6416D9-6332-40FC-8724-170665215825}"/>
    <cellStyle name="Comma 9 2 2 3 2 2 3" xfId="8251" xr:uid="{0A661866-72D2-46C4-A504-C40F9F3D7F32}"/>
    <cellStyle name="Comma 9 2 2 3 2 3" xfId="4279" xr:uid="{A7F05B64-093D-4DB7-8439-65828EDB222A}"/>
    <cellStyle name="Comma 9 2 2 3 2 3 2" xfId="9576" xr:uid="{EFEB7881-FB02-4503-BA0A-8D403EE641F2}"/>
    <cellStyle name="Comma 9 2 2 3 2 4" xfId="6927" xr:uid="{3D500106-A6D9-4B25-A4BD-F408157160D0}"/>
    <cellStyle name="Comma 9 2 2 3 3" xfId="2426" xr:uid="{91C5DA75-820D-48AB-933D-1D523F28016F}"/>
    <cellStyle name="Comma 9 2 2 3 3 2" xfId="5075" xr:uid="{2AF18EA0-9D4B-4CB6-A8FA-D0A3AB502ED8}"/>
    <cellStyle name="Comma 9 2 2 3 3 2 2" xfId="10372" xr:uid="{753B2241-4176-4832-8078-1ECFA4E3A1D8}"/>
    <cellStyle name="Comma 9 2 2 3 3 3" xfId="7723" xr:uid="{DAAB2489-47F8-4938-9776-A1CAB6077535}"/>
    <cellStyle name="Comma 9 2 2 3 4" xfId="3751" xr:uid="{57362E76-F461-4002-8EB2-3B40EB3E4A76}"/>
    <cellStyle name="Comma 9 2 2 3 4 2" xfId="9048" xr:uid="{2434A71D-FD03-4C0F-9247-72667F879678}"/>
    <cellStyle name="Comma 9 2 2 3 5" xfId="6399" xr:uid="{39BFBBE2-984D-4CA3-9192-DA838AD72CD0}"/>
    <cellStyle name="Comma 9 2 2 4" xfId="1350" xr:uid="{7B29CB27-896B-41E8-9AA7-547025B2B424}"/>
    <cellStyle name="Comma 9 2 2 4 2" xfId="1878" xr:uid="{756A8248-5E09-42D5-B207-F928B9FDEF0A}"/>
    <cellStyle name="Comma 9 2 2 4 2 2" xfId="3218" xr:uid="{D6F1C627-9516-4527-8E9B-06A57A2E37B0}"/>
    <cellStyle name="Comma 9 2 2 4 2 2 2" xfId="5867" xr:uid="{99E7A3DD-EEF9-42DB-AFE8-A74ADA998794}"/>
    <cellStyle name="Comma 9 2 2 4 2 2 2 2" xfId="11164" xr:uid="{0D2D9EB7-12A2-46C1-8789-66871BB5EFC9}"/>
    <cellStyle name="Comma 9 2 2 4 2 2 3" xfId="8515" xr:uid="{9789CB1F-82CB-45AB-9707-CC325943A372}"/>
    <cellStyle name="Comma 9 2 2 4 2 3" xfId="4543" xr:uid="{AA49D5A9-A78F-4CE5-AA1F-33BA0613AF32}"/>
    <cellStyle name="Comma 9 2 2 4 2 3 2" xfId="9840" xr:uid="{204124B7-D0A8-47B5-90FB-0D7A263F3C6B}"/>
    <cellStyle name="Comma 9 2 2 4 2 4" xfId="7191" xr:uid="{839654F5-E13D-4947-86DC-A75FBC7A0019}"/>
    <cellStyle name="Comma 9 2 2 4 3" xfId="2690" xr:uid="{9FFAF04C-8CA9-4E93-8FAB-2AE2A8922691}"/>
    <cellStyle name="Comma 9 2 2 4 3 2" xfId="5339" xr:uid="{958B4ABA-D252-4A45-9452-0283F073E6F2}"/>
    <cellStyle name="Comma 9 2 2 4 3 2 2" xfId="10636" xr:uid="{EEECDFE7-7FE9-48FA-BA43-7AA36C33D1A5}"/>
    <cellStyle name="Comma 9 2 2 4 3 3" xfId="7987" xr:uid="{B6F0630C-C8C0-4A36-8150-EB4A295491E9}"/>
    <cellStyle name="Comma 9 2 2 4 4" xfId="4015" xr:uid="{8ADD7313-6559-4895-BCD1-FB232A78FCC8}"/>
    <cellStyle name="Comma 9 2 2 4 4 2" xfId="9312" xr:uid="{D2741B43-755B-4BAC-8D65-CCCDB66CFAB8}"/>
    <cellStyle name="Comma 9 2 2 4 5" xfId="6663" xr:uid="{D098C185-A2CB-46AB-BB5A-09F8D7CA8CC6}"/>
    <cellStyle name="Comma 9 2 2 5" xfId="1482" xr:uid="{F036138A-CB04-49A5-BCB7-491243A1E45C}"/>
    <cellStyle name="Comma 9 2 2 5 2" xfId="2010" xr:uid="{89D83185-DEBF-4481-9DD8-B0FBF743620B}"/>
    <cellStyle name="Comma 9 2 2 5 2 2" xfId="3350" xr:uid="{63AA2050-A7CB-420D-9D6F-150C5E654A1A}"/>
    <cellStyle name="Comma 9 2 2 5 2 2 2" xfId="5999" xr:uid="{28F729F4-B5F2-4D0B-897D-0011A9DD6A48}"/>
    <cellStyle name="Comma 9 2 2 5 2 2 2 2" xfId="11296" xr:uid="{23DFA2D8-57A1-483F-9B55-B875A5811319}"/>
    <cellStyle name="Comma 9 2 2 5 2 2 3" xfId="8647" xr:uid="{800E591F-060F-49DF-AA74-81AE3344D826}"/>
    <cellStyle name="Comma 9 2 2 5 2 3" xfId="4675" xr:uid="{836C3051-5A18-4207-97AA-3B60F9D4EEEB}"/>
    <cellStyle name="Comma 9 2 2 5 2 3 2" xfId="9972" xr:uid="{4E60244C-13AB-485A-BA74-3012BF80A332}"/>
    <cellStyle name="Comma 9 2 2 5 2 4" xfId="7323" xr:uid="{60A25F51-19DC-46AD-BB66-87A87F068D6A}"/>
    <cellStyle name="Comma 9 2 2 5 3" xfId="2822" xr:uid="{BE164F4E-583E-460B-93F1-1424796F8280}"/>
    <cellStyle name="Comma 9 2 2 5 3 2" xfId="5471" xr:uid="{5C5BDBF5-DE03-4753-BD2A-1C349E7F22F3}"/>
    <cellStyle name="Comma 9 2 2 5 3 2 2" xfId="10768" xr:uid="{A69F6971-069B-41B8-BCAE-4DBD3C1FEF77}"/>
    <cellStyle name="Comma 9 2 2 5 3 3" xfId="8119" xr:uid="{436052D0-A694-4082-A205-3494FFF3E8F5}"/>
    <cellStyle name="Comma 9 2 2 5 4" xfId="4147" xr:uid="{C1C43553-085C-4895-A2F5-220207DCBC08}"/>
    <cellStyle name="Comma 9 2 2 5 4 2" xfId="9444" xr:uid="{CC8FAF75-92EA-4539-BB91-C6D1454B0A3E}"/>
    <cellStyle name="Comma 9 2 2 5 5" xfId="6795" xr:uid="{728B32BD-4578-48B0-9B98-5C45BAA5A16F}"/>
    <cellStyle name="Comma 9 2 2 6" xfId="2294" xr:uid="{0B0C1A88-DA2F-4A21-B8DF-E5BBEEF17B49}"/>
    <cellStyle name="Comma 9 2 2 6 2" xfId="4943" xr:uid="{618C3B41-EFBC-45F8-B51F-3EBD6E03C74F}"/>
    <cellStyle name="Comma 9 2 2 6 2 2" xfId="10240" xr:uid="{4D84E6D0-81DC-41E1-BDFB-65F7F6EB79C0}"/>
    <cellStyle name="Comma 9 2 2 6 3" xfId="7591" xr:uid="{D22629B1-0926-495E-BCFC-6DB01EF92F27}"/>
    <cellStyle name="Comma 9 2 2 7" xfId="3619" xr:uid="{12A72C4D-7D89-44DE-8F0B-D591302411DB}"/>
    <cellStyle name="Comma 9 2 2 7 2" xfId="8916" xr:uid="{7B1B7C31-74D1-40D5-BE96-828C6C582538}"/>
    <cellStyle name="Comma 9 2 2 8" xfId="6267" xr:uid="{AD7873A0-B1BA-4042-8490-D9F2AC96B201}"/>
    <cellStyle name="Comma 9 2 3" xfId="816" xr:uid="{A262C742-083D-40D4-8F58-E4676FC25D67}"/>
    <cellStyle name="Comma 9 2 3 2" xfId="1177" xr:uid="{EC1815BA-844F-4124-B898-47E7DB798ECC}"/>
    <cellStyle name="Comma 9 2 3 2 2" xfId="1709" xr:uid="{1E10893E-0B4B-4BB7-A1D8-7239F7D37FFB}"/>
    <cellStyle name="Comma 9 2 3 2 2 2" xfId="3049" xr:uid="{43DA35F3-88BF-42DC-B679-D0DC4653B6EC}"/>
    <cellStyle name="Comma 9 2 3 2 2 2 2" xfId="5698" xr:uid="{6A1EF67C-BA4E-4A59-82DE-64333B475994}"/>
    <cellStyle name="Comma 9 2 3 2 2 2 2 2" xfId="10995" xr:uid="{DD93BDA7-11E3-4098-A3DC-485CD40FF93F}"/>
    <cellStyle name="Comma 9 2 3 2 2 2 3" xfId="8346" xr:uid="{F439053E-7A81-4B18-9A27-760D105C0CEE}"/>
    <cellStyle name="Comma 9 2 3 2 2 3" xfId="4374" xr:uid="{983AD8A8-22C6-4656-9758-9C31A77D3864}"/>
    <cellStyle name="Comma 9 2 3 2 2 3 2" xfId="9671" xr:uid="{13E38378-36BE-4D03-AC9B-6A234822746D}"/>
    <cellStyle name="Comma 9 2 3 2 2 4" xfId="7022" xr:uid="{86921E29-636B-40A4-9255-260CA80CAE3C}"/>
    <cellStyle name="Comma 9 2 3 2 3" xfId="2521" xr:uid="{D6294550-DF7B-42D0-9BE1-E700165349D8}"/>
    <cellStyle name="Comma 9 2 3 2 3 2" xfId="5170" xr:uid="{4DDF5F47-D4DC-4DC4-B108-8F3D1AFD7EC2}"/>
    <cellStyle name="Comma 9 2 3 2 3 2 2" xfId="10467" xr:uid="{3CB61DAC-191E-41A5-91E9-E982E3C3E1A8}"/>
    <cellStyle name="Comma 9 2 3 2 3 3" xfId="7818" xr:uid="{6FCDAA3A-DC7C-491E-BE21-30B00F7B668A}"/>
    <cellStyle name="Comma 9 2 3 2 4" xfId="3846" xr:uid="{E1E7E074-E9BA-405A-BF36-6F40C787B8B2}"/>
    <cellStyle name="Comma 9 2 3 2 4 2" xfId="9143" xr:uid="{079156BE-DFFA-481D-BD76-98DCAD04222A}"/>
    <cellStyle name="Comma 9 2 3 2 5" xfId="6494" xr:uid="{4A6CCF27-1C9D-4028-976E-F2C16991EC1B}"/>
    <cellStyle name="Comma 9 2 3 3" xfId="1033" xr:uid="{20A63805-A086-47BE-B2D3-007C4F0023EB}"/>
    <cellStyle name="Comma 9 2 3 3 2" xfId="1577" xr:uid="{FE21AC4D-65C2-4F2E-BD37-8D9E3AB264B5}"/>
    <cellStyle name="Comma 9 2 3 3 2 2" xfId="2917" xr:uid="{231C3EB6-6391-44BF-A314-FF48D4AFE21B}"/>
    <cellStyle name="Comma 9 2 3 3 2 2 2" xfId="5566" xr:uid="{3C7E1A39-665D-4745-ACDD-B8DB0A21E995}"/>
    <cellStyle name="Comma 9 2 3 3 2 2 2 2" xfId="10863" xr:uid="{B5796EF5-0A18-4E95-B010-ED131D415D08}"/>
    <cellStyle name="Comma 9 2 3 3 2 2 3" xfId="8214" xr:uid="{CB0A733D-3E8D-4D41-87D3-CE805491DB69}"/>
    <cellStyle name="Comma 9 2 3 3 2 3" xfId="4242" xr:uid="{51F92AD3-0C92-4670-A52F-033CA6122867}"/>
    <cellStyle name="Comma 9 2 3 3 2 3 2" xfId="9539" xr:uid="{9C1B5691-48BC-4744-8C64-92018891BE05}"/>
    <cellStyle name="Comma 9 2 3 3 2 4" xfId="6890" xr:uid="{1FA88A39-576B-4851-903B-1F3524327882}"/>
    <cellStyle name="Comma 9 2 3 3 3" xfId="2389" xr:uid="{DA6C4D9F-5B42-4F8B-801A-F314ABE3BFBE}"/>
    <cellStyle name="Comma 9 2 3 3 3 2" xfId="5038" xr:uid="{9C2FD08C-C7DF-489D-AFEA-816DA294863D}"/>
    <cellStyle name="Comma 9 2 3 3 3 2 2" xfId="10335" xr:uid="{1574AF97-4FB5-4361-83A6-BB57AAEE4668}"/>
    <cellStyle name="Comma 9 2 3 3 3 3" xfId="7686" xr:uid="{24D55429-21E5-4E39-887C-3FE173DBCADA}"/>
    <cellStyle name="Comma 9 2 3 3 4" xfId="3714" xr:uid="{7CC622FD-A8A9-4966-A73D-F2C336E8FC99}"/>
    <cellStyle name="Comma 9 2 3 3 4 2" xfId="9011" xr:uid="{8FCDB519-A5AA-4E50-A756-59E24F5E3B88}"/>
    <cellStyle name="Comma 9 2 3 3 5" xfId="6362" xr:uid="{498D2192-1CE5-4543-9B8A-233B54D0F3ED}"/>
    <cellStyle name="Comma 9 2 3 4" xfId="1313" xr:uid="{A3B2C227-6920-4F98-A5AB-F5D32DEBE309}"/>
    <cellStyle name="Comma 9 2 3 4 2" xfId="1841" xr:uid="{A6B729BD-9781-4317-A92E-D02D0C60A629}"/>
    <cellStyle name="Comma 9 2 3 4 2 2" xfId="3181" xr:uid="{A2B2C3EA-DEC8-45A2-B8FB-EB6562F3348A}"/>
    <cellStyle name="Comma 9 2 3 4 2 2 2" xfId="5830" xr:uid="{F13E9BF2-B188-40DA-A476-F14D78842D75}"/>
    <cellStyle name="Comma 9 2 3 4 2 2 2 2" xfId="11127" xr:uid="{627F51F5-8E08-4E44-B683-8E7A2CCE2A3A}"/>
    <cellStyle name="Comma 9 2 3 4 2 2 3" xfId="8478" xr:uid="{F7791F5B-A21F-404A-86C3-D7AFD365BCBD}"/>
    <cellStyle name="Comma 9 2 3 4 2 3" xfId="4506" xr:uid="{3D0D1501-9765-4DA6-B989-1716FC84BD04}"/>
    <cellStyle name="Comma 9 2 3 4 2 3 2" xfId="9803" xr:uid="{069F764E-AC4A-45FA-B7C2-B0296E3A998F}"/>
    <cellStyle name="Comma 9 2 3 4 2 4" xfId="7154" xr:uid="{BED67A91-B965-497A-928C-39CA9204AAB6}"/>
    <cellStyle name="Comma 9 2 3 4 3" xfId="2653" xr:uid="{86225ABC-6ACD-49DE-B413-6DC7692948A8}"/>
    <cellStyle name="Comma 9 2 3 4 3 2" xfId="5302" xr:uid="{23F9C1ED-CE3D-443C-8EFB-D6A5E70B3E30}"/>
    <cellStyle name="Comma 9 2 3 4 3 2 2" xfId="10599" xr:uid="{9EE5C930-3362-48C8-B794-D3FE5D95A401}"/>
    <cellStyle name="Comma 9 2 3 4 3 3" xfId="7950" xr:uid="{03AB4F5C-448E-46FA-AAB1-B4312BA0067A}"/>
    <cellStyle name="Comma 9 2 3 4 4" xfId="3978" xr:uid="{6348DB53-B448-4FD9-A16A-694779902C69}"/>
    <cellStyle name="Comma 9 2 3 4 4 2" xfId="9275" xr:uid="{28E0DA33-92D5-448E-854C-6A68AFEE8300}"/>
    <cellStyle name="Comma 9 2 3 4 5" xfId="6626" xr:uid="{0EF08EE6-7F87-4C1E-8FF7-7EEAFCF2B5EB}"/>
    <cellStyle name="Comma 9 2 3 5" xfId="1445" xr:uid="{7E79BCC0-645D-4B48-AC2E-03FF629EB0F4}"/>
    <cellStyle name="Comma 9 2 3 5 2" xfId="1973" xr:uid="{924D05F4-4EAB-4EFC-8B11-4ED909F84A0C}"/>
    <cellStyle name="Comma 9 2 3 5 2 2" xfId="3313" xr:uid="{2C773DD4-81E9-4E87-A775-2E947182D90C}"/>
    <cellStyle name="Comma 9 2 3 5 2 2 2" xfId="5962" xr:uid="{466B2432-08F2-4D34-B0C4-04F8F8A69ACB}"/>
    <cellStyle name="Comma 9 2 3 5 2 2 2 2" xfId="11259" xr:uid="{8D71FB04-78FB-4CD6-96CF-9636F69F9435}"/>
    <cellStyle name="Comma 9 2 3 5 2 2 3" xfId="8610" xr:uid="{55BDF77F-C39D-4710-B6D5-8E604039F944}"/>
    <cellStyle name="Comma 9 2 3 5 2 3" xfId="4638" xr:uid="{35BEE3A0-4021-4299-BA5E-61E58DFAAE34}"/>
    <cellStyle name="Comma 9 2 3 5 2 3 2" xfId="9935" xr:uid="{B6D677DD-7F58-43CA-B5FC-D13B47C126E8}"/>
    <cellStyle name="Comma 9 2 3 5 2 4" xfId="7286" xr:uid="{192F2E3F-70AE-4EC8-A929-0CB9B4171043}"/>
    <cellStyle name="Comma 9 2 3 5 3" xfId="2785" xr:uid="{4C3BAFF8-0FED-4602-AB51-14C85188C887}"/>
    <cellStyle name="Comma 9 2 3 5 3 2" xfId="5434" xr:uid="{EA146A83-D130-40D9-86AB-EC7CB2C15490}"/>
    <cellStyle name="Comma 9 2 3 5 3 2 2" xfId="10731" xr:uid="{C849FE05-A0F1-4512-921A-58F3690757F3}"/>
    <cellStyle name="Comma 9 2 3 5 3 3" xfId="8082" xr:uid="{1DBA8E44-9255-41EE-B82E-40BC0241AB72}"/>
    <cellStyle name="Comma 9 2 3 5 4" xfId="4110" xr:uid="{11D371A1-EAFF-49E1-850F-52417691173A}"/>
    <cellStyle name="Comma 9 2 3 5 4 2" xfId="9407" xr:uid="{DA48FF8B-F273-4FDA-8F2C-006F720B1E4D}"/>
    <cellStyle name="Comma 9 2 3 5 5" xfId="6758" xr:uid="{EF2AB6E0-3801-46C3-A21D-F94F9FF1131C}"/>
    <cellStyle name="Comma 9 2 3 6" xfId="2261" xr:uid="{2DBE4988-0E8D-458E-A7F4-5FD14C386292}"/>
    <cellStyle name="Comma 9 2 3 6 2" xfId="4910" xr:uid="{5E94D931-13A0-4CE0-92A9-23BE87623F55}"/>
    <cellStyle name="Comma 9 2 3 6 2 2" xfId="10207" xr:uid="{562C183D-ED8A-4F82-A6AF-97ABF9145159}"/>
    <cellStyle name="Comma 9 2 3 6 3" xfId="7558" xr:uid="{7B5AB6E3-99C6-4BEB-BA3B-EA0EA62539B9}"/>
    <cellStyle name="Comma 9 2 3 7" xfId="3586" xr:uid="{1F0DFE3C-9F15-4B97-B3F1-2295E902B800}"/>
    <cellStyle name="Comma 9 2 3 7 2" xfId="8883" xr:uid="{63970418-2D16-4832-AE7D-4002837C426D}"/>
    <cellStyle name="Comma 9 2 3 8" xfId="6234" xr:uid="{976163E1-E39D-411F-BA14-8FA857572CB2}"/>
    <cellStyle name="Comma 9 2 4" xfId="1126" xr:uid="{101C0273-E887-4764-9137-0C652EC2A26D}"/>
    <cellStyle name="Comma 9 2 4 2" xfId="1660" xr:uid="{0ADFA269-9E1B-4395-8BB2-4FCACE3321F2}"/>
    <cellStyle name="Comma 9 2 4 2 2" xfId="3000" xr:uid="{7907D9AC-164E-4E65-B4D4-9A10A3280B32}"/>
    <cellStyle name="Comma 9 2 4 2 2 2" xfId="5649" xr:uid="{932A2B77-E6C0-4FFA-B839-3A169794A831}"/>
    <cellStyle name="Comma 9 2 4 2 2 2 2" xfId="10946" xr:uid="{29BDD553-D3EC-408A-84E8-08A44AB19E50}"/>
    <cellStyle name="Comma 9 2 4 2 2 3" xfId="8297" xr:uid="{F15A8408-C25A-4B96-B69E-8F1504FAEC95}"/>
    <cellStyle name="Comma 9 2 4 2 3" xfId="4325" xr:uid="{342FBF7A-0F39-4B28-9DE3-637FDA806B27}"/>
    <cellStyle name="Comma 9 2 4 2 3 2" xfId="9622" xr:uid="{F262267A-C691-4969-8B56-D7775F4D22E4}"/>
    <cellStyle name="Comma 9 2 4 2 4" xfId="6973" xr:uid="{FD952897-2365-43A7-8C6D-B25BA43D69EA}"/>
    <cellStyle name="Comma 9 2 4 3" xfId="2472" xr:uid="{B5D661F0-8421-491C-BDC5-FCF1A22A6B33}"/>
    <cellStyle name="Comma 9 2 4 3 2" xfId="5121" xr:uid="{659000EF-A170-446D-9A63-19E4FDD05AB9}"/>
    <cellStyle name="Comma 9 2 4 3 2 2" xfId="10418" xr:uid="{5A771122-903F-4702-99D3-FED2240BA11E}"/>
    <cellStyle name="Comma 9 2 4 3 3" xfId="7769" xr:uid="{FFE0A452-A6FC-4EA1-A153-2CF21EE073F0}"/>
    <cellStyle name="Comma 9 2 4 4" xfId="3797" xr:uid="{17C2C47D-213A-49ED-9578-8E870DE73DF2}"/>
    <cellStyle name="Comma 9 2 4 4 2" xfId="9094" xr:uid="{983690C5-B544-4E65-9145-5C3B9EE83F52}"/>
    <cellStyle name="Comma 9 2 4 5" xfId="6445" xr:uid="{A64DDF1A-E26F-4B66-9BEF-58834226DDC6}"/>
    <cellStyle name="Comma 9 2 5" xfId="980" xr:uid="{0758D2D7-8F37-43AC-8976-F9FAD2BE46BC}"/>
    <cellStyle name="Comma 9 2 5 2" xfId="1528" xr:uid="{02026D3E-9422-4ABA-846D-569209E2214A}"/>
    <cellStyle name="Comma 9 2 5 2 2" xfId="2868" xr:uid="{988EADA1-C9B3-416B-B889-865A9AD0C3F9}"/>
    <cellStyle name="Comma 9 2 5 2 2 2" xfId="5517" xr:uid="{266DE2F9-8B3D-4DD0-B656-D6E92FD4ED97}"/>
    <cellStyle name="Comma 9 2 5 2 2 2 2" xfId="10814" xr:uid="{43DB3279-3B5E-4442-AE76-955CD9429A6E}"/>
    <cellStyle name="Comma 9 2 5 2 2 3" xfId="8165" xr:uid="{2BEFF3B7-35C0-4687-9D66-38BBD6CB7875}"/>
    <cellStyle name="Comma 9 2 5 2 3" xfId="4193" xr:uid="{EFEB9E60-00EE-4F60-AD90-891240BE070A}"/>
    <cellStyle name="Comma 9 2 5 2 3 2" xfId="9490" xr:uid="{A61E2AAA-9F7F-4129-8836-E630AB401C6C}"/>
    <cellStyle name="Comma 9 2 5 2 4" xfId="6841" xr:uid="{3BFCC9F6-4807-4AEF-B4C7-53F3FD5F6B54}"/>
    <cellStyle name="Comma 9 2 5 3" xfId="2340" xr:uid="{3E9C9242-6A1A-4FD8-954D-922B7585B732}"/>
    <cellStyle name="Comma 9 2 5 3 2" xfId="4989" xr:uid="{938BE97D-4216-44A1-A930-FC0ABDEF9931}"/>
    <cellStyle name="Comma 9 2 5 3 2 2" xfId="10286" xr:uid="{2EBA71BB-CDFF-406D-A39B-B5A9B7C651EF}"/>
    <cellStyle name="Comma 9 2 5 3 3" xfId="7637" xr:uid="{F06BAEB5-776D-46A8-82E5-62C4FC39DDFC}"/>
    <cellStyle name="Comma 9 2 5 4" xfId="3665" xr:uid="{56A873C9-EABB-4A54-A2AF-6D8D1E86B68C}"/>
    <cellStyle name="Comma 9 2 5 4 2" xfId="8962" xr:uid="{E8FD169B-BA18-4972-9EA4-2BC999A79D0C}"/>
    <cellStyle name="Comma 9 2 5 5" xfId="6313" xr:uid="{F94D3F9B-26BB-4A04-B9D1-D49207C99739}"/>
    <cellStyle name="Comma 9 2 6" xfId="1264" xr:uid="{03E4D9EF-1469-43A9-9B77-7633784D0614}"/>
    <cellStyle name="Comma 9 2 6 2" xfId="1792" xr:uid="{4C937FBE-1A14-4F8C-B179-3DD5512A706A}"/>
    <cellStyle name="Comma 9 2 6 2 2" xfId="3132" xr:uid="{3D7B40D8-4212-43D6-80AC-F5CA0B0AC104}"/>
    <cellStyle name="Comma 9 2 6 2 2 2" xfId="5781" xr:uid="{27C5B5AA-6DC1-4A36-A2F3-1F431155CC23}"/>
    <cellStyle name="Comma 9 2 6 2 2 2 2" xfId="11078" xr:uid="{D4EA601D-7A28-414F-84F5-2CEABD9167C2}"/>
    <cellStyle name="Comma 9 2 6 2 2 3" xfId="8429" xr:uid="{7DDFAD1A-4D09-4D9D-ACDC-7396C2A6FF5D}"/>
    <cellStyle name="Comma 9 2 6 2 3" xfId="4457" xr:uid="{7E7E31F8-EBAF-4737-A405-10DAAAA0EE75}"/>
    <cellStyle name="Comma 9 2 6 2 3 2" xfId="9754" xr:uid="{243D822A-E67B-40F6-958D-2BA59AABE5C2}"/>
    <cellStyle name="Comma 9 2 6 2 4" xfId="7105" xr:uid="{7E30A2EA-2327-4156-BEFE-83B3D2483738}"/>
    <cellStyle name="Comma 9 2 6 3" xfId="2604" xr:uid="{86ECB094-03D2-4A4D-AECC-A793CB716A7E}"/>
    <cellStyle name="Comma 9 2 6 3 2" xfId="5253" xr:uid="{68EC9EEA-4AAA-406E-9683-9285845C1AFD}"/>
    <cellStyle name="Comma 9 2 6 3 2 2" xfId="10550" xr:uid="{37004816-B44A-47F0-9F19-54CB9B97C07B}"/>
    <cellStyle name="Comma 9 2 6 3 3" xfId="7901" xr:uid="{03826158-6501-4AFC-9C1F-376DF2311D39}"/>
    <cellStyle name="Comma 9 2 6 4" xfId="3929" xr:uid="{2C244013-921F-4E68-BD65-B5BE940DC9B8}"/>
    <cellStyle name="Comma 9 2 6 4 2" xfId="9226" xr:uid="{FC2E3B8D-49CF-4342-9A6E-CC556820092C}"/>
    <cellStyle name="Comma 9 2 6 5" xfId="6577" xr:uid="{81C57194-D878-4F32-B5C8-E30B3D69E956}"/>
    <cellStyle name="Comma 9 2 7" xfId="1396" xr:uid="{2072B924-928C-4BD2-9B50-AE2A357296FB}"/>
    <cellStyle name="Comma 9 2 7 2" xfId="1924" xr:uid="{3053D198-EF23-440F-9299-CEAECE93CB87}"/>
    <cellStyle name="Comma 9 2 7 2 2" xfId="3264" xr:uid="{E36D107F-AF4C-4C3A-8F1F-55B629C935AD}"/>
    <cellStyle name="Comma 9 2 7 2 2 2" xfId="5913" xr:uid="{E63304EE-F1EB-498C-9E6E-BA78796D411E}"/>
    <cellStyle name="Comma 9 2 7 2 2 2 2" xfId="11210" xr:uid="{C3AC771D-4481-4035-BBE3-A71135BB1DB4}"/>
    <cellStyle name="Comma 9 2 7 2 2 3" xfId="8561" xr:uid="{3A0F8F23-29FB-4FFB-B3DF-F7917531DD36}"/>
    <cellStyle name="Comma 9 2 7 2 3" xfId="4589" xr:uid="{39724EB4-BC33-428A-B8A1-258EB5F8AF1C}"/>
    <cellStyle name="Comma 9 2 7 2 3 2" xfId="9886" xr:uid="{A868AB48-2685-4690-8F44-9086075497CF}"/>
    <cellStyle name="Comma 9 2 7 2 4" xfId="7237" xr:uid="{1D4A8587-AEE1-4007-AE17-94FAF0DC09AC}"/>
    <cellStyle name="Comma 9 2 7 3" xfId="2736" xr:uid="{B5A1C685-D244-43AC-837C-A915FA690923}"/>
    <cellStyle name="Comma 9 2 7 3 2" xfId="5385" xr:uid="{E9EA19A2-33A1-43B8-83CE-5645937C4A24}"/>
    <cellStyle name="Comma 9 2 7 3 2 2" xfId="10682" xr:uid="{05D411B5-7032-4300-ACC6-F80FD47C7DE3}"/>
    <cellStyle name="Comma 9 2 7 3 3" xfId="8033" xr:uid="{809620EF-5211-4936-847E-6E8EBC3F4330}"/>
    <cellStyle name="Comma 9 2 7 4" xfId="4061" xr:uid="{51ACFA7B-A817-4FCD-B3C5-13F4BB6A3A2B}"/>
    <cellStyle name="Comma 9 2 7 4 2" xfId="9358" xr:uid="{A1F7F235-E28C-4923-9541-9B1AF74FEE57}"/>
    <cellStyle name="Comma 9 2 7 5" xfId="6709" xr:uid="{5B10718D-4933-485F-A2A1-E3FC862812DF}"/>
    <cellStyle name="Comma 9 2 8" xfId="652" xr:uid="{E9A4BF87-AEAC-4775-A3EE-C33D2A0F1CD6}"/>
    <cellStyle name="Comma 9 2 8 2" xfId="2212" xr:uid="{0262A997-B695-49B2-AE6D-35B759E58A00}"/>
    <cellStyle name="Comma 9 2 8 2 2" xfId="4861" xr:uid="{4F494139-AD7C-46AC-B65D-09AD0C5E966B}"/>
    <cellStyle name="Comma 9 2 8 2 2 2" xfId="10158" xr:uid="{2D7503C7-D1DE-434A-8AE6-7EE52CCFD1EC}"/>
    <cellStyle name="Comma 9 2 8 2 3" xfId="7509" xr:uid="{6289452E-0A9B-4E87-B320-AA2B576D1049}"/>
    <cellStyle name="Comma 9 2 8 3" xfId="3537" xr:uid="{BE10227B-C58C-4715-96C9-0331E6754F5B}"/>
    <cellStyle name="Comma 9 2 8 3 2" xfId="8834" xr:uid="{2083A1EE-D44C-46CA-AF70-FA0B093AEAF7}"/>
    <cellStyle name="Comma 9 2 8 4" xfId="6185" xr:uid="{09F8CF41-E8F2-4040-A565-6C4F5A85435C}"/>
    <cellStyle name="Comma 9 2 9" xfId="2173" xr:uid="{2825D0CD-063D-4298-8B4E-AEAF24992311}"/>
    <cellStyle name="Comma 9 2 9 2" xfId="4822" xr:uid="{24ECE15C-66B2-4015-8049-0C34C2C11CB7}"/>
    <cellStyle name="Comma 9 2 9 2 2" xfId="10119" xr:uid="{47C8E0A3-2674-4A8A-83EF-F82DAB060B6F}"/>
    <cellStyle name="Comma 9 2 9 3" xfId="7470" xr:uid="{A4EF4682-61CA-4136-9E16-1B2E120719B6}"/>
    <cellStyle name="Comma 9 3" xfId="856" xr:uid="{4B4E6B02-6274-40E1-B55C-9A7794E4504A}"/>
    <cellStyle name="Comma 9 3 2" xfId="1192" xr:uid="{42B3D1A8-1898-4E05-A0CA-B01DB17CCC44}"/>
    <cellStyle name="Comma 9 3 2 2" xfId="1723" xr:uid="{6490B168-A1A0-4F1C-B049-DD5CC8639C76}"/>
    <cellStyle name="Comma 9 3 2 2 2" xfId="3063" xr:uid="{8A339602-8F1B-450B-AFA8-975CDF511C3B}"/>
    <cellStyle name="Comma 9 3 2 2 2 2" xfId="5712" xr:uid="{65B7B89B-54E6-4F14-83A4-8A3ABAC35353}"/>
    <cellStyle name="Comma 9 3 2 2 2 2 2" xfId="11009" xr:uid="{13527130-E9FD-47DD-93E6-562613E4280B}"/>
    <cellStyle name="Comma 9 3 2 2 2 3" xfId="8360" xr:uid="{7BFA6738-DDF1-4AAE-9D73-F3E6DACCE7BC}"/>
    <cellStyle name="Comma 9 3 2 2 3" xfId="4388" xr:uid="{87853B40-EBA9-41EF-A660-64B0D6C82EBF}"/>
    <cellStyle name="Comma 9 3 2 2 3 2" xfId="9685" xr:uid="{EDDBBBB9-E9EA-4EE7-B220-27867BB4A86B}"/>
    <cellStyle name="Comma 9 3 2 2 4" xfId="7036" xr:uid="{F76D4DA7-1C56-4DDB-B7BC-A5C9FEDAD626}"/>
    <cellStyle name="Comma 9 3 2 3" xfId="2535" xr:uid="{60A574BC-33B3-4698-982D-32428B3021E2}"/>
    <cellStyle name="Comma 9 3 2 3 2" xfId="5184" xr:uid="{D7A8D5DF-B181-45FE-9DB9-C2D325A2D4CE}"/>
    <cellStyle name="Comma 9 3 2 3 2 2" xfId="10481" xr:uid="{B3D624B4-4A9F-40B0-95DF-A8602CE191FF}"/>
    <cellStyle name="Comma 9 3 2 3 3" xfId="7832" xr:uid="{4A96A5A7-5BDD-4592-B8DD-E7F68FE494D1}"/>
    <cellStyle name="Comma 9 3 2 4" xfId="3860" xr:uid="{21839EE9-AA43-4EDF-ADBA-7630529BDB8E}"/>
    <cellStyle name="Comma 9 3 2 4 2" xfId="9157" xr:uid="{B1DAFF55-084C-4F06-BE7B-8BAE918B2190}"/>
    <cellStyle name="Comma 9 3 2 5" xfId="6508" xr:uid="{C3C1431D-1586-4F13-AC01-CDDEDF5C3CCA}"/>
    <cellStyle name="Comma 9 3 3" xfId="1048" xr:uid="{7F1C1EF3-5471-44DE-82BA-DD7EC401DD0D}"/>
    <cellStyle name="Comma 9 3 3 2" xfId="1591" xr:uid="{69DF7D39-CFA5-4CE2-9961-0FB644F76536}"/>
    <cellStyle name="Comma 9 3 3 2 2" xfId="2931" xr:uid="{D6EE9699-DE96-4A60-A56C-4BC1E768A306}"/>
    <cellStyle name="Comma 9 3 3 2 2 2" xfId="5580" xr:uid="{C8969951-0252-4089-8A45-3D39C7FB4645}"/>
    <cellStyle name="Comma 9 3 3 2 2 2 2" xfId="10877" xr:uid="{DB7C2034-8B24-426F-9B06-90963442025D}"/>
    <cellStyle name="Comma 9 3 3 2 2 3" xfId="8228" xr:uid="{F798FC69-0932-4C13-B460-17FC812A34BC}"/>
    <cellStyle name="Comma 9 3 3 2 3" xfId="4256" xr:uid="{EA348FE8-8E37-430A-801B-186860E8842B}"/>
    <cellStyle name="Comma 9 3 3 2 3 2" xfId="9553" xr:uid="{C8E794B8-4926-49A7-B6F1-604190146B1D}"/>
    <cellStyle name="Comma 9 3 3 2 4" xfId="6904" xr:uid="{8382145A-551C-49E5-BC77-E48ABF109DF4}"/>
    <cellStyle name="Comma 9 3 3 3" xfId="2403" xr:uid="{870E9114-AE31-465F-99B7-422FBF792675}"/>
    <cellStyle name="Comma 9 3 3 3 2" xfId="5052" xr:uid="{A13A39EC-FBA0-42EE-8165-D1193FA76310}"/>
    <cellStyle name="Comma 9 3 3 3 2 2" xfId="10349" xr:uid="{82FDD00F-76C4-4F4B-88D7-E8ECD7C63396}"/>
    <cellStyle name="Comma 9 3 3 3 3" xfId="7700" xr:uid="{49FA7AFC-27A6-4CBF-9658-D8E28E32C704}"/>
    <cellStyle name="Comma 9 3 3 4" xfId="3728" xr:uid="{C8F4300A-7590-41CB-8656-9A62692AA528}"/>
    <cellStyle name="Comma 9 3 3 4 2" xfId="9025" xr:uid="{5E7862B3-8F64-49A3-8552-F2EFB2B4BB16}"/>
    <cellStyle name="Comma 9 3 3 5" xfId="6376" xr:uid="{020C7342-22DE-4F1E-815D-AA6FBE27CB70}"/>
    <cellStyle name="Comma 9 3 4" xfId="1327" xr:uid="{23B9BEAB-723F-43D2-8185-F22B85946BF7}"/>
    <cellStyle name="Comma 9 3 4 2" xfId="1855" xr:uid="{B8BB0361-5B38-4AFE-BCD7-7C103E95FBFE}"/>
    <cellStyle name="Comma 9 3 4 2 2" xfId="3195" xr:uid="{C5079ECF-0E73-4203-8D6D-2B5CFC72BA1C}"/>
    <cellStyle name="Comma 9 3 4 2 2 2" xfId="5844" xr:uid="{32C5C6AA-D255-4D50-A34D-57C1DF2FE5C5}"/>
    <cellStyle name="Comma 9 3 4 2 2 2 2" xfId="11141" xr:uid="{09D057FB-DADC-4A04-A05B-84B542CD0343}"/>
    <cellStyle name="Comma 9 3 4 2 2 3" xfId="8492" xr:uid="{5E010033-1953-4D0F-95BE-8110033AFDCB}"/>
    <cellStyle name="Comma 9 3 4 2 3" xfId="4520" xr:uid="{2AE004C6-3AF0-4FF3-BC3A-D248EA030678}"/>
    <cellStyle name="Comma 9 3 4 2 3 2" xfId="9817" xr:uid="{B303DC8A-2D50-4FD7-9841-87E2607493D4}"/>
    <cellStyle name="Comma 9 3 4 2 4" xfId="7168" xr:uid="{52121EFD-AC39-49BD-8790-4AC358EBBF29}"/>
    <cellStyle name="Comma 9 3 4 3" xfId="2667" xr:uid="{45B59986-A66B-40B1-9949-42AF9511AC7F}"/>
    <cellStyle name="Comma 9 3 4 3 2" xfId="5316" xr:uid="{AB7BA61E-7CE5-43D3-9CAA-BFF65E0C2DB0}"/>
    <cellStyle name="Comma 9 3 4 3 2 2" xfId="10613" xr:uid="{2CE02756-F6F1-4D0F-87E8-500D9A886745}"/>
    <cellStyle name="Comma 9 3 4 3 3" xfId="7964" xr:uid="{09687309-0DB6-4ACB-919A-CE15ABB77FB5}"/>
    <cellStyle name="Comma 9 3 4 4" xfId="3992" xr:uid="{6FC9E3F6-ED7E-4F50-8E93-9357074BD4FE}"/>
    <cellStyle name="Comma 9 3 4 4 2" xfId="9289" xr:uid="{E51D6822-BE68-4363-90DB-E17CD5EE6BD4}"/>
    <cellStyle name="Comma 9 3 4 5" xfId="6640" xr:uid="{DC64D268-BAF8-4BCD-9DFF-7AC95A047352}"/>
    <cellStyle name="Comma 9 3 5" xfId="1459" xr:uid="{932374F6-02FB-40DF-88A5-0B627919D060}"/>
    <cellStyle name="Comma 9 3 5 2" xfId="1987" xr:uid="{9E57EC8A-BDC8-4F00-97DC-07F2E64A4AA6}"/>
    <cellStyle name="Comma 9 3 5 2 2" xfId="3327" xr:uid="{CA1CB39C-BB65-48A5-8CC7-C42A4B70A56D}"/>
    <cellStyle name="Comma 9 3 5 2 2 2" xfId="5976" xr:uid="{B0A78CE3-7BC9-4460-9BDA-973CFDCD523E}"/>
    <cellStyle name="Comma 9 3 5 2 2 2 2" xfId="11273" xr:uid="{C67229A5-24B7-4BE5-B7DF-52180409F34A}"/>
    <cellStyle name="Comma 9 3 5 2 2 3" xfId="8624" xr:uid="{22721730-985B-4310-B456-73FBE0F8B329}"/>
    <cellStyle name="Comma 9 3 5 2 3" xfId="4652" xr:uid="{B0697164-60E4-4F86-80ED-CCB612F8287F}"/>
    <cellStyle name="Comma 9 3 5 2 3 2" xfId="9949" xr:uid="{FFBDB26B-77EE-4AB3-8B1C-904DC99298CD}"/>
    <cellStyle name="Comma 9 3 5 2 4" xfId="7300" xr:uid="{AC1922AE-ADC8-43AF-9BF9-B8A32036346E}"/>
    <cellStyle name="Comma 9 3 5 3" xfId="2799" xr:uid="{F0892DE3-2F1B-4373-B45D-2BCD0C6205E0}"/>
    <cellStyle name="Comma 9 3 5 3 2" xfId="5448" xr:uid="{99F17052-12DC-4D2D-A3D5-50AB1ED1E0BC}"/>
    <cellStyle name="Comma 9 3 5 3 2 2" xfId="10745" xr:uid="{8FD31E51-81DE-46FE-8359-823B8893671F}"/>
    <cellStyle name="Comma 9 3 5 3 3" xfId="8096" xr:uid="{8422E4A2-3C9C-4C0B-859D-EC84838B0285}"/>
    <cellStyle name="Comma 9 3 5 4" xfId="4124" xr:uid="{64FAD7D1-C0DC-4BCE-BBB2-010FE3B7A812}"/>
    <cellStyle name="Comma 9 3 5 4 2" xfId="9421" xr:uid="{27422A67-0E13-4FD3-BE9B-0EB3BD256B82}"/>
    <cellStyle name="Comma 9 3 5 5" xfId="6772" xr:uid="{91C166B7-7861-4B90-9284-A7CD912FB663}"/>
    <cellStyle name="Comma 9 3 6" xfId="2273" xr:uid="{08F7F3AA-DCF3-43E4-A6E5-313CAE3D89D3}"/>
    <cellStyle name="Comma 9 3 6 2" xfId="4922" xr:uid="{4B088F49-87EE-4807-BB1D-2F020E4B6FF7}"/>
    <cellStyle name="Comma 9 3 6 2 2" xfId="10219" xr:uid="{7FFCD77F-4B10-4F7A-BF62-23047B19D9C7}"/>
    <cellStyle name="Comma 9 3 6 3" xfId="7570" xr:uid="{30D5CA57-4BDF-43B3-BB4C-932AAEED3208}"/>
    <cellStyle name="Comma 9 3 7" xfId="3598" xr:uid="{0BE041A6-6D60-4530-A590-A9455AA256BE}"/>
    <cellStyle name="Comma 9 3 7 2" xfId="8895" xr:uid="{C87F5485-4E52-4C98-AFB6-54A0E24D50BB}"/>
    <cellStyle name="Comma 9 3 8" xfId="6246" xr:uid="{7EAA4D5A-0D02-4D35-BF60-4086F18C95B1}"/>
    <cellStyle name="Comma 9 4" xfId="747" xr:uid="{2A88AF7B-B566-49E0-B0FE-4B4AE7AF8181}"/>
    <cellStyle name="Comma 9 4 2" xfId="1151" xr:uid="{78AEAC90-C999-4C91-AB33-BB5F0836C0B7}"/>
    <cellStyle name="Comma 9 4 2 2" xfId="1683" xr:uid="{278BDE35-AEEC-4F07-AD48-BF25A0952D8A}"/>
    <cellStyle name="Comma 9 4 2 2 2" xfId="3023" xr:uid="{AEAE101A-EE60-41A1-9533-759116E0A361}"/>
    <cellStyle name="Comma 9 4 2 2 2 2" xfId="5672" xr:uid="{170E9FDE-F869-48F2-BE6E-CBD5641CF3D3}"/>
    <cellStyle name="Comma 9 4 2 2 2 2 2" xfId="10969" xr:uid="{7B0E58E2-6A88-4383-9670-4CE339B4BBEC}"/>
    <cellStyle name="Comma 9 4 2 2 2 3" xfId="8320" xr:uid="{836E0CE1-B9CA-49E8-82FB-9AAC48E904BA}"/>
    <cellStyle name="Comma 9 4 2 2 3" xfId="4348" xr:uid="{429F5CFA-2CAB-4D96-BF80-7180E07D1A0A}"/>
    <cellStyle name="Comma 9 4 2 2 3 2" xfId="9645" xr:uid="{D9468AD7-D82C-4AA8-8017-8C12F4DB7C0E}"/>
    <cellStyle name="Comma 9 4 2 2 4" xfId="6996" xr:uid="{BFDED455-C20C-4F6A-8040-9493EAE8F913}"/>
    <cellStyle name="Comma 9 4 2 3" xfId="2495" xr:uid="{82BBC4CA-BE1C-41A1-A474-C5F763593C1F}"/>
    <cellStyle name="Comma 9 4 2 3 2" xfId="5144" xr:uid="{3647FC15-9ACC-4617-A84B-682339225077}"/>
    <cellStyle name="Comma 9 4 2 3 2 2" xfId="10441" xr:uid="{D32911E6-FBDF-4D46-A197-6A1669D916FA}"/>
    <cellStyle name="Comma 9 4 2 3 3" xfId="7792" xr:uid="{1D3F8273-2B16-4723-9361-40EFBB174E2D}"/>
    <cellStyle name="Comma 9 4 2 4" xfId="3820" xr:uid="{3B228EA7-DC9E-4665-9BBF-43BD56D90419}"/>
    <cellStyle name="Comma 9 4 2 4 2" xfId="9117" xr:uid="{B8C04B28-82CA-4BB2-AF8C-5431CBC7DB8B}"/>
    <cellStyle name="Comma 9 4 2 5" xfId="6468" xr:uid="{DBE06A32-B473-4D51-AD41-AFFBD3BCFD9B}"/>
    <cellStyle name="Comma 9 4 3" xfId="1007" xr:uid="{066E650A-21B7-4FEE-8A96-33E700BB2217}"/>
    <cellStyle name="Comma 9 4 3 2" xfId="1551" xr:uid="{F55C2F42-49A2-41B2-9FA4-645F8DE70057}"/>
    <cellStyle name="Comma 9 4 3 2 2" xfId="2891" xr:uid="{5441FAD3-603C-4C79-A0C0-2EFC6517C6B7}"/>
    <cellStyle name="Comma 9 4 3 2 2 2" xfId="5540" xr:uid="{D9D01C19-25C6-4362-9A8E-469E6DF020D1}"/>
    <cellStyle name="Comma 9 4 3 2 2 2 2" xfId="10837" xr:uid="{117EBF8E-C93C-4CBC-B7AF-5F9797D5D177}"/>
    <cellStyle name="Comma 9 4 3 2 2 3" xfId="8188" xr:uid="{6B5F397E-C112-453F-A8B1-3BDE7893F3A4}"/>
    <cellStyle name="Comma 9 4 3 2 3" xfId="4216" xr:uid="{5E6A3591-8E19-40B1-A200-BB9ADDA53499}"/>
    <cellStyle name="Comma 9 4 3 2 3 2" xfId="9513" xr:uid="{BE9F511C-8359-472F-9175-1B479E531E45}"/>
    <cellStyle name="Comma 9 4 3 2 4" xfId="6864" xr:uid="{7D52371D-655D-4EE7-ADFD-44666A476182}"/>
    <cellStyle name="Comma 9 4 3 3" xfId="2363" xr:uid="{7224565A-C183-4A0F-BBE0-A21575BA709D}"/>
    <cellStyle name="Comma 9 4 3 3 2" xfId="5012" xr:uid="{B85599C3-B76F-4E96-844F-ACDD3B63373F}"/>
    <cellStyle name="Comma 9 4 3 3 2 2" xfId="10309" xr:uid="{15F3A442-76AF-44A3-AD35-00A373C66FFA}"/>
    <cellStyle name="Comma 9 4 3 3 3" xfId="7660" xr:uid="{86CF96A1-5D2D-4D80-831D-DEB1B4E4BCA1}"/>
    <cellStyle name="Comma 9 4 3 4" xfId="3688" xr:uid="{5B7080A6-A404-4CE5-98B5-943EDECFB570}"/>
    <cellStyle name="Comma 9 4 3 4 2" xfId="8985" xr:uid="{337E56A9-2DCE-4CEF-A28E-4BF6635AC175}"/>
    <cellStyle name="Comma 9 4 3 5" xfId="6336" xr:uid="{9FD5E943-B773-4E67-9C0E-71B7978FB7B0}"/>
    <cellStyle name="Comma 9 4 4" xfId="1287" xr:uid="{92BFFF37-6F23-4F1B-8854-AAF5624DFAB2}"/>
    <cellStyle name="Comma 9 4 4 2" xfId="1815" xr:uid="{96D625F8-7ADD-4200-B5F3-79A960C3FF05}"/>
    <cellStyle name="Comma 9 4 4 2 2" xfId="3155" xr:uid="{B631302F-A1E0-4EE4-928F-BFA9574D8092}"/>
    <cellStyle name="Comma 9 4 4 2 2 2" xfId="5804" xr:uid="{83442C44-1CEA-45E0-8132-B0988969973D}"/>
    <cellStyle name="Comma 9 4 4 2 2 2 2" xfId="11101" xr:uid="{0E679A6E-AB39-498E-AF0F-066FA32692AB}"/>
    <cellStyle name="Comma 9 4 4 2 2 3" xfId="8452" xr:uid="{B7F8FD23-7225-47DC-A3A5-BC7CD6653D06}"/>
    <cellStyle name="Comma 9 4 4 2 3" xfId="4480" xr:uid="{D7DEF584-8450-43F6-B857-36C09CDB51A5}"/>
    <cellStyle name="Comma 9 4 4 2 3 2" xfId="9777" xr:uid="{F5BE1BA0-F99A-4B6C-A9D1-18FA69ECA542}"/>
    <cellStyle name="Comma 9 4 4 2 4" xfId="7128" xr:uid="{BF3D7D3E-77FD-4A0B-B50A-5BC6C42789AA}"/>
    <cellStyle name="Comma 9 4 4 3" xfId="2627" xr:uid="{A50BFE98-951A-41CE-B9F0-30FDD32D1BC0}"/>
    <cellStyle name="Comma 9 4 4 3 2" xfId="5276" xr:uid="{3F2068E2-1CAF-4089-8B1D-2F25132A455B}"/>
    <cellStyle name="Comma 9 4 4 3 2 2" xfId="10573" xr:uid="{B40F3FC1-32FB-44CF-A2ED-097ACE562142}"/>
    <cellStyle name="Comma 9 4 4 3 3" xfId="7924" xr:uid="{10398FF7-D378-4896-9A73-0944222DF47A}"/>
    <cellStyle name="Comma 9 4 4 4" xfId="3952" xr:uid="{3FC78FD1-5DA7-4D3A-A6F0-D5B18B025EB3}"/>
    <cellStyle name="Comma 9 4 4 4 2" xfId="9249" xr:uid="{34F06A97-F0D8-40CE-BFCB-E5E09226B810}"/>
    <cellStyle name="Comma 9 4 4 5" xfId="6600" xr:uid="{4810B1A1-9791-4481-9B6D-D79A9F23A29B}"/>
    <cellStyle name="Comma 9 4 5" xfId="1419" xr:uid="{8C332F87-6C33-4634-8435-2ED4A0F2B3A6}"/>
    <cellStyle name="Comma 9 4 5 2" xfId="1947" xr:uid="{12410DE7-C87A-46C3-BA22-6284DFCBA6C2}"/>
    <cellStyle name="Comma 9 4 5 2 2" xfId="3287" xr:uid="{6AE50D6E-D91B-49D4-872C-BACB285B132E}"/>
    <cellStyle name="Comma 9 4 5 2 2 2" xfId="5936" xr:uid="{292A16B5-DA61-48CA-89D8-3DC9DBD60A75}"/>
    <cellStyle name="Comma 9 4 5 2 2 2 2" xfId="11233" xr:uid="{34E109E6-7EC2-400C-8293-65CB3271DCA4}"/>
    <cellStyle name="Comma 9 4 5 2 2 3" xfId="8584" xr:uid="{008C2D31-E952-4F88-83BC-D7E4ED67E67D}"/>
    <cellStyle name="Comma 9 4 5 2 3" xfId="4612" xr:uid="{36523E94-8E8E-4496-9826-939DF8F0C01B}"/>
    <cellStyle name="Comma 9 4 5 2 3 2" xfId="9909" xr:uid="{4F413191-552F-4EDF-9ECE-27C47DAB43A3}"/>
    <cellStyle name="Comma 9 4 5 2 4" xfId="7260" xr:uid="{D65EED86-20EF-41A7-B44B-52F15E507F1E}"/>
    <cellStyle name="Comma 9 4 5 3" xfId="2759" xr:uid="{F964BA7E-6C3F-473F-83B8-F5C06432A46F}"/>
    <cellStyle name="Comma 9 4 5 3 2" xfId="5408" xr:uid="{CED07E22-ED03-4983-BD3D-437BF8816130}"/>
    <cellStyle name="Comma 9 4 5 3 2 2" xfId="10705" xr:uid="{9C69C55C-1B08-4629-B914-092F4D193B56}"/>
    <cellStyle name="Comma 9 4 5 3 3" xfId="8056" xr:uid="{B3AF2184-399A-420A-BA60-65D0FAA6D740}"/>
    <cellStyle name="Comma 9 4 5 4" xfId="4084" xr:uid="{53D73566-ECF5-42BE-9DDB-B30397CAC752}"/>
    <cellStyle name="Comma 9 4 5 4 2" xfId="9381" xr:uid="{16EB7D1C-0316-46D7-84B9-95BB8E74277E}"/>
    <cellStyle name="Comma 9 4 5 5" xfId="6732" xr:uid="{8213A9CF-6839-4F70-BD7A-D0000D1A09F5}"/>
    <cellStyle name="Comma 9 4 6" xfId="2235" xr:uid="{256FADCC-D6EC-4D96-BAB9-0B06DCC6962C}"/>
    <cellStyle name="Comma 9 4 6 2" xfId="4884" xr:uid="{11B78B3C-AD36-443D-A6AF-06C59875BE23}"/>
    <cellStyle name="Comma 9 4 6 2 2" xfId="10181" xr:uid="{1B267BE2-467B-4713-BE7A-2D63C7B02FA4}"/>
    <cellStyle name="Comma 9 4 6 3" xfId="7532" xr:uid="{FD7449AB-3E70-4658-8B3D-AFDC06B125AB}"/>
    <cellStyle name="Comma 9 4 7" xfId="3560" xr:uid="{3CC85241-DCD4-4E77-9AE5-1FD8012840B6}"/>
    <cellStyle name="Comma 9 4 7 2" xfId="8857" xr:uid="{5761A7DE-A352-4971-AD5A-3BB7F536ED6F}"/>
    <cellStyle name="Comma 9 4 8" xfId="6208" xr:uid="{56802DB1-6D29-4ED2-9CCE-B21CE1BABB39}"/>
    <cellStyle name="Comma 9 5" xfId="1099" xr:uid="{B1DF863C-792A-42EE-B3F0-81D3E86E5B3E}"/>
    <cellStyle name="Comma 9 5 2" xfId="1637" xr:uid="{D8F76A01-308A-44C2-A862-884141A88C02}"/>
    <cellStyle name="Comma 9 5 2 2" xfId="2977" xr:uid="{CCCCD389-1238-489B-985B-FB25C1BA81AB}"/>
    <cellStyle name="Comma 9 5 2 2 2" xfId="5626" xr:uid="{9A9BB017-69AD-4DF8-A11C-81ABD7B9EB79}"/>
    <cellStyle name="Comma 9 5 2 2 2 2" xfId="10923" xr:uid="{7422E03C-D288-4BC0-8C39-E97695E2148A}"/>
    <cellStyle name="Comma 9 5 2 2 3" xfId="8274" xr:uid="{0734D329-9C37-4DD0-91FF-D1BC22B13066}"/>
    <cellStyle name="Comma 9 5 2 3" xfId="4302" xr:uid="{5CD6AE8D-C5AF-4DD1-BDF6-93ED7532A757}"/>
    <cellStyle name="Comma 9 5 2 3 2" xfId="9599" xr:uid="{15411C5C-F4DC-4306-B759-05FA5BDD18FB}"/>
    <cellStyle name="Comma 9 5 2 4" xfId="6950" xr:uid="{15246F17-055C-45BA-8048-2207FF3F0380}"/>
    <cellStyle name="Comma 9 5 3" xfId="2449" xr:uid="{C2275EBB-E9E4-4458-9B3B-C2999B6C59E2}"/>
    <cellStyle name="Comma 9 5 3 2" xfId="5098" xr:uid="{BF6DD2FE-9172-4B15-A88E-C612CCFC3DFB}"/>
    <cellStyle name="Comma 9 5 3 2 2" xfId="10395" xr:uid="{2F96EC38-524E-48D4-AEF7-CD2BAB97A1FE}"/>
    <cellStyle name="Comma 9 5 3 3" xfId="7746" xr:uid="{8B142525-BBFA-420E-A35C-325FE06C9F23}"/>
    <cellStyle name="Comma 9 5 4" xfId="3774" xr:uid="{CC6A091C-B461-46B9-8083-4B8EF8F0C816}"/>
    <cellStyle name="Comma 9 5 4 2" xfId="9071" xr:uid="{C7F191EA-CCCC-42E7-A479-07407008A610}"/>
    <cellStyle name="Comma 9 5 5" xfId="6422" xr:uid="{09533000-3922-4F70-9A53-DFCC5B98BDDE}"/>
    <cellStyle name="Comma 9 6" xfId="952" xr:uid="{282ACE43-1E02-4173-9AC8-26C65EB84FF3}"/>
    <cellStyle name="Comma 9 6 2" xfId="1505" xr:uid="{F3DBC2F3-9DFC-4785-B333-7071E0AAED17}"/>
    <cellStyle name="Comma 9 6 2 2" xfId="2845" xr:uid="{22EC9C1A-0AC4-437A-9547-8797686CD85E}"/>
    <cellStyle name="Comma 9 6 2 2 2" xfId="5494" xr:uid="{7D7CDD22-EFC4-4048-9A0A-C1AF08DBCD28}"/>
    <cellStyle name="Comma 9 6 2 2 2 2" xfId="10791" xr:uid="{18AF2F7A-647F-4227-B964-1FDF8558A192}"/>
    <cellStyle name="Comma 9 6 2 2 3" xfId="8142" xr:uid="{B1A7BE7F-DBD7-4A0F-87E0-9EBBDA743463}"/>
    <cellStyle name="Comma 9 6 2 3" xfId="4170" xr:uid="{A8978097-4D87-4E04-AE45-CB3C5B4B7245}"/>
    <cellStyle name="Comma 9 6 2 3 2" xfId="9467" xr:uid="{30AA2238-E4D7-46F1-B1B9-18F00CEBC56F}"/>
    <cellStyle name="Comma 9 6 2 4" xfId="6818" xr:uid="{A4C6BB58-8CE6-484B-9F12-1DE0841AAE33}"/>
    <cellStyle name="Comma 9 6 3" xfId="2317" xr:uid="{9D610914-39BF-4AE5-8BDF-0D06F8CF8D6D}"/>
    <cellStyle name="Comma 9 6 3 2" xfId="4966" xr:uid="{2DE0A7D7-1382-4A38-9182-A63238C4B3BE}"/>
    <cellStyle name="Comma 9 6 3 2 2" xfId="10263" xr:uid="{268C0FAE-7E94-4EB1-A0FC-93A83D1FE66D}"/>
    <cellStyle name="Comma 9 6 3 3" xfId="7614" xr:uid="{BB1704B9-E7D3-4323-BE81-1A263CC6A69C}"/>
    <cellStyle name="Comma 9 6 4" xfId="3642" xr:uid="{D4092D2C-66F5-467C-904E-72D821624BBA}"/>
    <cellStyle name="Comma 9 6 4 2" xfId="8939" xr:uid="{24E34564-CAAE-4151-A648-4C5423AB84AD}"/>
    <cellStyle name="Comma 9 6 5" xfId="6290" xr:uid="{C8D17047-5034-401E-9087-6576E8F77FF5}"/>
    <cellStyle name="Comma 9 7" xfId="1241" xr:uid="{D92B2FEE-15F6-4E0A-B58D-A79192376A7A}"/>
    <cellStyle name="Comma 9 7 2" xfId="1769" xr:uid="{12C7233C-CEF8-4EB9-BFFA-0A6F29F90105}"/>
    <cellStyle name="Comma 9 7 2 2" xfId="3109" xr:uid="{EDB81A03-77F5-44D5-81A9-6414B68CC898}"/>
    <cellStyle name="Comma 9 7 2 2 2" xfId="5758" xr:uid="{69DD56A0-AC92-4326-84AD-ADC3C630D04E}"/>
    <cellStyle name="Comma 9 7 2 2 2 2" xfId="11055" xr:uid="{F61A4FE9-7F44-4BE6-985B-D4B8B54B2D95}"/>
    <cellStyle name="Comma 9 7 2 2 3" xfId="8406" xr:uid="{D31673F9-716A-42B8-B482-2FF710815A2E}"/>
    <cellStyle name="Comma 9 7 2 3" xfId="4434" xr:uid="{57D19845-96CC-443C-9837-428F02F69732}"/>
    <cellStyle name="Comma 9 7 2 3 2" xfId="9731" xr:uid="{618A7DC7-1019-445C-93B9-253AD02BFD18}"/>
    <cellStyle name="Comma 9 7 2 4" xfId="7082" xr:uid="{E5D4D4FB-3C51-42DD-A301-24E3DF858151}"/>
    <cellStyle name="Comma 9 7 3" xfId="2581" xr:uid="{D1DB71B9-E65E-414C-BCF2-263D37766B38}"/>
    <cellStyle name="Comma 9 7 3 2" xfId="5230" xr:uid="{B58BC456-5353-42B9-98C4-FB661C069A43}"/>
    <cellStyle name="Comma 9 7 3 2 2" xfId="10527" xr:uid="{7D7FF989-7235-4D4E-9022-301079AEB34E}"/>
    <cellStyle name="Comma 9 7 3 3" xfId="7878" xr:uid="{33DA3D06-226E-4DB9-8545-8F40F9C0AF31}"/>
    <cellStyle name="Comma 9 7 4" xfId="3906" xr:uid="{BCD47BCF-7DA6-44A9-9010-7D5B78657152}"/>
    <cellStyle name="Comma 9 7 4 2" xfId="9203" xr:uid="{76C32A50-2364-4A6A-B902-CA77D3E13A5D}"/>
    <cellStyle name="Comma 9 7 5" xfId="6554" xr:uid="{E555A69A-5BFB-474E-9AC9-2475A7DA50D7}"/>
    <cellStyle name="Comma 9 8" xfId="1373" xr:uid="{FD7BECA4-0CB6-43F1-A8A7-AA59A99B6E51}"/>
    <cellStyle name="Comma 9 8 2" xfId="1901" xr:uid="{8C88E81D-619F-4262-8787-61216A22ADB1}"/>
    <cellStyle name="Comma 9 8 2 2" xfId="3241" xr:uid="{462AF4D9-0E85-47F5-B144-8A8B998FE2C1}"/>
    <cellStyle name="Comma 9 8 2 2 2" xfId="5890" xr:uid="{CAA707A9-F8F5-4696-A6A1-A15BEA5D8C4A}"/>
    <cellStyle name="Comma 9 8 2 2 2 2" xfId="11187" xr:uid="{1AD18C9C-8987-4ECA-89F3-0CD96C43FA67}"/>
    <cellStyle name="Comma 9 8 2 2 3" xfId="8538" xr:uid="{A2DCBCD9-9FCF-4081-9E4B-996A9B393FCE}"/>
    <cellStyle name="Comma 9 8 2 3" xfId="4566" xr:uid="{7EC28BE8-61B8-4462-A355-1CB41D8F4E11}"/>
    <cellStyle name="Comma 9 8 2 3 2" xfId="9863" xr:uid="{05192F9F-8015-4C3C-92F5-D88B9F88149F}"/>
    <cellStyle name="Comma 9 8 2 4" xfId="7214" xr:uid="{BC522CA0-FE1D-426E-A8B2-5612A32BCD9D}"/>
    <cellStyle name="Comma 9 8 3" xfId="2713" xr:uid="{7B96A2FA-4225-434F-A6DD-BFE89FA2C688}"/>
    <cellStyle name="Comma 9 8 3 2" xfId="5362" xr:uid="{36907FA0-FC5E-4FE4-B2D4-ACC789EC3EDB}"/>
    <cellStyle name="Comma 9 8 3 2 2" xfId="10659" xr:uid="{C75424BF-2E7B-437D-AE6E-B4DA90158B6B}"/>
    <cellStyle name="Comma 9 8 3 3" xfId="8010" xr:uid="{3D9B57E7-DA92-459C-9C88-A072A7D0AA76}"/>
    <cellStyle name="Comma 9 8 4" xfId="4038" xr:uid="{62DFBF0E-4077-4C00-9B53-E40CE4F203C8}"/>
    <cellStyle name="Comma 9 8 4 2" xfId="9335" xr:uid="{BF71DE04-DA37-4C3F-9CED-5C3D4992C992}"/>
    <cellStyle name="Comma 9 8 5" xfId="6686" xr:uid="{6F4FA20E-3216-4846-AC82-32F61A7FEEDB}"/>
    <cellStyle name="Comma 9 9" xfId="517" xr:uid="{B74CD751-EB9B-4458-89D7-9654A2DD1874}"/>
    <cellStyle name="Comma 9 9 2" xfId="2193" xr:uid="{DF67BB48-365B-4B9F-932C-D88B96AEDA9D}"/>
    <cellStyle name="Comma 9 9 2 2" xfId="4842" xr:uid="{3B54F28F-FE74-4AD2-81F2-3B529745B006}"/>
    <cellStyle name="Comma 9 9 2 2 2" xfId="10139" xr:uid="{39ACB540-756E-4292-806C-A7C61AC78CAE}"/>
    <cellStyle name="Comma 9 9 2 3" xfId="7490" xr:uid="{E5281456-9A8F-48A1-B268-9D632022D31D}"/>
    <cellStyle name="Comma 9 9 3" xfId="3518" xr:uid="{A53A6B15-E42C-4A50-A525-8B4580E201B6}"/>
    <cellStyle name="Comma 9 9 3 2" xfId="8815" xr:uid="{9EDCB359-CDAC-4EFE-B6CE-BD44849A19E3}"/>
    <cellStyle name="Comma 9 9 4" xfId="6166" xr:uid="{25CB2372-BE0B-42EC-86A6-2F39A711F6DE}"/>
    <cellStyle name="da" xfId="518" xr:uid="{A48B9EFF-8479-46B9-8881-570A83B1378A}"/>
    <cellStyle name="Date" xfId="519" xr:uid="{CA04FD2C-A74A-48E8-8CBD-23F247804835}"/>
    <cellStyle name="Euro" xfId="520" xr:uid="{FFB3FA9C-05D3-4459-A8D2-DDE0DC4F51F1}"/>
    <cellStyle name="Explanatory Text 2" xfId="521" xr:uid="{EA78972F-3AC5-4A69-9C76-1FD08C9C33F4}"/>
    <cellStyle name="Explanatory Text 2 2" xfId="857" xr:uid="{D8D91F62-4D75-445D-9AA4-AD8B9160870F}"/>
    <cellStyle name="Explanatory Text 2 3" xfId="690" xr:uid="{BBCB5A55-A32A-4AB3-B700-771E6BF946AD}"/>
    <cellStyle name="F2" xfId="522" xr:uid="{BC38A9C5-B48D-4A4E-AABB-7D5FDEFD6258}"/>
    <cellStyle name="F3" xfId="523" xr:uid="{A37210D9-55C9-46D9-B851-E61AE1DC94E0}"/>
    <cellStyle name="F4" xfId="524" xr:uid="{539A7546-D7A9-4D58-948C-1461694F2B98}"/>
    <cellStyle name="F5" xfId="525" xr:uid="{316B62A7-BA57-4C22-8054-46AC3A96226D}"/>
    <cellStyle name="F6" xfId="526" xr:uid="{0855FDD0-AA4C-476F-9128-BAECF0693142}"/>
    <cellStyle name="F7" xfId="527" xr:uid="{011EE6CD-7EC4-4F70-9823-C37F72E7E9EE}"/>
    <cellStyle name="F8" xfId="528" xr:uid="{4CB09535-F952-4C8F-857B-4C4812B38E5D}"/>
    <cellStyle name="Good 2" xfId="529" xr:uid="{EAF4F588-0CB6-406E-8C5B-2FC7D9C6777C}"/>
    <cellStyle name="Good 2 2" xfId="858" xr:uid="{C02538B4-BD82-4494-889C-D9A7F923AA27}"/>
    <cellStyle name="Good 2 3" xfId="691" xr:uid="{3ADD0F72-45C0-4A27-874D-8615FFA8D3CC}"/>
    <cellStyle name="Header1" xfId="530" xr:uid="{09DE2D48-A47F-48DA-94DA-621328670A9E}"/>
    <cellStyle name="Header2" xfId="531" xr:uid="{E470B801-DFB3-477B-A8BE-F98057D7483C}"/>
    <cellStyle name="Header2 2" xfId="1100" xr:uid="{1D229F53-2B4F-41D2-9485-36297A5D97BE}"/>
    <cellStyle name="Header2 3" xfId="953" xr:uid="{D3AB71A3-F02E-4445-BFDF-D608404C114E}"/>
    <cellStyle name="Heading 1 2" xfId="532" xr:uid="{8EBC2BBC-C81A-40E5-A7F6-D450241EDBA4}"/>
    <cellStyle name="Heading 1 2 2" xfId="859" xr:uid="{541F9555-60D8-48E7-BC71-E7804BE91906}"/>
    <cellStyle name="Heading 1 2 3" xfId="692" xr:uid="{B05BA3FF-6345-44F4-9DB3-8A50BCDD19A4}"/>
    <cellStyle name="Heading 2 2" xfId="533" xr:uid="{E923FB8E-32AA-4A84-9A79-76FA3285A87A}"/>
    <cellStyle name="Heading 2 2 2" xfId="860" xr:uid="{17368C3D-D062-4528-9BA5-A1E40FC6616B}"/>
    <cellStyle name="Heading 2 2 3" xfId="693" xr:uid="{EE5CC731-465F-49F0-BF23-123ED88D7052}"/>
    <cellStyle name="Heading 3 2" xfId="534" xr:uid="{E42A4CB5-0EDC-4EAA-BFF5-7ED6F5C1394F}"/>
    <cellStyle name="Heading 3 2 2" xfId="861" xr:uid="{D39D1D3D-108A-43CF-B804-27CE15B650C6}"/>
    <cellStyle name="Heading 3 2 3" xfId="694" xr:uid="{4722706C-EC7B-4297-8F3B-B3797448A650}"/>
    <cellStyle name="Heading 4 2" xfId="535" xr:uid="{5398FA78-0B5E-4C4C-AB45-2440968E5D5B}"/>
    <cellStyle name="Heading 4 2 2" xfId="862" xr:uid="{5F696B9F-C6C3-440A-8C9B-CEFE9BD0B723}"/>
    <cellStyle name="Heading 4 2 3" xfId="695" xr:uid="{FD7E4F79-89EA-43F8-BBD3-94AA5612CEAD}"/>
    <cellStyle name="Hyperlink 3" xfId="10" xr:uid="{1C6516E9-E0FD-45EB-B41C-B7BD090889C6}"/>
    <cellStyle name="Input 2" xfId="536" xr:uid="{41D8E7EA-592E-4423-A9C7-63C4721CE978}"/>
    <cellStyle name="Input 2 2" xfId="863" xr:uid="{9D3AF1FA-A1B1-4880-8799-820BA12E2A45}"/>
    <cellStyle name="Input 2 2 2" xfId="1193" xr:uid="{05154AA3-E79E-4EF0-8493-5779886C968B}"/>
    <cellStyle name="Input 2 2 3" xfId="1049" xr:uid="{C314C6C3-0D60-4CDB-B8DA-1C363F1ABC7E}"/>
    <cellStyle name="Input 2 3" xfId="696" xr:uid="{E3E13AC1-A2D4-4F5A-919D-5BA49D8AD1B4}"/>
    <cellStyle name="Input 2 4" xfId="1101" xr:uid="{840512E6-D5E4-40B4-BEBC-3503E67D737F}"/>
    <cellStyle name="Input 2 5" xfId="954" xr:uid="{2048FF19-1FCE-4C66-ADBE-4A8AE177BD73}"/>
    <cellStyle name="line" xfId="537" xr:uid="{2D4A902D-F035-4693-A136-99FF36AE6051}"/>
    <cellStyle name="Linked Cell 2" xfId="538" xr:uid="{21C8A7FB-BF1E-4C8C-8C5C-3D6192E3255C}"/>
    <cellStyle name="Linked Cell 2 2" xfId="864" xr:uid="{C325CBCC-DBE4-4C9E-BF19-22B2B2EB187D}"/>
    <cellStyle name="Linked Cell 2 3" xfId="697" xr:uid="{D33E12DC-C2ED-4688-BC3D-B3056D071994}"/>
    <cellStyle name="n" xfId="539" xr:uid="{2BE57E12-A85A-4A0C-BAF2-A50F222686A5}"/>
    <cellStyle name="n_CBI Ujjain Mall 12.11.07" xfId="540" xr:uid="{767E50E6-01C6-4682-93C5-B2B363F4CF84}"/>
    <cellStyle name="n_CBI Ujjain Mall 12.11.07 2" xfId="698" xr:uid="{153083F4-5E62-4819-BB44-BE41E2FBEC51}"/>
    <cellStyle name="n_Ujjain Mall 07-06-07-cbi" xfId="541" xr:uid="{555EC0E6-CFB8-4C4B-9BB9-9AE994D6263A}"/>
    <cellStyle name="n_Ujjain Mall 07-06-07-cbi 2" xfId="699" xr:uid="{B8368500-1344-41CC-BDEB-65F692B55971}"/>
    <cellStyle name="Neutral 2" xfId="542" xr:uid="{1169BFB4-A443-4A87-9BD3-A60604DDAFAB}"/>
    <cellStyle name="Neutral 2 2" xfId="865" xr:uid="{C2536941-D261-4B42-AED2-8D5FB28614FD}"/>
    <cellStyle name="Neutral 2 3" xfId="700" xr:uid="{D69490FC-DD51-467B-A062-7D1E713FE424}"/>
    <cellStyle name="no dec" xfId="543" xr:uid="{FA5365E8-C181-4A34-A9AF-CDE271880902}"/>
    <cellStyle name="Normal" xfId="0" builtinId="0"/>
    <cellStyle name="Normal - Style1" xfId="544" xr:uid="{1E5DDF34-5B36-4F0D-B01B-357F5AEA86A1}"/>
    <cellStyle name="Normal - Style2" xfId="545" xr:uid="{DFDC8203-9D8A-4434-BC3B-F33408F8A7A3}"/>
    <cellStyle name="Normal - Style3" xfId="546" xr:uid="{1D6B1268-8831-43BE-9294-793AB4B0DCE2}"/>
    <cellStyle name="Normal - Style4" xfId="547" xr:uid="{FDF7E677-4FA2-4AD7-82DC-B07BF1062CB0}"/>
    <cellStyle name="Normal - Style5" xfId="548" xr:uid="{11D6919A-66FF-4573-8EC8-0B87BD16E1AD}"/>
    <cellStyle name="Normal - Style6" xfId="549" xr:uid="{0000DBA6-B46F-4C0F-A423-0123600FA6FD}"/>
    <cellStyle name="Normal - Style7" xfId="550" xr:uid="{62BD0BDA-FC2E-4F0E-8BC5-312E05ABAF58}"/>
    <cellStyle name="Normal - Style8" xfId="551" xr:uid="{B826C7DA-954B-41AF-AB76-44F1B9FF5135}"/>
    <cellStyle name="Normal 10" xfId="227" xr:uid="{F6DE9906-9AF6-4F19-AE32-E9D1C8FD6FFF}"/>
    <cellStyle name="Normal 10 10" xfId="2031" xr:uid="{286AB5DE-82C6-41F4-AA91-9A9114FEB511}"/>
    <cellStyle name="Normal 10 2" xfId="459" xr:uid="{6FE90331-109D-456A-83BD-A717891359D1}"/>
    <cellStyle name="Normal 10 3" xfId="552" xr:uid="{64D99D1B-D4FA-4ABF-AB06-C485081E5B7B}"/>
    <cellStyle name="Normal 10 4" xfId="2040" xr:uid="{E03BB147-5B33-489B-BB43-811377DF7513}"/>
    <cellStyle name="Normal 11" xfId="235" xr:uid="{1D9F5F13-F524-4A3E-977F-F9269E8208B8}"/>
    <cellStyle name="Normal 11 2" xfId="553" xr:uid="{ED8A2EDD-FC41-480C-8B1B-A20EC2C9FFD0}"/>
    <cellStyle name="Normal 11 3" xfId="2035" xr:uid="{52C67202-BA52-4109-B50F-7C091D99C9E3}"/>
    <cellStyle name="Normal 12" xfId="236" xr:uid="{DBA1959E-971B-4BF8-9115-61EAACFA8B9E}"/>
    <cellStyle name="Normal 12 2" xfId="554" xr:uid="{0CF701CB-4F0A-4E71-B08A-143B9C061257}"/>
    <cellStyle name="Normal 13" xfId="239" xr:uid="{DEF1B06A-5E1C-4915-87C8-6A6C593BF3A3}"/>
    <cellStyle name="Normal 13 2" xfId="555" xr:uid="{6FC4BFBA-09A4-46D6-9416-8F4B80A65FA4}"/>
    <cellStyle name="Normal 14" xfId="240" xr:uid="{7DC62267-266B-4842-99BA-68E417488E98}"/>
    <cellStyle name="Normal 14 2" xfId="556" xr:uid="{B8ABE37D-D97F-4AA5-9D0A-4D759B29DB67}"/>
    <cellStyle name="Normal 15" xfId="468" xr:uid="{BB640D2A-1C64-4421-B38F-28F736366347}"/>
    <cellStyle name="Normal 15 2" xfId="557" xr:uid="{FF78DF85-F30B-41C5-B7FB-1595B7A4D8B2}"/>
    <cellStyle name="Normal 16" xfId="470" xr:uid="{C9884498-E51C-4B5A-B06B-1788F8BA8A22}"/>
    <cellStyle name="Normal 16 2" xfId="558" xr:uid="{15B4959F-F9AD-4B0C-8850-803213D4F39B}"/>
    <cellStyle name="Normal 16 2 5 3" xfId="2033" xr:uid="{14EE685B-F1FF-4368-A280-654EFAC89790}"/>
    <cellStyle name="Normal 17" xfId="1" xr:uid="{9B3587DF-1075-4255-BFCE-90171B05B724}"/>
    <cellStyle name="Normal 17 2" xfId="559" xr:uid="{4FFB84A7-B7DF-41C3-9BB7-4D426C77DE9F}"/>
    <cellStyle name="Normal 17 3 3" xfId="2034" xr:uid="{F0950304-E02A-44DC-A0BC-7032DF8F4335}"/>
    <cellStyle name="Normal 18" xfId="560" xr:uid="{06D017E7-4A07-450F-95B0-81F87596D5DC}"/>
    <cellStyle name="Normal 19" xfId="561" xr:uid="{C12918E6-6BEA-4088-8B09-8174250CFDAC}"/>
    <cellStyle name="Normal 2" xfId="19" xr:uid="{0DB44236-E137-4C74-A341-4C024C6DD77D}"/>
    <cellStyle name="Normal 2 10" xfId="616" xr:uid="{4906BC44-6416-42D9-872D-15B25860E9F3}"/>
    <cellStyle name="Normal 2 10 2" xfId="889" xr:uid="{E8162308-5B5A-4A97-9806-AC135EE03F3F}"/>
    <cellStyle name="Normal 2 10 3" xfId="748" xr:uid="{F05C310B-8AB2-4296-9FE5-EE93EE7D6A85}"/>
    <cellStyle name="Normal 2 11" xfId="617" xr:uid="{085D040E-DDAD-4D67-B616-4AD14D22F5FC}"/>
    <cellStyle name="Normal 2 11 2" xfId="890" xr:uid="{FAF1B81A-F038-49B0-B21D-61D7A8E22660}"/>
    <cellStyle name="Normal 2 11 3" xfId="749" xr:uid="{46F03E9A-1541-4C6A-864B-734592F9FDDC}"/>
    <cellStyle name="Normal 2 12" xfId="618" xr:uid="{F1F5B7CB-8FDE-4802-8A29-8EAF468BB6FA}"/>
    <cellStyle name="Normal 2 12 2" xfId="891" xr:uid="{12A578BC-0B9A-426E-BF25-E6F234F71E84}"/>
    <cellStyle name="Normal 2 12 3" xfId="750" xr:uid="{27AB5DC5-B32F-482F-8134-8F64CC2D7448}"/>
    <cellStyle name="Normal 2 13" xfId="619" xr:uid="{43754565-F9B0-4BDF-B685-DEDAB56AF3FF}"/>
    <cellStyle name="Normal 2 13 2" xfId="892" xr:uid="{D0F1B34F-A965-4886-82F1-000A9DE5DEC3}"/>
    <cellStyle name="Normal 2 13 3" xfId="751" xr:uid="{C43F3F4E-B9FA-40CC-BE7C-39094CB23381}"/>
    <cellStyle name="Normal 2 14" xfId="620" xr:uid="{75A65687-D664-471E-B400-62A71CB2682A}"/>
    <cellStyle name="Normal 2 14 2" xfId="893" xr:uid="{23B4C616-D0C7-47B6-A670-2D9D4957175F}"/>
    <cellStyle name="Normal 2 14 3" xfId="752" xr:uid="{C7C45DAC-2998-49FA-B126-7914248FBE46}"/>
    <cellStyle name="Normal 2 15" xfId="621" xr:uid="{61FBCEF6-8F35-407E-8158-47D491C901C6}"/>
    <cellStyle name="Normal 2 15 2" xfId="894" xr:uid="{B1D71BFE-866F-4595-8C84-BF4C71E2CA01}"/>
    <cellStyle name="Normal 2 15 3" xfId="753" xr:uid="{FB5A0054-021E-43B8-AE9A-13307FBE7C30}"/>
    <cellStyle name="Normal 2 16" xfId="622" xr:uid="{4388679E-BBE4-4F4B-BE87-624D7F8CE1AC}"/>
    <cellStyle name="Normal 2 16 2" xfId="895" xr:uid="{68C8A73C-7F54-4DDC-B2E2-BF9B119F1F05}"/>
    <cellStyle name="Normal 2 16 3" xfId="754" xr:uid="{4ED8DB7F-25D7-4530-91AD-717B2272EDF1}"/>
    <cellStyle name="Normal 2 17" xfId="623" xr:uid="{B01F7BDF-253F-42D0-9065-4D302008B05E}"/>
    <cellStyle name="Normal 2 17 2" xfId="896" xr:uid="{944427E1-C1E1-4357-9A1F-10B97ABD5BD0}"/>
    <cellStyle name="Normal 2 17 3" xfId="755" xr:uid="{FE367725-109A-4755-9BDF-E3B91FBA8B5A}"/>
    <cellStyle name="Normal 2 18" xfId="624" xr:uid="{E5B68099-56B0-408E-A112-AF08385EA097}"/>
    <cellStyle name="Normal 2 18 2" xfId="897" xr:uid="{9EA9A69E-ADD5-4C6B-8B4F-BC55D9408B84}"/>
    <cellStyle name="Normal 2 18 3" xfId="756" xr:uid="{EB5F5394-5333-41CE-82B1-EB1F1345ECD4}"/>
    <cellStyle name="Normal 2 19" xfId="625" xr:uid="{4A3D4203-D30B-4D9D-86B0-AFA899CD962F}"/>
    <cellStyle name="Normal 2 19 2" xfId="898" xr:uid="{1046A278-52A0-42C5-94DB-B201137E76DF}"/>
    <cellStyle name="Normal 2 19 3" xfId="757" xr:uid="{F0E1451C-9379-405C-A263-841257DC1041}"/>
    <cellStyle name="Normal 2 2" xfId="38" xr:uid="{04687548-25FB-4394-A5FA-A350C3939530}"/>
    <cellStyle name="Normal 2 2 2" xfId="81" xr:uid="{AD36A64E-0CA5-4A71-A2BA-BA4D577ED26E}"/>
    <cellStyle name="Normal 2 2 2 2" xfId="313" xr:uid="{56727E1C-001E-4141-97D5-1BA2B43A3FC4}"/>
    <cellStyle name="Normal 2 2 2 2 2" xfId="758" xr:uid="{B8A69819-A3D4-44AB-978C-60FC76753581}"/>
    <cellStyle name="Normal 2 2 2 2 2 2" xfId="759" xr:uid="{9CBD7532-5F86-4C42-B523-E54FEAA96A1F}"/>
    <cellStyle name="Normal 2 2 2 2 3" xfId="721" xr:uid="{F9A3C923-F589-46C3-967B-4C3939173879}"/>
    <cellStyle name="Normal 2 2 2 3" xfId="720" xr:uid="{0DDE50CC-F707-41E3-883A-F854989A5D85}"/>
    <cellStyle name="Normal 2 2 3" xfId="17" xr:uid="{5244A538-CC88-4572-91A6-3570B73CC4B3}"/>
    <cellStyle name="Normal 2 2 3 2" xfId="729" xr:uid="{C03C1117-75DA-4604-8F62-22DAEB6063C1}"/>
    <cellStyle name="Normal 2 2 4" xfId="124" xr:uid="{25C580A0-949C-45E3-9E98-407FC10D0E7E}"/>
    <cellStyle name="Normal 2 2 4 2" xfId="356" xr:uid="{A13C3E7A-73B3-471B-97FA-3A7BC6C390A6}"/>
    <cellStyle name="Normal 2 2 4 3" xfId="734" xr:uid="{56E48FD4-4961-4888-94F7-D81B23B3CEBF}"/>
    <cellStyle name="Normal 2 2 5" xfId="170" xr:uid="{4BC25551-89FC-4631-A15E-999C79A59F00}"/>
    <cellStyle name="Normal 2 2 5 2" xfId="402" xr:uid="{7AEAC764-5BA2-43A5-9638-A3396BC86CED}"/>
    <cellStyle name="Normal 2 2 5 3" xfId="760" xr:uid="{A804B75E-5065-4F27-86B1-A3A6DC810BA8}"/>
    <cellStyle name="Normal 2 2 6" xfId="213" xr:uid="{C56413AF-BDF2-4C05-AA01-79043582D7C6}"/>
    <cellStyle name="Normal 2 2 6 2" xfId="445" xr:uid="{984AEA3F-22FB-43B2-A760-E7955D5CD10C}"/>
    <cellStyle name="Normal 2 2 6 3" xfId="867" xr:uid="{9E712BE8-349F-4DF3-AD52-74B0CEFB5E4C}"/>
    <cellStyle name="Normal 2 2 7" xfId="270" xr:uid="{D5FB0CC2-9362-436C-B95B-BEEB1ACC967B}"/>
    <cellStyle name="Normal 2 2 7 2" xfId="701" xr:uid="{BA57F25C-F4E2-4382-A63E-563E602D5DA3}"/>
    <cellStyle name="Normal 2 2 8" xfId="563" xr:uid="{88D9C7E3-80E6-4DD6-98EB-C63F4E389A25}"/>
    <cellStyle name="Normal 2 2 9 9" xfId="2041" xr:uid="{2B33D502-71B9-4909-9030-E7460DA95FFC}"/>
    <cellStyle name="Normal 2 20" xfId="626" xr:uid="{B4C72AAB-6392-4339-847F-AAF759AAC46E}"/>
    <cellStyle name="Normal 2 20 2" xfId="899" xr:uid="{1ECF2D29-B0AF-421B-854B-7DAA90105AA3}"/>
    <cellStyle name="Normal 2 20 3" xfId="761" xr:uid="{074ED124-6C71-41E7-8CBB-B3CE4DE79D91}"/>
    <cellStyle name="Normal 2 21" xfId="627" xr:uid="{396D4319-A17F-4FE1-90B4-95C9FC0666FC}"/>
    <cellStyle name="Normal 2 21 2" xfId="900" xr:uid="{FC6D6D03-FC7A-4995-81E0-3B3763CD973D}"/>
    <cellStyle name="Normal 2 21 3" xfId="762" xr:uid="{14FC26FF-9621-4D7D-BC2C-8926A067082B}"/>
    <cellStyle name="Normal 2 22" xfId="628" xr:uid="{737885C0-4087-4326-B6F0-420E6420CD9F}"/>
    <cellStyle name="Normal 2 22 2" xfId="901" xr:uid="{DBE9412F-B59B-457D-AF42-DB0568118519}"/>
    <cellStyle name="Normal 2 22 3" xfId="763" xr:uid="{56A76673-AAB6-4BF3-A1A6-284E11AA3623}"/>
    <cellStyle name="Normal 2 23" xfId="629" xr:uid="{C8B1521B-97FC-4B6A-B08E-05A55FE49F94}"/>
    <cellStyle name="Normal 2 23 2" xfId="902" xr:uid="{811C691C-6D18-4379-9D76-1C37B08B1E5A}"/>
    <cellStyle name="Normal 2 23 3" xfId="764" xr:uid="{15DA9382-5767-4937-BE04-AF4FCC9E1FE2}"/>
    <cellStyle name="Normal 2 24" xfId="630" xr:uid="{555E3181-178D-47FD-AA2A-3B548031DB7D}"/>
    <cellStyle name="Normal 2 24 2" xfId="903" xr:uid="{46BCE0DB-0B75-47C3-B6FF-BB53D0EA4576}"/>
    <cellStyle name="Normal 2 24 3" xfId="765" xr:uid="{E5497433-44ED-488D-A100-8432097E77A3}"/>
    <cellStyle name="Normal 2 25" xfId="766" xr:uid="{764D11E1-6775-44DE-8DF5-0B5A643904F3}"/>
    <cellStyle name="Normal 2 26" xfId="767" xr:uid="{A57C3627-E6B6-404D-8726-08F7A57DB92F}"/>
    <cellStyle name="Normal 2 27" xfId="768" xr:uid="{1C9BE0C7-6546-4EE8-8927-E103B5759C3D}"/>
    <cellStyle name="Normal 2 28" xfId="769" xr:uid="{D73861D5-24A9-487F-BF08-08978E64A695}"/>
    <cellStyle name="Normal 2 29" xfId="770" xr:uid="{05B01EF1-9C46-4DF4-A13C-FDA841F52A08}"/>
    <cellStyle name="Normal 2 3" xfId="18" xr:uid="{D7E933CC-A019-4337-BAFE-FA0FA99EFCBB}"/>
    <cellStyle name="Normal 2 3 2" xfId="24" xr:uid="{AEC87DBC-DD3C-4280-B1C1-041CFD19C4ED}"/>
    <cellStyle name="Normal 2 3 2 2" xfId="67" xr:uid="{24F93044-5B42-4A9C-9216-ECCD6F50FD0D}"/>
    <cellStyle name="Normal 2 3 2 2 2" xfId="299" xr:uid="{0CA1D3DA-CA39-492A-8597-C608F681CD5F}"/>
    <cellStyle name="Normal 2 3 2 3" xfId="110" xr:uid="{3F6D594F-ABF0-4A17-81B3-50A592E7FCF4}"/>
    <cellStyle name="Normal 2 3 2 3 2" xfId="342" xr:uid="{B3403AFA-D4CB-4F4E-B709-F7688C3EEAD0}"/>
    <cellStyle name="Normal 2 3 2 4" xfId="156" xr:uid="{33805644-899F-45F9-9B52-011BFCE29AAD}"/>
    <cellStyle name="Normal 2 3 2 4 2" xfId="388" xr:uid="{9E6D7789-636F-492E-B9F5-0315E42EFD62}"/>
    <cellStyle name="Normal 2 3 2 5" xfId="199" xr:uid="{C8706056-B046-42E3-8136-E6AC13FA17A1}"/>
    <cellStyle name="Normal 2 3 2 5 2" xfId="431" xr:uid="{228F3BA9-A584-4F77-9061-BAEF785F3D15}"/>
    <cellStyle name="Normal 2 3 2 6" xfId="256" xr:uid="{560E2159-3A23-4164-A560-4AE32FA9814E}"/>
    <cellStyle name="Normal 2 3 2 7" xfId="771" xr:uid="{F7D62844-A01C-4FE5-8C83-146A300CF2E0}"/>
    <cellStyle name="Normal 2 3 3" xfId="37" xr:uid="{22F9BC36-1EA2-4CB9-9BE8-E3D5BAEC60A6}"/>
    <cellStyle name="Normal 2 3 3 2" xfId="80" xr:uid="{B3AC3DA1-0B89-48FF-ABFA-B245AD2379B3}"/>
    <cellStyle name="Normal 2 3 3 2 2" xfId="312" xr:uid="{FE02D792-CD7D-4590-A9D5-881B4CE268E6}"/>
    <cellStyle name="Normal 2 3 3 3" xfId="123" xr:uid="{23816560-99B6-4889-AF77-7A482AE01B70}"/>
    <cellStyle name="Normal 2 3 3 3 2" xfId="355" xr:uid="{882380D6-2D12-4632-9597-4F1BE1D64E90}"/>
    <cellStyle name="Normal 2 3 3 4" xfId="169" xr:uid="{C188084E-643F-4759-B24A-8CFAF117AAD7}"/>
    <cellStyle name="Normal 2 3 3 4 2" xfId="401" xr:uid="{AD10784F-9B48-49F4-95A7-309A2685339D}"/>
    <cellStyle name="Normal 2 3 3 5" xfId="212" xr:uid="{7DF95932-60B6-4ABC-8402-D7990B123FE9}"/>
    <cellStyle name="Normal 2 3 3 5 2" xfId="444" xr:uid="{FBEE086B-5E38-4ED9-A99E-5E338DC3B375}"/>
    <cellStyle name="Normal 2 3 3 6" xfId="269" xr:uid="{B56D8D89-AC0D-4076-BA8E-4C44E9740FF3}"/>
    <cellStyle name="Normal 2 3 3 7" xfId="868" xr:uid="{A7AD4824-A28B-411F-87E3-BF068B6459DF}"/>
    <cellStyle name="Normal 2 3 4" xfId="61" xr:uid="{CE27BE5C-E4C9-4361-BA03-D83F92F5777F}"/>
    <cellStyle name="Normal 2 3 4 2" xfId="293" xr:uid="{AC669A62-27A5-4C85-8873-57528E4DF111}"/>
    <cellStyle name="Normal 2 3 4 3" xfId="728" xr:uid="{1727FC17-BDD6-4499-91BB-44C9B45686FD}"/>
    <cellStyle name="Normal 2 3 5" xfId="104" xr:uid="{82105163-FA1B-498B-BFE5-4FE9A5D2BAED}"/>
    <cellStyle name="Normal 2 3 5 2" xfId="336" xr:uid="{940C3B0A-2B63-48C9-AE4B-D1466F5D7BEE}"/>
    <cellStyle name="Normal 2 3 6" xfId="150" xr:uid="{7DB051D2-DCE0-40D2-9DF8-D739055E5CCE}"/>
    <cellStyle name="Normal 2 3 6 2" xfId="382" xr:uid="{D8BD58CE-EF79-411A-B8B3-8D69A0F1FFD3}"/>
    <cellStyle name="Normal 2 3 7" xfId="193" xr:uid="{F7AB1CF4-BBB0-4D05-8B07-0315B1C03D97}"/>
    <cellStyle name="Normal 2 3 7 2" xfId="231" xr:uid="{B51B0CB2-EC5A-4D44-A9FB-650AE8F1BC27}"/>
    <cellStyle name="Normal 2 3 7 3" xfId="425" xr:uid="{1AF3C8C9-3EF5-4C36-8868-5D298D542782}"/>
    <cellStyle name="Normal 2 3 8" xfId="250" xr:uid="{D62C5F02-1075-41FB-A5FB-309BD42AB997}"/>
    <cellStyle name="Normal 2 3 9" xfId="564" xr:uid="{B5122361-E949-4D64-9C21-5D978E6A6175}"/>
    <cellStyle name="Normal 2 30" xfId="866" xr:uid="{14113E86-DD01-413B-81A2-1AFD31A46A1E}"/>
    <cellStyle name="Normal 2 31" xfId="658" xr:uid="{30157097-5134-40BA-8278-D5B1DBFF7594}"/>
    <cellStyle name="Normal 2 32" xfId="562" xr:uid="{B7C62689-8001-48F2-BBFA-68BB8D51D353}"/>
    <cellStyle name="Normal 2 33" xfId="2018" xr:uid="{27F39780-9DF3-4155-806C-7C82A50EA7A6}"/>
    <cellStyle name="Normal 2 4" xfId="62" xr:uid="{BAD50FB2-EB19-4D42-B7FF-53431737C74F}"/>
    <cellStyle name="Normal 2 4 2" xfId="294" xr:uid="{BFB2D4DF-21CE-40C1-903F-B1EEB6239D26}"/>
    <cellStyle name="Normal 2 4 2 2" xfId="772" xr:uid="{68CB49A1-929B-4F05-AAF8-0493D36DBD9C}"/>
    <cellStyle name="Normal 2 4 3" xfId="904" xr:uid="{54D10486-8D2E-462C-89FF-E8E42F53D061}"/>
    <cellStyle name="Normal 2 4 4" xfId="731" xr:uid="{69BF30D8-2F57-4328-8DC0-BC0D144AA024}"/>
    <cellStyle name="Normal 2 4 5" xfId="631" xr:uid="{279EF455-D0B3-4ECD-8273-C48F655326F9}"/>
    <cellStyle name="Normal 2 5" xfId="105" xr:uid="{69D78D3B-6D2B-40D0-8C41-05A688305CF1}"/>
    <cellStyle name="Normal 2 5 2" xfId="337" xr:uid="{55D12572-9F1E-4843-A626-FE8613020D7D}"/>
    <cellStyle name="Normal 2 5 2 2" xfId="905" xr:uid="{841DBE05-0E73-498C-9D79-6788E06B3932}"/>
    <cellStyle name="Normal 2 5 3" xfId="773" xr:uid="{81B309A6-0984-4019-9730-D8D995E7554F}"/>
    <cellStyle name="Normal 2 5 4" xfId="632" xr:uid="{CD2F3E90-4DA0-4D21-B89F-B3CB55CEF2F7}"/>
    <cellStyle name="Normal 2 6" xfId="151" xr:uid="{35EF169C-3AB0-4744-9E8E-1A70A1A51031}"/>
    <cellStyle name="Normal 2 6 2" xfId="383" xr:uid="{0E804E1C-9795-49D8-8EC0-4A8B03161447}"/>
    <cellStyle name="Normal 2 6 2 2" xfId="906" xr:uid="{8C33D094-A087-485E-93CB-174231B45B91}"/>
    <cellStyle name="Normal 2 6 3" xfId="774" xr:uid="{C8231919-470D-404E-B586-8E65E150AAD1}"/>
    <cellStyle name="Normal 2 6 4" xfId="633" xr:uid="{092AF0AF-F370-41B2-ACEA-2E3459A4D8AD}"/>
    <cellStyle name="Normal 2 7" xfId="194" xr:uid="{B79BBFD5-706E-473A-AF87-93974AB2E89E}"/>
    <cellStyle name="Normal 2 7 2" xfId="426" xr:uid="{BDD2273F-A079-490B-9A43-D5E2D916403B}"/>
    <cellStyle name="Normal 2 7 2 2" xfId="776" xr:uid="{F228188F-C147-4D4F-9AE1-8A83E203C525}"/>
    <cellStyle name="Normal 2 7 3" xfId="907" xr:uid="{05FCF4CC-2653-46F2-BD90-9C60E5016AAC}"/>
    <cellStyle name="Normal 2 7 4" xfId="775" xr:uid="{0CD84A6C-3EDA-49CB-9C42-9ECB0DBB87B5}"/>
    <cellStyle name="Normal 2 7 5" xfId="634" xr:uid="{3B0FC8A2-FC44-45EB-980C-3FC133715D7A}"/>
    <cellStyle name="Normal 2 8" xfId="251" xr:uid="{B2D3FB2B-5A8A-40B1-8FE2-B4449708D5D0}"/>
    <cellStyle name="Normal 2 8 2" xfId="908" xr:uid="{337F96E1-96C4-4CBF-A0B8-B85D87EE71CE}"/>
    <cellStyle name="Normal 2 8 3" xfId="777" xr:uid="{15ED9E03-FF52-45CF-920F-42369C7C938F}"/>
    <cellStyle name="Normal 2 8 4" xfId="635" xr:uid="{AC1E9132-B2D5-4209-8EBA-7F04DBBEEDF1}"/>
    <cellStyle name="Normal 2 9" xfId="636" xr:uid="{0341E26C-5588-469B-B5A0-8019745531A9}"/>
    <cellStyle name="Normal 2 9 2" xfId="909" xr:uid="{0362E985-7B99-4906-8C4F-C086B1A7524C}"/>
    <cellStyle name="Normal 2 9 3" xfId="778" xr:uid="{375A134E-02DD-43FE-9DA9-4CC320D425E3}"/>
    <cellStyle name="Normal 2_Book1" xfId="565" xr:uid="{4BF0B5CF-3F1B-4861-9E80-89A6081A1246}"/>
    <cellStyle name="Normal 20" xfId="566" xr:uid="{B801F930-84C6-4E0D-8940-DA4B861E657E}"/>
    <cellStyle name="Normal 21" xfId="567" xr:uid="{BE93F4BF-B210-4A26-96F9-5895DE6A1C97}"/>
    <cellStyle name="Normal 22" xfId="568" xr:uid="{9F15D1AD-651E-4BC1-A2BA-CEC44F89C8A9}"/>
    <cellStyle name="Normal 23" xfId="569" xr:uid="{0F530A5E-4EF8-442A-B4F7-8A2FCF8A1C33}"/>
    <cellStyle name="Normal 24" xfId="570" xr:uid="{88534D8E-3B22-4822-9281-E025CF1DCED0}"/>
    <cellStyle name="Normal 25" xfId="571" xr:uid="{61898131-48A1-400F-B9EA-CFCFD7DC65F5}"/>
    <cellStyle name="Normal 26" xfId="572" xr:uid="{37270BDD-F06E-4A09-9968-3CCFADC0731C}"/>
    <cellStyle name="Normal 27" xfId="573" xr:uid="{DABFB22E-76F5-477F-BDB2-459C38A03E29}"/>
    <cellStyle name="Normal 28" xfId="574" xr:uid="{CDD4F02A-B9CF-421F-A156-2FDAC052E9AF}"/>
    <cellStyle name="Normal 29" xfId="575" xr:uid="{2A29FA5C-4629-4F38-934F-14E0847087A5}"/>
    <cellStyle name="Normal 3" xfId="4" xr:uid="{4C07805E-3DEE-47CA-A18A-EFFADE73DA26}"/>
    <cellStyle name="Normal 3 10" xfId="576" xr:uid="{1BAA37FD-4C8E-4CC1-82D3-26549B9C6B27}"/>
    <cellStyle name="Normal 3 2" xfId="467" xr:uid="{EC9540EC-BE2D-4235-9D74-02EA466B110B}"/>
    <cellStyle name="Normal 3 2 2" xfId="779" xr:uid="{88552F97-24A8-4077-A405-F8C3C9AB2F24}"/>
    <cellStyle name="Normal 3 2 3" xfId="870" xr:uid="{DDBEEDDF-C3F6-4754-A309-D2C533DEED8B}"/>
    <cellStyle name="Normal 3 2 4" xfId="703" xr:uid="{CE9052BD-A1BF-472C-8C13-84390D281A0B}"/>
    <cellStyle name="Normal 3 2 5" xfId="577" xr:uid="{68612B28-0C25-4FDA-BEA4-AA320FA1CEB0}"/>
    <cellStyle name="Normal 3 3" xfId="780" xr:uid="{06EEC471-F5CC-4463-BBFD-BCA924E5F2BC}"/>
    <cellStyle name="Normal 3 4" xfId="781" xr:uid="{931445BF-A7B5-40A6-AD96-4525DA7C00CB}"/>
    <cellStyle name="Normal 3 5" xfId="782" xr:uid="{A94F6AB9-0200-46FC-9EFA-7A15839B55B8}"/>
    <cellStyle name="Normal 3 6" xfId="783" xr:uid="{0A9E3450-4BFB-4DD4-B630-AB41D1748A37}"/>
    <cellStyle name="Normal 3 7" xfId="784" xr:uid="{71700E32-E9C6-42D0-9FA1-80BFC737356E}"/>
    <cellStyle name="Normal 3 7 2" xfId="2032" xr:uid="{2A3F3138-9552-4052-9357-2ED0ED8C0585}"/>
    <cellStyle name="Normal 3 8" xfId="869" xr:uid="{4EBB05FF-14F8-468A-8A69-AC4D7ECBD332}"/>
    <cellStyle name="Normal 3 9" xfId="702" xr:uid="{BB727DFB-D0D3-4340-A4AF-F276F9452540}"/>
    <cellStyle name="Normal 30" xfId="578" xr:uid="{F5189E09-57F6-4EE0-A96D-A60C6DB6E921}"/>
    <cellStyle name="Normal 31" xfId="579" xr:uid="{E5926276-EF8B-476B-A4C4-9D342A15A6A6}"/>
    <cellStyle name="Normal 32" xfId="580" xr:uid="{15C717CA-BB02-4B6E-86F3-BA536082054D}"/>
    <cellStyle name="Normal 33" xfId="581" xr:uid="{0BF696A0-0C33-4341-A99D-A90C3257CB36}"/>
    <cellStyle name="Normal 34" xfId="582" xr:uid="{87BCB27F-8AF4-4F5B-B3EE-56032E6B0BB4}"/>
    <cellStyle name="Normal 35" xfId="583" xr:uid="{B2BA6A91-4230-4DD5-844B-35B798B55F54}"/>
    <cellStyle name="Normal 36" xfId="584" xr:uid="{44DFFD86-8CED-4000-8548-29F8197D9CC5}"/>
    <cellStyle name="Normal 37" xfId="585" xr:uid="{54C3BD5F-C774-451A-B610-AB4C4BA89146}"/>
    <cellStyle name="Normal 38" xfId="586" xr:uid="{81842F6C-1E3D-4B80-989A-FE3F471B7B76}"/>
    <cellStyle name="Normal 39" xfId="587" xr:uid="{D95F7382-4D6D-4362-A268-A34D8E3B8C15}"/>
    <cellStyle name="Normal 4" xfId="22" xr:uid="{98ED0BE6-C8F4-4AFE-89E4-6249B07A1795}"/>
    <cellStyle name="Normal 4 2" xfId="16" xr:uid="{F5A2050F-9AE7-4E90-BF96-E91A4DEB55F6}"/>
    <cellStyle name="Normal 4 2 2" xfId="25" xr:uid="{41B4945B-AB18-4AAE-8DA2-D34574C866E7}"/>
    <cellStyle name="Normal 4 2 2 2" xfId="68" xr:uid="{0BA4014C-ED68-4F95-BF6B-0B8AB5D2681F}"/>
    <cellStyle name="Normal 4 2 2 2 2" xfId="300" xr:uid="{36598EC7-9B3F-43DE-914A-1C230B5B8E9C}"/>
    <cellStyle name="Normal 4 2 2 3" xfId="111" xr:uid="{BE97BFD6-248C-47C8-BAC7-61E03189F2EE}"/>
    <cellStyle name="Normal 4 2 2 3 2" xfId="343" xr:uid="{8724183B-A658-4710-92EF-45FC77BF07C6}"/>
    <cellStyle name="Normal 4 2 2 4" xfId="157" xr:uid="{67187AEC-3A2E-49F2-B202-29CD30FE57A0}"/>
    <cellStyle name="Normal 4 2 2 4 2" xfId="389" xr:uid="{3756B80D-C9C1-40F9-A05A-DA147188E28A}"/>
    <cellStyle name="Normal 4 2 2 5" xfId="200" xr:uid="{A880E89A-E255-4AC2-B8DA-7FFA6D7A3319}"/>
    <cellStyle name="Normal 4 2 2 5 2" xfId="432" xr:uid="{18A821F0-8FAD-4709-A78E-BD7DF6A92ADD}"/>
    <cellStyle name="Normal 4 2 2 6" xfId="257" xr:uid="{9A8EC080-665A-4EC1-8E6B-4B9C6D0A4AC9}"/>
    <cellStyle name="Normal 4 2 2 7" xfId="872" xr:uid="{2F1C8D2F-5222-4547-A5C9-87566C4E5ED5}"/>
    <cellStyle name="Normal 4 2 3" xfId="36" xr:uid="{8557A57E-D925-4CF4-984C-3B347736796E}"/>
    <cellStyle name="Normal 4 2 3 2" xfId="79" xr:uid="{CF7C7B42-FA31-4EF0-A12D-7A73104AC9B3}"/>
    <cellStyle name="Normal 4 2 3 2 2" xfId="311" xr:uid="{F494B313-5946-4835-91DE-1C043EA54DC9}"/>
    <cellStyle name="Normal 4 2 3 3" xfId="122" xr:uid="{9115D313-E7A7-492B-B089-65B31BA81D1E}"/>
    <cellStyle name="Normal 4 2 3 3 2" xfId="354" xr:uid="{0EF848A8-22CB-455D-9BB3-EBBD27C3283B}"/>
    <cellStyle name="Normal 4 2 3 4" xfId="168" xr:uid="{677044A2-984F-40A4-BC01-153298728C54}"/>
    <cellStyle name="Normal 4 2 3 4 2" xfId="400" xr:uid="{24780094-73C3-45FE-AA6D-C067FA00FBB3}"/>
    <cellStyle name="Normal 4 2 3 5" xfId="211" xr:uid="{DDB4764B-A3FA-4F0C-918E-13401674A0A1}"/>
    <cellStyle name="Normal 4 2 3 5 2" xfId="443" xr:uid="{63E31BF0-88FB-4C67-92A0-10BF49BCF008}"/>
    <cellStyle name="Normal 4 2 3 6" xfId="268" xr:uid="{D5F5B6A3-0E09-4A42-BD51-3AFBADAF179A}"/>
    <cellStyle name="Normal 4 2 3 7" xfId="785" xr:uid="{8EB44B06-F2E9-49A7-AC9D-3EAA908B2F1C}"/>
    <cellStyle name="Normal 4 2 4" xfId="60" xr:uid="{FCB3C5A6-BAB0-4FCA-82E4-F9B8E399D99B}"/>
    <cellStyle name="Normal 4 2 4 2" xfId="292" xr:uid="{64DFBD8A-AE84-45DC-992D-4711FE4B396E}"/>
    <cellStyle name="Normal 4 2 5" xfId="103" xr:uid="{61CBE4D1-8858-47BD-B79F-933E279D2271}"/>
    <cellStyle name="Normal 4 2 5 2" xfId="335" xr:uid="{B6B05E2D-DEB9-4291-936D-43EDF9A4B501}"/>
    <cellStyle name="Normal 4 2 6" xfId="149" xr:uid="{C4A05A95-AAE2-40D7-BC09-2EA3328F4D85}"/>
    <cellStyle name="Normal 4 2 6 2" xfId="381" xr:uid="{FBFFDCD1-7048-49ED-83C7-A3E5D193EF27}"/>
    <cellStyle name="Normal 4 2 7" xfId="192" xr:uid="{6AD7E042-696B-427E-BE3F-732CAC8FB7DB}"/>
    <cellStyle name="Normal 4 2 7 2" xfId="424" xr:uid="{50388B19-F4DA-4F50-B7FD-5068443D9BD5}"/>
    <cellStyle name="Normal 4 2 8" xfId="249" xr:uid="{2CD0AA9F-EECC-4ADE-8798-969ED7428E01}"/>
    <cellStyle name="Normal 4 2 9" xfId="589" xr:uid="{070EA9DF-64E4-46D2-81B9-6002D7504896}"/>
    <cellStyle name="Normal 4 3" xfId="65" xr:uid="{26FEE55A-86EE-481A-9A95-C2007532707B}"/>
    <cellStyle name="Normal 4 3 2" xfId="297" xr:uid="{8CAC213E-3289-4BF0-995E-259E1C6B808B}"/>
    <cellStyle name="Normal 4 4" xfId="108" xr:uid="{6201AFA0-AEAF-45EA-9068-53246C011679}"/>
    <cellStyle name="Normal 4 4 2" xfId="340" xr:uid="{84AF18B0-D72B-4550-AAD4-9E044CFCE8B0}"/>
    <cellStyle name="Normal 4 4 3" xfId="871" xr:uid="{3A1D2E82-BEFD-451E-B475-F4B4F218D343}"/>
    <cellStyle name="Normal 4 5" xfId="154" xr:uid="{86D60355-699D-4D54-9080-A85BC18709D6}"/>
    <cellStyle name="Normal 4 5 2" xfId="386" xr:uid="{1608A8D3-7520-489D-A0C9-580C81C6BE0E}"/>
    <cellStyle name="Normal 4 6" xfId="197" xr:uid="{9711650D-28AF-4CA2-A84F-7ED3384D7B1F}"/>
    <cellStyle name="Normal 4 6 2" xfId="429" xr:uid="{289E2224-9D1D-46AF-837E-B118B80C3EB6}"/>
    <cellStyle name="Normal 4 7" xfId="254" xr:uid="{E79FFCFD-1975-4983-B8A0-CF34D553269C}"/>
    <cellStyle name="Normal 4 8" xfId="471" xr:uid="{9FA7BE58-41ED-4CFC-AA5C-2F2833128B11}"/>
    <cellStyle name="Normal 4 9" xfId="588" xr:uid="{DD520CAD-6BF1-4858-86F8-54F7660D797F}"/>
    <cellStyle name="Normal 40" xfId="608" xr:uid="{DCE2DA59-E1A2-42AF-8DCA-DF70149A861A}"/>
    <cellStyle name="Normal 41" xfId="615" xr:uid="{D8FB6513-2C37-4BB2-A9B8-81B2D635E84A}"/>
    <cellStyle name="Normal 41 2" xfId="656" xr:uid="{AEAECC3C-1E8C-47B7-B97A-8D01AD0C6218}"/>
    <cellStyle name="Normal 42" xfId="931" xr:uid="{7FCC3322-3985-4574-9149-CBD060BE2625}"/>
    <cellStyle name="Normal 43" xfId="657" xr:uid="{696FC449-FDC2-43CD-84D9-961096E21DD0}"/>
    <cellStyle name="Normal 44" xfId="659" xr:uid="{118C9328-1F9F-4E3C-BF56-B6F66F0700F7}"/>
    <cellStyle name="Normal 45" xfId="2015" xr:uid="{05A2DEED-EF23-4363-9D7F-543CDC14C31C}"/>
    <cellStyle name="Normal 46" xfId="5" xr:uid="{E5C96B34-94A5-4A10-8752-BF3CAA859836}"/>
    <cellStyle name="Normal 46 2" xfId="11" xr:uid="{2F472C94-F2F0-447A-B226-FE103394B6F0}"/>
    <cellStyle name="Normal 46 2 2" xfId="31" xr:uid="{35F0B00C-5D79-4C49-BBA6-8582F9FF6D8A}"/>
    <cellStyle name="Normal 46 2 2 2" xfId="74" xr:uid="{6526631A-5AF4-4EAE-B4E5-6B44D01C4258}"/>
    <cellStyle name="Normal 46 2 2 2 2" xfId="306" xr:uid="{0DED9F78-5333-4C45-B388-8FBB734F483C}"/>
    <cellStyle name="Normal 46 2 2 3" xfId="117" xr:uid="{A8DD1A30-5924-4ED9-A95C-25DE6294B6E6}"/>
    <cellStyle name="Normal 46 2 2 3 2" xfId="349" xr:uid="{C5BC80E1-6C41-4082-AC46-5100B655E913}"/>
    <cellStyle name="Normal 46 2 2 4" xfId="163" xr:uid="{BB2CD32D-23BB-4C4F-B83D-F15259B1C166}"/>
    <cellStyle name="Normal 46 2 2 4 2" xfId="395" xr:uid="{DB001B1C-B295-45B7-95EF-17B9E4E14EC3}"/>
    <cellStyle name="Normal 46 2 2 5" xfId="206" xr:uid="{A5AA9F77-4C59-406A-BCEB-4877AE7C34B5}"/>
    <cellStyle name="Normal 46 2 2 5 2" xfId="438" xr:uid="{E3344294-49B3-472E-8136-230D4AE6E923}"/>
    <cellStyle name="Normal 46 2 2 6" xfId="263" xr:uid="{00051FBD-2CC2-459E-98AD-B784A7C92A70}"/>
    <cellStyle name="Normal 46 2 3" xfId="55" xr:uid="{554E6E8E-E81C-48B9-B40A-87535F576CF6}"/>
    <cellStyle name="Normal 46 2 3 2" xfId="287" xr:uid="{792C709B-086E-4F26-9B52-B95C29C9BB4A}"/>
    <cellStyle name="Normal 46 2 4" xfId="98" xr:uid="{E330C88F-F38B-4AA5-B502-55BE77821957}"/>
    <cellStyle name="Normal 46 2 4 2" xfId="330" xr:uid="{C17BDF04-413A-4598-8AD3-629EAD0B37B2}"/>
    <cellStyle name="Normal 46 2 5" xfId="144" xr:uid="{BB42C756-FF09-4BE0-802F-E354BEF19A60}"/>
    <cellStyle name="Normal 46 2 5 2" xfId="376" xr:uid="{B9080942-DD9B-4D97-9D3B-F1158D2A6F16}"/>
    <cellStyle name="Normal 46 2 6" xfId="187" xr:uid="{599526F7-C7CA-41CB-963C-50732C7F8A14}"/>
    <cellStyle name="Normal 46 2 6 2" xfId="419" xr:uid="{2629186A-D5D3-4693-8C11-E653EF510F74}"/>
    <cellStyle name="Normal 46 2 7" xfId="244" xr:uid="{5D8DCE34-23B2-489E-AF0E-F22CFB1A7A83}"/>
    <cellStyle name="Normal 46 3" xfId="28" xr:uid="{CB73AB02-25B3-4151-BCFE-C4165DB0567D}"/>
    <cellStyle name="Normal 46 3 2" xfId="71" xr:uid="{4F48CC7B-B9DB-41A8-9AA0-6CF3170A943A}"/>
    <cellStyle name="Normal 46 3 2 2" xfId="303" xr:uid="{A21E4E7D-05BE-45EB-971B-703343B17FAF}"/>
    <cellStyle name="Normal 46 3 3" xfId="114" xr:uid="{0FCF0E62-8525-47E9-82EE-3D1C0FF53981}"/>
    <cellStyle name="Normal 46 3 3 2" xfId="346" xr:uid="{6607C3C0-22E1-4105-8846-EEB5BEF3CB3B}"/>
    <cellStyle name="Normal 46 3 4" xfId="160" xr:uid="{B5B930F8-7789-4A76-9172-116C459009AC}"/>
    <cellStyle name="Normal 46 3 4 2" xfId="392" xr:uid="{A8653CF0-44FD-41CB-BB03-64C00B033AA7}"/>
    <cellStyle name="Normal 46 3 5" xfId="203" xr:uid="{EE7D0F25-72C6-46A3-8F1E-5D617512BC30}"/>
    <cellStyle name="Normal 46 3 5 2" xfId="435" xr:uid="{DCA8D2C1-01A0-41EF-8CCD-400AC2A20D62}"/>
    <cellStyle name="Normal 46 3 6" xfId="260" xr:uid="{5A1B4DF7-C356-438B-BD18-5C80D1DB07D4}"/>
    <cellStyle name="Normal 46 4" xfId="52" xr:uid="{923766D5-9C23-4D9D-9F2A-24F155EB794E}"/>
    <cellStyle name="Normal 46 4 2" xfId="284" xr:uid="{B56B7C67-7F9B-4215-86D8-93B032D36562}"/>
    <cellStyle name="Normal 46 5" xfId="95" xr:uid="{AE25CE21-8327-414E-8521-4F8702093E90}"/>
    <cellStyle name="Normal 46 5 2" xfId="327" xr:uid="{C190485F-6DF9-45C8-85E0-CDA6E43B964A}"/>
    <cellStyle name="Normal 46 6" xfId="141" xr:uid="{E981DAF7-7084-4C7A-B4D1-43BCA12D2145}"/>
    <cellStyle name="Normal 46 6 2" xfId="373" xr:uid="{DFC81D3E-AE01-430D-BCB5-2B099D71F24E}"/>
    <cellStyle name="Normal 46 7" xfId="184" xr:uid="{2CC2BD79-C96E-4078-BD2A-3E79EB502A76}"/>
    <cellStyle name="Normal 46 7 2" xfId="416" xr:uid="{31F739DE-BB56-4F13-AA47-4B7826D2A398}"/>
    <cellStyle name="Normal 46 8" xfId="241" xr:uid="{8955B751-8A26-4181-B590-A50958DCE791}"/>
    <cellStyle name="Normal 47" xfId="8" xr:uid="{B90DE770-C973-4611-8DD7-7E7236FAD0D9}"/>
    <cellStyle name="Normal 47 2" xfId="14" xr:uid="{3CAC1894-CD6D-458A-B57C-FA25D22FA1D4}"/>
    <cellStyle name="Normal 47 2 2" xfId="34" xr:uid="{F0DC1473-073B-4BF4-8C61-4A96A258D339}"/>
    <cellStyle name="Normal 47 2 2 2" xfId="77" xr:uid="{D87134DA-F524-4C8A-8098-9EE518B5E533}"/>
    <cellStyle name="Normal 47 2 2 2 2" xfId="309" xr:uid="{2F15F194-8B85-4FFF-815F-15977C36D807}"/>
    <cellStyle name="Normal 47 2 2 3" xfId="120" xr:uid="{2B5A82B4-94C5-4039-A96B-4653D380F86B}"/>
    <cellStyle name="Normal 47 2 2 3 2" xfId="352" xr:uid="{7F8CFC62-DF1F-4492-B6D1-0EA33C0CBFDC}"/>
    <cellStyle name="Normal 47 2 2 4" xfId="166" xr:uid="{25FA0B14-2E51-48C0-A64E-B632DD7ED8C8}"/>
    <cellStyle name="Normal 47 2 2 4 2" xfId="398" xr:uid="{5508D52A-ADEC-4B27-9744-652D761F6A83}"/>
    <cellStyle name="Normal 47 2 2 5" xfId="209" xr:uid="{FAE1555F-82E0-4FF9-8C64-1AE98B9DDF3A}"/>
    <cellStyle name="Normal 47 2 2 5 2" xfId="441" xr:uid="{366E06C1-328A-425C-A055-0E8B8CEED929}"/>
    <cellStyle name="Normal 47 2 2 6" xfId="266" xr:uid="{43B5B091-4E1C-41D2-994E-7F8D924C34AD}"/>
    <cellStyle name="Normal 47 2 3" xfId="58" xr:uid="{952DBB61-49A8-405C-AF9D-7A9A44FA468D}"/>
    <cellStyle name="Normal 47 2 3 2" xfId="290" xr:uid="{92B5241E-6DF4-4EFC-98F0-A71E5E085106}"/>
    <cellStyle name="Normal 47 2 4" xfId="101" xr:uid="{948C48D7-E420-4D3D-886F-32028D8C23E1}"/>
    <cellStyle name="Normal 47 2 4 2" xfId="333" xr:uid="{0F3A5290-83E5-4AC4-B28E-84860533D744}"/>
    <cellStyle name="Normal 47 2 5" xfId="147" xr:uid="{1E4892F0-0C93-41EF-B640-C7D26C62DD8C}"/>
    <cellStyle name="Normal 47 2 5 2" xfId="379" xr:uid="{EF7CF18A-1E79-4B9C-A8A2-072F56146DAE}"/>
    <cellStyle name="Normal 47 2 6" xfId="190" xr:uid="{CF01AA2A-53D1-4930-8E8E-7AF0481AE4C4}"/>
    <cellStyle name="Normal 47 2 6 2" xfId="422" xr:uid="{8C613BCB-A9D0-4732-8816-64068AF56746}"/>
    <cellStyle name="Normal 47 2 7" xfId="247" xr:uid="{F23A2B47-9C66-4921-B420-AAE3F115FBE3}"/>
    <cellStyle name="Normal 47 3" xfId="30" xr:uid="{4B6E5BBB-F619-433C-A815-A077B05C1B40}"/>
    <cellStyle name="Normal 47 3 2" xfId="73" xr:uid="{4DB5EE4A-4C06-4826-B60D-728B8D49EA5F}"/>
    <cellStyle name="Normal 47 3 2 2" xfId="305" xr:uid="{33B42E81-13DD-4B3E-BA5A-3F2ABAE9F1CF}"/>
    <cellStyle name="Normal 47 3 3" xfId="116" xr:uid="{48371D2D-7001-493F-9DB9-097EA7531CFD}"/>
    <cellStyle name="Normal 47 3 3 2" xfId="348" xr:uid="{C1F2E616-C360-41E4-8FE3-B21A938971B5}"/>
    <cellStyle name="Normal 47 3 4" xfId="162" xr:uid="{82F4217A-24BD-431E-A41F-AD25C78CA0B2}"/>
    <cellStyle name="Normal 47 3 4 2" xfId="394" xr:uid="{54933EBF-CFB3-44D3-BD63-97F7B15919E1}"/>
    <cellStyle name="Normal 47 3 5" xfId="205" xr:uid="{3685ABB5-6689-40CE-BC36-752B5671C4AE}"/>
    <cellStyle name="Normal 47 3 5 2" xfId="437" xr:uid="{3695A75A-CB7E-49FD-98CB-D88ACD9B936F}"/>
    <cellStyle name="Normal 47 3 6" xfId="262" xr:uid="{BA015515-1382-458B-A96F-C5261D724E34}"/>
    <cellStyle name="Normal 47 4" xfId="54" xr:uid="{948CBB8A-0C53-48C2-8228-71B6571EA83F}"/>
    <cellStyle name="Normal 47 4 2" xfId="286" xr:uid="{5CB17CC3-F55A-49B4-A2F7-F7599232DD4D}"/>
    <cellStyle name="Normal 47 5" xfId="97" xr:uid="{EB136A28-5055-4355-98F9-F88320B44D8C}"/>
    <cellStyle name="Normal 47 5 2" xfId="329" xr:uid="{B756FD77-698D-49BA-BB62-28FFDC83AF68}"/>
    <cellStyle name="Normal 47 6" xfId="143" xr:uid="{9A348975-F7C3-4A30-9CBC-CD8B5D715B5B}"/>
    <cellStyle name="Normal 47 6 2" xfId="375" xr:uid="{5D025A85-B9A3-45D0-8082-AED8C1520917}"/>
    <cellStyle name="Normal 47 7" xfId="186" xr:uid="{687B95CC-C1BB-4574-B936-868B5209691B}"/>
    <cellStyle name="Normal 47 7 2" xfId="418" xr:uid="{4B6F350C-8CE6-4316-8695-D73D397F3620}"/>
    <cellStyle name="Normal 47 8" xfId="243" xr:uid="{212D64F0-84B1-45FC-8EAA-6A9DB0941BB1}"/>
    <cellStyle name="Normal 48" xfId="2042" xr:uid="{EAB9E03E-7273-4027-901F-0C672AF2961D}"/>
    <cellStyle name="Normal 49" xfId="2043" xr:uid="{32197824-4E78-4545-9ABD-7518F95AF948}"/>
    <cellStyle name="Normal 5" xfId="41" xr:uid="{470B5CFA-8294-48DD-AD90-7D0C0E3511D0}"/>
    <cellStyle name="Normal 5 2" xfId="84" xr:uid="{4632A73F-9A9B-42F1-9915-0A6EB7EB5A49}"/>
    <cellStyle name="Normal 5 2 2" xfId="316" xr:uid="{7305720B-4CFC-4A6B-8B39-11C362EC092C}"/>
    <cellStyle name="Normal 5 2 3" xfId="873" xr:uid="{5DF1C2AD-E886-4650-9500-DD30B0B0A9F1}"/>
    <cellStyle name="Normal 5 3" xfId="127" xr:uid="{21E4567F-5125-4DFA-828A-567FDE25596B}"/>
    <cellStyle name="Normal 5 3 2" xfId="359" xr:uid="{996480D6-250A-4A6E-8EFF-E1898A3A7245}"/>
    <cellStyle name="Normal 5 3 3" xfId="722" xr:uid="{659EB41D-0609-42E6-8A1D-2A25ACAF0381}"/>
    <cellStyle name="Normal 5 4" xfId="173" xr:uid="{11983222-8A73-462F-BBF8-0E995199FCB1}"/>
    <cellStyle name="Normal 5 4 2" xfId="405" xr:uid="{BBAE795A-5878-4918-9C4E-BFDDE11A8E21}"/>
    <cellStyle name="Normal 5 5" xfId="216" xr:uid="{3C07BF05-FA7A-4009-9963-5B37926B0CDF}"/>
    <cellStyle name="Normal 5 5 2" xfId="448" xr:uid="{CD376008-2106-43ED-A7A2-17997DFCC201}"/>
    <cellStyle name="Normal 5 6" xfId="273" xr:uid="{86A4FB93-7E87-471B-A79B-7734C85039CA}"/>
    <cellStyle name="Normal 5 7" xfId="590" xr:uid="{7B361D33-51F3-48B3-A69F-67F1CCCE7451}"/>
    <cellStyle name="Normal 6" xfId="42" xr:uid="{4EA1D9AB-F2FA-490D-A44D-049300704638}"/>
    <cellStyle name="Normal 6 2" xfId="85" xr:uid="{6E6B9AAA-F0E3-43CB-8647-CCBDB013C58F}"/>
    <cellStyle name="Normal 6 2 2" xfId="317" xr:uid="{22EE17C9-926F-4715-B585-F5C050340859}"/>
    <cellStyle name="Normal 6 2 3" xfId="874" xr:uid="{9201837F-631D-451E-B71A-0ACC154EEAB8}"/>
    <cellStyle name="Normal 6 3" xfId="128" xr:uid="{1465B654-105E-4CCC-805B-6476E87878D1}"/>
    <cellStyle name="Normal 6 3 2" xfId="360" xr:uid="{88D423B8-DD9A-4109-804D-D2509D67B01A}"/>
    <cellStyle name="Normal 6 3 3" xfId="723" xr:uid="{7F2E1B5B-B0B1-4AFE-8F96-8BE2F7B34053}"/>
    <cellStyle name="Normal 6 4" xfId="174" xr:uid="{4CEC2797-2186-48A3-AD03-547AF23120CD}"/>
    <cellStyle name="Normal 6 4 2" xfId="406" xr:uid="{F578C1B3-2252-426A-B776-A4D606942223}"/>
    <cellStyle name="Normal 6 5" xfId="217" xr:uid="{10BBCA81-8437-4429-9E38-FDAF20AA39E1}"/>
    <cellStyle name="Normal 6 5 2" xfId="449" xr:uid="{394488C2-9D49-4584-9CF3-8A508D1DEB37}"/>
    <cellStyle name="Normal 6 6" xfId="274" xr:uid="{D8354000-FF9B-4A02-8BCE-209ADC93428B}"/>
    <cellStyle name="Normal 6 7" xfId="591" xr:uid="{175D5811-B39F-43DC-A589-CC05601F00DC}"/>
    <cellStyle name="Normal 7" xfId="45" xr:uid="{D5955FC7-DF04-4811-8FEE-577E45A2CB12}"/>
    <cellStyle name="Normal 7 2" xfId="88" xr:uid="{5646EE89-05FC-40C2-B408-D5B5B92A3089}"/>
    <cellStyle name="Normal 7 2 2" xfId="320" xr:uid="{78229C24-9786-4540-85AB-76AB6C0FE016}"/>
    <cellStyle name="Normal 7 2 3" xfId="875" xr:uid="{47CAAED5-1CBB-46FA-91B3-3C09FB8B0725}"/>
    <cellStyle name="Normal 7 3" xfId="131" xr:uid="{6D046776-7C9A-44D3-8C39-22F078013C1E}"/>
    <cellStyle name="Normal 7 3 2" xfId="363" xr:uid="{546CB733-CB58-4565-B9F3-26AF60ADBE3F}"/>
    <cellStyle name="Normal 7 3 3" xfId="786" xr:uid="{2B3121CE-C03E-486F-8F78-49994FC8E626}"/>
    <cellStyle name="Normal 7 4" xfId="177" xr:uid="{FBDABE20-4D1F-4561-8B3C-933E68FDA698}"/>
    <cellStyle name="Normal 7 4 2" xfId="409" xr:uid="{65548032-0877-41E2-829A-0D15BCB330BB}"/>
    <cellStyle name="Normal 7 5" xfId="220" xr:uid="{1F36674E-8689-4CE6-959B-0AC82032A98C}"/>
    <cellStyle name="Normal 7 5 2" xfId="452" xr:uid="{B56E6F18-0A68-4D4F-AB7A-113C5CE10E2E}"/>
    <cellStyle name="Normal 7 6" xfId="277" xr:uid="{357A4AA3-2DEA-4874-BB5C-46BBFF1F0787}"/>
    <cellStyle name="Normal 7 7" xfId="592" xr:uid="{45CA49E1-604C-4AD1-9821-37A74368AC76}"/>
    <cellStyle name="Normal 8" xfId="49" xr:uid="{B997D449-097D-47B8-AB0E-C5F48F7E6645}"/>
    <cellStyle name="Normal 8 2" xfId="92" xr:uid="{A2A4B08C-306F-4C20-B754-7877E24C003B}"/>
    <cellStyle name="Normal 8 2 2" xfId="324" xr:uid="{08244DDB-CF66-4AB2-B497-FE8E9EE9BE13}"/>
    <cellStyle name="Normal 8 2 3" xfId="594" xr:uid="{F686A207-7A4B-4152-8615-688BC5CF86AF}"/>
    <cellStyle name="Normal 8 3" xfId="135" xr:uid="{BD5DD9F8-7D60-4BEF-BF73-437E8CFA24CD}"/>
    <cellStyle name="Normal 8 3 2" xfId="367" xr:uid="{F4FF2D7E-4B06-4F7C-8DFD-781E87445C44}"/>
    <cellStyle name="Normal 8 3 3" xfId="876" xr:uid="{089C26D2-9F8C-48B6-978A-665EF05BB1B2}"/>
    <cellStyle name="Normal 8 4" xfId="181" xr:uid="{1A2D8C28-7E8B-4A09-815E-0C450F62561C}"/>
    <cellStyle name="Normal 8 4 2" xfId="413" xr:uid="{A395203E-2CA0-4F54-8F30-D67A9DCD2B91}"/>
    <cellStyle name="Normal 8 4 3" xfId="787" xr:uid="{AB7A9D96-6AD6-4F28-A5FC-343800CCF489}"/>
    <cellStyle name="Normal 8 5" xfId="224" xr:uid="{994828C7-36F8-4EA7-837C-5BB398DC7837}"/>
    <cellStyle name="Normal 8 5 2" xfId="456" xr:uid="{C5D9678C-D9BA-4415-BDEF-B09A5ECD7F59}"/>
    <cellStyle name="Normal 8 6" xfId="281" xr:uid="{0708F842-099C-43B2-B084-90BD4D37291E}"/>
    <cellStyle name="Normal 8 7" xfId="593" xr:uid="{FBD7C66A-803C-4ED5-B39F-53C089E7A429}"/>
    <cellStyle name="Normal 9" xfId="138" xr:uid="{831AD394-4FDD-482F-BBF5-E11B609ECE8E}"/>
    <cellStyle name="Normal 9 2" xfId="370" xr:uid="{07C5C051-2D3F-4BA6-8F8D-A6DDCAECB4EC}"/>
    <cellStyle name="Normal 9 2 2" xfId="877" xr:uid="{007F7D37-E911-4EA5-A93F-1C88341C7740}"/>
    <cellStyle name="Normal 9 3" xfId="788" xr:uid="{3211B6B6-8EFF-44AB-9DB2-476536477BDB}"/>
    <cellStyle name="Normal 9 4" xfId="595" xr:uid="{26409B13-2ED7-4198-B242-1EB23A30C3BB}"/>
    <cellStyle name="Note 2" xfId="596" xr:uid="{F6438C67-C345-4846-A35A-BA32BD28E10C}"/>
    <cellStyle name="Note 2 2" xfId="705" xr:uid="{44514D7D-631B-432F-9E06-523AF9A74298}"/>
    <cellStyle name="Note 2 2 2" xfId="987" xr:uid="{DE1E7D48-169D-4C79-82DE-C857B9442717}"/>
    <cellStyle name="Note 2 3" xfId="878" xr:uid="{16429FF2-A9F3-430B-A8C8-92301DCAA663}"/>
    <cellStyle name="Note 2 3 2" xfId="1050" xr:uid="{3992A753-7B2B-491A-BC23-1DA104D8B8E7}"/>
    <cellStyle name="Note 2 4" xfId="704" xr:uid="{8DA94E24-1489-48F4-B769-EB297731656E}"/>
    <cellStyle name="Note 2 4 2" xfId="986" xr:uid="{52FDFF35-CEBC-4327-9CBD-606CDB1A8722}"/>
    <cellStyle name="Note 2 5" xfId="955" xr:uid="{F46A73C0-CA4B-4CA8-A21E-C7227FC8837E}"/>
    <cellStyle name="Output 2" xfId="597" xr:uid="{21F08CA8-DDA2-4DC8-BC01-9B4A3B17729B}"/>
    <cellStyle name="Output 2 2" xfId="879" xr:uid="{DF526748-284E-4A5D-B5B0-ABA60D251E5E}"/>
    <cellStyle name="Output 2 2 2" xfId="1194" xr:uid="{2A055ECF-5854-4FB6-A416-011BA3F3BAB4}"/>
    <cellStyle name="Output 2 2 3" xfId="1051" xr:uid="{A144934B-A70A-48FD-AE1E-BE15CCDE9E92}"/>
    <cellStyle name="Output 2 3" xfId="706" xr:uid="{D881E782-1088-4DB1-97A5-43B18A485987}"/>
    <cellStyle name="Output 2 4" xfId="1102" xr:uid="{77617B63-3E26-4D5D-9273-CE975028FEA9}"/>
    <cellStyle name="Output 2 5" xfId="956" xr:uid="{1F3E2D04-70E5-43D0-917C-7B4D75E3785A}"/>
    <cellStyle name="Percent" xfId="2014" builtinId="5"/>
    <cellStyle name="Percent 10" xfId="3" xr:uid="{404B72EC-DDE4-4FA3-AB8F-44D2DA50002D}"/>
    <cellStyle name="Percent 2" xfId="21" xr:uid="{A73A09F9-C2A2-4155-B997-B003A77C5CA9}"/>
    <cellStyle name="Percent 2 2" xfId="27" xr:uid="{C66A39F9-9DD7-47A9-A9D1-F9E458FC4773}"/>
    <cellStyle name="Percent 2 2 2" xfId="70" xr:uid="{DFFD32FC-FFFF-461B-B86C-32AE701529D0}"/>
    <cellStyle name="Percent 2 2 2 2" xfId="302" xr:uid="{6B8AEC6D-1E56-4A6C-94BB-BADD33F44612}"/>
    <cellStyle name="Percent 2 2 2 2 2" xfId="789" xr:uid="{2D8BDAC0-8EC6-49A3-BCA5-0C1BA51B01DD}"/>
    <cellStyle name="Percent 2 2 2 2 3" xfId="735" xr:uid="{F145E873-C511-46CD-891C-8C356A4A1894}"/>
    <cellStyle name="Percent 2 2 2 3" xfId="724" xr:uid="{1CDEB8BC-A5B2-4F0C-BB04-0EEB9D523854}"/>
    <cellStyle name="Percent 2 2 3" xfId="9" xr:uid="{0338AF24-612D-42E6-967C-AC65E47508E5}"/>
    <cellStyle name="Percent 2 2 4" xfId="113" xr:uid="{2A36C908-1264-41B3-81B1-19E9E892013A}"/>
    <cellStyle name="Percent 2 2 4 2" xfId="345" xr:uid="{5F5CD321-A213-44B2-9017-02F3713EADB1}"/>
    <cellStyle name="Percent 2 2 5" xfId="159" xr:uid="{ED49AF63-97AD-496A-9E4A-222E915758D2}"/>
    <cellStyle name="Percent 2 2 5 2" xfId="391" xr:uid="{9A747FE8-912E-4BC2-92C6-22DB30AED473}"/>
    <cellStyle name="Percent 2 2 6" xfId="202" xr:uid="{D09EB231-14CA-4A08-BECB-702C27583B4A}"/>
    <cellStyle name="Percent 2 2 6 2" xfId="434" xr:uid="{422477B8-3E46-4638-B4F2-C16093055D62}"/>
    <cellStyle name="Percent 2 2 7" xfId="259" xr:uid="{D4CCB8FA-356B-4158-AFE7-E03196CC4030}"/>
    <cellStyle name="Percent 2 3" xfId="40" xr:uid="{835431AE-9AB4-4842-8081-BBE7A923D851}"/>
    <cellStyle name="Percent 2 3 2" xfId="83" xr:uid="{B60A5B3B-0B22-47A5-8C68-FEAEFC7D4912}"/>
    <cellStyle name="Percent 2 3 2 2" xfId="315" xr:uid="{2633A2E1-A107-4EC6-A860-E74B12F9DBCB}"/>
    <cellStyle name="Percent 2 3 3" xfId="126" xr:uid="{27A3A9C4-5F43-4055-B136-3E0EEE920384}"/>
    <cellStyle name="Percent 2 3 3 2" xfId="358" xr:uid="{2A53A1A4-68FA-42C9-86FC-CA51F98CAABF}"/>
    <cellStyle name="Percent 2 3 4" xfId="172" xr:uid="{907B2E4A-79AC-434B-9ECF-200226D1B285}"/>
    <cellStyle name="Percent 2 3 4 2" xfId="404" xr:uid="{61C21B3C-ACF6-402D-AAFC-0F2D62781530}"/>
    <cellStyle name="Percent 2 3 5" xfId="215" xr:uid="{BC01EEB9-2148-4EEF-9B04-1B48135D5DD1}"/>
    <cellStyle name="Percent 2 3 5 2" xfId="447" xr:uid="{FC1A088A-1FE2-41BD-B08D-2A77054663A6}"/>
    <cellStyle name="Percent 2 3 6" xfId="272" xr:uid="{1655BC70-642A-4A7F-81BA-82F3C6A89429}"/>
    <cellStyle name="Percent 2 3 7" xfId="612" xr:uid="{3E728114-9330-4FBA-A633-B3044C86D420}"/>
    <cellStyle name="Percent 2 4" xfId="64" xr:uid="{E18A4C5B-1F9F-45E4-864C-0502054CAD98}"/>
    <cellStyle name="Percent 2 4 2" xfId="296" xr:uid="{A685CCE6-51DD-4B6C-A4DD-45D148FA63DD}"/>
    <cellStyle name="Percent 2 4 3" xfId="732" xr:uid="{FCCEDB10-D65E-4EBD-880A-56C0C0B2BF05}"/>
    <cellStyle name="Percent 2 5" xfId="107" xr:uid="{049C055B-73BB-44B6-A5F2-9D6C4C40EC48}"/>
    <cellStyle name="Percent 2 5 2" xfId="339" xr:uid="{D8B25473-2BA8-4782-83E8-5A51FC0C8A2D}"/>
    <cellStyle name="Percent 2 5 3" xfId="738" xr:uid="{74A58963-941E-4736-8585-F6636CE7263D}"/>
    <cellStyle name="Percent 2 6" xfId="153" xr:uid="{CCB7418D-53FC-4BC4-A271-7082B47D1B73}"/>
    <cellStyle name="Percent 2 6 2" xfId="385" xr:uid="{5F1C64ED-84E8-497A-9F51-B385805C261D}"/>
    <cellStyle name="Percent 2 7" xfId="196" xr:uid="{A6578E50-8CC0-4FD1-9520-FDFC5D541099}"/>
    <cellStyle name="Percent 2 7 2" xfId="428" xr:uid="{CA039062-6EAD-4B15-A8F7-9C5D8531026B}"/>
    <cellStyle name="Percent 2 8" xfId="253" xr:uid="{7F7E1E41-FBD9-4391-A881-1C2B08181AA5}"/>
    <cellStyle name="Percent 3" xfId="44" xr:uid="{0F31ED72-DF75-47A8-B300-CAA4A9529828}"/>
    <cellStyle name="Percent 3 2" xfId="87" xr:uid="{01F7DBB3-609F-4B0E-B785-BEBBEBA51BB0}"/>
    <cellStyle name="Percent 3 2 2" xfId="319" xr:uid="{2CDF19AD-894D-4D68-ABD2-B4E6750F2753}"/>
    <cellStyle name="Percent 3 2 2 2" xfId="708" xr:uid="{A37DD5B3-02E8-4B08-B334-89311891238C}"/>
    <cellStyle name="Percent 3 2 3" xfId="599" xr:uid="{4D380E89-79D0-4105-8A16-271E5EAB313C}"/>
    <cellStyle name="Percent 3 3" xfId="130" xr:uid="{82750BAE-7471-4A15-A8B0-2F7405C99882}"/>
    <cellStyle name="Percent 3 3 2" xfId="362" xr:uid="{678D998B-AE43-4F8E-B2C7-0B3AF902AFA5}"/>
    <cellStyle name="Percent 3 3 3" xfId="613" xr:uid="{A029F10C-1F01-47E3-A4A4-58FE864527C3}"/>
    <cellStyle name="Percent 3 4" xfId="176" xr:uid="{93E7BDAD-E99F-41E8-AF5B-DEF12FBC4D16}"/>
    <cellStyle name="Percent 3 4 2" xfId="408" xr:uid="{6AB5CA9A-90B6-4273-8DDF-400C88818971}"/>
    <cellStyle name="Percent 3 4 3" xfId="707" xr:uid="{D3A1ACB7-4AA3-48B3-A92C-D2F833BCB176}"/>
    <cellStyle name="Percent 3 5" xfId="219" xr:uid="{55DF376A-D156-476C-910A-CE12C6B4926E}"/>
    <cellStyle name="Percent 3 5 2" xfId="451" xr:uid="{7D4B7A95-D04F-4C90-BEE0-7BAF9F5756E9}"/>
    <cellStyle name="Percent 3 6" xfId="276" xr:uid="{45EBC77F-DF69-4F1B-B5C0-6508655751EA}"/>
    <cellStyle name="Percent 3 7" xfId="598" xr:uid="{9C24CD94-745E-4A65-96C5-717AFFB59D02}"/>
    <cellStyle name="Percent 4" xfId="47" xr:uid="{9B719A2E-18BF-4856-8CBA-B38371583905}"/>
    <cellStyle name="Percent 4 2" xfId="90" xr:uid="{782850CF-D773-4456-97C5-CB0B3B4D6836}"/>
    <cellStyle name="Percent 4 2 2" xfId="322" xr:uid="{AFFB3C83-5DB6-4D8B-B14A-B4CA1FC444A3}"/>
    <cellStyle name="Percent 4 2 3" xfId="880" xr:uid="{A71D1197-1257-4523-96A7-A3C3AD433BFB}"/>
    <cellStyle name="Percent 4 2 4" xfId="2037" xr:uid="{CFF4ECDC-A1B7-42A7-B270-C8FDFF2A5874}"/>
    <cellStyle name="Percent 4 3" xfId="133" xr:uid="{9EB7D70F-9F0E-40D3-B0C5-5477AC549B95}"/>
    <cellStyle name="Percent 4 3 2" xfId="365" xr:uid="{A037A9BA-4D3B-4B6F-AAFF-FE743BE75BDC}"/>
    <cellStyle name="Percent 4 3 3" xfId="725" xr:uid="{63D535F0-F420-41F2-8F99-DA06E0673131}"/>
    <cellStyle name="Percent 4 4" xfId="179" xr:uid="{3A851B7C-66AB-496F-8107-CBAABE21CD20}"/>
    <cellStyle name="Percent 4 4 2" xfId="411" xr:uid="{99532621-1AFD-4A4B-AF08-190A30DE69D9}"/>
    <cellStyle name="Percent 4 5" xfId="222" xr:uid="{36682DB1-A75D-4036-ACDC-29E2911705D5}"/>
    <cellStyle name="Percent 4 5 2" xfId="454" xr:uid="{D1D07E6B-3F01-4882-9279-4DAEEBCEE516}"/>
    <cellStyle name="Percent 4 6" xfId="279" xr:uid="{D3D5F062-81AD-4983-88B4-B39660BA1E1C}"/>
    <cellStyle name="Percent 4 7" xfId="600" xr:uid="{5A990139-00C4-4B7A-A142-1214B39278E6}"/>
    <cellStyle name="Percent 4 8" xfId="2020" xr:uid="{7BC06B1F-FF63-4E73-803E-3F7C2DA7E24F}"/>
    <cellStyle name="Percent 5" xfId="51" xr:uid="{7C75FD4C-0509-4BBB-8AD2-EA300B9CE203}"/>
    <cellStyle name="Percent 5 2" xfId="94" xr:uid="{7A473EF0-E28E-4F00-B72F-BD6A8637F731}"/>
    <cellStyle name="Percent 5 2 2" xfId="326" xr:uid="{14862F75-004E-4889-97DC-AB5D660B03A9}"/>
    <cellStyle name="Percent 5 2 3" xfId="601" xr:uid="{58CD5E3D-4B22-4894-B6C6-63971138D16B}"/>
    <cellStyle name="Percent 5 3" xfId="137" xr:uid="{AB31B6C9-382C-4BD6-BD87-CBF151E03FEC}"/>
    <cellStyle name="Percent 5 3 2" xfId="369" xr:uid="{96427944-4F43-4311-A04B-3255F99EF600}"/>
    <cellStyle name="Percent 5 4" xfId="183" xr:uid="{39ADF39A-46CC-459E-B8F8-D31369290371}"/>
    <cellStyle name="Percent 5 4 2" xfId="415" xr:uid="{DDF099DD-4FAB-43F6-B523-93683130FAA4}"/>
    <cellStyle name="Percent 5 4 3" xfId="726" xr:uid="{3A0DDAFF-69F9-4C4F-ABF3-AEB2AB687256}"/>
    <cellStyle name="Percent 5 5" xfId="226" xr:uid="{03786DD5-A5C4-435C-ACBA-F9F415AD0CC8}"/>
    <cellStyle name="Percent 5 5 2" xfId="458" xr:uid="{9EEA6CF7-DD3D-4788-A19E-67DD77E14864}"/>
    <cellStyle name="Percent 5 6" xfId="283" xr:uid="{29940C24-DA43-4306-AA4F-BD48713D78F0}"/>
    <cellStyle name="Percent 6" xfId="7" xr:uid="{1BF3703C-218E-4F4B-9517-FEB31C39AC84}"/>
    <cellStyle name="Percent 6 2" xfId="13" xr:uid="{FE540A7D-155B-4F42-A041-2E974B4B751D}"/>
    <cellStyle name="Percent 6 2 2" xfId="33" xr:uid="{997C938B-39C8-4959-9FC4-274B7133779D}"/>
    <cellStyle name="Percent 6 2 2 2" xfId="76" xr:uid="{1261B514-2219-4035-A046-FA309BA4D421}"/>
    <cellStyle name="Percent 6 2 2 2 2" xfId="308" xr:uid="{3BA9C655-1481-4795-B8DA-677336D48E68}"/>
    <cellStyle name="Percent 6 2 2 3" xfId="119" xr:uid="{57AAE292-0DD0-4A75-946C-23BB032487F7}"/>
    <cellStyle name="Percent 6 2 2 3 2" xfId="351" xr:uid="{FA1AD9C0-8F13-4130-A3F0-2AF601EF9674}"/>
    <cellStyle name="Percent 6 2 2 4" xfId="165" xr:uid="{4F7BAF5D-7A9F-4B58-8F42-298B3938FFDE}"/>
    <cellStyle name="Percent 6 2 2 4 2" xfId="397" xr:uid="{6C7D930A-2CD6-47B6-A9E8-6851882D3107}"/>
    <cellStyle name="Percent 6 2 2 5" xfId="208" xr:uid="{0E3FA2B3-3699-4FAF-B952-889D83CF84F4}"/>
    <cellStyle name="Percent 6 2 2 5 2" xfId="440" xr:uid="{C4E39F7E-5055-49F1-A5DF-6D6F46EDA191}"/>
    <cellStyle name="Percent 6 2 2 6" xfId="265" xr:uid="{CEEA9EAF-62FC-42DB-8C33-5DAF99883E6B}"/>
    <cellStyle name="Percent 6 2 3" xfId="57" xr:uid="{1C326E05-B627-483F-AEE7-19DCA2E667C2}"/>
    <cellStyle name="Percent 6 2 3 2" xfId="289" xr:uid="{98DB6C35-19C8-4095-8AB8-BAFC52FB379B}"/>
    <cellStyle name="Percent 6 2 4" xfId="100" xr:uid="{471663DA-571E-4A06-8D1F-3D70DA49732C}"/>
    <cellStyle name="Percent 6 2 4 2" xfId="332" xr:uid="{0EBA84B3-CDD3-43B6-AFC7-7AEC8B210165}"/>
    <cellStyle name="Percent 6 2 5" xfId="146" xr:uid="{F1DD0983-C6F0-4C23-B851-DF9B40A3534C}"/>
    <cellStyle name="Percent 6 2 5 2" xfId="378" xr:uid="{4D8033CB-9817-4D40-AE80-742A2684367E}"/>
    <cellStyle name="Percent 6 2 6" xfId="189" xr:uid="{3DD3EA58-B1B4-4B6B-8C1C-5280519DE36B}"/>
    <cellStyle name="Percent 6 2 6 2" xfId="421" xr:uid="{9ACC66AB-A4B5-43EB-A663-2BD8EB5385F9}"/>
    <cellStyle name="Percent 6 2 7" xfId="246" xr:uid="{481BC0D3-A8BB-4D54-A8FC-A3F925EBB70C}"/>
    <cellStyle name="Percent 6 2 8" xfId="881" xr:uid="{0B3EB2F9-266B-49FB-A59D-BA9616722553}"/>
    <cellStyle name="Percent 6 3" xfId="29" xr:uid="{080C88C9-FC88-4F0E-942E-B1E843F610F9}"/>
    <cellStyle name="Percent 6 3 2" xfId="72" xr:uid="{B3102DB0-1837-4F27-92B3-8495C2D38238}"/>
    <cellStyle name="Percent 6 3 2 2" xfId="304" xr:uid="{1CDFD673-7157-42AD-AFB3-AD53810FF947}"/>
    <cellStyle name="Percent 6 3 3" xfId="115" xr:uid="{F2604964-3677-424B-86EF-E5BA2988A6C0}"/>
    <cellStyle name="Percent 6 3 3 2" xfId="347" xr:uid="{485C59AB-0765-486C-8F51-B6DFBFA9C613}"/>
    <cellStyle name="Percent 6 3 4" xfId="161" xr:uid="{C8A73196-A0D5-4809-88D5-F0B0E57FC08C}"/>
    <cellStyle name="Percent 6 3 4 2" xfId="393" xr:uid="{1A10A772-102A-4114-988F-291CE8BAB286}"/>
    <cellStyle name="Percent 6 3 5" xfId="204" xr:uid="{86BE977A-919B-4BEB-B55B-E62F0FDA52C8}"/>
    <cellStyle name="Percent 6 3 5 2" xfId="436" xr:uid="{C3272C68-7898-4803-BF84-339B80DA3602}"/>
    <cellStyle name="Percent 6 3 6" xfId="261" xr:uid="{3B33EC51-FFB9-4F2D-ABAA-00AF1159149C}"/>
    <cellStyle name="Percent 6 3 7" xfId="727" xr:uid="{7D208C83-C8B3-46B6-9270-2C717E709989}"/>
    <cellStyle name="Percent 6 4" xfId="53" xr:uid="{3AB5D16C-C414-4C39-AD36-D56F3F3A4586}"/>
    <cellStyle name="Percent 6 4 2" xfId="285" xr:uid="{6E61555F-F49E-4588-9958-3E4F4A85C32F}"/>
    <cellStyle name="Percent 6 5" xfId="96" xr:uid="{1A9034A9-E6CC-42FC-9E7F-EE308F5AFBD5}"/>
    <cellStyle name="Percent 6 5 2" xfId="328" xr:uid="{FB979E92-91FB-4AEA-8045-5D5CFA5E7C38}"/>
    <cellStyle name="Percent 6 6" xfId="142" xr:uid="{F44C8E9D-D9AB-4A1D-8208-7FE72A7B5DF5}"/>
    <cellStyle name="Percent 6 6 2" xfId="374" xr:uid="{1BEB301C-3C5B-4169-9F34-63B41638E693}"/>
    <cellStyle name="Percent 6 7" xfId="185" xr:uid="{FADF56D5-8F4F-4582-82F5-A5188F20EF8E}"/>
    <cellStyle name="Percent 6 7 2" xfId="417" xr:uid="{9E3DCD64-F36F-44BC-BD9F-6217ACB8EF06}"/>
    <cellStyle name="Percent 6 8" xfId="242" xr:uid="{F95155AA-0794-4526-85CE-FD11DF8A8959}"/>
    <cellStyle name="Percent 6 9" xfId="602" xr:uid="{3E3F4525-E90C-4BE7-9A83-BCAC977C6D06}"/>
    <cellStyle name="Percent 7" xfId="140" xr:uid="{7B077BE6-BB71-43AF-A997-6643F3910FFA}"/>
    <cellStyle name="Percent 7 2" xfId="372" xr:uid="{7214328F-7C0E-4837-A4D7-4FCAA7009DEB}"/>
    <cellStyle name="Percent 8" xfId="229" xr:uid="{31CB5948-3813-4FE5-9F1F-72C3274B1760}"/>
    <cellStyle name="Percent 8 2" xfId="461" xr:uid="{22033C73-5870-4367-9152-36E073EAD31A}"/>
    <cellStyle name="Percent 9" xfId="238" xr:uid="{28CF134D-21E4-47C3-AEF2-11F20A6DB70F}"/>
    <cellStyle name="Style 1" xfId="603" xr:uid="{AAB702E5-BF05-44EE-8EF7-BAE97E536D9F}"/>
    <cellStyle name="Style 1 2" xfId="614" xr:uid="{B1F4EDEF-7E1F-463F-A3AC-7ABB9778FAC5}"/>
    <cellStyle name="Style 1 2 2" xfId="790" xr:uid="{35E5A405-D649-46E7-887E-34EEED62E062}"/>
    <cellStyle name="Style 1 3" xfId="882" xr:uid="{B4331646-CB2B-40C7-85AC-F208C90D5737}"/>
    <cellStyle name="SubTitle 1" xfId="604" xr:uid="{0ADD8691-8EA6-4935-B110-D8BA4C57C39C}"/>
    <cellStyle name="Title 2" xfId="605" xr:uid="{9504BC25-8BC7-4E8D-9299-50B0BECC3F1C}"/>
    <cellStyle name="Title 2 2" xfId="883" xr:uid="{38409B0E-840A-4A4F-971C-7DACBCF209A8}"/>
    <cellStyle name="Title 2 3" xfId="709" xr:uid="{A7836C7F-6BB5-4D62-9BD6-BB1CD5215131}"/>
    <cellStyle name="Total 2" xfId="606" xr:uid="{0075ECD4-5933-4200-B027-350F19B30156}"/>
    <cellStyle name="Total 2 2" xfId="884" xr:uid="{DE851265-AC3E-478C-AC9B-9525EE30047A}"/>
    <cellStyle name="Total 2 2 2" xfId="1195" xr:uid="{8937FA39-F7E4-4C57-9E11-99EE788DB916}"/>
    <cellStyle name="Total 2 2 3" xfId="1052" xr:uid="{8D13E93F-B1B1-47A4-AA51-9BE32EA95614}"/>
    <cellStyle name="Total 2 3" xfId="710" xr:uid="{74A04D35-017B-4DD8-A273-58D99D814573}"/>
    <cellStyle name="Total 2 3 2" xfId="1132" xr:uid="{42593C60-B205-4574-940B-B47C8DD0919B}"/>
    <cellStyle name="Total 2 3 3" xfId="988" xr:uid="{1526153E-196E-4CC9-BBE7-9CDD5E8CD5CA}"/>
    <cellStyle name="Total 2 4" xfId="1103" xr:uid="{CE41C1E8-354B-4CFD-B262-5786EFCDCC4D}"/>
    <cellStyle name="Total 2 5" xfId="957" xr:uid="{4D841727-0D0A-49D9-8E66-360848E9CC75}"/>
    <cellStyle name="Warning Text 2" xfId="607" xr:uid="{BEA10B92-073C-40B1-9ADE-6959D2B25F48}"/>
    <cellStyle name="Warning Text 2 2" xfId="885" xr:uid="{2B8555CE-B271-4CEC-8431-534F650F81E8}"/>
    <cellStyle name="Warning Text 2 3" xfId="711" xr:uid="{CF8589C5-0E0E-4F9C-9D3C-C10CA3DF935C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 b="1">
                <a:solidFill>
                  <a:schemeClr val="bg1"/>
                </a:solidFill>
              </a:rPr>
              <a:t>Key Metrics</a:t>
            </a: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'Historical Analysis'!$B$28</c:f>
              <c:strCache>
                <c:ptCount val="1"/>
                <c:pt idx="0">
                  <c:v>EBITDA Margin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'Historical Analysis'!$C$5:$G$5</c:f>
              <c:numCache>
                <c:formatCode>mmm\-yy</c:formatCode>
                <c:ptCount val="5"/>
                <c:pt idx="0">
                  <c:v>43555</c:v>
                </c:pt>
                <c:pt idx="1">
                  <c:v>43921</c:v>
                </c:pt>
                <c:pt idx="2">
                  <c:v>44286</c:v>
                </c:pt>
                <c:pt idx="3">
                  <c:v>44651</c:v>
                </c:pt>
                <c:pt idx="4">
                  <c:v>45016</c:v>
                </c:pt>
              </c:numCache>
            </c:numRef>
          </c:cat>
          <c:val>
            <c:numRef>
              <c:f>'Historical Analysis'!$C$28:$H$28</c:f>
              <c:numCache>
                <c:formatCode>0.00%</c:formatCode>
                <c:ptCount val="6"/>
                <c:pt idx="0">
                  <c:v>5.5192430988340299E-2</c:v>
                </c:pt>
                <c:pt idx="1">
                  <c:v>6.1796103949778851E-2</c:v>
                </c:pt>
                <c:pt idx="2">
                  <c:v>7.2838468359054845E-2</c:v>
                </c:pt>
                <c:pt idx="3">
                  <c:v>6.5389783926700973E-2</c:v>
                </c:pt>
                <c:pt idx="4">
                  <c:v>4.495617666928417E-2</c:v>
                </c:pt>
                <c:pt idx="5">
                  <c:v>6.0034592778631837E-2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2-4572-9ADC-F5597EE10C0B}"/>
            </c:ext>
          </c:extLst>
        </c:ser>
        <c:ser>
          <c:idx val="1"/>
          <c:order val="1"/>
          <c:tx>
            <c:strRef>
              <c:f>'Historical Analysis'!$B$29</c:f>
              <c:strCache>
                <c:ptCount val="1"/>
                <c:pt idx="0">
                  <c:v>EBIT Margin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'Historical Analysis'!$C$5:$G$5</c:f>
              <c:numCache>
                <c:formatCode>mmm\-yy</c:formatCode>
                <c:ptCount val="5"/>
                <c:pt idx="0">
                  <c:v>43555</c:v>
                </c:pt>
                <c:pt idx="1">
                  <c:v>43921</c:v>
                </c:pt>
                <c:pt idx="2">
                  <c:v>44286</c:v>
                </c:pt>
                <c:pt idx="3">
                  <c:v>44651</c:v>
                </c:pt>
                <c:pt idx="4">
                  <c:v>45016</c:v>
                </c:pt>
              </c:numCache>
            </c:numRef>
          </c:cat>
          <c:val>
            <c:numRef>
              <c:f>'Historical Analysis'!$C$29:$H$29</c:f>
              <c:numCache>
                <c:formatCode>0.00%</c:formatCode>
                <c:ptCount val="6"/>
                <c:pt idx="0">
                  <c:v>5.0958220179587885E-2</c:v>
                </c:pt>
                <c:pt idx="1">
                  <c:v>5.472178060805042E-2</c:v>
                </c:pt>
                <c:pt idx="2">
                  <c:v>6.5036750816810554E-2</c:v>
                </c:pt>
                <c:pt idx="3">
                  <c:v>5.9228782505568886E-2</c:v>
                </c:pt>
                <c:pt idx="4">
                  <c:v>3.9211553490720169E-2</c:v>
                </c:pt>
                <c:pt idx="5">
                  <c:v>5.3831417520147598E-2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2-4572-9ADC-F5597EE10C0B}"/>
            </c:ext>
          </c:extLst>
        </c:ser>
        <c:ser>
          <c:idx val="2"/>
          <c:order val="2"/>
          <c:tx>
            <c:strRef>
              <c:f>'Historical Analysis'!$B$30</c:f>
              <c:strCache>
                <c:ptCount val="1"/>
                <c:pt idx="0">
                  <c:v>Net Profit Margin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'Historical Analysis'!$C$5:$G$5</c:f>
              <c:numCache>
                <c:formatCode>mmm\-yy</c:formatCode>
                <c:ptCount val="5"/>
                <c:pt idx="0">
                  <c:v>43555</c:v>
                </c:pt>
                <c:pt idx="1">
                  <c:v>43921</c:v>
                </c:pt>
                <c:pt idx="2">
                  <c:v>44286</c:v>
                </c:pt>
                <c:pt idx="3">
                  <c:v>44651</c:v>
                </c:pt>
                <c:pt idx="4">
                  <c:v>45016</c:v>
                </c:pt>
              </c:numCache>
            </c:numRef>
          </c:cat>
          <c:val>
            <c:numRef>
              <c:f>'Historical Analysis'!$C$30:$H$30</c:f>
              <c:numCache>
                <c:formatCode>0.00%</c:formatCode>
                <c:ptCount val="6"/>
                <c:pt idx="0">
                  <c:v>1.7963337546437402E-2</c:v>
                </c:pt>
                <c:pt idx="1">
                  <c:v>1.8781309548234516E-2</c:v>
                </c:pt>
                <c:pt idx="2">
                  <c:v>2.089705923818783E-2</c:v>
                </c:pt>
                <c:pt idx="3">
                  <c:v>2.0097198243201653E-2</c:v>
                </c:pt>
                <c:pt idx="4">
                  <c:v>1.9634187108516065E-3</c:v>
                </c:pt>
                <c:pt idx="5">
                  <c:v>1.5940464657382601E-2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2-4572-9ADC-F5597EE10C0B}"/>
            </c:ext>
          </c:extLst>
        </c:ser>
        <c:ser>
          <c:idx val="3"/>
          <c:order val="3"/>
          <c:tx>
            <c:strRef>
              <c:f>'Historical Analysis'!$B$31</c:f>
              <c:strCache>
                <c:ptCount val="1"/>
                <c:pt idx="0">
                  <c:v>Revenue Growth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'Historical Analysis'!$C$5:$G$5</c:f>
              <c:numCache>
                <c:formatCode>mmm\-yy</c:formatCode>
                <c:ptCount val="5"/>
                <c:pt idx="0">
                  <c:v>43555</c:v>
                </c:pt>
                <c:pt idx="1">
                  <c:v>43921</c:v>
                </c:pt>
                <c:pt idx="2">
                  <c:v>44286</c:v>
                </c:pt>
                <c:pt idx="3">
                  <c:v>44651</c:v>
                </c:pt>
                <c:pt idx="4">
                  <c:v>45016</c:v>
                </c:pt>
              </c:numCache>
            </c:numRef>
          </c:cat>
          <c:val>
            <c:numRef>
              <c:f>'Historical Analysis'!$C$31:$H$31</c:f>
              <c:numCache>
                <c:formatCode>0.00%</c:formatCode>
                <c:ptCount val="6"/>
                <c:pt idx="1">
                  <c:v>-7.6350655986642813E-2</c:v>
                </c:pt>
                <c:pt idx="2">
                  <c:v>-8.90863301690894E-2</c:v>
                </c:pt>
                <c:pt idx="3">
                  <c:v>0.25246152136974409</c:v>
                </c:pt>
                <c:pt idx="4">
                  <c:v>7.4144838641878597E-2</c:v>
                </c:pt>
                <c:pt idx="5">
                  <c:v>4.0292343463972619E-2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2-4572-9ADC-F5597EE10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54994527"/>
        <c:axId val="1055016159"/>
      </c:lineChart>
      <c:dateAx>
        <c:axId val="1054994527"/>
        <c:scaling>
          <c:orientation val="minMax"/>
          <c:max val="45016"/>
          <c:min val="43555"/>
        </c:scaling>
        <c:delete val="0"/>
        <c:axPos val="b"/>
        <c:numFmt formatCode="&quot;FY&quot;\ yy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5016159"/>
        <c:crosses val="autoZero"/>
        <c:auto val="1"/>
        <c:lblOffset val="100"/>
        <c:baseTimeUnit val="years"/>
      </c:dateAx>
      <c:valAx>
        <c:axId val="1055016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9452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552450</xdr:colOff>
      <xdr:row>5</xdr:row>
      <xdr:rowOff>33336</xdr:rowOff>
    </xdr:from>
    <xdr:to>
      <xdr:col>20</xdr:col>
      <xdr:colOff>95250</xdr:colOff>
      <xdr:row>23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93E7E15-4743-4072-824B-141D78E74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55045-A154-4137-A862-84431DCF7460}">
  <dimension ref="A2:V179"/>
  <sheetViews>
    <sheetView zoomScaleNormal="100" workbookViewId="0">
      <pane xSplit="5" ySplit="6" topLeftCell="F155" activePane="bottomRight" state="frozen"/>
      <selection pane="topRight" activeCell="E1" sqref="E1"/>
      <selection pane="bottomLeft" activeCell="A5" sqref="A5"/>
      <selection pane="bottomRight" activeCell="E180" sqref="E180"/>
    </sheetView>
  </sheetViews>
  <sheetFormatPr defaultColWidth="8.85546875" defaultRowHeight="12.75" x14ac:dyDescent="0.2"/>
  <cols>
    <col min="1" max="1" width="4.28515625" style="64" bestFit="1" customWidth="1"/>
    <col min="2" max="3" width="3.7109375" style="64" customWidth="1"/>
    <col min="4" max="4" width="23.85546875" style="64" customWidth="1"/>
    <col min="5" max="5" width="13.42578125" style="64" customWidth="1"/>
    <col min="6" max="7" width="12.5703125" style="64" customWidth="1"/>
    <col min="8" max="9" width="11.28515625" style="64" customWidth="1"/>
    <col min="10" max="10" width="9.5703125" style="64" customWidth="1"/>
    <col min="11" max="11" width="11.140625" style="64" customWidth="1"/>
    <col min="12" max="12" width="11.28515625" style="64" bestFit="1" customWidth="1"/>
    <col min="13" max="20" width="12.28515625" style="64" bestFit="1" customWidth="1"/>
    <col min="21" max="21" width="9.85546875" style="64" customWidth="1"/>
    <col min="22" max="22" width="30.28515625" style="64" bestFit="1" customWidth="1"/>
    <col min="23" max="16384" width="8.85546875" style="64"/>
  </cols>
  <sheetData>
    <row r="2" spans="2:22" ht="15.75" x14ac:dyDescent="0.2">
      <c r="B2" s="1" t="s">
        <v>200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71"/>
    </row>
    <row r="3" spans="2:22" x14ac:dyDescent="0.2">
      <c r="B3" s="58" t="s">
        <v>351</v>
      </c>
      <c r="C3" s="59"/>
      <c r="D3" s="59"/>
      <c r="E3" s="59"/>
      <c r="F3" s="59"/>
      <c r="G3" s="59"/>
      <c r="H3" s="59"/>
      <c r="I3" s="59"/>
      <c r="J3" s="305"/>
    </row>
    <row r="4" spans="2:22" s="90" customFormat="1" x14ac:dyDescent="0.2">
      <c r="B4" s="58"/>
      <c r="C4" s="305"/>
      <c r="D4" s="305"/>
      <c r="E4" s="305"/>
      <c r="F4" s="305"/>
      <c r="G4" s="305"/>
      <c r="H4" s="305"/>
      <c r="I4" s="305"/>
      <c r="J4" s="305"/>
      <c r="K4" s="331"/>
      <c r="L4" s="331"/>
      <c r="M4" s="331"/>
      <c r="N4" s="331"/>
      <c r="O4" s="331"/>
      <c r="P4" s="331"/>
      <c r="Q4" s="331"/>
      <c r="R4" s="331"/>
      <c r="S4" s="331"/>
      <c r="T4" s="331"/>
    </row>
    <row r="5" spans="2:22" x14ac:dyDescent="0.2">
      <c r="F5" s="55" t="s">
        <v>231</v>
      </c>
      <c r="G5" s="55" t="s">
        <v>231</v>
      </c>
      <c r="H5" s="55" t="s">
        <v>231</v>
      </c>
      <c r="I5" s="55" t="s">
        <v>231</v>
      </c>
      <c r="J5" s="55" t="s">
        <v>232</v>
      </c>
      <c r="K5" s="338" t="s">
        <v>439</v>
      </c>
      <c r="L5" s="338" t="s">
        <v>439</v>
      </c>
      <c r="M5" s="338" t="s">
        <v>304</v>
      </c>
      <c r="N5" s="338" t="s">
        <v>304</v>
      </c>
      <c r="O5" s="338" t="s">
        <v>304</v>
      </c>
      <c r="P5" s="338" t="s">
        <v>304</v>
      </c>
      <c r="Q5" s="338" t="s">
        <v>304</v>
      </c>
      <c r="R5" s="338" t="s">
        <v>304</v>
      </c>
      <c r="S5" s="338" t="s">
        <v>304</v>
      </c>
      <c r="T5" s="338" t="s">
        <v>304</v>
      </c>
    </row>
    <row r="6" spans="2:22" x14ac:dyDescent="0.2">
      <c r="E6" s="64" t="s">
        <v>345</v>
      </c>
      <c r="F6" s="60">
        <f>DATE(2019,3,31)</f>
        <v>43555</v>
      </c>
      <c r="G6" s="60">
        <f>EDATE(F6,12)</f>
        <v>43921</v>
      </c>
      <c r="H6" s="60">
        <f t="shared" ref="H6:T6" si="0">EDATE(G6,12)</f>
        <v>44286</v>
      </c>
      <c r="I6" s="60">
        <f t="shared" si="0"/>
        <v>44651</v>
      </c>
      <c r="J6" s="60">
        <f t="shared" si="0"/>
        <v>45016</v>
      </c>
      <c r="K6" s="60">
        <f t="shared" si="0"/>
        <v>45382</v>
      </c>
      <c r="L6" s="60">
        <f t="shared" si="0"/>
        <v>45747</v>
      </c>
      <c r="M6" s="60">
        <f t="shared" si="0"/>
        <v>46112</v>
      </c>
      <c r="N6" s="60">
        <f t="shared" si="0"/>
        <v>46477</v>
      </c>
      <c r="O6" s="60">
        <f t="shared" si="0"/>
        <v>46843</v>
      </c>
      <c r="P6" s="60">
        <f t="shared" si="0"/>
        <v>47208</v>
      </c>
      <c r="Q6" s="60">
        <f t="shared" si="0"/>
        <v>47573</v>
      </c>
      <c r="R6" s="60">
        <f t="shared" si="0"/>
        <v>47938</v>
      </c>
      <c r="S6" s="60">
        <f t="shared" si="0"/>
        <v>48304</v>
      </c>
      <c r="T6" s="60">
        <f t="shared" si="0"/>
        <v>48669</v>
      </c>
      <c r="V6" s="64" t="s">
        <v>302</v>
      </c>
    </row>
    <row r="7" spans="2:22" x14ac:dyDescent="0.2">
      <c r="F7" s="61"/>
      <c r="G7" s="61"/>
      <c r="H7" s="61"/>
      <c r="I7" s="61"/>
      <c r="J7" s="61"/>
    </row>
    <row r="8" spans="2:22" s="90" customFormat="1" x14ac:dyDescent="0.2">
      <c r="B8" s="334" t="s">
        <v>434</v>
      </c>
      <c r="C8" s="305"/>
      <c r="E8" s="151" t="s">
        <v>342</v>
      </c>
      <c r="F8" s="305"/>
      <c r="G8" s="305"/>
      <c r="H8" s="305"/>
      <c r="I8" s="305"/>
      <c r="L8" s="330">
        <f ca="1">EV!F16</f>
        <v>162.35809861440444</v>
      </c>
      <c r="M8" s="330">
        <f ca="1">EV!G16</f>
        <v>-117.59028531922384</v>
      </c>
      <c r="N8" s="330">
        <f ca="1">EV!H16</f>
        <v>-99.997666277442036</v>
      </c>
      <c r="O8" s="330">
        <f ca="1">EV!I16</f>
        <v>-8.4328714343089075</v>
      </c>
      <c r="P8" s="330">
        <f ca="1">EV!J16</f>
        <v>46.524214677276191</v>
      </c>
      <c r="Q8" s="330">
        <f ca="1">EV!K16</f>
        <v>51.373779665359848</v>
      </c>
      <c r="R8" s="330">
        <f ca="1">EV!L16</f>
        <v>56.841816104949203</v>
      </c>
      <c r="S8" s="330">
        <f ca="1">EV!M16</f>
        <v>62.580039049548191</v>
      </c>
      <c r="T8" s="330">
        <f ca="1">EV!N16</f>
        <v>68.606370980729707</v>
      </c>
    </row>
    <row r="9" spans="2:22" s="90" customFormat="1" x14ac:dyDescent="0.2">
      <c r="B9" s="334" t="s">
        <v>431</v>
      </c>
      <c r="C9" s="305"/>
      <c r="E9" s="151" t="s">
        <v>342</v>
      </c>
      <c r="F9" s="305"/>
      <c r="G9" s="305"/>
      <c r="H9" s="305"/>
      <c r="I9" s="305"/>
      <c r="K9" s="330">
        <f ca="1">EV!F32</f>
        <v>341.38987896839296</v>
      </c>
      <c r="L9" s="330"/>
      <c r="M9" s="330"/>
      <c r="N9" s="330"/>
      <c r="O9" s="330"/>
      <c r="P9" s="330"/>
      <c r="Q9" s="330"/>
      <c r="R9" s="330"/>
      <c r="S9" s="330"/>
      <c r="T9" s="330"/>
    </row>
    <row r="10" spans="2:22" s="90" customFormat="1" x14ac:dyDescent="0.2">
      <c r="B10" s="334" t="s">
        <v>432</v>
      </c>
      <c r="C10" s="305"/>
      <c r="E10" s="151" t="s">
        <v>282</v>
      </c>
      <c r="F10" s="305"/>
      <c r="G10" s="305"/>
      <c r="H10" s="305"/>
      <c r="I10" s="305"/>
      <c r="J10" s="305"/>
      <c r="K10" s="332"/>
      <c r="L10" s="332">
        <f ca="1">PL!L40</f>
        <v>-7.4346308163083547E-2</v>
      </c>
      <c r="M10" s="332">
        <f ca="1">PL!M40</f>
        <v>3.2310847487552086E-2</v>
      </c>
      <c r="N10" s="332">
        <f ca="1">PL!N40</f>
        <v>4.9592743679904003E-2</v>
      </c>
      <c r="O10" s="332">
        <f ca="1">PL!O40</f>
        <v>5.4803527615554237E-2</v>
      </c>
      <c r="P10" s="332">
        <f ca="1">PL!P40</f>
        <v>5.6322134353342712E-2</v>
      </c>
      <c r="Q10" s="332">
        <f ca="1">PL!Q40</f>
        <v>5.7699367299545203E-2</v>
      </c>
      <c r="R10" s="332">
        <f ca="1">PL!R40</f>
        <v>5.8953635991383674E-2</v>
      </c>
      <c r="S10" s="332">
        <f ca="1">PL!S40</f>
        <v>6.0100281428619541E-2</v>
      </c>
      <c r="T10" s="332">
        <f ca="1">PL!T40</f>
        <v>6.115218977844817E-2</v>
      </c>
    </row>
    <row r="11" spans="2:22" s="90" customFormat="1" x14ac:dyDescent="0.2">
      <c r="B11" s="334" t="s">
        <v>433</v>
      </c>
      <c r="C11" s="305"/>
      <c r="E11" s="151" t="s">
        <v>342</v>
      </c>
      <c r="F11" s="305"/>
      <c r="G11" s="305"/>
      <c r="H11" s="305"/>
      <c r="I11" s="305"/>
      <c r="J11" s="305"/>
      <c r="K11" s="333"/>
      <c r="L11" s="333">
        <f ca="1">CFS!G40</f>
        <v>559.51124624613635</v>
      </c>
      <c r="M11" s="333">
        <f ca="1">CFS!H40</f>
        <v>-240.38371999698995</v>
      </c>
      <c r="N11" s="333">
        <f ca="1">CFS!I40</f>
        <v>-185.13665074488557</v>
      </c>
      <c r="O11" s="333">
        <f ca="1">CFS!J40</f>
        <v>-88.595496843119548</v>
      </c>
      <c r="P11" s="333">
        <f ca="1">CFS!K40</f>
        <v>-20.782816496732252</v>
      </c>
      <c r="Q11" s="333">
        <f ca="1">CFS!L40</f>
        <v>-11.786285626454934</v>
      </c>
      <c r="R11" s="333">
        <f ca="1">CFS!M40</f>
        <v>-2.1712833046715616</v>
      </c>
      <c r="S11" s="333">
        <f ca="1">CFS!N40</f>
        <v>-11.984182418300009</v>
      </c>
      <c r="T11" s="333">
        <f ca="1">CFS!O40</f>
        <v>0.26259833617240247</v>
      </c>
    </row>
    <row r="12" spans="2:22" s="90" customFormat="1" x14ac:dyDescent="0.2">
      <c r="B12" s="334" t="s">
        <v>430</v>
      </c>
      <c r="C12" s="305"/>
      <c r="E12" s="151" t="s">
        <v>342</v>
      </c>
      <c r="F12" s="305"/>
      <c r="G12" s="305"/>
      <c r="H12" s="305"/>
      <c r="I12" s="305"/>
      <c r="J12" s="305"/>
      <c r="K12" s="331">
        <f ca="1">CFS!F45</f>
        <v>3.3219526260720897</v>
      </c>
      <c r="L12" s="331">
        <f ca="1">CFS!G45</f>
        <v>562.83319887220841</v>
      </c>
      <c r="M12" s="331">
        <f ca="1">CFS!H45</f>
        <v>322.44947887521846</v>
      </c>
      <c r="N12" s="331">
        <f ca="1">CFS!I45</f>
        <v>137.31282813033289</v>
      </c>
      <c r="O12" s="331">
        <f ca="1">CFS!J45</f>
        <v>48.717331287213341</v>
      </c>
      <c r="P12" s="331">
        <f ca="1">CFS!K45</f>
        <v>27.934514790481089</v>
      </c>
      <c r="Q12" s="331">
        <f ca="1">CFS!L45</f>
        <v>16.148229164026155</v>
      </c>
      <c r="R12" s="331">
        <f ca="1">CFS!M45</f>
        <v>13.976945859354593</v>
      </c>
      <c r="S12" s="331">
        <f ca="1">CFS!N45</f>
        <v>1.9927634410545849</v>
      </c>
      <c r="T12" s="331">
        <f ca="1">CFS!O45</f>
        <v>2.2553617772269874</v>
      </c>
    </row>
    <row r="13" spans="2:22" s="90" customFormat="1" x14ac:dyDescent="0.2">
      <c r="B13" s="58"/>
      <c r="C13" s="305"/>
      <c r="D13" s="305"/>
      <c r="E13" s="151"/>
      <c r="F13" s="305"/>
      <c r="G13" s="305"/>
      <c r="H13" s="305"/>
      <c r="I13" s="305"/>
      <c r="J13" s="305"/>
      <c r="K13" s="331"/>
      <c r="L13" s="331"/>
      <c r="M13" s="331"/>
      <c r="N13" s="331"/>
      <c r="O13" s="331"/>
      <c r="P13" s="331"/>
      <c r="Q13" s="331"/>
      <c r="R13" s="331"/>
      <c r="S13" s="331"/>
      <c r="T13" s="331"/>
    </row>
    <row r="14" spans="2:22" x14ac:dyDescent="0.2">
      <c r="B14" s="62" t="s">
        <v>422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</row>
    <row r="15" spans="2:22" x14ac:dyDescent="0.2">
      <c r="B15" s="90"/>
      <c r="C15" s="90"/>
      <c r="D15" s="90"/>
      <c r="E15" s="90"/>
      <c r="F15" s="309"/>
      <c r="G15" s="309"/>
      <c r="H15" s="309"/>
      <c r="I15" s="309"/>
      <c r="J15" s="309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2:22" s="314" customFormat="1" x14ac:dyDescent="0.25">
      <c r="B16" s="312" t="s">
        <v>423</v>
      </c>
      <c r="C16" s="312"/>
      <c r="D16" s="312"/>
      <c r="E16" s="312"/>
      <c r="F16" s="311"/>
      <c r="G16" s="311"/>
      <c r="H16" s="311"/>
      <c r="I16" s="311"/>
      <c r="J16" s="311"/>
      <c r="K16" s="313"/>
      <c r="L16" s="313"/>
      <c r="M16" s="313"/>
      <c r="N16" s="313"/>
      <c r="O16" s="313"/>
      <c r="P16" s="313"/>
      <c r="Q16" s="313"/>
      <c r="R16" s="313"/>
      <c r="S16" s="313"/>
      <c r="T16" s="313"/>
    </row>
    <row r="17" spans="2:22" s="314" customFormat="1" ht="45" x14ac:dyDescent="0.25">
      <c r="B17" s="312"/>
      <c r="C17" s="312"/>
      <c r="D17" s="310" t="s">
        <v>424</v>
      </c>
      <c r="E17" s="315"/>
      <c r="F17" s="316">
        <f>100000+40000+10000</f>
        <v>150000</v>
      </c>
      <c r="G17" s="316">
        <f t="shared" ref="G17:I17" si="1">100000+40000+10000</f>
        <v>150000</v>
      </c>
      <c r="H17" s="316">
        <f t="shared" si="1"/>
        <v>150000</v>
      </c>
      <c r="I17" s="316">
        <f t="shared" si="1"/>
        <v>150000</v>
      </c>
      <c r="J17" s="311"/>
      <c r="K17" s="313"/>
      <c r="L17" s="329">
        <f>100000+40000</f>
        <v>140000</v>
      </c>
      <c r="M17" s="316">
        <v>140000</v>
      </c>
      <c r="N17" s="316">
        <v>140000</v>
      </c>
      <c r="O17" s="316">
        <v>140000</v>
      </c>
      <c r="P17" s="316">
        <v>140000</v>
      </c>
      <c r="Q17" s="316">
        <v>140000</v>
      </c>
      <c r="R17" s="316">
        <v>140000</v>
      </c>
      <c r="S17" s="316">
        <v>140000</v>
      </c>
      <c r="T17" s="316">
        <v>140000</v>
      </c>
    </row>
    <row r="18" spans="2:22" x14ac:dyDescent="0.2">
      <c r="B18" s="90"/>
      <c r="C18" s="90"/>
      <c r="D18" s="90"/>
      <c r="E18" s="90"/>
      <c r="F18" s="309"/>
      <c r="G18" s="309"/>
      <c r="H18" s="309"/>
      <c r="I18" s="309"/>
      <c r="J18" s="309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2:22" x14ac:dyDescent="0.2">
      <c r="B19" s="90"/>
      <c r="C19" s="90" t="s">
        <v>425</v>
      </c>
      <c r="D19" s="90"/>
      <c r="E19" s="90" t="s">
        <v>282</v>
      </c>
      <c r="F19" s="326">
        <f>F20/$F$17</f>
        <v>0.62969211999999997</v>
      </c>
      <c r="G19" s="326">
        <f t="shared" ref="G19:I19" si="2">G20/$F$17</f>
        <v>0.61164260000000004</v>
      </c>
      <c r="H19" s="326">
        <f t="shared" si="2"/>
        <v>0.61164260000000004</v>
      </c>
      <c r="I19" s="326">
        <f t="shared" si="2"/>
        <v>0.51843633333333328</v>
      </c>
      <c r="J19" s="309"/>
      <c r="K19" s="90"/>
      <c r="L19" s="152">
        <v>0.2</v>
      </c>
      <c r="M19" s="152">
        <v>0.25</v>
      </c>
      <c r="N19" s="327">
        <v>0.35</v>
      </c>
      <c r="O19" s="327">
        <v>0.4</v>
      </c>
      <c r="P19" s="327">
        <v>0.42</v>
      </c>
      <c r="Q19" s="327">
        <v>0.44</v>
      </c>
      <c r="R19" s="327">
        <v>0.46</v>
      </c>
      <c r="S19" s="327">
        <v>0.48</v>
      </c>
      <c r="T19" s="327">
        <v>0.5</v>
      </c>
    </row>
    <row r="20" spans="2:22" x14ac:dyDescent="0.2">
      <c r="B20" s="90"/>
      <c r="C20" s="90" t="s">
        <v>425</v>
      </c>
      <c r="D20" s="90"/>
      <c r="E20" s="90" t="s">
        <v>426</v>
      </c>
      <c r="F20" s="325">
        <v>94453.817999999999</v>
      </c>
      <c r="G20" s="325">
        <v>91746.39</v>
      </c>
      <c r="H20" s="325">
        <v>91746.39</v>
      </c>
      <c r="I20" s="325">
        <v>77765.45</v>
      </c>
      <c r="J20" s="309"/>
      <c r="K20" s="90"/>
      <c r="L20" s="257">
        <f>L17*L19</f>
        <v>28000</v>
      </c>
      <c r="M20" s="257">
        <f t="shared" ref="M20:T20" si="3">M17*M19</f>
        <v>35000</v>
      </c>
      <c r="N20" s="257">
        <f t="shared" si="3"/>
        <v>49000</v>
      </c>
      <c r="O20" s="257">
        <f t="shared" si="3"/>
        <v>56000</v>
      </c>
      <c r="P20" s="257">
        <f t="shared" si="3"/>
        <v>58800</v>
      </c>
      <c r="Q20" s="257">
        <f t="shared" si="3"/>
        <v>61600</v>
      </c>
      <c r="R20" s="257">
        <f t="shared" si="3"/>
        <v>64400</v>
      </c>
      <c r="S20" s="257">
        <f t="shared" si="3"/>
        <v>67200</v>
      </c>
      <c r="T20" s="257">
        <f t="shared" si="3"/>
        <v>70000</v>
      </c>
    </row>
    <row r="21" spans="2:22" x14ac:dyDescent="0.2">
      <c r="B21" s="90"/>
      <c r="J21" s="309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2:22" x14ac:dyDescent="0.2">
      <c r="B22" s="62" t="s">
        <v>346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</row>
    <row r="23" spans="2:22" x14ac:dyDescent="0.2"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</row>
    <row r="24" spans="2:22" x14ac:dyDescent="0.2">
      <c r="B24" s="64" t="s">
        <v>295</v>
      </c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</row>
    <row r="25" spans="2:22" x14ac:dyDescent="0.2">
      <c r="B25" s="90"/>
      <c r="C25" s="90" t="s">
        <v>429</v>
      </c>
      <c r="D25" s="90"/>
      <c r="E25" s="151" t="s">
        <v>428</v>
      </c>
      <c r="F25" s="285">
        <f>F27/F20*10^7</f>
        <v>372188.26876855316</v>
      </c>
      <c r="G25" s="285">
        <f>G27/G20*10^7</f>
        <v>353916.11593655072</v>
      </c>
      <c r="H25" s="285">
        <f>H27/H20*10^7</f>
        <v>322387.0279800655</v>
      </c>
      <c r="I25" s="285">
        <f>I27/I20*10^7</f>
        <v>476369.82747479761</v>
      </c>
      <c r="J25" s="309"/>
      <c r="K25" s="90"/>
      <c r="L25" s="257">
        <f>AVERAGE(F25:I25)</f>
        <v>381215.31003999175</v>
      </c>
      <c r="M25" s="257">
        <f>L25*(1+M26)</f>
        <v>396463.92244159145</v>
      </c>
      <c r="N25" s="257">
        <f t="shared" ref="N25:T25" si="4">M25*(1+N26)</f>
        <v>412322.47933925514</v>
      </c>
      <c r="O25" s="257">
        <f t="shared" si="4"/>
        <v>428815.37851282535</v>
      </c>
      <c r="P25" s="257">
        <f t="shared" si="4"/>
        <v>445967.9936533384</v>
      </c>
      <c r="Q25" s="257">
        <f t="shared" si="4"/>
        <v>463806.71339947195</v>
      </c>
      <c r="R25" s="257">
        <f t="shared" si="4"/>
        <v>482358.98193545087</v>
      </c>
      <c r="S25" s="257">
        <f t="shared" si="4"/>
        <v>501653.34121286892</v>
      </c>
      <c r="T25" s="257">
        <f t="shared" si="4"/>
        <v>521719.47486138367</v>
      </c>
    </row>
    <row r="26" spans="2:22" x14ac:dyDescent="0.2">
      <c r="B26" s="90"/>
      <c r="C26" s="64" t="s">
        <v>427</v>
      </c>
      <c r="D26" s="90"/>
      <c r="E26" s="151" t="s">
        <v>282</v>
      </c>
      <c r="F26" s="309"/>
      <c r="G26" s="309"/>
      <c r="H26" s="309"/>
      <c r="I26" s="309"/>
      <c r="J26" s="309"/>
      <c r="K26" s="90"/>
      <c r="L26" s="90"/>
      <c r="M26" s="160">
        <v>0.04</v>
      </c>
      <c r="N26" s="175">
        <f>M26</f>
        <v>0.04</v>
      </c>
      <c r="O26" s="175">
        <f t="shared" ref="O26:T26" si="5">N26</f>
        <v>0.04</v>
      </c>
      <c r="P26" s="175">
        <f t="shared" si="5"/>
        <v>0.04</v>
      </c>
      <c r="Q26" s="175">
        <f t="shared" si="5"/>
        <v>0.04</v>
      </c>
      <c r="R26" s="175">
        <f t="shared" si="5"/>
        <v>0.04</v>
      </c>
      <c r="S26" s="175">
        <f t="shared" si="5"/>
        <v>0.04</v>
      </c>
      <c r="T26" s="175">
        <f t="shared" si="5"/>
        <v>0.04</v>
      </c>
    </row>
    <row r="27" spans="2:22" x14ac:dyDescent="0.2">
      <c r="C27" s="64" t="s">
        <v>350</v>
      </c>
      <c r="E27" s="151" t="s">
        <v>342</v>
      </c>
      <c r="F27" s="65">
        <f>PL!F7</f>
        <v>3515.4603000000002</v>
      </c>
      <c r="G27" s="65">
        <f>PL!G7</f>
        <v>3247.0526</v>
      </c>
      <c r="H27" s="65">
        <f>PL!H7</f>
        <v>2957.7846</v>
      </c>
      <c r="I27" s="65">
        <f>PL!I7</f>
        <v>3704.5113999999999</v>
      </c>
      <c r="J27" s="66">
        <f>PL!J7</f>
        <v>3979.1817999999998</v>
      </c>
      <c r="K27" s="154">
        <v>400</v>
      </c>
      <c r="L27" s="328">
        <f>L25*L20/10^7*3/12</f>
        <v>266.85071702799422</v>
      </c>
      <c r="M27" s="328">
        <f t="shared" ref="M27:T27" si="6">M25*M20/10^7</f>
        <v>1387.62372854557</v>
      </c>
      <c r="N27" s="328">
        <f t="shared" si="6"/>
        <v>2020.38014876235</v>
      </c>
      <c r="O27" s="328">
        <f t="shared" si="6"/>
        <v>2401.3661196718222</v>
      </c>
      <c r="P27" s="328">
        <f t="shared" si="6"/>
        <v>2622.2918026816301</v>
      </c>
      <c r="Q27" s="328">
        <f t="shared" si="6"/>
        <v>2857.0493545407471</v>
      </c>
      <c r="R27" s="328">
        <f t="shared" si="6"/>
        <v>3106.3918436643035</v>
      </c>
      <c r="S27" s="328">
        <f t="shared" si="6"/>
        <v>3371.1104529504792</v>
      </c>
      <c r="T27" s="328">
        <f t="shared" si="6"/>
        <v>3652.0363240296861</v>
      </c>
      <c r="V27" s="153" t="s">
        <v>375</v>
      </c>
    </row>
    <row r="28" spans="2:22" x14ac:dyDescent="0.2">
      <c r="B28" s="64" t="s">
        <v>4</v>
      </c>
    </row>
    <row r="29" spans="2:22" x14ac:dyDescent="0.2">
      <c r="C29" s="64" t="s">
        <v>328</v>
      </c>
      <c r="E29" s="151" t="s">
        <v>287</v>
      </c>
      <c r="F29" s="67">
        <f>PL!F8/PL!F7</f>
        <v>8.565023476442045E-5</v>
      </c>
      <c r="G29" s="67">
        <f>PL!G8/PL!G7</f>
        <v>2.1949136272076406E-4</v>
      </c>
      <c r="H29" s="67">
        <f>PL!H8/PL!H7</f>
        <v>7.4853320961911843E-5</v>
      </c>
      <c r="I29" s="67">
        <f>PL!I8/PL!I7</f>
        <v>6.2842295477886779E-5</v>
      </c>
      <c r="J29" s="67">
        <f>PL!J8/PL!J7</f>
        <v>1.1713463305446362E-4</v>
      </c>
      <c r="K29" s="155">
        <f>AVERAGE(F29:I29)</f>
        <v>1.1070930348124579E-4</v>
      </c>
      <c r="L29" s="156">
        <f>K29</f>
        <v>1.1070930348124579E-4</v>
      </c>
      <c r="M29" s="156">
        <f>L29</f>
        <v>1.1070930348124579E-4</v>
      </c>
      <c r="N29" s="156">
        <f t="shared" ref="N29:T29" si="7">M29</f>
        <v>1.1070930348124579E-4</v>
      </c>
      <c r="O29" s="156">
        <f t="shared" si="7"/>
        <v>1.1070930348124579E-4</v>
      </c>
      <c r="P29" s="156">
        <f t="shared" si="7"/>
        <v>1.1070930348124579E-4</v>
      </c>
      <c r="Q29" s="156">
        <f t="shared" si="7"/>
        <v>1.1070930348124579E-4</v>
      </c>
      <c r="R29" s="156">
        <f t="shared" si="7"/>
        <v>1.1070930348124579E-4</v>
      </c>
      <c r="S29" s="156">
        <f t="shared" si="7"/>
        <v>1.1070930348124579E-4</v>
      </c>
      <c r="T29" s="156">
        <f t="shared" si="7"/>
        <v>1.1070930348124579E-4</v>
      </c>
      <c r="V29" s="153" t="s">
        <v>372</v>
      </c>
    </row>
    <row r="30" spans="2:22" x14ac:dyDescent="0.2">
      <c r="C30" s="64" t="s">
        <v>350</v>
      </c>
      <c r="E30" s="151" t="s">
        <v>342</v>
      </c>
      <c r="F30" s="65">
        <f>PL!F8</f>
        <v>0.30109999999999998</v>
      </c>
      <c r="G30" s="65">
        <f>PL!G8</f>
        <v>0.7127</v>
      </c>
      <c r="H30" s="65">
        <f>PL!H8</f>
        <v>0.22140000000000001</v>
      </c>
      <c r="I30" s="65">
        <f>PL!I8</f>
        <v>0.23280000000000001</v>
      </c>
      <c r="J30" s="65">
        <f>PL!J8</f>
        <v>0.46610000000000001</v>
      </c>
      <c r="K30" s="66">
        <f t="shared" ref="K30:T30" si="8">K27*K29</f>
        <v>4.4283721392498317E-2</v>
      </c>
      <c r="L30" s="66">
        <f t="shared" si="8"/>
        <v>2.9542857015640255E-2</v>
      </c>
      <c r="M30" s="66">
        <f t="shared" si="8"/>
        <v>0.15362285648132934</v>
      </c>
      <c r="N30" s="66">
        <f t="shared" si="8"/>
        <v>0.22367487903681552</v>
      </c>
      <c r="O30" s="66">
        <f t="shared" si="8"/>
        <v>0.26585357051232933</v>
      </c>
      <c r="P30" s="66">
        <f t="shared" si="8"/>
        <v>0.2903120989994637</v>
      </c>
      <c r="Q30" s="66">
        <f t="shared" si="8"/>
        <v>0.31630194405274897</v>
      </c>
      <c r="R30" s="66">
        <f t="shared" si="8"/>
        <v>0.343906477351898</v>
      </c>
      <c r="S30" s="66">
        <f t="shared" si="8"/>
        <v>0.37321329020449456</v>
      </c>
      <c r="T30" s="66">
        <f t="shared" si="8"/>
        <v>0.40431439772153582</v>
      </c>
    </row>
    <row r="32" spans="2:22" x14ac:dyDescent="0.2">
      <c r="B32" s="62" t="s">
        <v>348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</row>
    <row r="33" spans="2:22" x14ac:dyDescent="0.2"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</row>
    <row r="34" spans="2:22" x14ac:dyDescent="0.2">
      <c r="B34" s="90" t="s">
        <v>1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</row>
    <row r="35" spans="2:22" x14ac:dyDescent="0.2">
      <c r="C35" s="64" t="s">
        <v>328</v>
      </c>
      <c r="E35" s="151" t="s">
        <v>287</v>
      </c>
      <c r="F35" s="68">
        <f>PL!F12/PL!F7</f>
        <v>0.87511356620923864</v>
      </c>
      <c r="G35" s="68">
        <f>PL!G12/PL!G7</f>
        <v>0.85849416175149129</v>
      </c>
      <c r="H35" s="68">
        <f>PL!H12/PL!H7</f>
        <v>0.84833919278638492</v>
      </c>
      <c r="I35" s="68">
        <f>PL!I12/PL!I7</f>
        <v>0.86834987199661473</v>
      </c>
      <c r="J35" s="68">
        <f>PL!J12/PL!J7</f>
        <v>0.88167610235853011</v>
      </c>
      <c r="K35" s="155">
        <v>0.86</v>
      </c>
      <c r="L35" s="157">
        <f>K35</f>
        <v>0.86</v>
      </c>
      <c r="M35" s="157">
        <f t="shared" ref="M35:T35" si="9">L35</f>
        <v>0.86</v>
      </c>
      <c r="N35" s="157">
        <f t="shared" si="9"/>
        <v>0.86</v>
      </c>
      <c r="O35" s="157">
        <f t="shared" si="9"/>
        <v>0.86</v>
      </c>
      <c r="P35" s="157">
        <f t="shared" si="9"/>
        <v>0.86</v>
      </c>
      <c r="Q35" s="157">
        <f t="shared" si="9"/>
        <v>0.86</v>
      </c>
      <c r="R35" s="157">
        <f t="shared" si="9"/>
        <v>0.86</v>
      </c>
      <c r="S35" s="157">
        <f t="shared" si="9"/>
        <v>0.86</v>
      </c>
      <c r="T35" s="157">
        <f t="shared" si="9"/>
        <v>0.86</v>
      </c>
      <c r="V35" s="153" t="s">
        <v>372</v>
      </c>
    </row>
    <row r="36" spans="2:22" x14ac:dyDescent="0.2">
      <c r="C36" s="64" t="s">
        <v>350</v>
      </c>
      <c r="E36" s="151" t="s">
        <v>342</v>
      </c>
      <c r="F36" s="64">
        <f>PL!F73</f>
        <v>3076.4270000000001</v>
      </c>
      <c r="G36" s="64">
        <f>PL!G73</f>
        <v>2787.5757000000003</v>
      </c>
      <c r="H36" s="64">
        <f>PL!H73</f>
        <v>2509.2046000000005</v>
      </c>
      <c r="I36" s="64">
        <f>PL!I73</f>
        <v>3216.8119999999999</v>
      </c>
      <c r="J36" s="64">
        <f>PL!J73</f>
        <v>3508.3494999999998</v>
      </c>
      <c r="K36" s="71">
        <f t="shared" ref="K36:T36" si="10">K27*K35</f>
        <v>344</v>
      </c>
      <c r="L36" s="71">
        <f t="shared" si="10"/>
        <v>229.49161664407504</v>
      </c>
      <c r="M36" s="71">
        <f t="shared" si="10"/>
        <v>1193.3564065491901</v>
      </c>
      <c r="N36" s="71">
        <f t="shared" si="10"/>
        <v>1737.526927935621</v>
      </c>
      <c r="O36" s="71">
        <f t="shared" si="10"/>
        <v>2065.1748629177669</v>
      </c>
      <c r="P36" s="71">
        <f t="shared" si="10"/>
        <v>2255.170950306202</v>
      </c>
      <c r="Q36" s="71">
        <f t="shared" si="10"/>
        <v>2457.0624449050424</v>
      </c>
      <c r="R36" s="71">
        <f t="shared" si="10"/>
        <v>2671.4969855513009</v>
      </c>
      <c r="S36" s="71">
        <f t="shared" si="10"/>
        <v>2899.1549895374119</v>
      </c>
      <c r="T36" s="71">
        <f t="shared" si="10"/>
        <v>3140.7512386655299</v>
      </c>
    </row>
    <row r="37" spans="2:22" hidden="1" x14ac:dyDescent="0.2">
      <c r="E37" s="151"/>
      <c r="F37" s="68">
        <f>PL!F13/PL!F7</f>
        <v>0</v>
      </c>
      <c r="G37" s="68">
        <f>PL!G13/PL!G7</f>
        <v>0</v>
      </c>
      <c r="H37" s="68">
        <f>PL!H13/PL!H7</f>
        <v>0</v>
      </c>
      <c r="I37" s="68">
        <f>PL!I13/PL!I7</f>
        <v>0</v>
      </c>
      <c r="J37" s="68">
        <f>PL!J13/PL!J7</f>
        <v>0</v>
      </c>
      <c r="K37" s="155">
        <f>AVERAGE(F37:I37)</f>
        <v>0</v>
      </c>
      <c r="L37" s="157">
        <f>K37</f>
        <v>0</v>
      </c>
      <c r="M37" s="157">
        <f t="shared" ref="M37:T37" si="11">L37</f>
        <v>0</v>
      </c>
      <c r="N37" s="157">
        <f t="shared" si="11"/>
        <v>0</v>
      </c>
      <c r="O37" s="157">
        <f t="shared" si="11"/>
        <v>0</v>
      </c>
      <c r="P37" s="157">
        <f t="shared" si="11"/>
        <v>0</v>
      </c>
      <c r="Q37" s="157">
        <f t="shared" si="11"/>
        <v>0</v>
      </c>
      <c r="R37" s="157">
        <f t="shared" si="11"/>
        <v>0</v>
      </c>
      <c r="S37" s="157">
        <f t="shared" si="11"/>
        <v>0</v>
      </c>
      <c r="T37" s="157">
        <f t="shared" si="11"/>
        <v>0</v>
      </c>
      <c r="V37" s="153" t="s">
        <v>372</v>
      </c>
    </row>
    <row r="38" spans="2:22" x14ac:dyDescent="0.2">
      <c r="B38" s="90" t="s">
        <v>2</v>
      </c>
      <c r="E38" s="159"/>
    </row>
    <row r="39" spans="2:22" x14ac:dyDescent="0.2">
      <c r="C39" s="64" t="s">
        <v>328</v>
      </c>
      <c r="E39" s="151" t="s">
        <v>282</v>
      </c>
      <c r="F39" s="68"/>
      <c r="G39" s="68"/>
      <c r="H39" s="68"/>
      <c r="I39" s="68"/>
      <c r="J39" s="69"/>
      <c r="K39" s="72"/>
      <c r="L39" s="72"/>
      <c r="M39" s="72"/>
      <c r="N39" s="160">
        <v>0.05</v>
      </c>
      <c r="O39" s="157">
        <f>N39</f>
        <v>0.05</v>
      </c>
      <c r="P39" s="157">
        <f t="shared" ref="P39:T39" si="12">O39</f>
        <v>0.05</v>
      </c>
      <c r="Q39" s="157">
        <f t="shared" si="12"/>
        <v>0.05</v>
      </c>
      <c r="R39" s="157">
        <f t="shared" si="12"/>
        <v>0.05</v>
      </c>
      <c r="S39" s="157">
        <f t="shared" si="12"/>
        <v>0.05</v>
      </c>
      <c r="T39" s="157">
        <f t="shared" si="12"/>
        <v>0.05</v>
      </c>
      <c r="V39" s="153" t="s">
        <v>373</v>
      </c>
    </row>
    <row r="40" spans="2:22" x14ac:dyDescent="0.2">
      <c r="B40" s="90"/>
      <c r="C40" s="64" t="s">
        <v>350</v>
      </c>
      <c r="E40" s="151" t="s">
        <v>342</v>
      </c>
      <c r="F40" s="65">
        <f>PL!F14</f>
        <v>73.524499999999989</v>
      </c>
      <c r="G40" s="65">
        <f>PL!G14</f>
        <v>73.355100000000022</v>
      </c>
      <c r="H40" s="65">
        <f>PL!H14</f>
        <v>54.446400000000011</v>
      </c>
      <c r="I40" s="65">
        <f>PL!I14</f>
        <v>58.299599999999998</v>
      </c>
      <c r="J40" s="70">
        <f>PL!J14</f>
        <v>60.279200000000017</v>
      </c>
      <c r="K40" s="161">
        <v>30</v>
      </c>
      <c r="L40" s="161">
        <v>30</v>
      </c>
      <c r="M40" s="161">
        <v>60</v>
      </c>
      <c r="N40" s="71">
        <f>M40*(1+N39)</f>
        <v>63</v>
      </c>
      <c r="O40" s="71">
        <f t="shared" ref="O40:T40" si="13">N40*(1+O39)</f>
        <v>66.150000000000006</v>
      </c>
      <c r="P40" s="71">
        <f t="shared" si="13"/>
        <v>69.45750000000001</v>
      </c>
      <c r="Q40" s="71">
        <f t="shared" si="13"/>
        <v>72.930375000000012</v>
      </c>
      <c r="R40" s="71">
        <f t="shared" si="13"/>
        <v>76.576893750000011</v>
      </c>
      <c r="S40" s="71">
        <f t="shared" si="13"/>
        <v>80.40573843750002</v>
      </c>
      <c r="T40" s="71">
        <f t="shared" si="13"/>
        <v>84.426025359375018</v>
      </c>
      <c r="V40" s="153" t="s">
        <v>374</v>
      </c>
    </row>
    <row r="41" spans="2:22" x14ac:dyDescent="0.2">
      <c r="B41" s="158" t="s">
        <v>80</v>
      </c>
      <c r="E41" s="90"/>
      <c r="F41" s="65"/>
      <c r="G41" s="65"/>
      <c r="H41" s="65"/>
      <c r="I41" s="65"/>
      <c r="J41" s="65"/>
    </row>
    <row r="42" spans="2:22" x14ac:dyDescent="0.2">
      <c r="C42" s="64" t="s">
        <v>328</v>
      </c>
      <c r="E42" s="151" t="s">
        <v>287</v>
      </c>
      <c r="F42" s="68">
        <f>PL!F99/PL!F9</f>
        <v>3.272642449513212E-2</v>
      </c>
      <c r="G42" s="68">
        <f>PL!G99/PL!G9</f>
        <v>3.9113817737999726E-2</v>
      </c>
      <c r="H42" s="68">
        <f>PL!H99/PL!H9</f>
        <v>3.6348303553136813E-2</v>
      </c>
      <c r="I42" s="68">
        <f>PL!I99/PL!I9</f>
        <v>3.0988347319634103E-2</v>
      </c>
      <c r="J42" s="68">
        <f>PL!J99/PL!J9</f>
        <v>3.3143610518910481E-2</v>
      </c>
      <c r="K42" s="155">
        <f>AVERAGE(F42:I42)</f>
        <v>3.4794223276475689E-2</v>
      </c>
      <c r="L42" s="157">
        <f>K42</f>
        <v>3.4794223276475689E-2</v>
      </c>
      <c r="M42" s="157">
        <f t="shared" ref="M42:T42" si="14">L42</f>
        <v>3.4794223276475689E-2</v>
      </c>
      <c r="N42" s="157">
        <f t="shared" si="14"/>
        <v>3.4794223276475689E-2</v>
      </c>
      <c r="O42" s="157">
        <f t="shared" si="14"/>
        <v>3.4794223276475689E-2</v>
      </c>
      <c r="P42" s="157">
        <f t="shared" si="14"/>
        <v>3.4794223276475689E-2</v>
      </c>
      <c r="Q42" s="157">
        <f t="shared" si="14"/>
        <v>3.4794223276475689E-2</v>
      </c>
      <c r="R42" s="157">
        <f t="shared" si="14"/>
        <v>3.4794223276475689E-2</v>
      </c>
      <c r="S42" s="157">
        <f t="shared" si="14"/>
        <v>3.4794223276475689E-2</v>
      </c>
      <c r="T42" s="157">
        <f t="shared" si="14"/>
        <v>3.4794223276475689E-2</v>
      </c>
      <c r="V42" s="153" t="s">
        <v>372</v>
      </c>
    </row>
    <row r="43" spans="2:22" x14ac:dyDescent="0.2">
      <c r="B43" s="158"/>
      <c r="C43" s="64" t="s">
        <v>350</v>
      </c>
      <c r="E43" s="151" t="s">
        <v>342</v>
      </c>
      <c r="F43" s="71">
        <f>PL!F99</f>
        <v>115.0583</v>
      </c>
      <c r="G43" s="71">
        <f>PL!G99</f>
        <v>127.0325</v>
      </c>
      <c r="H43" s="71">
        <f>PL!H99</f>
        <v>107.5185</v>
      </c>
      <c r="I43" s="71">
        <f>PL!I99</f>
        <v>114.8039</v>
      </c>
      <c r="J43" s="71">
        <f>PL!J99</f>
        <v>131.8999</v>
      </c>
      <c r="K43" s="71">
        <f t="shared" ref="K43:T43" si="15">K27*K42</f>
        <v>13.917689310590276</v>
      </c>
      <c r="L43" s="71">
        <f t="shared" si="15"/>
        <v>9.2848634297596639</v>
      </c>
      <c r="M43" s="71">
        <f t="shared" si="15"/>
        <v>48.281289834750254</v>
      </c>
      <c r="N43" s="71">
        <f t="shared" si="15"/>
        <v>70.297557999396375</v>
      </c>
      <c r="O43" s="71">
        <f t="shared" si="15"/>
        <v>83.553668936425424</v>
      </c>
      <c r="P43" s="71">
        <f t="shared" si="15"/>
        <v>91.240606478576566</v>
      </c>
      <c r="Q43" s="71">
        <f t="shared" si="15"/>
        <v>99.408813153801503</v>
      </c>
      <c r="R43" s="71">
        <f t="shared" si="15"/>
        <v>108.08449139267874</v>
      </c>
      <c r="S43" s="71">
        <f t="shared" si="15"/>
        <v>117.29516978962006</v>
      </c>
      <c r="T43" s="71">
        <f t="shared" si="15"/>
        <v>127.06976727208841</v>
      </c>
    </row>
    <row r="44" spans="2:22" x14ac:dyDescent="0.2">
      <c r="B44" s="158" t="s">
        <v>81</v>
      </c>
      <c r="C44" s="163"/>
      <c r="E44" s="151"/>
    </row>
    <row r="45" spans="2:22" x14ac:dyDescent="0.2">
      <c r="C45" s="64" t="s">
        <v>328</v>
      </c>
      <c r="E45" s="151" t="s">
        <v>282</v>
      </c>
      <c r="F45" s="68"/>
      <c r="G45" s="72"/>
      <c r="H45" s="72"/>
      <c r="I45" s="72"/>
      <c r="J45" s="72"/>
      <c r="K45" s="160"/>
      <c r="L45" s="160"/>
      <c r="M45" s="160"/>
      <c r="N45" s="160">
        <v>0.05</v>
      </c>
      <c r="O45" s="164">
        <f t="shared" ref="O45:T45" si="16">N45</f>
        <v>0.05</v>
      </c>
      <c r="P45" s="164">
        <f t="shared" si="16"/>
        <v>0.05</v>
      </c>
      <c r="Q45" s="164">
        <f t="shared" si="16"/>
        <v>0.05</v>
      </c>
      <c r="R45" s="164">
        <f t="shared" si="16"/>
        <v>0.05</v>
      </c>
      <c r="S45" s="164">
        <f t="shared" si="16"/>
        <v>0.05</v>
      </c>
      <c r="T45" s="164">
        <f t="shared" si="16"/>
        <v>0.05</v>
      </c>
      <c r="V45" s="153" t="s">
        <v>373</v>
      </c>
    </row>
    <row r="46" spans="2:22" x14ac:dyDescent="0.2">
      <c r="C46" s="64" t="s">
        <v>350</v>
      </c>
      <c r="E46" s="151" t="s">
        <v>342</v>
      </c>
      <c r="F46" s="73">
        <f>PL!F100</f>
        <v>29.721</v>
      </c>
      <c r="G46" s="74">
        <f>PL!G100</f>
        <v>31.6496</v>
      </c>
      <c r="H46" s="74">
        <f>PL!H100</f>
        <v>23.781300000000002</v>
      </c>
      <c r="I46" s="74">
        <f>PL!I100</f>
        <v>28.6067</v>
      </c>
      <c r="J46" s="74">
        <f>PL!J100</f>
        <v>26.483400000000003</v>
      </c>
      <c r="K46" s="165">
        <v>15</v>
      </c>
      <c r="L46" s="165">
        <v>15</v>
      </c>
      <c r="M46" s="165">
        <v>26</v>
      </c>
      <c r="N46" s="166">
        <f t="shared" ref="N46:T46" si="17">M46*(1+N45)</f>
        <v>27.3</v>
      </c>
      <c r="O46" s="166">
        <f t="shared" si="17"/>
        <v>28.665000000000003</v>
      </c>
      <c r="P46" s="166">
        <f t="shared" si="17"/>
        <v>30.098250000000004</v>
      </c>
      <c r="Q46" s="166">
        <f t="shared" si="17"/>
        <v>31.603162500000007</v>
      </c>
      <c r="R46" s="166">
        <f t="shared" si="17"/>
        <v>33.183320625000007</v>
      </c>
      <c r="S46" s="166">
        <f t="shared" si="17"/>
        <v>34.84248665625001</v>
      </c>
      <c r="T46" s="166">
        <f t="shared" si="17"/>
        <v>36.584610989062512</v>
      </c>
      <c r="V46" s="153" t="s">
        <v>409</v>
      </c>
    </row>
    <row r="47" spans="2:22" x14ac:dyDescent="0.2">
      <c r="B47" s="167" t="s">
        <v>82</v>
      </c>
      <c r="C47" s="158"/>
      <c r="E47" s="158"/>
      <c r="F47" s="68"/>
      <c r="G47" s="68"/>
      <c r="H47" s="68"/>
      <c r="I47" s="68"/>
      <c r="J47" s="68"/>
    </row>
    <row r="48" spans="2:22" x14ac:dyDescent="0.2">
      <c r="C48" s="64" t="s">
        <v>328</v>
      </c>
      <c r="E48" s="151" t="s">
        <v>287</v>
      </c>
      <c r="F48" s="68">
        <f>PL!F101/PL!F9</f>
        <v>7.6807828881675531E-3</v>
      </c>
      <c r="G48" s="68">
        <f>PL!G101/PL!G9</f>
        <v>8.4664984874368836E-3</v>
      </c>
      <c r="H48" s="68">
        <f>PL!H101/PL!H9</f>
        <v>1.6096890946130604E-2</v>
      </c>
      <c r="I48" s="68">
        <f>PL!I101/PL!I9</f>
        <v>1.1872560594062066E-2</v>
      </c>
      <c r="J48" s="68">
        <f>PL!J101/PL!J9</f>
        <v>1.853106150420996E-2</v>
      </c>
      <c r="K48" s="155">
        <f>AVERAGE(F48:I48)</f>
        <v>1.1029183228949278E-2</v>
      </c>
      <c r="L48" s="157">
        <f>K48</f>
        <v>1.1029183228949278E-2</v>
      </c>
      <c r="M48" s="157">
        <f t="shared" ref="M48:T48" si="18">L48</f>
        <v>1.1029183228949278E-2</v>
      </c>
      <c r="N48" s="157">
        <f t="shared" si="18"/>
        <v>1.1029183228949278E-2</v>
      </c>
      <c r="O48" s="157">
        <f t="shared" si="18"/>
        <v>1.1029183228949278E-2</v>
      </c>
      <c r="P48" s="157">
        <f t="shared" si="18"/>
        <v>1.1029183228949278E-2</v>
      </c>
      <c r="Q48" s="157">
        <f t="shared" si="18"/>
        <v>1.1029183228949278E-2</v>
      </c>
      <c r="R48" s="157">
        <f t="shared" si="18"/>
        <v>1.1029183228949278E-2</v>
      </c>
      <c r="S48" s="157">
        <f t="shared" si="18"/>
        <v>1.1029183228949278E-2</v>
      </c>
      <c r="T48" s="157">
        <f t="shared" si="18"/>
        <v>1.1029183228949278E-2</v>
      </c>
      <c r="V48" s="153" t="s">
        <v>372</v>
      </c>
    </row>
    <row r="49" spans="2:20" x14ac:dyDescent="0.2">
      <c r="C49" s="64" t="s">
        <v>350</v>
      </c>
      <c r="E49" s="151" t="s">
        <v>342</v>
      </c>
      <c r="F49" s="71">
        <f>PL!F101</f>
        <v>27.003800000000002</v>
      </c>
      <c r="G49" s="71">
        <f>PL!G101</f>
        <v>27.497199999999999</v>
      </c>
      <c r="H49" s="71">
        <f>PL!H101</f>
        <v>47.614699999999999</v>
      </c>
      <c r="I49" s="71">
        <f>PL!I101</f>
        <v>43.984799999999993</v>
      </c>
      <c r="J49" s="71">
        <f>PL!J101</f>
        <v>73.747100000000003</v>
      </c>
      <c r="K49" s="71">
        <f t="shared" ref="K49:T49" si="19">K27*K48</f>
        <v>4.411673291579711</v>
      </c>
      <c r="L49" s="71">
        <f t="shared" si="19"/>
        <v>2.9431454528782433</v>
      </c>
      <c r="M49" s="71">
        <f t="shared" si="19"/>
        <v>15.304356354966865</v>
      </c>
      <c r="N49" s="71">
        <f t="shared" si="19"/>
        <v>22.283142852831759</v>
      </c>
      <c r="O49" s="71">
        <f t="shared" si="19"/>
        <v>26.485106933651466</v>
      </c>
      <c r="P49" s="71">
        <f t="shared" si="19"/>
        <v>28.921736771547401</v>
      </c>
      <c r="Q49" s="71">
        <f t="shared" si="19"/>
        <v>31.510920825381167</v>
      </c>
      <c r="R49" s="71">
        <f t="shared" si="19"/>
        <v>34.260964824687164</v>
      </c>
      <c r="S49" s="71">
        <f t="shared" si="19"/>
        <v>37.180594870617028</v>
      </c>
      <c r="T49" s="71">
        <f t="shared" si="19"/>
        <v>40.278977776501783</v>
      </c>
    </row>
    <row r="50" spans="2:20" x14ac:dyDescent="0.2">
      <c r="B50" s="64" t="s">
        <v>50</v>
      </c>
      <c r="C50" s="168"/>
      <c r="E50" s="163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</row>
    <row r="51" spans="2:20" x14ac:dyDescent="0.2">
      <c r="C51" s="64" t="s">
        <v>350</v>
      </c>
      <c r="E51" s="151" t="s">
        <v>342</v>
      </c>
      <c r="F51" s="71">
        <f>F40+F43+F49</f>
        <v>215.5866</v>
      </c>
      <c r="G51" s="71">
        <f t="shared" ref="G51:T51" si="20">G40+G43+G49</f>
        <v>227.88480000000001</v>
      </c>
      <c r="H51" s="71">
        <f t="shared" si="20"/>
        <v>209.5796</v>
      </c>
      <c r="I51" s="71">
        <f t="shared" si="20"/>
        <v>217.0883</v>
      </c>
      <c r="J51" s="71">
        <f t="shared" si="20"/>
        <v>265.92619999999999</v>
      </c>
      <c r="K51" s="71">
        <f t="shared" si="20"/>
        <v>48.329362602169986</v>
      </c>
      <c r="L51" s="71">
        <f t="shared" si="20"/>
        <v>42.228008882637909</v>
      </c>
      <c r="M51" s="71">
        <f t="shared" si="20"/>
        <v>123.58564618971712</v>
      </c>
      <c r="N51" s="71">
        <f t="shared" si="20"/>
        <v>155.58070085222812</v>
      </c>
      <c r="O51" s="71">
        <f t="shared" si="20"/>
        <v>176.18877587007688</v>
      </c>
      <c r="P51" s="71">
        <f t="shared" si="20"/>
        <v>189.61984325012395</v>
      </c>
      <c r="Q51" s="71">
        <f t="shared" si="20"/>
        <v>203.85010897918266</v>
      </c>
      <c r="R51" s="71">
        <f t="shared" si="20"/>
        <v>218.9223499673659</v>
      </c>
      <c r="S51" s="71">
        <f t="shared" si="20"/>
        <v>234.8815030977371</v>
      </c>
      <c r="T51" s="71">
        <f t="shared" si="20"/>
        <v>251.77477040796521</v>
      </c>
    </row>
    <row r="52" spans="2:20" x14ac:dyDescent="0.2">
      <c r="E52" s="15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</row>
    <row r="53" spans="2:20" x14ac:dyDescent="0.2">
      <c r="B53" s="62" t="s">
        <v>279</v>
      </c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</row>
    <row r="54" spans="2:20" x14ac:dyDescent="0.2"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</row>
    <row r="55" spans="2:20" x14ac:dyDescent="0.2">
      <c r="B55" s="90" t="s">
        <v>288</v>
      </c>
      <c r="E55" s="151" t="s">
        <v>342</v>
      </c>
      <c r="L55" s="154">
        <f>+K179</f>
        <v>9</v>
      </c>
      <c r="M55" s="169"/>
    </row>
    <row r="57" spans="2:20" x14ac:dyDescent="0.2">
      <c r="B57" s="62" t="s">
        <v>284</v>
      </c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</row>
    <row r="58" spans="2:20" x14ac:dyDescent="0.2"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</row>
    <row r="59" spans="2:20" x14ac:dyDescent="0.2">
      <c r="B59" s="170" t="s">
        <v>285</v>
      </c>
      <c r="E59" s="171" t="s">
        <v>282</v>
      </c>
      <c r="K59" s="72">
        <f>IF(PL!K7&gt;400,30%,25%)*IF(PL!K27&gt;10,1.12,1.07)*1.04</f>
        <v>0.2782</v>
      </c>
      <c r="L59" s="72">
        <f ca="1">IF(PL!L7&gt;400,30%,25%)*IF(PL!L27&gt;10,1.12,1.07)*1.04</f>
        <v>0.2782</v>
      </c>
      <c r="M59" s="72">
        <f ca="1">IF(PL!M7&gt;400,30%,25%)*IF(PL!M27&gt;10,1.12,1.07)*1.04</f>
        <v>0.33384000000000003</v>
      </c>
      <c r="N59" s="72">
        <f ca="1">IF(PL!N7&gt;400,30%,25%)*IF(PL!N27&gt;10,1.12,1.07)*1.04</f>
        <v>0.34944000000000003</v>
      </c>
      <c r="O59" s="72">
        <f ca="1">IF(PL!O7&gt;400,30%,25%)*IF(PL!O27&gt;10,1.12,1.07)*1.04</f>
        <v>0.34944000000000003</v>
      </c>
      <c r="P59" s="72">
        <f ca="1">IF(PL!P7&gt;400,30%,25%)*IF(PL!P27&gt;10,1.12,1.07)*1.04</f>
        <v>0.34944000000000003</v>
      </c>
      <c r="Q59" s="72">
        <f ca="1">IF(PL!Q7&gt;400,30%,25%)*IF(PL!Q27&gt;10,1.12,1.07)*1.04</f>
        <v>0.34944000000000003</v>
      </c>
      <c r="R59" s="72">
        <f ca="1">IF(PL!R7&gt;400,30%,25%)*IF(PL!R27&gt;10,1.12,1.07)*1.04</f>
        <v>0.34944000000000003</v>
      </c>
      <c r="S59" s="72">
        <f ca="1">IF(PL!S7&gt;400,30%,25%)*IF(PL!S27&gt;10,1.12,1.07)*1.04</f>
        <v>0.34944000000000003</v>
      </c>
      <c r="T59" s="72">
        <f ca="1">IF(PL!T7&gt;400,30%,25%)*IF(PL!T27&gt;10,1.12,1.07)*1.04</f>
        <v>0.34944000000000003</v>
      </c>
    </row>
    <row r="60" spans="2:20" x14ac:dyDescent="0.2">
      <c r="B60" s="170" t="s">
        <v>286</v>
      </c>
      <c r="E60" s="171" t="s">
        <v>282</v>
      </c>
      <c r="K60" s="172">
        <f>15%*1.12*1.04</f>
        <v>0.17472000000000001</v>
      </c>
      <c r="L60" s="173">
        <f t="shared" ref="L60:T60" si="21">15%*1.12*1.04</f>
        <v>0.17472000000000001</v>
      </c>
      <c r="M60" s="173">
        <f t="shared" si="21"/>
        <v>0.17472000000000001</v>
      </c>
      <c r="N60" s="173">
        <f t="shared" si="21"/>
        <v>0.17472000000000001</v>
      </c>
      <c r="O60" s="173">
        <f t="shared" si="21"/>
        <v>0.17472000000000001</v>
      </c>
      <c r="P60" s="173">
        <f t="shared" si="21"/>
        <v>0.17472000000000001</v>
      </c>
      <c r="Q60" s="173">
        <f t="shared" si="21"/>
        <v>0.17472000000000001</v>
      </c>
      <c r="R60" s="173">
        <f t="shared" si="21"/>
        <v>0.17472000000000001</v>
      </c>
      <c r="S60" s="173">
        <f t="shared" si="21"/>
        <v>0.17472000000000001</v>
      </c>
      <c r="T60" s="173">
        <f t="shared" si="21"/>
        <v>0.17472000000000001</v>
      </c>
    </row>
    <row r="62" spans="2:20" x14ac:dyDescent="0.2">
      <c r="B62" s="62" t="s">
        <v>352</v>
      </c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</row>
    <row r="63" spans="2:20" x14ac:dyDescent="0.2"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</row>
    <row r="64" spans="2:20" x14ac:dyDescent="0.2">
      <c r="B64" s="136" t="s">
        <v>289</v>
      </c>
    </row>
    <row r="65" spans="2:21" x14ac:dyDescent="0.2">
      <c r="C65" s="144" t="s">
        <v>354</v>
      </c>
      <c r="K65" s="71">
        <f>BS!K22+BS!K26+BS!K28+BS!K29</f>
        <v>264.94792876712324</v>
      </c>
      <c r="L65" s="71">
        <f>BS!L22+BS!L26+BS!L28+BS!L29</f>
        <v>186.15273665218291</v>
      </c>
      <c r="M65" s="71">
        <f>BS!M22+BS!M26+BS!M28+BS!M29</f>
        <v>566.55757249877468</v>
      </c>
      <c r="N65" s="71">
        <f>BS!N22+BS!N26+BS!N28+BS!N29</f>
        <v>812.03239195821595</v>
      </c>
      <c r="O65" s="71">
        <f>BS!O22+BS!O26+BS!O28+BS!O29</f>
        <v>959.83407272747957</v>
      </c>
      <c r="P65" s="71">
        <f>BS!P22+BS!P26+BS!P28+BS!P29</f>
        <v>1045.5411322184077</v>
      </c>
      <c r="Q65" s="71">
        <f>BS!Q22+BS!Q26+BS!Q28+BS!Q29</f>
        <v>1136.6141989122459</v>
      </c>
      <c r="R65" s="71">
        <f>BS!R22+BS!R26+BS!R28+BS!R29</f>
        <v>1233.3454220900421</v>
      </c>
      <c r="S65" s="71">
        <f>BS!S22+BS!S26+BS!S28+BS!S29</f>
        <v>1336.0417373638022</v>
      </c>
      <c r="T65" s="71">
        <f>BS!T22+BS!T26+BS!T28+BS!T29</f>
        <v>1445.0255821441192</v>
      </c>
    </row>
    <row r="66" spans="2:21" x14ac:dyDescent="0.2">
      <c r="C66" s="144" t="s">
        <v>353</v>
      </c>
      <c r="K66" s="71">
        <f ca="1">BS!K53-BS!K46</f>
        <v>105.47946027397262</v>
      </c>
      <c r="L66" s="71">
        <f ca="1">BS!L53-BS!L46</f>
        <v>80.381732415139723</v>
      </c>
      <c r="M66" s="71">
        <f ca="1">BS!M53-BS!M46</f>
        <v>160.86098427936329</v>
      </c>
      <c r="N66" s="71">
        <f ca="1">BS!N53-BS!N46</f>
        <v>220.49610991075298</v>
      </c>
      <c r="O66" s="71">
        <f ca="1">BS!O53-BS!O46</f>
        <v>256.40273292249498</v>
      </c>
      <c r="P66" s="71">
        <f ca="1">BS!P53-BS!P46</f>
        <v>277.2242219513646</v>
      </c>
      <c r="Q66" s="71">
        <f ca="1">BS!Q53-BS!Q46</f>
        <v>299.34931724986768</v>
      </c>
      <c r="R66" s="71">
        <f ca="1">BS!R53-BS!R46</f>
        <v>322.84899293712886</v>
      </c>
      <c r="S66" s="71">
        <f ca="1">BS!S53-BS!S46</f>
        <v>347.79781529177114</v>
      </c>
      <c r="T66" s="71">
        <f>BS!T53-BS!T46</f>
        <v>374.27411656608547</v>
      </c>
    </row>
    <row r="67" spans="2:21" x14ac:dyDescent="0.2">
      <c r="C67" s="144" t="s">
        <v>290</v>
      </c>
      <c r="K67" s="71">
        <f ca="1">K65-K66</f>
        <v>159.46846849315062</v>
      </c>
      <c r="L67" s="71">
        <f ca="1">L65-L66</f>
        <v>105.77100423704319</v>
      </c>
      <c r="M67" s="71">
        <f t="shared" ref="M67:T67" ca="1" si="22">M65-M66</f>
        <v>405.69658821941141</v>
      </c>
      <c r="N67" s="71">
        <f t="shared" ca="1" si="22"/>
        <v>591.53628204746292</v>
      </c>
      <c r="O67" s="71">
        <f t="shared" ca="1" si="22"/>
        <v>703.43133980498465</v>
      </c>
      <c r="P67" s="71">
        <f t="shared" ca="1" si="22"/>
        <v>768.31691026704311</v>
      </c>
      <c r="Q67" s="71">
        <f t="shared" ca="1" si="22"/>
        <v>837.26488166237823</v>
      </c>
      <c r="R67" s="71">
        <f t="shared" ca="1" si="22"/>
        <v>910.49642915291327</v>
      </c>
      <c r="S67" s="71">
        <f t="shared" ca="1" si="22"/>
        <v>988.24392207203107</v>
      </c>
      <c r="T67" s="71">
        <f t="shared" si="22"/>
        <v>1070.7514655780337</v>
      </c>
    </row>
    <row r="68" spans="2:21" hidden="1" x14ac:dyDescent="0.2">
      <c r="C68" s="144" t="s">
        <v>326</v>
      </c>
      <c r="E68" s="171" t="s">
        <v>282</v>
      </c>
      <c r="K68" s="71"/>
      <c r="L68" s="174">
        <v>0</v>
      </c>
      <c r="M68" s="175">
        <f>L68</f>
        <v>0</v>
      </c>
      <c r="N68" s="175">
        <f t="shared" ref="N68:T68" si="23">M68</f>
        <v>0</v>
      </c>
      <c r="O68" s="175">
        <f t="shared" si="23"/>
        <v>0</v>
      </c>
      <c r="P68" s="175">
        <f t="shared" si="23"/>
        <v>0</v>
      </c>
      <c r="Q68" s="175">
        <f t="shared" si="23"/>
        <v>0</v>
      </c>
      <c r="R68" s="175">
        <f t="shared" si="23"/>
        <v>0</v>
      </c>
      <c r="S68" s="175">
        <f t="shared" si="23"/>
        <v>0</v>
      </c>
      <c r="T68" s="175">
        <f t="shared" si="23"/>
        <v>0</v>
      </c>
    </row>
    <row r="69" spans="2:21" hidden="1" x14ac:dyDescent="0.2">
      <c r="C69" s="144" t="s">
        <v>173</v>
      </c>
      <c r="E69" s="171"/>
      <c r="K69" s="71"/>
      <c r="L69" s="71">
        <f ca="1">L67*L68</f>
        <v>0</v>
      </c>
      <c r="M69" s="71"/>
      <c r="N69" s="71"/>
      <c r="O69" s="71"/>
      <c r="P69" s="71"/>
      <c r="Q69" s="71"/>
      <c r="R69" s="71"/>
      <c r="S69" s="71"/>
      <c r="T69" s="71"/>
    </row>
    <row r="70" spans="2:21" hidden="1" x14ac:dyDescent="0.2">
      <c r="C70" s="144" t="s">
        <v>327</v>
      </c>
      <c r="E70" s="171"/>
      <c r="K70" s="71"/>
      <c r="L70" s="71">
        <f ca="1">L67-L69</f>
        <v>105.77100423704319</v>
      </c>
      <c r="M70" s="71">
        <f ca="1">M67-M69</f>
        <v>405.69658821941141</v>
      </c>
      <c r="N70" s="71">
        <f t="shared" ref="N70:T70" ca="1" si="24">N67-N69</f>
        <v>591.53628204746292</v>
      </c>
      <c r="O70" s="71">
        <f t="shared" ca="1" si="24"/>
        <v>703.43133980498465</v>
      </c>
      <c r="P70" s="71">
        <f t="shared" ca="1" si="24"/>
        <v>768.31691026704311</v>
      </c>
      <c r="Q70" s="71">
        <f t="shared" ca="1" si="24"/>
        <v>837.26488166237823</v>
      </c>
      <c r="R70" s="71">
        <f t="shared" ca="1" si="24"/>
        <v>910.49642915291327</v>
      </c>
      <c r="S70" s="71">
        <f t="shared" ca="1" si="24"/>
        <v>988.24392207203107</v>
      </c>
      <c r="T70" s="71">
        <f t="shared" si="24"/>
        <v>1070.7514655780337</v>
      </c>
    </row>
    <row r="71" spans="2:21" s="90" customFormat="1" x14ac:dyDescent="0.2">
      <c r="B71" s="64"/>
      <c r="C71" s="144" t="s">
        <v>324</v>
      </c>
      <c r="D71" s="64"/>
      <c r="E71" s="151" t="s">
        <v>282</v>
      </c>
      <c r="F71" s="64"/>
      <c r="G71" s="64"/>
      <c r="H71" s="64"/>
      <c r="I71" s="64"/>
      <c r="J71" s="64"/>
      <c r="K71" s="71"/>
      <c r="L71" s="174"/>
      <c r="M71" s="174">
        <v>1</v>
      </c>
      <c r="N71" s="175"/>
      <c r="O71" s="175"/>
      <c r="P71" s="175"/>
      <c r="Q71" s="175"/>
      <c r="R71" s="175"/>
      <c r="S71" s="175"/>
      <c r="T71" s="175"/>
    </row>
    <row r="72" spans="2:21" x14ac:dyDescent="0.2">
      <c r="C72" s="144" t="s">
        <v>291</v>
      </c>
      <c r="E72" s="176"/>
      <c r="L72" s="71">
        <f ca="1">L70*L71</f>
        <v>0</v>
      </c>
      <c r="M72" s="71">
        <f ca="1">M70*M71</f>
        <v>405.69658821941141</v>
      </c>
      <c r="N72" s="71">
        <f t="shared" ref="N72:T72" ca="1" si="25">N70*N71</f>
        <v>0</v>
      </c>
      <c r="O72" s="71">
        <f t="shared" ca="1" si="25"/>
        <v>0</v>
      </c>
      <c r="P72" s="71">
        <f t="shared" ca="1" si="25"/>
        <v>0</v>
      </c>
      <c r="Q72" s="71">
        <f t="shared" ca="1" si="25"/>
        <v>0</v>
      </c>
      <c r="R72" s="71">
        <f t="shared" ca="1" si="25"/>
        <v>0</v>
      </c>
      <c r="S72" s="71">
        <f t="shared" ca="1" si="25"/>
        <v>0</v>
      </c>
      <c r="T72" s="71">
        <f t="shared" si="25"/>
        <v>0</v>
      </c>
    </row>
    <row r="74" spans="2:21" x14ac:dyDescent="0.2">
      <c r="C74" s="144" t="s">
        <v>295</v>
      </c>
      <c r="E74" s="151" t="s">
        <v>342</v>
      </c>
      <c r="F74" s="65">
        <f>PL!F7</f>
        <v>3515.4603000000002</v>
      </c>
      <c r="G74" s="65">
        <f>PL!G7</f>
        <v>3247.0526</v>
      </c>
      <c r="H74" s="65">
        <f>PL!H7</f>
        <v>2957.7846</v>
      </c>
      <c r="I74" s="65">
        <f>PL!I7</f>
        <v>3704.5113999999999</v>
      </c>
      <c r="J74" s="65">
        <f>PL!J7</f>
        <v>3979.1817999999998</v>
      </c>
      <c r="K74" s="65">
        <f>PL!K7</f>
        <v>400</v>
      </c>
      <c r="L74" s="65">
        <f>PL!L7</f>
        <v>266.85071702799422</v>
      </c>
      <c r="M74" s="65">
        <f>PL!M7</f>
        <v>1387.62372854557</v>
      </c>
      <c r="N74" s="65">
        <f>PL!N7</f>
        <v>2020.38014876235</v>
      </c>
      <c r="O74" s="65">
        <f>PL!O7</f>
        <v>2401.3661196718222</v>
      </c>
      <c r="P74" s="65">
        <f>PL!P7</f>
        <v>2622.2918026816301</v>
      </c>
      <c r="Q74" s="65">
        <f>PL!Q7</f>
        <v>2857.0493545407471</v>
      </c>
      <c r="R74" s="65">
        <f>PL!R7</f>
        <v>3106.3918436643035</v>
      </c>
      <c r="S74" s="65">
        <f>PL!S7</f>
        <v>3371.1104529504792</v>
      </c>
      <c r="T74" s="65">
        <f>PL!T7</f>
        <v>3652.0363240296861</v>
      </c>
    </row>
    <row r="75" spans="2:21" x14ac:dyDescent="0.2">
      <c r="C75" s="144" t="s">
        <v>408</v>
      </c>
      <c r="E75" s="151" t="s">
        <v>342</v>
      </c>
      <c r="F75" s="65">
        <f>PL!F12</f>
        <v>3076.4270000000001</v>
      </c>
      <c r="G75" s="65">
        <f>PL!G12</f>
        <v>2787.5757000000003</v>
      </c>
      <c r="H75" s="65">
        <f>PL!H12</f>
        <v>2509.2046000000005</v>
      </c>
      <c r="I75" s="65">
        <f>PL!I12</f>
        <v>3216.8119999999999</v>
      </c>
      <c r="J75" s="65">
        <f>PL!J12</f>
        <v>3508.3494999999998</v>
      </c>
      <c r="K75" s="65">
        <f>PL!K12</f>
        <v>344</v>
      </c>
      <c r="L75" s="65">
        <f>PL!L12</f>
        <v>229.49161664407504</v>
      </c>
      <c r="M75" s="65">
        <f>PL!M12</f>
        <v>1193.3564065491901</v>
      </c>
      <c r="N75" s="65">
        <f>PL!N12</f>
        <v>1737.526927935621</v>
      </c>
      <c r="O75" s="65">
        <f>PL!O12</f>
        <v>2065.1748629177669</v>
      </c>
      <c r="P75" s="65">
        <f>PL!P12</f>
        <v>2255.170950306202</v>
      </c>
      <c r="Q75" s="65">
        <f>PL!Q12</f>
        <v>2457.0624449050424</v>
      </c>
      <c r="R75" s="65">
        <f>PL!R12</f>
        <v>2671.4969855513009</v>
      </c>
      <c r="S75" s="65">
        <f>PL!S12</f>
        <v>2899.1549895374119</v>
      </c>
      <c r="T75" s="65">
        <f>PL!T12</f>
        <v>3140.7512386655299</v>
      </c>
    </row>
    <row r="77" spans="2:21" x14ac:dyDescent="0.2">
      <c r="C77" s="144" t="s">
        <v>17</v>
      </c>
      <c r="E77" s="151" t="s">
        <v>342</v>
      </c>
      <c r="F77" s="65">
        <f>BS!F24</f>
        <v>742.33859999999993</v>
      </c>
      <c r="G77" s="65">
        <f>BS!G24</f>
        <v>911.68459999999993</v>
      </c>
      <c r="H77" s="65">
        <f>BS!H24</f>
        <v>1178.4723999999999</v>
      </c>
      <c r="I77" s="65">
        <f>BS!I24</f>
        <v>1480.9412</v>
      </c>
      <c r="J77" s="65">
        <f>BS!J24</f>
        <v>1403.8269</v>
      </c>
      <c r="K77" s="65">
        <f>K74*K78/365</f>
        <v>142.46575342465752</v>
      </c>
      <c r="L77" s="65">
        <f t="shared" ref="L77:T77" si="26">L74*L78/365</f>
        <v>95.042721133258226</v>
      </c>
      <c r="M77" s="65">
        <f t="shared" si="26"/>
        <v>342.1537960797296</v>
      </c>
      <c r="N77" s="65">
        <f t="shared" si="26"/>
        <v>498.17592709208634</v>
      </c>
      <c r="O77" s="65">
        <f t="shared" si="26"/>
        <v>592.11767334373701</v>
      </c>
      <c r="P77" s="65">
        <f t="shared" si="26"/>
        <v>646.59249929136081</v>
      </c>
      <c r="Q77" s="65">
        <f t="shared" si="26"/>
        <v>704.4779230374445</v>
      </c>
      <c r="R77" s="65">
        <f t="shared" si="26"/>
        <v>765.95963268434878</v>
      </c>
      <c r="S77" s="65">
        <f t="shared" si="26"/>
        <v>831.23271442614555</v>
      </c>
      <c r="T77" s="65">
        <f t="shared" si="26"/>
        <v>900.50210729499111</v>
      </c>
      <c r="U77" s="71"/>
    </row>
    <row r="78" spans="2:21" x14ac:dyDescent="0.2">
      <c r="C78" s="144" t="s">
        <v>364</v>
      </c>
      <c r="E78" s="151" t="s">
        <v>355</v>
      </c>
      <c r="F78" s="75"/>
      <c r="G78" s="75">
        <f>(AVERAGE(F77:G77)/G74)*365</f>
        <v>92.964072710124853</v>
      </c>
      <c r="H78" s="75">
        <f>(AVERAGE(G77:H77)/H74)*365</f>
        <v>128.96600127676638</v>
      </c>
      <c r="I78" s="75">
        <f>(AVERAGE(H77:I77)/I74)*365</f>
        <v>131.01403386152356</v>
      </c>
      <c r="J78" s="75">
        <f>(AVERAGE(I77:J77)/J74)*365</f>
        <v>132.30613847550271</v>
      </c>
      <c r="K78" s="177">
        <v>130</v>
      </c>
      <c r="L78" s="178">
        <f t="shared" ref="L78:T78" si="27">K78</f>
        <v>130</v>
      </c>
      <c r="M78" s="177">
        <v>90</v>
      </c>
      <c r="N78" s="178">
        <f t="shared" si="27"/>
        <v>90</v>
      </c>
      <c r="O78" s="178">
        <f>N78</f>
        <v>90</v>
      </c>
      <c r="P78" s="178">
        <f t="shared" si="27"/>
        <v>90</v>
      </c>
      <c r="Q78" s="178">
        <f t="shared" si="27"/>
        <v>90</v>
      </c>
      <c r="R78" s="178">
        <f t="shared" si="27"/>
        <v>90</v>
      </c>
      <c r="S78" s="178">
        <f t="shared" si="27"/>
        <v>90</v>
      </c>
      <c r="T78" s="178">
        <f t="shared" si="27"/>
        <v>90</v>
      </c>
    </row>
    <row r="80" spans="2:21" x14ac:dyDescent="0.2">
      <c r="C80" s="144" t="s">
        <v>16</v>
      </c>
      <c r="E80" s="151" t="s">
        <v>342</v>
      </c>
      <c r="F80" s="65">
        <f>BS!F21</f>
        <v>487.78019999999998</v>
      </c>
      <c r="G80" s="65">
        <f>BS!G21</f>
        <v>547.8981</v>
      </c>
      <c r="H80" s="65">
        <f>BS!H21</f>
        <v>704.49079999999992</v>
      </c>
      <c r="I80" s="65">
        <f>BS!I21</f>
        <v>896.39679999999987</v>
      </c>
      <c r="J80" s="65">
        <f>BS!J21</f>
        <v>1054.4143000000001</v>
      </c>
      <c r="K80" s="166">
        <f>K75*K81/365</f>
        <v>94.246575342465746</v>
      </c>
      <c r="L80" s="166">
        <f t="shared" ref="L80:T80" si="28">L75*L81/365</f>
        <v>62.874415518924671</v>
      </c>
      <c r="M80" s="166">
        <f t="shared" si="28"/>
        <v>196.16817641904495</v>
      </c>
      <c r="N80" s="166">
        <f t="shared" si="28"/>
        <v>285.62086486612947</v>
      </c>
      <c r="O80" s="166">
        <f t="shared" si="28"/>
        <v>339.48079938374246</v>
      </c>
      <c r="P80" s="166">
        <f t="shared" si="28"/>
        <v>370.71303292704692</v>
      </c>
      <c r="Q80" s="166">
        <f t="shared" si="28"/>
        <v>403.90067587480149</v>
      </c>
      <c r="R80" s="166">
        <f t="shared" si="28"/>
        <v>439.15018940569325</v>
      </c>
      <c r="S80" s="166">
        <f t="shared" si="28"/>
        <v>476.57342293765674</v>
      </c>
      <c r="T80" s="166">
        <f t="shared" si="28"/>
        <v>516.28787484912823</v>
      </c>
      <c r="U80" s="71"/>
    </row>
    <row r="81" spans="2:21" x14ac:dyDescent="0.2">
      <c r="C81" s="144" t="s">
        <v>363</v>
      </c>
      <c r="E81" s="151" t="s">
        <v>355</v>
      </c>
      <c r="F81" s="75"/>
      <c r="G81" s="75">
        <f>(AVERAGE(F80:G80)/G75)*365</f>
        <v>67.804899343181958</v>
      </c>
      <c r="H81" s="75">
        <f t="shared" ref="H81:J81" si="29">(AVERAGE(G80:H80)/H75)*365</f>
        <v>91.089014522769475</v>
      </c>
      <c r="I81" s="75">
        <f t="shared" si="29"/>
        <v>90.823457199239485</v>
      </c>
      <c r="J81" s="75">
        <f t="shared" si="29"/>
        <v>101.47877962272572</v>
      </c>
      <c r="K81" s="177">
        <v>100</v>
      </c>
      <c r="L81" s="178">
        <f t="shared" ref="L81:T81" si="30">K81</f>
        <v>100</v>
      </c>
      <c r="M81" s="177">
        <v>60</v>
      </c>
      <c r="N81" s="178">
        <f t="shared" si="30"/>
        <v>60</v>
      </c>
      <c r="O81" s="178">
        <f t="shared" si="30"/>
        <v>60</v>
      </c>
      <c r="P81" s="178">
        <f t="shared" si="30"/>
        <v>60</v>
      </c>
      <c r="Q81" s="178">
        <f t="shared" si="30"/>
        <v>60</v>
      </c>
      <c r="R81" s="178">
        <f t="shared" si="30"/>
        <v>60</v>
      </c>
      <c r="S81" s="178">
        <f t="shared" si="30"/>
        <v>60</v>
      </c>
      <c r="T81" s="178">
        <f t="shared" si="30"/>
        <v>60</v>
      </c>
    </row>
    <row r="83" spans="2:21" x14ac:dyDescent="0.2">
      <c r="C83" s="144" t="s">
        <v>30</v>
      </c>
      <c r="E83" s="151" t="s">
        <v>342</v>
      </c>
      <c r="F83" s="71">
        <f>BS!F48</f>
        <v>268.49690000000004</v>
      </c>
      <c r="G83" s="71">
        <f>BS!G48</f>
        <v>301.14789999999999</v>
      </c>
      <c r="H83" s="71">
        <f>BS!H48</f>
        <v>607.67969999999991</v>
      </c>
      <c r="I83" s="71">
        <f>BS!I48</f>
        <v>786.34429999999998</v>
      </c>
      <c r="J83" s="71">
        <f>BS!J48</f>
        <v>763.31500000000005</v>
      </c>
      <c r="K83" s="71">
        <f>K75*K84/365</f>
        <v>75.397260273972606</v>
      </c>
      <c r="L83" s="71">
        <f t="shared" ref="L83:T83" si="31">L75*L84/365</f>
        <v>50.29953241513973</v>
      </c>
      <c r="M83" s="71">
        <f t="shared" si="31"/>
        <v>130.77878427936329</v>
      </c>
      <c r="N83" s="71">
        <f t="shared" si="31"/>
        <v>190.41390991075298</v>
      </c>
      <c r="O83" s="71">
        <f t="shared" si="31"/>
        <v>226.320532922495</v>
      </c>
      <c r="P83" s="71">
        <f t="shared" si="31"/>
        <v>247.1420219513646</v>
      </c>
      <c r="Q83" s="71">
        <f t="shared" si="31"/>
        <v>269.26711724986768</v>
      </c>
      <c r="R83" s="71">
        <f t="shared" si="31"/>
        <v>292.76679293712886</v>
      </c>
      <c r="S83" s="71">
        <f t="shared" si="31"/>
        <v>317.71561529177114</v>
      </c>
      <c r="T83" s="71">
        <f t="shared" si="31"/>
        <v>344.19191656608547</v>
      </c>
      <c r="U83" s="71"/>
    </row>
    <row r="84" spans="2:21" x14ac:dyDescent="0.2">
      <c r="C84" s="144" t="s">
        <v>362</v>
      </c>
      <c r="E84" s="151" t="s">
        <v>355</v>
      </c>
      <c r="F84" s="75"/>
      <c r="G84" s="75">
        <f>(AVERAGE(F83:G83)/G75)*365</f>
        <v>37.294117609075151</v>
      </c>
      <c r="H84" s="75">
        <f t="shared" ref="H84:J84" si="32">(AVERAGE(G83:H83)/H75)*365</f>
        <v>66.101041341945546</v>
      </c>
      <c r="I84" s="75">
        <f t="shared" si="32"/>
        <v>79.087425687295365</v>
      </c>
      <c r="J84" s="75">
        <f t="shared" si="32"/>
        <v>80.61135934432987</v>
      </c>
      <c r="K84" s="177">
        <v>80</v>
      </c>
      <c r="L84" s="178">
        <f t="shared" ref="L84:T84" si="33">K84</f>
        <v>80</v>
      </c>
      <c r="M84" s="177">
        <v>40</v>
      </c>
      <c r="N84" s="178">
        <f t="shared" si="33"/>
        <v>40</v>
      </c>
      <c r="O84" s="178">
        <f t="shared" si="33"/>
        <v>40</v>
      </c>
      <c r="P84" s="178">
        <f t="shared" si="33"/>
        <v>40</v>
      </c>
      <c r="Q84" s="178">
        <f t="shared" si="33"/>
        <v>40</v>
      </c>
      <c r="R84" s="178">
        <f t="shared" si="33"/>
        <v>40</v>
      </c>
      <c r="S84" s="178">
        <f t="shared" si="33"/>
        <v>40</v>
      </c>
      <c r="T84" s="178">
        <f t="shared" si="33"/>
        <v>40</v>
      </c>
    </row>
    <row r="85" spans="2:21" x14ac:dyDescent="0.2">
      <c r="C85" s="144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</row>
    <row r="86" spans="2:21" x14ac:dyDescent="0.2">
      <c r="C86" s="144" t="s">
        <v>365</v>
      </c>
      <c r="E86" s="151" t="s">
        <v>355</v>
      </c>
      <c r="F86" s="75"/>
      <c r="G86" s="75">
        <f>G78+G81-G84</f>
        <v>123.47485444423165</v>
      </c>
      <c r="H86" s="75">
        <f t="shared" ref="H86:T86" si="34">H78+H81-H84</f>
        <v>153.95397445759031</v>
      </c>
      <c r="I86" s="75">
        <f t="shared" si="34"/>
        <v>142.75006537346769</v>
      </c>
      <c r="J86" s="75">
        <f t="shared" si="34"/>
        <v>153.17355875389859</v>
      </c>
      <c r="K86" s="75">
        <f t="shared" si="34"/>
        <v>150</v>
      </c>
      <c r="L86" s="75">
        <f t="shared" si="34"/>
        <v>150</v>
      </c>
      <c r="M86" s="75">
        <f t="shared" si="34"/>
        <v>110</v>
      </c>
      <c r="N86" s="75">
        <f t="shared" si="34"/>
        <v>110</v>
      </c>
      <c r="O86" s="75">
        <f t="shared" si="34"/>
        <v>110</v>
      </c>
      <c r="P86" s="75">
        <f t="shared" si="34"/>
        <v>110</v>
      </c>
      <c r="Q86" s="75">
        <f t="shared" si="34"/>
        <v>110</v>
      </c>
      <c r="R86" s="75">
        <f t="shared" si="34"/>
        <v>110</v>
      </c>
      <c r="S86" s="75">
        <f t="shared" si="34"/>
        <v>110</v>
      </c>
      <c r="T86" s="75">
        <f t="shared" si="34"/>
        <v>110</v>
      </c>
    </row>
    <row r="87" spans="2:21" x14ac:dyDescent="0.2">
      <c r="D87" s="145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</row>
    <row r="88" spans="2:21" x14ac:dyDescent="0.2">
      <c r="B88" s="62" t="s">
        <v>280</v>
      </c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</row>
    <row r="89" spans="2:21" x14ac:dyDescent="0.2">
      <c r="C89" s="145"/>
    </row>
    <row r="90" spans="2:21" x14ac:dyDescent="0.2">
      <c r="B90" s="136" t="s">
        <v>360</v>
      </c>
      <c r="C90" s="145"/>
    </row>
    <row r="91" spans="2:21" x14ac:dyDescent="0.2">
      <c r="B91" s="145"/>
      <c r="C91" s="179" t="s">
        <v>312</v>
      </c>
      <c r="G91" s="76" t="s">
        <v>322</v>
      </c>
      <c r="H91" s="76" t="s">
        <v>323</v>
      </c>
    </row>
    <row r="92" spans="2:21" x14ac:dyDescent="0.2">
      <c r="C92" s="64" t="s">
        <v>313</v>
      </c>
      <c r="E92" s="71">
        <f>BS!J41+BS!J46-BS!J154</f>
        <v>1250.4397999999999</v>
      </c>
      <c r="G92" s="71">
        <f>BS!J159-BS!J154</f>
        <v>3.1954999999999956</v>
      </c>
      <c r="H92" s="71">
        <f>BS!J167</f>
        <v>1247.2442999999998</v>
      </c>
    </row>
    <row r="93" spans="2:21" x14ac:dyDescent="0.2">
      <c r="C93" s="64" t="s">
        <v>314</v>
      </c>
      <c r="E93" s="161">
        <f>3029.06</f>
        <v>3029.06</v>
      </c>
      <c r="G93" s="71">
        <f ca="1">K146</f>
        <v>3029.06</v>
      </c>
      <c r="H93" s="71">
        <f ca="1">K152</f>
        <v>0</v>
      </c>
    </row>
    <row r="94" spans="2:21" x14ac:dyDescent="0.2">
      <c r="C94" s="64" t="s">
        <v>315</v>
      </c>
      <c r="E94" s="180">
        <f>SUM(E93-E92)</f>
        <v>1778.6202000000001</v>
      </c>
      <c r="G94" s="77">
        <f ca="1">G93-G92</f>
        <v>3025.8645000000001</v>
      </c>
      <c r="H94" s="77">
        <f ca="1">H93-H92</f>
        <v>-1247.2442999999998</v>
      </c>
    </row>
    <row r="95" spans="2:21" x14ac:dyDescent="0.2">
      <c r="C95" s="145"/>
    </row>
    <row r="96" spans="2:21" x14ac:dyDescent="0.2">
      <c r="B96" s="76"/>
      <c r="C96" s="181" t="s">
        <v>335</v>
      </c>
    </row>
    <row r="97" spans="3:20" x14ac:dyDescent="0.2">
      <c r="C97" s="182" t="s">
        <v>407</v>
      </c>
      <c r="E97" s="183">
        <f>E93</f>
        <v>3029.06</v>
      </c>
    </row>
    <row r="98" spans="3:20" x14ac:dyDescent="0.2">
      <c r="C98" s="182" t="s">
        <v>358</v>
      </c>
      <c r="E98" s="184">
        <v>0</v>
      </c>
    </row>
    <row r="99" spans="3:20" x14ac:dyDescent="0.2">
      <c r="C99" s="182" t="s">
        <v>357</v>
      </c>
      <c r="E99" s="183">
        <f>E97-E98</f>
        <v>3029.06</v>
      </c>
    </row>
    <row r="100" spans="3:20" x14ac:dyDescent="0.2">
      <c r="D100" s="182"/>
      <c r="E100" s="183"/>
    </row>
    <row r="101" spans="3:20" x14ac:dyDescent="0.2">
      <c r="D101" s="185" t="s">
        <v>358</v>
      </c>
    </row>
    <row r="102" spans="3:20" x14ac:dyDescent="0.2">
      <c r="C102" s="185"/>
      <c r="D102" s="158" t="s">
        <v>281</v>
      </c>
      <c r="E102" s="151" t="s">
        <v>282</v>
      </c>
      <c r="K102" s="186">
        <v>0.13</v>
      </c>
      <c r="L102" s="157">
        <f>K102</f>
        <v>0.13</v>
      </c>
      <c r="M102" s="157">
        <f>L102</f>
        <v>0.13</v>
      </c>
      <c r="N102" s="157">
        <f t="shared" ref="N102:T102" si="35">M102</f>
        <v>0.13</v>
      </c>
      <c r="O102" s="157">
        <f t="shared" si="35"/>
        <v>0.13</v>
      </c>
      <c r="P102" s="157">
        <f t="shared" si="35"/>
        <v>0.13</v>
      </c>
      <c r="Q102" s="157">
        <f t="shared" si="35"/>
        <v>0.13</v>
      </c>
      <c r="R102" s="157">
        <f t="shared" si="35"/>
        <v>0.13</v>
      </c>
      <c r="S102" s="157">
        <f t="shared" si="35"/>
        <v>0.13</v>
      </c>
      <c r="T102" s="157">
        <f t="shared" si="35"/>
        <v>0.13</v>
      </c>
    </row>
    <row r="103" spans="3:20" x14ac:dyDescent="0.2">
      <c r="D103" s="187" t="s">
        <v>283</v>
      </c>
      <c r="E103" s="151" t="s">
        <v>282</v>
      </c>
      <c r="L103" s="174">
        <v>0</v>
      </c>
      <c r="M103" s="174">
        <v>0</v>
      </c>
      <c r="N103" s="174">
        <v>0</v>
      </c>
      <c r="O103" s="174">
        <v>0</v>
      </c>
      <c r="P103" s="174">
        <v>0</v>
      </c>
      <c r="Q103" s="174">
        <v>0</v>
      </c>
      <c r="R103" s="174">
        <v>0</v>
      </c>
      <c r="S103" s="174">
        <v>0</v>
      </c>
      <c r="T103" s="174">
        <v>0</v>
      </c>
    </row>
    <row r="104" spans="3:20" x14ac:dyDescent="0.2">
      <c r="D104" s="187" t="s">
        <v>225</v>
      </c>
      <c r="K104" s="65">
        <f>J107</f>
        <v>0</v>
      </c>
      <c r="L104" s="65">
        <f>K107</f>
        <v>0</v>
      </c>
      <c r="M104" s="65">
        <f>L107</f>
        <v>0</v>
      </c>
      <c r="N104" s="65">
        <f>M107</f>
        <v>0</v>
      </c>
      <c r="O104" s="65">
        <f t="shared" ref="O104:T104" si="36">N107</f>
        <v>0</v>
      </c>
      <c r="P104" s="65">
        <f t="shared" si="36"/>
        <v>0</v>
      </c>
      <c r="Q104" s="65">
        <f t="shared" si="36"/>
        <v>0</v>
      </c>
      <c r="R104" s="65">
        <f t="shared" si="36"/>
        <v>0</v>
      </c>
      <c r="S104" s="65">
        <f t="shared" si="36"/>
        <v>0</v>
      </c>
      <c r="T104" s="65">
        <f t="shared" si="36"/>
        <v>0</v>
      </c>
    </row>
    <row r="105" spans="3:20" x14ac:dyDescent="0.2">
      <c r="D105" s="187" t="s">
        <v>182</v>
      </c>
      <c r="K105" s="71">
        <f>$E$98</f>
        <v>0</v>
      </c>
      <c r="L105" s="65">
        <v>0</v>
      </c>
      <c r="M105" s="65">
        <v>0</v>
      </c>
      <c r="N105" s="65">
        <v>0</v>
      </c>
      <c r="O105" s="65">
        <v>0</v>
      </c>
      <c r="P105" s="65">
        <v>0</v>
      </c>
      <c r="Q105" s="65">
        <v>0</v>
      </c>
      <c r="R105" s="65">
        <v>0</v>
      </c>
      <c r="S105" s="65">
        <v>0</v>
      </c>
      <c r="T105" s="65">
        <v>0</v>
      </c>
    </row>
    <row r="106" spans="3:20" x14ac:dyDescent="0.2">
      <c r="D106" s="187" t="s">
        <v>307</v>
      </c>
      <c r="K106" s="65">
        <f>$K$105*K103</f>
        <v>0</v>
      </c>
      <c r="L106" s="65">
        <f t="shared" ref="L106:T106" si="37">$K$105*L103</f>
        <v>0</v>
      </c>
      <c r="M106" s="65">
        <f t="shared" si="37"/>
        <v>0</v>
      </c>
      <c r="N106" s="65">
        <f t="shared" si="37"/>
        <v>0</v>
      </c>
      <c r="O106" s="65">
        <f t="shared" si="37"/>
        <v>0</v>
      </c>
      <c r="P106" s="65">
        <f t="shared" si="37"/>
        <v>0</v>
      </c>
      <c r="Q106" s="65">
        <f t="shared" si="37"/>
        <v>0</v>
      </c>
      <c r="R106" s="65">
        <f t="shared" si="37"/>
        <v>0</v>
      </c>
      <c r="S106" s="65">
        <f t="shared" si="37"/>
        <v>0</v>
      </c>
      <c r="T106" s="65">
        <f t="shared" si="37"/>
        <v>0</v>
      </c>
    </row>
    <row r="107" spans="3:20" x14ac:dyDescent="0.2">
      <c r="D107" s="187" t="s">
        <v>227</v>
      </c>
      <c r="J107" s="78">
        <v>0</v>
      </c>
      <c r="K107" s="78">
        <f>K104+K105-K106</f>
        <v>0</v>
      </c>
      <c r="L107" s="78">
        <f>L104+L105-L106</f>
        <v>0</v>
      </c>
      <c r="M107" s="78">
        <f>M104+M105-M106</f>
        <v>0</v>
      </c>
      <c r="N107" s="78">
        <f>N104+N105-N106</f>
        <v>0</v>
      </c>
      <c r="O107" s="78">
        <f t="shared" ref="O107:T107" si="38">O104+O105-O106</f>
        <v>0</v>
      </c>
      <c r="P107" s="78">
        <f t="shared" si="38"/>
        <v>0</v>
      </c>
      <c r="Q107" s="78">
        <f t="shared" si="38"/>
        <v>0</v>
      </c>
      <c r="R107" s="78">
        <f t="shared" si="38"/>
        <v>0</v>
      </c>
      <c r="S107" s="78">
        <f t="shared" si="38"/>
        <v>0</v>
      </c>
      <c r="T107" s="78">
        <f t="shared" si="38"/>
        <v>0</v>
      </c>
    </row>
    <row r="108" spans="3:20" x14ac:dyDescent="0.2">
      <c r="D108" s="187" t="s">
        <v>310</v>
      </c>
      <c r="K108" s="65">
        <f>IF(J107&lt;=0,0,AVERAGE(J107,K107)*K102)</f>
        <v>0</v>
      </c>
      <c r="L108" s="65">
        <f>IF(K107&lt;=0,0,AVERAGE(K107,L107)*L102)</f>
        <v>0</v>
      </c>
      <c r="M108" s="65">
        <f t="shared" ref="M108:T108" si="39">IF(L107&lt;=0,0,AVERAGE(L107,M107)*M102)</f>
        <v>0</v>
      </c>
      <c r="N108" s="65">
        <f t="shared" si="39"/>
        <v>0</v>
      </c>
      <c r="O108" s="65">
        <f t="shared" si="39"/>
        <v>0</v>
      </c>
      <c r="P108" s="65">
        <f t="shared" si="39"/>
        <v>0</v>
      </c>
      <c r="Q108" s="65">
        <f t="shared" si="39"/>
        <v>0</v>
      </c>
      <c r="R108" s="65">
        <f t="shared" si="39"/>
        <v>0</v>
      </c>
      <c r="S108" s="65">
        <f t="shared" si="39"/>
        <v>0</v>
      </c>
      <c r="T108" s="65">
        <f t="shared" si="39"/>
        <v>0</v>
      </c>
    </row>
    <row r="110" spans="3:20" x14ac:dyDescent="0.2">
      <c r="D110" s="185" t="s">
        <v>357</v>
      </c>
    </row>
    <row r="111" spans="3:20" x14ac:dyDescent="0.2">
      <c r="D111" s="149" t="s">
        <v>356</v>
      </c>
      <c r="E111" s="151" t="s">
        <v>282</v>
      </c>
      <c r="K111" s="186">
        <v>1E-3</v>
      </c>
      <c r="L111" s="157">
        <f>K111</f>
        <v>1E-3</v>
      </c>
      <c r="M111" s="157">
        <f>L111</f>
        <v>1E-3</v>
      </c>
      <c r="N111" s="157">
        <f t="shared" ref="N111:T111" si="40">M111</f>
        <v>1E-3</v>
      </c>
      <c r="O111" s="157">
        <f t="shared" si="40"/>
        <v>1E-3</v>
      </c>
      <c r="P111" s="157">
        <f t="shared" si="40"/>
        <v>1E-3</v>
      </c>
      <c r="Q111" s="157">
        <f t="shared" si="40"/>
        <v>1E-3</v>
      </c>
      <c r="R111" s="157">
        <f t="shared" si="40"/>
        <v>1E-3</v>
      </c>
      <c r="S111" s="157">
        <f t="shared" si="40"/>
        <v>1E-3</v>
      </c>
      <c r="T111" s="157">
        <f t="shared" si="40"/>
        <v>1E-3</v>
      </c>
    </row>
    <row r="112" spans="3:20" x14ac:dyDescent="0.2">
      <c r="D112" s="187" t="s">
        <v>308</v>
      </c>
      <c r="E112" s="151" t="s">
        <v>282</v>
      </c>
      <c r="L112" s="174">
        <v>0</v>
      </c>
      <c r="M112" s="174">
        <v>0</v>
      </c>
      <c r="N112" s="174">
        <v>0</v>
      </c>
      <c r="O112" s="174">
        <v>0</v>
      </c>
      <c r="P112" s="174">
        <v>0</v>
      </c>
      <c r="Q112" s="174">
        <v>0</v>
      </c>
      <c r="R112" s="174">
        <v>0</v>
      </c>
      <c r="S112" s="174">
        <v>0</v>
      </c>
      <c r="T112" s="174">
        <v>0</v>
      </c>
    </row>
    <row r="113" spans="1:21" x14ac:dyDescent="0.2">
      <c r="D113" s="187" t="s">
        <v>225</v>
      </c>
      <c r="K113" s="65">
        <f>J116</f>
        <v>0</v>
      </c>
      <c r="L113" s="65">
        <f>K116</f>
        <v>3029.06</v>
      </c>
      <c r="M113" s="65">
        <f>L116</f>
        <v>3029.06</v>
      </c>
      <c r="N113" s="65">
        <f>M116</f>
        <v>3029.06</v>
      </c>
      <c r="O113" s="65">
        <f t="shared" ref="O113" si="41">N116</f>
        <v>3029.06</v>
      </c>
      <c r="P113" s="65">
        <f t="shared" ref="P113" si="42">O116</f>
        <v>3029.06</v>
      </c>
      <c r="Q113" s="65">
        <f t="shared" ref="Q113" si="43">P116</f>
        <v>3029.06</v>
      </c>
      <c r="R113" s="65">
        <f t="shared" ref="R113" si="44">Q116</f>
        <v>3029.06</v>
      </c>
      <c r="S113" s="65">
        <f t="shared" ref="S113" si="45">R116</f>
        <v>3029.06</v>
      </c>
      <c r="T113" s="65">
        <f t="shared" ref="T113" si="46">S116</f>
        <v>3029.06</v>
      </c>
    </row>
    <row r="114" spans="1:21" x14ac:dyDescent="0.2">
      <c r="D114" s="187" t="s">
        <v>182</v>
      </c>
      <c r="K114" s="71">
        <f>$E$99</f>
        <v>3029.06</v>
      </c>
      <c r="L114" s="65">
        <v>0</v>
      </c>
      <c r="M114" s="65">
        <v>0</v>
      </c>
      <c r="N114" s="65">
        <v>0</v>
      </c>
      <c r="O114" s="65">
        <v>0</v>
      </c>
      <c r="P114" s="65">
        <v>0</v>
      </c>
      <c r="Q114" s="65">
        <v>0</v>
      </c>
      <c r="R114" s="65">
        <v>0</v>
      </c>
      <c r="S114" s="65">
        <v>0</v>
      </c>
      <c r="T114" s="65">
        <v>0</v>
      </c>
    </row>
    <row r="115" spans="1:21" x14ac:dyDescent="0.2">
      <c r="D115" s="187" t="s">
        <v>309</v>
      </c>
      <c r="K115" s="65">
        <f>$K$114*K112</f>
        <v>0</v>
      </c>
      <c r="L115" s="65">
        <f>$K$114*L112</f>
        <v>0</v>
      </c>
      <c r="M115" s="65">
        <f t="shared" ref="M115:T115" si="47">$K$114*M112</f>
        <v>0</v>
      </c>
      <c r="N115" s="65">
        <f t="shared" si="47"/>
        <v>0</v>
      </c>
      <c r="O115" s="65">
        <f t="shared" si="47"/>
        <v>0</v>
      </c>
      <c r="P115" s="65">
        <f t="shared" si="47"/>
        <v>0</v>
      </c>
      <c r="Q115" s="65">
        <f t="shared" si="47"/>
        <v>0</v>
      </c>
      <c r="R115" s="65">
        <f t="shared" si="47"/>
        <v>0</v>
      </c>
      <c r="S115" s="65">
        <f t="shared" si="47"/>
        <v>0</v>
      </c>
      <c r="T115" s="65">
        <f t="shared" si="47"/>
        <v>0</v>
      </c>
    </row>
    <row r="116" spans="1:21" x14ac:dyDescent="0.2">
      <c r="D116" s="187" t="s">
        <v>227</v>
      </c>
      <c r="J116" s="65">
        <v>0</v>
      </c>
      <c r="K116" s="78">
        <f>K113+K114-K115</f>
        <v>3029.06</v>
      </c>
      <c r="L116" s="78">
        <f>L113+L114-L115</f>
        <v>3029.06</v>
      </c>
      <c r="M116" s="78">
        <f>M113+M114-M115</f>
        <v>3029.06</v>
      </c>
      <c r="N116" s="78">
        <f>N113+N114-N115</f>
        <v>3029.06</v>
      </c>
      <c r="O116" s="78">
        <f t="shared" ref="O116:T116" si="48">O113+O114-O115</f>
        <v>3029.06</v>
      </c>
      <c r="P116" s="78">
        <f t="shared" si="48"/>
        <v>3029.06</v>
      </c>
      <c r="Q116" s="78">
        <f t="shared" si="48"/>
        <v>3029.06</v>
      </c>
      <c r="R116" s="78">
        <f t="shared" si="48"/>
        <v>3029.06</v>
      </c>
      <c r="S116" s="78">
        <f t="shared" si="48"/>
        <v>3029.06</v>
      </c>
      <c r="T116" s="78">
        <f t="shared" si="48"/>
        <v>3029.06</v>
      </c>
    </row>
    <row r="117" spans="1:21" x14ac:dyDescent="0.2">
      <c r="D117" s="187" t="s">
        <v>311</v>
      </c>
      <c r="K117" s="65">
        <f>IF(J116&lt;=0,0,AVERAGE(J116,K116)*#REF!)</f>
        <v>0</v>
      </c>
      <c r="L117" s="65">
        <f>IF(K116&lt;=0,0,AVERAGE(K116,L116)*L111)</f>
        <v>3.0290599999999999</v>
      </c>
      <c r="M117" s="65">
        <f t="shared" ref="M117:T117" si="49">IF(L116&lt;=0,0,AVERAGE(L116,M116)*M111)</f>
        <v>3.0290599999999999</v>
      </c>
      <c r="N117" s="65">
        <f t="shared" si="49"/>
        <v>3.0290599999999999</v>
      </c>
      <c r="O117" s="65">
        <f t="shared" si="49"/>
        <v>3.0290599999999999</v>
      </c>
      <c r="P117" s="65">
        <f t="shared" si="49"/>
        <v>3.0290599999999999</v>
      </c>
      <c r="Q117" s="65">
        <f t="shared" si="49"/>
        <v>3.0290599999999999</v>
      </c>
      <c r="R117" s="65">
        <f t="shared" si="49"/>
        <v>3.0290599999999999</v>
      </c>
      <c r="S117" s="65">
        <f t="shared" si="49"/>
        <v>3.0290599999999999</v>
      </c>
      <c r="T117" s="65">
        <f t="shared" si="49"/>
        <v>3.0290599999999999</v>
      </c>
    </row>
    <row r="119" spans="1:21" x14ac:dyDescent="0.2">
      <c r="B119" s="148" t="s">
        <v>359</v>
      </c>
    </row>
    <row r="120" spans="1:21" x14ac:dyDescent="0.2">
      <c r="B120" s="188"/>
      <c r="C120" s="148" t="s">
        <v>300</v>
      </c>
    </row>
    <row r="121" spans="1:21" x14ac:dyDescent="0.2">
      <c r="A121" s="176">
        <v>0</v>
      </c>
      <c r="D121" s="158" t="s">
        <v>281</v>
      </c>
      <c r="E121" s="151" t="s">
        <v>282</v>
      </c>
      <c r="L121" s="174">
        <f>14%+A121</f>
        <v>0.14000000000000001</v>
      </c>
      <c r="M121" s="176">
        <f>L121</f>
        <v>0.14000000000000001</v>
      </c>
      <c r="N121" s="174">
        <f>10%+A121</f>
        <v>0.1</v>
      </c>
      <c r="O121" s="176">
        <f t="shared" ref="O121:T121" si="50">N121</f>
        <v>0.1</v>
      </c>
      <c r="P121" s="176">
        <f t="shared" si="50"/>
        <v>0.1</v>
      </c>
      <c r="Q121" s="176">
        <f t="shared" si="50"/>
        <v>0.1</v>
      </c>
      <c r="R121" s="176">
        <f t="shared" si="50"/>
        <v>0.1</v>
      </c>
      <c r="S121" s="176">
        <f t="shared" si="50"/>
        <v>0.1</v>
      </c>
      <c r="T121" s="176">
        <f t="shared" si="50"/>
        <v>0.1</v>
      </c>
    </row>
    <row r="122" spans="1:21" x14ac:dyDescent="0.2">
      <c r="C122" s="189"/>
      <c r="D122" s="158" t="s">
        <v>283</v>
      </c>
      <c r="E122" s="151" t="s">
        <v>282</v>
      </c>
      <c r="L122" s="174">
        <v>0</v>
      </c>
      <c r="M122" s="357">
        <v>0.16</v>
      </c>
      <c r="N122" s="357">
        <v>0.12</v>
      </c>
      <c r="O122" s="357">
        <v>0.12</v>
      </c>
      <c r="P122" s="357">
        <v>0.1</v>
      </c>
      <c r="Q122" s="357">
        <v>0.1</v>
      </c>
      <c r="R122" s="357">
        <v>0.1</v>
      </c>
      <c r="S122" s="357">
        <v>0.15</v>
      </c>
      <c r="T122" s="357">
        <f>100%-SUM(M122:S122)</f>
        <v>0.15000000000000002</v>
      </c>
      <c r="U122" s="176">
        <f>+SUM(M122:T122)</f>
        <v>1</v>
      </c>
    </row>
    <row r="123" spans="1:21" x14ac:dyDescent="0.2">
      <c r="C123" s="189"/>
      <c r="D123" s="158" t="s">
        <v>332</v>
      </c>
      <c r="E123" s="158"/>
      <c r="L123" s="65">
        <v>0</v>
      </c>
      <c r="M123" s="71">
        <f ca="1">L126</f>
        <v>405.69658821941141</v>
      </c>
      <c r="N123" s="71">
        <f t="shared" ref="N123:T123" ca="1" si="51">M126</f>
        <v>340.7851341043056</v>
      </c>
      <c r="O123" s="71">
        <f t="shared" ca="1" si="51"/>
        <v>292.10154351797621</v>
      </c>
      <c r="P123" s="71">
        <f t="shared" ca="1" si="51"/>
        <v>243.41795293164685</v>
      </c>
      <c r="Q123" s="71">
        <f t="shared" ca="1" si="51"/>
        <v>202.84829410970571</v>
      </c>
      <c r="R123" s="71">
        <f t="shared" ca="1" si="51"/>
        <v>162.27863528776456</v>
      </c>
      <c r="S123" s="71">
        <f t="shared" ca="1" si="51"/>
        <v>121.70897646582341</v>
      </c>
      <c r="T123" s="71">
        <f t="shared" ca="1" si="51"/>
        <v>60.854488232911706</v>
      </c>
      <c r="U123" s="71"/>
    </row>
    <row r="124" spans="1:21" x14ac:dyDescent="0.2">
      <c r="C124" s="189"/>
      <c r="D124" s="158" t="s">
        <v>182</v>
      </c>
      <c r="E124" s="151"/>
      <c r="K124" s="71"/>
      <c r="L124" s="71">
        <f ca="1">IF(M72&lt;0,0,M72)</f>
        <v>405.69658821941141</v>
      </c>
      <c r="M124" s="71"/>
      <c r="N124" s="71"/>
      <c r="O124" s="71"/>
      <c r="P124" s="71"/>
      <c r="Q124" s="71"/>
      <c r="R124" s="71"/>
      <c r="S124" s="71"/>
      <c r="T124" s="71"/>
      <c r="U124" s="71"/>
    </row>
    <row r="125" spans="1:21" x14ac:dyDescent="0.2">
      <c r="C125" s="189"/>
      <c r="D125" s="158" t="s">
        <v>307</v>
      </c>
      <c r="E125" s="151"/>
      <c r="L125" s="71">
        <f t="shared" ref="L125:T125" ca="1" si="52">$L$124*L122</f>
        <v>0</v>
      </c>
      <c r="M125" s="71">
        <f t="shared" ca="1" si="52"/>
        <v>64.911454115105826</v>
      </c>
      <c r="N125" s="71">
        <f t="shared" ca="1" si="52"/>
        <v>48.683590586329366</v>
      </c>
      <c r="O125" s="71">
        <f t="shared" ca="1" si="52"/>
        <v>48.683590586329366</v>
      </c>
      <c r="P125" s="71">
        <f t="shared" ca="1" si="52"/>
        <v>40.569658821941147</v>
      </c>
      <c r="Q125" s="71">
        <f t="shared" ca="1" si="52"/>
        <v>40.569658821941147</v>
      </c>
      <c r="R125" s="71">
        <f t="shared" ca="1" si="52"/>
        <v>40.569658821941147</v>
      </c>
      <c r="S125" s="71">
        <f t="shared" ca="1" si="52"/>
        <v>60.854488232911706</v>
      </c>
      <c r="T125" s="71">
        <f t="shared" ca="1" si="52"/>
        <v>60.85448823291172</v>
      </c>
      <c r="U125" s="71"/>
    </row>
    <row r="126" spans="1:21" x14ac:dyDescent="0.2">
      <c r="C126" s="189"/>
      <c r="D126" s="64" t="s">
        <v>333</v>
      </c>
      <c r="E126" s="151"/>
      <c r="L126" s="77">
        <f ca="1">L124-L125</f>
        <v>405.69658821941141</v>
      </c>
      <c r="M126" s="77">
        <f t="shared" ref="M126:T126" ca="1" si="53">M123+M124-M125</f>
        <v>340.7851341043056</v>
      </c>
      <c r="N126" s="77">
        <f t="shared" ca="1" si="53"/>
        <v>292.10154351797621</v>
      </c>
      <c r="O126" s="77">
        <f t="shared" ca="1" si="53"/>
        <v>243.41795293164685</v>
      </c>
      <c r="P126" s="77">
        <f t="shared" ca="1" si="53"/>
        <v>202.84829410970571</v>
      </c>
      <c r="Q126" s="77">
        <f t="shared" ca="1" si="53"/>
        <v>162.27863528776456</v>
      </c>
      <c r="R126" s="77">
        <f t="shared" ca="1" si="53"/>
        <v>121.70897646582341</v>
      </c>
      <c r="S126" s="77">
        <f t="shared" ca="1" si="53"/>
        <v>60.854488232911706</v>
      </c>
      <c r="T126" s="77">
        <f t="shared" ca="1" si="53"/>
        <v>0</v>
      </c>
      <c r="U126" s="71"/>
    </row>
    <row r="127" spans="1:21" x14ac:dyDescent="0.2">
      <c r="C127" s="189"/>
      <c r="D127" s="64" t="s">
        <v>303</v>
      </c>
      <c r="E127" s="151"/>
      <c r="K127" s="71"/>
      <c r="L127" s="71">
        <f ca="1">L121*3/12*L126</f>
        <v>14.1993805876794</v>
      </c>
      <c r="M127" s="71">
        <f t="shared" ref="M127:T127" ca="1" si="54">M121*AVERAGE(L126,M126)</f>
        <v>52.253720562660199</v>
      </c>
      <c r="N127" s="71">
        <f t="shared" ca="1" si="54"/>
        <v>31.644333881114093</v>
      </c>
      <c r="O127" s="71">
        <f t="shared" ca="1" si="54"/>
        <v>26.775974822481153</v>
      </c>
      <c r="P127" s="71">
        <f t="shared" ca="1" si="54"/>
        <v>22.31331235206763</v>
      </c>
      <c r="Q127" s="71">
        <f t="shared" ca="1" si="54"/>
        <v>18.256346469873513</v>
      </c>
      <c r="R127" s="71">
        <f t="shared" ca="1" si="54"/>
        <v>14.1993805876794</v>
      </c>
      <c r="S127" s="71">
        <f t="shared" ca="1" si="54"/>
        <v>9.1281732349367566</v>
      </c>
      <c r="T127" s="71">
        <f t="shared" ca="1" si="54"/>
        <v>3.0427244116455854</v>
      </c>
      <c r="U127" s="71"/>
    </row>
    <row r="128" spans="1:21" x14ac:dyDescent="0.2">
      <c r="C128" s="189"/>
    </row>
    <row r="129" spans="2:20" x14ac:dyDescent="0.2">
      <c r="C129" s="136" t="s">
        <v>329</v>
      </c>
    </row>
    <row r="130" spans="2:20" x14ac:dyDescent="0.2">
      <c r="C130" s="189"/>
      <c r="D130" s="158" t="s">
        <v>281</v>
      </c>
      <c r="E130" s="151" t="s">
        <v>282</v>
      </c>
      <c r="L130" s="174">
        <f>+L121</f>
        <v>0.14000000000000001</v>
      </c>
      <c r="M130" s="176">
        <f>L130</f>
        <v>0.14000000000000001</v>
      </c>
      <c r="N130" s="174">
        <f>+N121</f>
        <v>0.1</v>
      </c>
      <c r="O130" s="176">
        <f t="shared" ref="O130" si="55">N130</f>
        <v>0.1</v>
      </c>
      <c r="P130" s="176">
        <f t="shared" ref="P130" si="56">O130</f>
        <v>0.1</v>
      </c>
      <c r="Q130" s="176">
        <f t="shared" ref="Q130" si="57">P130</f>
        <v>0.1</v>
      </c>
      <c r="R130" s="176">
        <f t="shared" ref="R130" si="58">Q130</f>
        <v>0.1</v>
      </c>
      <c r="S130" s="176">
        <f t="shared" ref="S130" si="59">R130</f>
        <v>0.1</v>
      </c>
      <c r="T130" s="176">
        <f t="shared" ref="T130" si="60">S130</f>
        <v>0.1</v>
      </c>
    </row>
    <row r="131" spans="2:20" x14ac:dyDescent="0.2">
      <c r="C131" s="189"/>
      <c r="D131" s="158" t="s">
        <v>283</v>
      </c>
      <c r="E131" s="151" t="s">
        <v>282</v>
      </c>
      <c r="L131" s="175">
        <f>L122</f>
        <v>0</v>
      </c>
      <c r="M131" s="175">
        <f t="shared" ref="M131:T131" si="61">M122</f>
        <v>0.16</v>
      </c>
      <c r="N131" s="175">
        <f t="shared" si="61"/>
        <v>0.12</v>
      </c>
      <c r="O131" s="175">
        <f t="shared" si="61"/>
        <v>0.12</v>
      </c>
      <c r="P131" s="175">
        <f t="shared" si="61"/>
        <v>0.1</v>
      </c>
      <c r="Q131" s="175">
        <f t="shared" si="61"/>
        <v>0.1</v>
      </c>
      <c r="R131" s="175">
        <f t="shared" si="61"/>
        <v>0.1</v>
      </c>
      <c r="S131" s="175">
        <f t="shared" si="61"/>
        <v>0.15</v>
      </c>
      <c r="T131" s="175">
        <f t="shared" si="61"/>
        <v>0.15000000000000002</v>
      </c>
    </row>
    <row r="132" spans="2:20" x14ac:dyDescent="0.2">
      <c r="C132" s="189"/>
      <c r="D132" s="158" t="s">
        <v>332</v>
      </c>
      <c r="E132" s="158"/>
      <c r="L132" s="65">
        <v>0</v>
      </c>
      <c r="M132" s="71">
        <f>L135</f>
        <v>9</v>
      </c>
      <c r="N132" s="71">
        <f t="shared" ref="N132" si="62">M135</f>
        <v>7.5600000000000005</v>
      </c>
      <c r="O132" s="71">
        <f t="shared" ref="O132" si="63">N135</f>
        <v>6.48</v>
      </c>
      <c r="P132" s="71">
        <f t="shared" ref="P132" si="64">O135</f>
        <v>5.4</v>
      </c>
      <c r="Q132" s="71">
        <f t="shared" ref="Q132" si="65">P135</f>
        <v>4.5</v>
      </c>
      <c r="R132" s="71">
        <f t="shared" ref="R132" si="66">Q135</f>
        <v>3.6</v>
      </c>
      <c r="S132" s="71">
        <f t="shared" ref="S132" si="67">R135</f>
        <v>2.7</v>
      </c>
      <c r="T132" s="71">
        <f t="shared" ref="T132" si="68">S135</f>
        <v>1.3500000000000003</v>
      </c>
    </row>
    <row r="133" spans="2:20" x14ac:dyDescent="0.2">
      <c r="C133" s="189"/>
      <c r="D133" s="158" t="s">
        <v>182</v>
      </c>
      <c r="E133" s="151"/>
      <c r="K133" s="71"/>
      <c r="L133" s="71">
        <f>L55</f>
        <v>9</v>
      </c>
      <c r="M133" s="71"/>
      <c r="N133" s="71"/>
      <c r="O133" s="71"/>
      <c r="P133" s="71"/>
      <c r="Q133" s="71"/>
      <c r="R133" s="71"/>
      <c r="S133" s="71"/>
      <c r="T133" s="71"/>
    </row>
    <row r="134" spans="2:20" x14ac:dyDescent="0.2">
      <c r="C134" s="189"/>
      <c r="D134" s="158" t="s">
        <v>307</v>
      </c>
      <c r="E134" s="151"/>
      <c r="L134" s="71">
        <f>$L$133*L131</f>
        <v>0</v>
      </c>
      <c r="M134" s="71">
        <f t="shared" ref="M134:T134" si="69">$L$133*M131</f>
        <v>1.44</v>
      </c>
      <c r="N134" s="71">
        <f t="shared" si="69"/>
        <v>1.08</v>
      </c>
      <c r="O134" s="71">
        <f t="shared" si="69"/>
        <v>1.08</v>
      </c>
      <c r="P134" s="71">
        <f t="shared" si="69"/>
        <v>0.9</v>
      </c>
      <c r="Q134" s="71">
        <f t="shared" si="69"/>
        <v>0.9</v>
      </c>
      <c r="R134" s="71">
        <f t="shared" si="69"/>
        <v>0.9</v>
      </c>
      <c r="S134" s="71">
        <f t="shared" si="69"/>
        <v>1.3499999999999999</v>
      </c>
      <c r="T134" s="71">
        <f t="shared" si="69"/>
        <v>1.35</v>
      </c>
    </row>
    <row r="135" spans="2:20" x14ac:dyDescent="0.2">
      <c r="C135" s="189"/>
      <c r="D135" s="64" t="s">
        <v>333</v>
      </c>
      <c r="E135" s="151"/>
      <c r="L135" s="77">
        <f>L133-L134</f>
        <v>9</v>
      </c>
      <c r="M135" s="77">
        <f t="shared" ref="M135:T135" si="70">M132+M133-M134</f>
        <v>7.5600000000000005</v>
      </c>
      <c r="N135" s="77">
        <f t="shared" si="70"/>
        <v>6.48</v>
      </c>
      <c r="O135" s="77">
        <f t="shared" si="70"/>
        <v>5.4</v>
      </c>
      <c r="P135" s="77">
        <f t="shared" si="70"/>
        <v>4.5</v>
      </c>
      <c r="Q135" s="77">
        <f t="shared" si="70"/>
        <v>3.6</v>
      </c>
      <c r="R135" s="77">
        <f t="shared" si="70"/>
        <v>2.7</v>
      </c>
      <c r="S135" s="77">
        <f t="shared" si="70"/>
        <v>1.3500000000000003</v>
      </c>
      <c r="T135" s="77">
        <f t="shared" si="70"/>
        <v>0</v>
      </c>
    </row>
    <row r="136" spans="2:20" x14ac:dyDescent="0.2">
      <c r="C136" s="189"/>
      <c r="D136" s="64" t="s">
        <v>330</v>
      </c>
      <c r="E136" s="151"/>
      <c r="K136" s="71"/>
      <c r="L136" s="71">
        <f>L130*3/12*L135</f>
        <v>0.31500000000000006</v>
      </c>
      <c r="M136" s="71">
        <f t="shared" ref="M136:T136" si="71">M130*AVERAGE(L135,M135)</f>
        <v>1.1592000000000002</v>
      </c>
      <c r="N136" s="71">
        <f t="shared" si="71"/>
        <v>0.70200000000000007</v>
      </c>
      <c r="O136" s="71">
        <f t="shared" si="71"/>
        <v>0.59400000000000008</v>
      </c>
      <c r="P136" s="71">
        <f t="shared" si="71"/>
        <v>0.49500000000000005</v>
      </c>
      <c r="Q136" s="71">
        <f t="shared" si="71"/>
        <v>0.40500000000000003</v>
      </c>
      <c r="R136" s="71">
        <f t="shared" si="71"/>
        <v>0.31500000000000006</v>
      </c>
      <c r="S136" s="71">
        <f t="shared" si="71"/>
        <v>0.20250000000000004</v>
      </c>
      <c r="T136" s="71">
        <f t="shared" si="71"/>
        <v>6.7500000000000018E-2</v>
      </c>
    </row>
    <row r="137" spans="2:20" x14ac:dyDescent="0.2">
      <c r="C137" s="189"/>
    </row>
    <row r="138" spans="2:20" x14ac:dyDescent="0.2">
      <c r="B138" s="190" t="s">
        <v>297</v>
      </c>
    </row>
    <row r="139" spans="2:20" x14ac:dyDescent="0.2">
      <c r="C139" s="190" t="s">
        <v>318</v>
      </c>
      <c r="K139" s="191">
        <f>SUM(K140:K143)</f>
        <v>0</v>
      </c>
      <c r="L139" s="191">
        <f t="shared" ref="L139:T139" ca="1" si="72">SUM(L140:L143)</f>
        <v>0</v>
      </c>
      <c r="M139" s="191">
        <f t="shared" ca="1" si="72"/>
        <v>66.351454115105824</v>
      </c>
      <c r="N139" s="191">
        <f t="shared" ca="1" si="72"/>
        <v>49.763590586329364</v>
      </c>
      <c r="O139" s="191">
        <f t="shared" ca="1" si="72"/>
        <v>49.763590586329364</v>
      </c>
      <c r="P139" s="191">
        <f t="shared" ca="1" si="72"/>
        <v>41.469658821941145</v>
      </c>
      <c r="Q139" s="191">
        <f t="shared" ca="1" si="72"/>
        <v>41.469658821941145</v>
      </c>
      <c r="R139" s="191">
        <f t="shared" ca="1" si="72"/>
        <v>41.469658821941145</v>
      </c>
      <c r="S139" s="191">
        <f t="shared" ca="1" si="72"/>
        <v>62.204488232911707</v>
      </c>
      <c r="T139" s="191">
        <f t="shared" ca="1" si="72"/>
        <v>62.204488232911721</v>
      </c>
    </row>
    <row r="140" spans="2:20" x14ac:dyDescent="0.2">
      <c r="D140" s="149" t="s">
        <v>316</v>
      </c>
      <c r="K140" s="71">
        <f t="shared" ref="K140:T140" si="73">K106</f>
        <v>0</v>
      </c>
      <c r="L140" s="71">
        <f t="shared" si="73"/>
        <v>0</v>
      </c>
      <c r="M140" s="71">
        <f t="shared" si="73"/>
        <v>0</v>
      </c>
      <c r="N140" s="71">
        <f t="shared" si="73"/>
        <v>0</v>
      </c>
      <c r="O140" s="71">
        <f t="shared" si="73"/>
        <v>0</v>
      </c>
      <c r="P140" s="71">
        <f t="shared" si="73"/>
        <v>0</v>
      </c>
      <c r="Q140" s="71">
        <f t="shared" si="73"/>
        <v>0</v>
      </c>
      <c r="R140" s="71">
        <f t="shared" si="73"/>
        <v>0</v>
      </c>
      <c r="S140" s="71">
        <f t="shared" si="73"/>
        <v>0</v>
      </c>
      <c r="T140" s="71">
        <f t="shared" si="73"/>
        <v>0</v>
      </c>
    </row>
    <row r="141" spans="2:20" x14ac:dyDescent="0.2">
      <c r="D141" s="149" t="s">
        <v>317</v>
      </c>
      <c r="K141" s="71">
        <f t="shared" ref="K141:T141" si="74">K115</f>
        <v>0</v>
      </c>
      <c r="L141" s="71">
        <f t="shared" si="74"/>
        <v>0</v>
      </c>
      <c r="M141" s="71">
        <f t="shared" si="74"/>
        <v>0</v>
      </c>
      <c r="N141" s="71">
        <f t="shared" si="74"/>
        <v>0</v>
      </c>
      <c r="O141" s="71">
        <f t="shared" si="74"/>
        <v>0</v>
      </c>
      <c r="P141" s="71">
        <f t="shared" si="74"/>
        <v>0</v>
      </c>
      <c r="Q141" s="71">
        <f t="shared" si="74"/>
        <v>0</v>
      </c>
      <c r="R141" s="71">
        <f t="shared" si="74"/>
        <v>0</v>
      </c>
      <c r="S141" s="71">
        <f t="shared" si="74"/>
        <v>0</v>
      </c>
      <c r="T141" s="71">
        <f t="shared" si="74"/>
        <v>0</v>
      </c>
    </row>
    <row r="142" spans="2:20" x14ac:dyDescent="0.2">
      <c r="D142" s="149" t="s">
        <v>300</v>
      </c>
      <c r="K142" s="71">
        <f t="shared" ref="K142:T142" si="75">K125</f>
        <v>0</v>
      </c>
      <c r="L142" s="71">
        <f t="shared" ca="1" si="75"/>
        <v>0</v>
      </c>
      <c r="M142" s="71">
        <f t="shared" ca="1" si="75"/>
        <v>64.911454115105826</v>
      </c>
      <c r="N142" s="71">
        <f t="shared" ca="1" si="75"/>
        <v>48.683590586329366</v>
      </c>
      <c r="O142" s="71">
        <f t="shared" ca="1" si="75"/>
        <v>48.683590586329366</v>
      </c>
      <c r="P142" s="71">
        <f t="shared" ca="1" si="75"/>
        <v>40.569658821941147</v>
      </c>
      <c r="Q142" s="71">
        <f t="shared" ca="1" si="75"/>
        <v>40.569658821941147</v>
      </c>
      <c r="R142" s="71">
        <f t="shared" ca="1" si="75"/>
        <v>40.569658821941147</v>
      </c>
      <c r="S142" s="71">
        <f t="shared" ca="1" si="75"/>
        <v>60.854488232911706</v>
      </c>
      <c r="T142" s="71">
        <f t="shared" ca="1" si="75"/>
        <v>60.85448823291172</v>
      </c>
    </row>
    <row r="143" spans="2:20" x14ac:dyDescent="0.2">
      <c r="D143" s="149" t="s">
        <v>329</v>
      </c>
      <c r="K143" s="65">
        <f t="shared" ref="K143:T143" si="76">K134</f>
        <v>0</v>
      </c>
      <c r="L143" s="65">
        <f t="shared" si="76"/>
        <v>0</v>
      </c>
      <c r="M143" s="65">
        <f t="shared" si="76"/>
        <v>1.44</v>
      </c>
      <c r="N143" s="65">
        <f t="shared" si="76"/>
        <v>1.08</v>
      </c>
      <c r="O143" s="65">
        <f t="shared" si="76"/>
        <v>1.08</v>
      </c>
      <c r="P143" s="65">
        <f t="shared" si="76"/>
        <v>0.9</v>
      </c>
      <c r="Q143" s="65">
        <f t="shared" si="76"/>
        <v>0.9</v>
      </c>
      <c r="R143" s="65">
        <f t="shared" si="76"/>
        <v>0.9</v>
      </c>
      <c r="S143" s="65">
        <f t="shared" si="76"/>
        <v>1.3499999999999999</v>
      </c>
      <c r="T143" s="65">
        <f t="shared" si="76"/>
        <v>1.35</v>
      </c>
    </row>
    <row r="144" spans="2:20" x14ac:dyDescent="0.2">
      <c r="D144" s="192"/>
    </row>
    <row r="145" spans="2:21" x14ac:dyDescent="0.2">
      <c r="C145" s="136" t="s">
        <v>361</v>
      </c>
      <c r="D145" s="192"/>
    </row>
    <row r="146" spans="2:21" x14ac:dyDescent="0.2">
      <c r="D146" s="193" t="s">
        <v>132</v>
      </c>
      <c r="K146" s="191">
        <f ca="1">SUM(K147:K150)</f>
        <v>3029.06</v>
      </c>
      <c r="L146" s="191">
        <f t="shared" ref="L146:T146" ca="1" si="77">SUM(L147:L150)</f>
        <v>3377.4051341043055</v>
      </c>
      <c r="M146" s="191">
        <f t="shared" ca="1" si="77"/>
        <v>3327.6415435179761</v>
      </c>
      <c r="N146" s="191">
        <f t="shared" ca="1" si="77"/>
        <v>3277.8779529316471</v>
      </c>
      <c r="O146" s="191">
        <f t="shared" ca="1" si="77"/>
        <v>3236.4082941097058</v>
      </c>
      <c r="P146" s="191">
        <f t="shared" ca="1" si="77"/>
        <v>3194.9386352877646</v>
      </c>
      <c r="Q146" s="191">
        <f t="shared" ca="1" si="77"/>
        <v>3153.4689764658233</v>
      </c>
      <c r="R146" s="191">
        <f t="shared" ca="1" si="77"/>
        <v>3091.2644882329114</v>
      </c>
      <c r="S146" s="191">
        <f t="shared" ca="1" si="77"/>
        <v>3029.06</v>
      </c>
      <c r="T146" s="191">
        <f t="shared" ca="1" si="77"/>
        <v>3029.06</v>
      </c>
    </row>
    <row r="147" spans="2:21" x14ac:dyDescent="0.2">
      <c r="D147" s="149" t="s">
        <v>316</v>
      </c>
      <c r="K147" s="65">
        <f t="shared" ref="K147:S147" si="78">K107-L106</f>
        <v>0</v>
      </c>
      <c r="L147" s="65">
        <f t="shared" si="78"/>
        <v>0</v>
      </c>
      <c r="M147" s="65">
        <f t="shared" si="78"/>
        <v>0</v>
      </c>
      <c r="N147" s="65">
        <f t="shared" si="78"/>
        <v>0</v>
      </c>
      <c r="O147" s="65">
        <f t="shared" si="78"/>
        <v>0</v>
      </c>
      <c r="P147" s="65">
        <f t="shared" si="78"/>
        <v>0</v>
      </c>
      <c r="Q147" s="65">
        <f t="shared" si="78"/>
        <v>0</v>
      </c>
      <c r="R147" s="65">
        <f t="shared" si="78"/>
        <v>0</v>
      </c>
      <c r="S147" s="65">
        <f t="shared" si="78"/>
        <v>0</v>
      </c>
      <c r="T147" s="65">
        <f>T107-V106</f>
        <v>0</v>
      </c>
    </row>
    <row r="148" spans="2:21" x14ac:dyDescent="0.2">
      <c r="D148" s="149" t="s">
        <v>317</v>
      </c>
      <c r="K148" s="65">
        <f t="shared" ref="K148:T148" si="79">K116-L115</f>
        <v>3029.06</v>
      </c>
      <c r="L148" s="65">
        <f t="shared" si="79"/>
        <v>3029.06</v>
      </c>
      <c r="M148" s="65">
        <f t="shared" si="79"/>
        <v>3029.06</v>
      </c>
      <c r="N148" s="65">
        <f t="shared" si="79"/>
        <v>3029.06</v>
      </c>
      <c r="O148" s="65">
        <f t="shared" si="79"/>
        <v>3029.06</v>
      </c>
      <c r="P148" s="65">
        <f t="shared" si="79"/>
        <v>3029.06</v>
      </c>
      <c r="Q148" s="65">
        <f t="shared" si="79"/>
        <v>3029.06</v>
      </c>
      <c r="R148" s="65">
        <f t="shared" si="79"/>
        <v>3029.06</v>
      </c>
      <c r="S148" s="65">
        <f t="shared" si="79"/>
        <v>3029.06</v>
      </c>
      <c r="T148" s="65">
        <f t="shared" si="79"/>
        <v>3029.06</v>
      </c>
      <c r="U148" s="71"/>
    </row>
    <row r="149" spans="2:21" x14ac:dyDescent="0.2">
      <c r="D149" s="149" t="s">
        <v>300</v>
      </c>
      <c r="K149" s="65">
        <f t="shared" ref="K149:S149" ca="1" si="80">K126-L125</f>
        <v>0</v>
      </c>
      <c r="L149" s="65">
        <f t="shared" ca="1" si="80"/>
        <v>340.7851341043056</v>
      </c>
      <c r="M149" s="65">
        <f t="shared" ca="1" si="80"/>
        <v>292.10154351797621</v>
      </c>
      <c r="N149" s="65">
        <f t="shared" ca="1" si="80"/>
        <v>243.41795293164685</v>
      </c>
      <c r="O149" s="65">
        <f t="shared" ca="1" si="80"/>
        <v>202.84829410970571</v>
      </c>
      <c r="P149" s="65">
        <f t="shared" ca="1" si="80"/>
        <v>162.27863528776456</v>
      </c>
      <c r="Q149" s="65">
        <f t="shared" ca="1" si="80"/>
        <v>121.70897646582341</v>
      </c>
      <c r="R149" s="65">
        <f t="shared" ca="1" si="80"/>
        <v>60.854488232911706</v>
      </c>
      <c r="S149" s="65">
        <f t="shared" ca="1" si="80"/>
        <v>0</v>
      </c>
      <c r="T149" s="65">
        <f ca="1">T126-V125</f>
        <v>0</v>
      </c>
      <c r="U149" s="71"/>
    </row>
    <row r="150" spans="2:21" x14ac:dyDescent="0.2">
      <c r="D150" s="149" t="s">
        <v>329</v>
      </c>
      <c r="K150" s="71">
        <f t="shared" ref="K150:T150" si="81">K135-L134</f>
        <v>0</v>
      </c>
      <c r="L150" s="71">
        <f t="shared" si="81"/>
        <v>7.5600000000000005</v>
      </c>
      <c r="M150" s="71">
        <f t="shared" si="81"/>
        <v>6.48</v>
      </c>
      <c r="N150" s="71">
        <f t="shared" si="81"/>
        <v>5.4</v>
      </c>
      <c r="O150" s="71">
        <f t="shared" si="81"/>
        <v>4.5</v>
      </c>
      <c r="P150" s="71">
        <f t="shared" si="81"/>
        <v>3.6</v>
      </c>
      <c r="Q150" s="71">
        <f t="shared" si="81"/>
        <v>2.7</v>
      </c>
      <c r="R150" s="71">
        <f t="shared" si="81"/>
        <v>1.3500000000000003</v>
      </c>
      <c r="S150" s="71">
        <f t="shared" si="81"/>
        <v>0</v>
      </c>
      <c r="T150" s="71">
        <f t="shared" si="81"/>
        <v>0</v>
      </c>
      <c r="U150" s="71"/>
    </row>
    <row r="151" spans="2:21" x14ac:dyDescent="0.2">
      <c r="D151" s="194"/>
      <c r="L151" s="65"/>
      <c r="M151" s="65"/>
      <c r="N151" s="65"/>
      <c r="O151" s="65"/>
      <c r="P151" s="65"/>
      <c r="Q151" s="65"/>
      <c r="R151" s="65"/>
      <c r="S151" s="65"/>
      <c r="T151" s="65"/>
      <c r="U151" s="71"/>
    </row>
    <row r="152" spans="2:21" x14ac:dyDescent="0.2">
      <c r="D152" s="193" t="s">
        <v>137</v>
      </c>
      <c r="K152" s="78">
        <f ca="1">SUM(K153:K156)</f>
        <v>0</v>
      </c>
      <c r="L152" s="78">
        <f t="shared" ref="L152:T152" ca="1" si="82">SUM(L153:L156)</f>
        <v>66.351454115105824</v>
      </c>
      <c r="M152" s="78">
        <f t="shared" ca="1" si="82"/>
        <v>49.763590586329364</v>
      </c>
      <c r="N152" s="78">
        <f t="shared" ca="1" si="82"/>
        <v>49.763590586329364</v>
      </c>
      <c r="O152" s="78">
        <f t="shared" ca="1" si="82"/>
        <v>41.469658821941145</v>
      </c>
      <c r="P152" s="78">
        <f t="shared" ca="1" si="82"/>
        <v>41.469658821941145</v>
      </c>
      <c r="Q152" s="78">
        <f t="shared" ca="1" si="82"/>
        <v>41.469658821941145</v>
      </c>
      <c r="R152" s="78">
        <f t="shared" ca="1" si="82"/>
        <v>62.204488232911707</v>
      </c>
      <c r="S152" s="78">
        <f t="shared" ca="1" si="82"/>
        <v>62.204488232911721</v>
      </c>
      <c r="T152" s="78">
        <f t="shared" si="82"/>
        <v>0</v>
      </c>
    </row>
    <row r="153" spans="2:21" x14ac:dyDescent="0.2">
      <c r="D153" s="149" t="s">
        <v>316</v>
      </c>
      <c r="K153" s="65">
        <f t="shared" ref="K153:S153" si="83">L106</f>
        <v>0</v>
      </c>
      <c r="L153" s="65">
        <f t="shared" si="83"/>
        <v>0</v>
      </c>
      <c r="M153" s="65">
        <f t="shared" si="83"/>
        <v>0</v>
      </c>
      <c r="N153" s="65">
        <f t="shared" si="83"/>
        <v>0</v>
      </c>
      <c r="O153" s="65">
        <f t="shared" si="83"/>
        <v>0</v>
      </c>
      <c r="P153" s="65">
        <f t="shared" si="83"/>
        <v>0</v>
      </c>
      <c r="Q153" s="65">
        <f t="shared" si="83"/>
        <v>0</v>
      </c>
      <c r="R153" s="65">
        <f t="shared" si="83"/>
        <v>0</v>
      </c>
      <c r="S153" s="65">
        <f t="shared" si="83"/>
        <v>0</v>
      </c>
      <c r="T153" s="65">
        <f>V106</f>
        <v>0</v>
      </c>
    </row>
    <row r="154" spans="2:21" x14ac:dyDescent="0.2">
      <c r="D154" s="149" t="s">
        <v>317</v>
      </c>
      <c r="K154" s="65">
        <f t="shared" ref="K154:T154" si="84">L115</f>
        <v>0</v>
      </c>
      <c r="L154" s="65">
        <f t="shared" si="84"/>
        <v>0</v>
      </c>
      <c r="M154" s="65">
        <f t="shared" si="84"/>
        <v>0</v>
      </c>
      <c r="N154" s="65">
        <f t="shared" si="84"/>
        <v>0</v>
      </c>
      <c r="O154" s="65">
        <f t="shared" si="84"/>
        <v>0</v>
      </c>
      <c r="P154" s="65">
        <f t="shared" si="84"/>
        <v>0</v>
      </c>
      <c r="Q154" s="65">
        <f t="shared" si="84"/>
        <v>0</v>
      </c>
      <c r="R154" s="65">
        <f t="shared" si="84"/>
        <v>0</v>
      </c>
      <c r="S154" s="65">
        <f t="shared" si="84"/>
        <v>0</v>
      </c>
      <c r="T154" s="65">
        <f t="shared" si="84"/>
        <v>0</v>
      </c>
      <c r="U154" s="71"/>
    </row>
    <row r="155" spans="2:21" x14ac:dyDescent="0.2">
      <c r="D155" s="149" t="s">
        <v>300</v>
      </c>
      <c r="K155" s="65">
        <f t="shared" ref="K155:T155" ca="1" si="85">L125</f>
        <v>0</v>
      </c>
      <c r="L155" s="65">
        <f t="shared" ca="1" si="85"/>
        <v>64.911454115105826</v>
      </c>
      <c r="M155" s="65">
        <f t="shared" ca="1" si="85"/>
        <v>48.683590586329366</v>
      </c>
      <c r="N155" s="65">
        <f t="shared" ca="1" si="85"/>
        <v>48.683590586329366</v>
      </c>
      <c r="O155" s="65">
        <f t="shared" ca="1" si="85"/>
        <v>40.569658821941147</v>
      </c>
      <c r="P155" s="65">
        <f t="shared" ca="1" si="85"/>
        <v>40.569658821941147</v>
      </c>
      <c r="Q155" s="65">
        <f t="shared" ca="1" si="85"/>
        <v>40.569658821941147</v>
      </c>
      <c r="R155" s="65">
        <f t="shared" ca="1" si="85"/>
        <v>60.854488232911706</v>
      </c>
      <c r="S155" s="65">
        <f t="shared" ca="1" si="85"/>
        <v>60.85448823291172</v>
      </c>
      <c r="T155" s="65">
        <f t="shared" si="85"/>
        <v>0</v>
      </c>
      <c r="U155" s="71"/>
    </row>
    <row r="156" spans="2:21" x14ac:dyDescent="0.2">
      <c r="D156" s="149" t="s">
        <v>329</v>
      </c>
      <c r="K156" s="71">
        <f>L134</f>
        <v>0</v>
      </c>
      <c r="L156" s="71">
        <f t="shared" ref="L156:T156" si="86">M134</f>
        <v>1.44</v>
      </c>
      <c r="M156" s="71">
        <f t="shared" si="86"/>
        <v>1.08</v>
      </c>
      <c r="N156" s="71">
        <f t="shared" si="86"/>
        <v>1.08</v>
      </c>
      <c r="O156" s="71">
        <f t="shared" si="86"/>
        <v>0.9</v>
      </c>
      <c r="P156" s="71">
        <f t="shared" si="86"/>
        <v>0.9</v>
      </c>
      <c r="Q156" s="71">
        <f t="shared" si="86"/>
        <v>0.9</v>
      </c>
      <c r="R156" s="71">
        <f t="shared" si="86"/>
        <v>1.3499999999999999</v>
      </c>
      <c r="S156" s="71">
        <f t="shared" si="86"/>
        <v>1.35</v>
      </c>
      <c r="T156" s="71">
        <f t="shared" si="86"/>
        <v>0</v>
      </c>
      <c r="U156" s="71"/>
    </row>
    <row r="157" spans="2:21" x14ac:dyDescent="0.2">
      <c r="D157" s="194"/>
      <c r="K157" s="71"/>
      <c r="L157" s="65"/>
      <c r="M157" s="65"/>
      <c r="N157" s="65"/>
      <c r="O157" s="65"/>
      <c r="P157" s="65"/>
      <c r="Q157" s="65"/>
      <c r="R157" s="65"/>
      <c r="S157" s="65"/>
      <c r="T157" s="65"/>
      <c r="U157" s="71"/>
    </row>
    <row r="158" spans="2:21" x14ac:dyDescent="0.2">
      <c r="B158" s="62" t="s">
        <v>418</v>
      </c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</row>
    <row r="159" spans="2:21" x14ac:dyDescent="0.2">
      <c r="K159" s="71"/>
    </row>
    <row r="160" spans="2:21" ht="15" x14ac:dyDescent="0.25">
      <c r="C160" s="10" t="s">
        <v>414</v>
      </c>
      <c r="K160" s="32">
        <f>BS!J23</f>
        <v>1403.8269</v>
      </c>
    </row>
    <row r="161" spans="2:12" ht="15" x14ac:dyDescent="0.25">
      <c r="C161" s="307" t="s">
        <v>420</v>
      </c>
      <c r="K161" s="31"/>
    </row>
    <row r="162" spans="2:12" ht="15" x14ac:dyDescent="0.25">
      <c r="D162" s="308" t="s">
        <v>410</v>
      </c>
      <c r="K162" s="320">
        <v>115.15</v>
      </c>
    </row>
    <row r="163" spans="2:12" ht="15" x14ac:dyDescent="0.25">
      <c r="D163" s="308" t="s">
        <v>411</v>
      </c>
      <c r="K163" s="320">
        <v>223</v>
      </c>
    </row>
    <row r="164" spans="2:12" ht="15" x14ac:dyDescent="0.25">
      <c r="D164" s="308" t="s">
        <v>412</v>
      </c>
      <c r="K164" s="320">
        <v>245.79</v>
      </c>
    </row>
    <row r="165" spans="2:12" ht="15" x14ac:dyDescent="0.25">
      <c r="D165" s="308" t="s">
        <v>413</v>
      </c>
      <c r="K165" s="320">
        <v>152.69999999999999</v>
      </c>
    </row>
    <row r="166" spans="2:12" ht="15" x14ac:dyDescent="0.25">
      <c r="C166" s="308" t="s">
        <v>421</v>
      </c>
      <c r="K166" s="321">
        <f>BS!J121</f>
        <v>94.520899999999997</v>
      </c>
    </row>
    <row r="167" spans="2:12" ht="15" x14ac:dyDescent="0.25">
      <c r="C167" s="317" t="s">
        <v>419</v>
      </c>
      <c r="D167" s="147"/>
      <c r="E167" s="300"/>
      <c r="F167" s="300"/>
      <c r="G167" s="300"/>
      <c r="H167" s="300"/>
      <c r="I167" s="300"/>
      <c r="J167" s="147"/>
      <c r="K167" s="318">
        <f>SUM(K162:K166)</f>
        <v>831.16089999999986</v>
      </c>
    </row>
    <row r="168" spans="2:12" ht="15" x14ac:dyDescent="0.25">
      <c r="C168" s="308" t="s">
        <v>416</v>
      </c>
      <c r="K168" s="319">
        <f>K160-K167</f>
        <v>572.66600000000017</v>
      </c>
    </row>
    <row r="169" spans="2:12" ht="15" x14ac:dyDescent="0.25">
      <c r="C169" s="308" t="s">
        <v>415</v>
      </c>
      <c r="K169" s="322">
        <f>+K170/K168</f>
        <v>0.48021010501758427</v>
      </c>
    </row>
    <row r="170" spans="2:12" ht="15" x14ac:dyDescent="0.25">
      <c r="C170" s="323" t="s">
        <v>417</v>
      </c>
      <c r="D170" s="207"/>
      <c r="E170" s="207"/>
      <c r="F170" s="207"/>
      <c r="G170" s="207"/>
      <c r="H170" s="207"/>
      <c r="I170" s="207"/>
      <c r="J170" s="207"/>
      <c r="K170" s="324">
        <v>275</v>
      </c>
    </row>
    <row r="173" spans="2:12" x14ac:dyDescent="0.2">
      <c r="B173" s="62" t="s">
        <v>454</v>
      </c>
      <c r="C173" s="62"/>
      <c r="D173" s="62"/>
      <c r="E173" s="62"/>
      <c r="F173" s="62"/>
      <c r="G173" s="62"/>
      <c r="H173" s="62"/>
      <c r="I173" s="62"/>
      <c r="J173" s="62"/>
      <c r="K173" s="62"/>
      <c r="L173" s="62"/>
    </row>
    <row r="174" spans="2:12" ht="30" x14ac:dyDescent="0.2">
      <c r="E174" s="349" t="s">
        <v>458</v>
      </c>
      <c r="F174" s="382" t="s">
        <v>485</v>
      </c>
      <c r="G174" s="382" t="s">
        <v>94</v>
      </c>
      <c r="K174" s="136" t="s">
        <v>459</v>
      </c>
    </row>
    <row r="175" spans="2:12" ht="15" x14ac:dyDescent="0.2">
      <c r="D175" s="348" t="s">
        <v>455</v>
      </c>
      <c r="E175" s="381">
        <v>592355555.5555557</v>
      </c>
      <c r="F175" s="381">
        <v>140686000</v>
      </c>
      <c r="G175" s="381">
        <v>400645303.53705001</v>
      </c>
      <c r="K175" s="350">
        <f>+E175*0.15/10^7</f>
        <v>8.8853333333333353</v>
      </c>
    </row>
    <row r="176" spans="2:12" ht="15" x14ac:dyDescent="0.2">
      <c r="D176" s="348" t="s">
        <v>456</v>
      </c>
      <c r="E176" s="381">
        <v>702240000.00000012</v>
      </c>
      <c r="F176" s="381"/>
      <c r="G176" s="381">
        <v>165724000</v>
      </c>
      <c r="K176" s="351">
        <v>0</v>
      </c>
      <c r="L176" s="64" t="s">
        <v>461</v>
      </c>
    </row>
    <row r="177" spans="4:12" ht="15" x14ac:dyDescent="0.2">
      <c r="D177" s="348" t="s">
        <v>457</v>
      </c>
      <c r="E177" s="381">
        <v>39137777.777777769</v>
      </c>
      <c r="F177" s="381"/>
      <c r="G177" s="381">
        <v>53891999.999999993</v>
      </c>
      <c r="K177" s="352" t="s">
        <v>462</v>
      </c>
      <c r="L177" s="64" t="s">
        <v>460</v>
      </c>
    </row>
    <row r="178" spans="4:12" ht="15" x14ac:dyDescent="0.25">
      <c r="D178" s="353" t="s">
        <v>463</v>
      </c>
      <c r="E178" s="353"/>
      <c r="F178" s="353"/>
      <c r="G178" s="353"/>
      <c r="H178" s="353"/>
      <c r="I178" s="353"/>
      <c r="J178" s="353"/>
      <c r="K178" s="324">
        <f>+SUM(K175:K177)</f>
        <v>8.8853333333333353</v>
      </c>
    </row>
    <row r="179" spans="4:12" ht="15" x14ac:dyDescent="0.25">
      <c r="E179" s="403"/>
      <c r="K179" s="324">
        <v>9</v>
      </c>
      <c r="L179" s="64" t="s">
        <v>464</v>
      </c>
    </row>
  </sheetData>
  <conditionalFormatting sqref="K10:T10">
    <cfRule type="cellIs" dxfId="2" priority="1" operator="greaterThan">
      <formula>0.06</formula>
    </cfRule>
  </conditionalFormatting>
  <conditionalFormatting sqref="K11:T12">
    <cfRule type="cellIs" dxfId="1" priority="2" operator="lessThan">
      <formula>0</formula>
    </cfRule>
  </conditionalFormatting>
  <conditionalFormatting sqref="L8:T8">
    <cfRule type="cellIs" dxfId="0" priority="4" operator="lessThan">
      <formula>0</formula>
    </cfRule>
  </conditionalFormatting>
  <dataValidations disablePrompts="1" count="1">
    <dataValidation type="list" allowBlank="1" showInputMessage="1" showErrorMessage="1" sqref="A121" xr:uid="{B8B50BBA-CFFA-4FD5-8675-F739C810B8EB}">
      <formula1>"0%,1%,2%"</formula1>
    </dataValidation>
  </dataValidations>
  <pageMargins left="0.5" right="0.5" top="0.75" bottom="0.5" header="0.3" footer="0.3"/>
  <pageSetup paperSize="9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1AD28-5C4B-4F49-9D9F-D9E0F644649C}">
  <dimension ref="A1:K20"/>
  <sheetViews>
    <sheetView workbookViewId="0">
      <selection activeCell="J22" sqref="J22"/>
    </sheetView>
  </sheetViews>
  <sheetFormatPr defaultRowHeight="15" x14ac:dyDescent="0.25"/>
  <cols>
    <col min="1" max="1" width="34.5703125" bestFit="1" customWidth="1"/>
  </cols>
  <sheetData>
    <row r="1" spans="1:11" x14ac:dyDescent="0.25">
      <c r="A1" s="342" t="s">
        <v>200</v>
      </c>
      <c r="B1" s="342"/>
      <c r="C1" s="337"/>
      <c r="D1" s="337"/>
      <c r="E1" s="337"/>
      <c r="F1" s="337"/>
      <c r="G1" s="337"/>
      <c r="H1" s="337"/>
      <c r="I1" s="337"/>
      <c r="J1" s="337"/>
      <c r="K1" s="337"/>
    </row>
    <row r="2" spans="1:11" x14ac:dyDescent="0.25">
      <c r="A2" s="57" t="s">
        <v>351</v>
      </c>
      <c r="B2" s="57"/>
      <c r="C2" s="58"/>
      <c r="D2" s="58"/>
      <c r="E2" s="59"/>
      <c r="F2" s="59"/>
      <c r="G2" s="59"/>
      <c r="H2" s="59"/>
      <c r="I2" s="59"/>
      <c r="J2" s="59"/>
      <c r="K2" s="59"/>
    </row>
    <row r="3" spans="1:11" x14ac:dyDescent="0.25">
      <c r="A3" s="57"/>
      <c r="B3" s="57"/>
      <c r="C3" s="58"/>
      <c r="D3" s="58"/>
      <c r="E3" s="59"/>
      <c r="F3" s="59"/>
      <c r="G3" s="59"/>
      <c r="H3" s="59"/>
      <c r="I3" s="59"/>
      <c r="J3" s="59"/>
      <c r="K3" s="59"/>
    </row>
    <row r="4" spans="1:11" x14ac:dyDescent="0.25">
      <c r="A4" s="29" t="s">
        <v>370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5">
      <c r="A5" s="119"/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1" x14ac:dyDescent="0.25">
      <c r="A6" s="125" t="s">
        <v>0</v>
      </c>
      <c r="B6" s="120">
        <f>PL!L5</f>
        <v>45747</v>
      </c>
      <c r="C6" s="120">
        <f>PL!M5</f>
        <v>46112</v>
      </c>
      <c r="D6" s="120">
        <f>PL!N5</f>
        <v>46477</v>
      </c>
      <c r="E6" s="120">
        <f>PL!O5</f>
        <v>46843</v>
      </c>
      <c r="F6" s="120">
        <f>PL!P5</f>
        <v>47208</v>
      </c>
      <c r="G6" s="120">
        <f>PL!Q5</f>
        <v>47573</v>
      </c>
      <c r="H6" s="120">
        <f>PL!R5</f>
        <v>47938</v>
      </c>
      <c r="I6" s="120">
        <f>PL!S5</f>
        <v>48304</v>
      </c>
      <c r="J6" s="120">
        <f>PL!T5</f>
        <v>48669</v>
      </c>
      <c r="K6" s="120" t="s">
        <v>176</v>
      </c>
    </row>
    <row r="7" spans="1:11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</row>
    <row r="8" spans="1:11" x14ac:dyDescent="0.25">
      <c r="A8" s="118" t="s">
        <v>269</v>
      </c>
      <c r="B8" s="123">
        <f ca="1">PL!L37</f>
        <v>-68.139071751335564</v>
      </c>
      <c r="C8" s="123">
        <f ca="1">PL!M37</f>
        <v>-38.920918470499828</v>
      </c>
      <c r="D8" s="123">
        <f ca="1">PL!N37</f>
        <v>26.723463486128715</v>
      </c>
      <c r="E8" s="123">
        <f ca="1">PL!O37</f>
        <v>52.39098365466009</v>
      </c>
      <c r="F8" s="123">
        <f ca="1">PL!P37</f>
        <v>67.54937784866506</v>
      </c>
      <c r="G8" s="123">
        <f ca="1">PL!Q37</f>
        <v>82.89909186637027</v>
      </c>
      <c r="H8" s="123">
        <f ca="1">PL!R37</f>
        <v>98.782446802464733</v>
      </c>
      <c r="I8" s="123">
        <f ca="1">PL!S37</f>
        <v>115.94272534395441</v>
      </c>
      <c r="J8" s="123">
        <f ca="1">PL!T37</f>
        <v>134.44628130422348</v>
      </c>
      <c r="K8" s="121">
        <f t="shared" ref="K8:K10" ca="1" si="0">+SUM(B8:J8)</f>
        <v>471.67438008463137</v>
      </c>
    </row>
    <row r="9" spans="1:11" x14ac:dyDescent="0.25">
      <c r="A9" s="118" t="s">
        <v>7</v>
      </c>
      <c r="B9" s="117">
        <f>PL!L16</f>
        <v>30.756265521953097</v>
      </c>
      <c r="C9" s="117">
        <f>PL!M16</f>
        <v>27.314236570983912</v>
      </c>
      <c r="D9" s="117">
        <f>PL!N16</f>
        <v>23.743170183366779</v>
      </c>
      <c r="E9" s="117">
        <f>PL!O16</f>
        <v>20.672167846071456</v>
      </c>
      <c r="F9" s="117">
        <f>PL!P16</f>
        <v>18.023034938602194</v>
      </c>
      <c r="G9" s="117">
        <f>PL!Q16</f>
        <v>15.732252724451167</v>
      </c>
      <c r="H9" s="117">
        <f>PL!R16</f>
        <v>13.747476205339968</v>
      </c>
      <c r="I9" s="117">
        <f>PL!S16</f>
        <v>12.025073389774827</v>
      </c>
      <c r="J9" s="117">
        <f>PL!T16</f>
        <v>10.528348770863417</v>
      </c>
      <c r="K9" s="121">
        <f t="shared" si="0"/>
        <v>172.54202615140684</v>
      </c>
    </row>
    <row r="10" spans="1:11" x14ac:dyDescent="0.25">
      <c r="A10" s="118" t="s">
        <v>273</v>
      </c>
      <c r="B10" s="117">
        <f ca="1">PL!L15</f>
        <v>17.543440587679402</v>
      </c>
      <c r="C10" s="117">
        <f ca="1">PL!M15</f>
        <v>56.441980562660198</v>
      </c>
      <c r="D10" s="117">
        <f ca="1">PL!N15</f>
        <v>35.375393881114093</v>
      </c>
      <c r="E10" s="117">
        <f ca="1">PL!O15</f>
        <v>30.399034822481156</v>
      </c>
      <c r="F10" s="117">
        <f ca="1">PL!P15</f>
        <v>25.837372352067632</v>
      </c>
      <c r="G10" s="117">
        <f ca="1">PL!Q15</f>
        <v>21.690406469873516</v>
      </c>
      <c r="H10" s="117">
        <f ca="1">PL!R15</f>
        <v>17.543440587679402</v>
      </c>
      <c r="I10" s="117">
        <f ca="1">PL!S15</f>
        <v>12.359733234936757</v>
      </c>
      <c r="J10" s="117">
        <f ca="1">PL!T15</f>
        <v>6.1392844116455851</v>
      </c>
      <c r="K10" s="121">
        <f t="shared" ca="1" si="0"/>
        <v>223.33008691013774</v>
      </c>
    </row>
    <row r="11" spans="1:11" x14ac:dyDescent="0.25">
      <c r="A11" s="116" t="s">
        <v>366</v>
      </c>
      <c r="B11" s="121">
        <f ca="1">SUM(B8:B10)</f>
        <v>-19.839365641703065</v>
      </c>
      <c r="C11" s="121">
        <f t="shared" ref="C11:J11" ca="1" si="1">SUM(C8:C10)</f>
        <v>44.835298663144286</v>
      </c>
      <c r="D11" s="121">
        <f t="shared" ca="1" si="1"/>
        <v>85.842027550609586</v>
      </c>
      <c r="E11" s="121">
        <f t="shared" ca="1" si="1"/>
        <v>103.46218632321271</v>
      </c>
      <c r="F11" s="121">
        <f t="shared" ca="1" si="1"/>
        <v>111.40978513933489</v>
      </c>
      <c r="G11" s="121">
        <f t="shared" ca="1" si="1"/>
        <v>120.32175106069496</v>
      </c>
      <c r="H11" s="121">
        <f t="shared" ca="1" si="1"/>
        <v>130.0733635954841</v>
      </c>
      <c r="I11" s="121">
        <f t="shared" ca="1" si="1"/>
        <v>140.32753196866599</v>
      </c>
      <c r="J11" s="121">
        <f t="shared" ca="1" si="1"/>
        <v>151.11391448673248</v>
      </c>
      <c r="K11" s="121">
        <f ca="1">+SUM(B11:J11)</f>
        <v>867.54649314617598</v>
      </c>
    </row>
    <row r="12" spans="1:11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</row>
    <row r="13" spans="1:11" x14ac:dyDescent="0.25">
      <c r="A13" s="118" t="s">
        <v>273</v>
      </c>
      <c r="B13" s="117">
        <f ca="1">B10</f>
        <v>17.543440587679402</v>
      </c>
      <c r="C13" s="117">
        <f t="shared" ref="C13:J13" ca="1" si="2">C10</f>
        <v>56.441980562660198</v>
      </c>
      <c r="D13" s="117">
        <f t="shared" ca="1" si="2"/>
        <v>35.375393881114093</v>
      </c>
      <c r="E13" s="117">
        <f t="shared" ca="1" si="2"/>
        <v>30.399034822481156</v>
      </c>
      <c r="F13" s="117">
        <f t="shared" ca="1" si="2"/>
        <v>25.837372352067632</v>
      </c>
      <c r="G13" s="117">
        <f t="shared" ca="1" si="2"/>
        <v>21.690406469873516</v>
      </c>
      <c r="H13" s="117">
        <f t="shared" ca="1" si="2"/>
        <v>17.543440587679402</v>
      </c>
      <c r="I13" s="117">
        <f t="shared" ca="1" si="2"/>
        <v>12.359733234936757</v>
      </c>
      <c r="J13" s="117">
        <f t="shared" ca="1" si="2"/>
        <v>6.1392844116455851</v>
      </c>
      <c r="K13" s="121">
        <f t="shared" ref="K13:K14" ca="1" si="3">+SUM(B13:J13)</f>
        <v>223.33008691013774</v>
      </c>
    </row>
    <row r="14" spans="1:11" x14ac:dyDescent="0.25">
      <c r="A14" s="118" t="s">
        <v>371</v>
      </c>
      <c r="B14" s="117">
        <f ca="1">Assumptions!L139</f>
        <v>0</v>
      </c>
      <c r="C14" s="117">
        <f ca="1">Assumptions!M139</f>
        <v>66.351454115105824</v>
      </c>
      <c r="D14" s="117">
        <f ca="1">Assumptions!N139</f>
        <v>49.763590586329364</v>
      </c>
      <c r="E14" s="117">
        <f ca="1">Assumptions!O139</f>
        <v>49.763590586329364</v>
      </c>
      <c r="F14" s="117">
        <f ca="1">Assumptions!P139</f>
        <v>41.469658821941145</v>
      </c>
      <c r="G14" s="117">
        <f ca="1">Assumptions!Q139</f>
        <v>41.469658821941145</v>
      </c>
      <c r="H14" s="117">
        <f ca="1">Assumptions!R139</f>
        <v>41.469658821941145</v>
      </c>
      <c r="I14" s="117">
        <f ca="1">Assumptions!S139</f>
        <v>62.204488232911707</v>
      </c>
      <c r="J14" s="117">
        <f ca="1">Assumptions!T139</f>
        <v>62.204488232911721</v>
      </c>
      <c r="K14" s="121">
        <f t="shared" ca="1" si="3"/>
        <v>414.69658821941147</v>
      </c>
    </row>
    <row r="15" spans="1:11" x14ac:dyDescent="0.25">
      <c r="A15" s="116" t="s">
        <v>367</v>
      </c>
      <c r="B15" s="121">
        <f ca="1">+B13+B14</f>
        <v>17.543440587679402</v>
      </c>
      <c r="C15" s="121">
        <f t="shared" ref="C15:J15" ca="1" si="4">+C13+C14</f>
        <v>122.79343467776602</v>
      </c>
      <c r="D15" s="121">
        <f t="shared" ca="1" si="4"/>
        <v>85.138984467443464</v>
      </c>
      <c r="E15" s="121">
        <f t="shared" ca="1" si="4"/>
        <v>80.162625408810527</v>
      </c>
      <c r="F15" s="121">
        <f t="shared" ca="1" si="4"/>
        <v>67.307031174008785</v>
      </c>
      <c r="G15" s="121">
        <f t="shared" ca="1" si="4"/>
        <v>63.160065291814661</v>
      </c>
      <c r="H15" s="121">
        <f t="shared" ca="1" si="4"/>
        <v>59.013099409620551</v>
      </c>
      <c r="I15" s="121">
        <f t="shared" ca="1" si="4"/>
        <v>74.564221467848469</v>
      </c>
      <c r="J15" s="121">
        <f t="shared" ca="1" si="4"/>
        <v>68.343772644557305</v>
      </c>
      <c r="K15" s="121">
        <f ca="1">+SUM(B15:J15)</f>
        <v>638.02667512954918</v>
      </c>
    </row>
    <row r="16" spans="1:11" x14ac:dyDescent="0.25">
      <c r="A16" s="48"/>
      <c r="B16" s="48"/>
      <c r="C16" s="48"/>
      <c r="D16" s="48"/>
      <c r="E16" s="48"/>
      <c r="F16" s="48"/>
      <c r="G16" s="48"/>
      <c r="H16" s="48"/>
      <c r="I16" s="48"/>
      <c r="J16" s="48"/>
    </row>
    <row r="17" spans="1:11" x14ac:dyDescent="0.25">
      <c r="A17" s="116" t="s">
        <v>268</v>
      </c>
      <c r="B17" s="115">
        <f ca="1">+B11/B15</f>
        <v>-1.1308708541263035</v>
      </c>
      <c r="C17" s="115">
        <f ca="1">+C11/C15</f>
        <v>0.36512781632666991</v>
      </c>
      <c r="D17" s="115">
        <f t="shared" ref="D17:K17" ca="1" si="5">+D11/D15</f>
        <v>1.0082575930117532</v>
      </c>
      <c r="E17" s="115">
        <f t="shared" ca="1" si="5"/>
        <v>1.2906536655402676</v>
      </c>
      <c r="F17" s="115">
        <f t="shared" ca="1" si="5"/>
        <v>1.6552473522611226</v>
      </c>
      <c r="G17" s="115">
        <f t="shared" ca="1" si="5"/>
        <v>1.9050289214360308</v>
      </c>
      <c r="H17" s="115">
        <f t="shared" ca="1" si="5"/>
        <v>2.2041439086705386</v>
      </c>
      <c r="I17" s="115">
        <f t="shared" ca="1" si="5"/>
        <v>1.8819687137640695</v>
      </c>
      <c r="J17" s="115">
        <f t="shared" ca="1" si="5"/>
        <v>2.2110853504187808</v>
      </c>
      <c r="K17" s="115">
        <f t="shared" ca="1" si="5"/>
        <v>1.3597338903894944</v>
      </c>
    </row>
    <row r="18" spans="1:11" x14ac:dyDescent="0.25">
      <c r="A18" s="124" t="s">
        <v>368</v>
      </c>
      <c r="B18" s="408">
        <f ca="1">MIN(B17:J17)</f>
        <v>-1.1308708541263035</v>
      </c>
      <c r="C18" s="408"/>
      <c r="D18" s="408"/>
      <c r="E18" s="408"/>
      <c r="F18" s="408"/>
      <c r="G18" s="408"/>
      <c r="H18" s="408"/>
      <c r="I18" s="408"/>
      <c r="J18" s="408"/>
      <c r="K18" s="408"/>
    </row>
    <row r="19" spans="1:11" x14ac:dyDescent="0.25">
      <c r="A19" s="124" t="s">
        <v>369</v>
      </c>
      <c r="B19" s="411">
        <f ca="1">+K17</f>
        <v>1.3597338903894944</v>
      </c>
      <c r="C19" s="411"/>
      <c r="D19" s="411"/>
      <c r="E19" s="411"/>
      <c r="F19" s="411"/>
      <c r="G19" s="411"/>
      <c r="H19" s="411"/>
      <c r="I19" s="411"/>
      <c r="J19" s="411"/>
      <c r="K19" s="411"/>
    </row>
    <row r="20" spans="1:11" x14ac:dyDescent="0.25">
      <c r="A20" s="124" t="s">
        <v>468</v>
      </c>
      <c r="B20" s="409">
        <f ca="1">+MAX(B17:J17)</f>
        <v>2.2110853504187808</v>
      </c>
      <c r="C20" s="410"/>
      <c r="D20" s="410"/>
      <c r="E20" s="410"/>
      <c r="F20" s="410"/>
      <c r="G20" s="410"/>
      <c r="H20" s="410"/>
      <c r="I20" s="410"/>
      <c r="J20" s="410"/>
      <c r="K20" s="410"/>
    </row>
  </sheetData>
  <mergeCells count="3">
    <mergeCell ref="B18:K18"/>
    <mergeCell ref="B20:K20"/>
    <mergeCell ref="B19:K1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BDFC-B457-47C5-A5E2-C6F160D9E8F4}">
  <dimension ref="B2:N33"/>
  <sheetViews>
    <sheetView topLeftCell="A7" workbookViewId="0">
      <selection activeCell="B27" sqref="B27"/>
    </sheetView>
  </sheetViews>
  <sheetFormatPr defaultRowHeight="15" x14ac:dyDescent="0.25"/>
  <cols>
    <col min="2" max="2" width="33" bestFit="1" customWidth="1"/>
  </cols>
  <sheetData>
    <row r="2" spans="2:14" x14ac:dyDescent="0.25">
      <c r="B2" s="358" t="str">
        <f>+DSCR!A1</f>
        <v>Gupta Power Infrastructure Limited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2:14" ht="18.75" x14ac:dyDescent="0.25">
      <c r="B3" s="360"/>
      <c r="C3" s="360"/>
      <c r="D3" s="360"/>
      <c r="E3" s="360"/>
      <c r="F3" s="360"/>
      <c r="G3" s="360"/>
      <c r="H3" s="360"/>
      <c r="I3" s="360"/>
      <c r="J3" s="360"/>
      <c r="K3" s="360"/>
      <c r="L3" s="360"/>
      <c r="M3" s="360"/>
      <c r="N3" s="360"/>
    </row>
    <row r="4" spans="2:14" ht="18.75" x14ac:dyDescent="0.25">
      <c r="B4" s="361" t="s">
        <v>469</v>
      </c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</row>
    <row r="5" spans="2:14" x14ac:dyDescent="0.25">
      <c r="B5" s="363"/>
      <c r="C5" s="363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</row>
    <row r="6" spans="2:14" x14ac:dyDescent="0.25">
      <c r="B6" s="365" t="s">
        <v>0</v>
      </c>
      <c r="C6" s="34">
        <v>45747</v>
      </c>
      <c r="D6" s="34">
        <f>+EDATE(C6,12)</f>
        <v>46112</v>
      </c>
      <c r="E6" s="34">
        <f>EDATE(D6,12)</f>
        <v>46477</v>
      </c>
      <c r="F6" s="34">
        <f t="shared" ref="F6:K6" si="0">EDATE(E6,12)</f>
        <v>46843</v>
      </c>
      <c r="G6" s="34">
        <f t="shared" si="0"/>
        <v>47208</v>
      </c>
      <c r="H6" s="34">
        <f t="shared" si="0"/>
        <v>47573</v>
      </c>
      <c r="I6" s="34">
        <f t="shared" si="0"/>
        <v>47938</v>
      </c>
      <c r="J6" s="34">
        <f t="shared" si="0"/>
        <v>48304</v>
      </c>
      <c r="K6" s="34">
        <f t="shared" si="0"/>
        <v>48669</v>
      </c>
      <c r="L6" s="366"/>
      <c r="M6" s="366"/>
      <c r="N6" s="366"/>
    </row>
    <row r="7" spans="2:14" x14ac:dyDescent="0.25">
      <c r="B7" s="367" t="s">
        <v>295</v>
      </c>
      <c r="C7" s="368">
        <f>+PL!L7</f>
        <v>266.85071702799422</v>
      </c>
      <c r="D7" s="368">
        <f>+PL!M7</f>
        <v>1387.62372854557</v>
      </c>
      <c r="E7" s="368">
        <f>+PL!N7</f>
        <v>2020.38014876235</v>
      </c>
      <c r="F7" s="368">
        <f>+PL!O7</f>
        <v>2401.3661196718222</v>
      </c>
      <c r="G7" s="368">
        <f>+PL!P7</f>
        <v>2622.2918026816301</v>
      </c>
      <c r="H7" s="368">
        <f>+PL!Q7</f>
        <v>2857.0493545407471</v>
      </c>
      <c r="I7" s="368">
        <f>+PL!R7</f>
        <v>3106.3918436643035</v>
      </c>
      <c r="J7" s="368">
        <f>+PL!S7</f>
        <v>3371.1104529504792</v>
      </c>
      <c r="K7" s="368">
        <f>+PL!T7</f>
        <v>3652.0363240296861</v>
      </c>
      <c r="L7" s="366"/>
      <c r="M7" s="366"/>
      <c r="N7" s="366"/>
    </row>
    <row r="8" spans="2:14" x14ac:dyDescent="0.25">
      <c r="B8" s="367" t="s">
        <v>470</v>
      </c>
      <c r="C8" s="368">
        <f>+PL!L12+PL!L14+PL!L17</f>
        <v>286.719625526713</v>
      </c>
      <c r="D8" s="368">
        <f>+PL!M12+PL!M14+PL!M17</f>
        <v>1342.9420527389073</v>
      </c>
      <c r="E8" s="368">
        <f>+PL!N12+PL!N14+PL!N17</f>
        <v>1920.407628787849</v>
      </c>
      <c r="F8" s="368">
        <f>+PL!O12+PL!O14+PL!O17</f>
        <v>2270.0286387878436</v>
      </c>
      <c r="G8" s="368">
        <f>+PL!P12+PL!P14+PL!P17</f>
        <v>2474.8890435563262</v>
      </c>
      <c r="H8" s="368">
        <f>+PL!Q12+PL!Q14+PL!Q17</f>
        <v>2692.515716384225</v>
      </c>
      <c r="I8" s="368">
        <f>+PL!R12+PL!R14+PL!R17</f>
        <v>2923.602656143667</v>
      </c>
      <c r="J8" s="368">
        <f>+PL!S12+PL!S14+PL!S17</f>
        <v>3168.878979291399</v>
      </c>
      <c r="K8" s="368">
        <f>+PL!T12+PL!T14+PL!T17</f>
        <v>3429.1106200625577</v>
      </c>
      <c r="L8" s="366"/>
      <c r="M8" s="366"/>
      <c r="N8" s="366"/>
    </row>
    <row r="9" spans="2:14" x14ac:dyDescent="0.25">
      <c r="B9" s="367" t="s">
        <v>15</v>
      </c>
      <c r="C9" s="368">
        <f ca="1">+BS!L30</f>
        <v>886.48593552439138</v>
      </c>
      <c r="D9" s="368">
        <f ca="1">+BS!M30</f>
        <v>889.00705137399314</v>
      </c>
      <c r="E9" s="368">
        <f ca="1">+BS!N30</f>
        <v>949.3452200885489</v>
      </c>
      <c r="F9" s="368">
        <f ca="1">+BS!O30</f>
        <v>1008.5514040146929</v>
      </c>
      <c r="G9" s="368">
        <f ca="1">+BS!P30</f>
        <v>1073.4756470088887</v>
      </c>
      <c r="H9" s="368">
        <f ca="1">+BS!Q30</f>
        <v>1152.762428076272</v>
      </c>
      <c r="I9" s="368">
        <f ca="1">+BS!R30</f>
        <v>1247.3223679493967</v>
      </c>
      <c r="J9" s="368">
        <f ca="1">+BS!S30</f>
        <v>1338.0345008048569</v>
      </c>
      <c r="K9" s="368">
        <f ca="1">+BS!T30</f>
        <v>1447.2809439213461</v>
      </c>
      <c r="L9" s="366"/>
      <c r="M9" s="366"/>
      <c r="N9" s="366"/>
    </row>
    <row r="10" spans="2:14" x14ac:dyDescent="0.25">
      <c r="B10" s="367" t="s">
        <v>29</v>
      </c>
      <c r="C10" s="368">
        <f ca="1">+BS!L53</f>
        <v>146.73318653024555</v>
      </c>
      <c r="D10" s="368">
        <f ca="1">+BS!M53</f>
        <v>210.62457486569267</v>
      </c>
      <c r="E10" s="368">
        <f ca="1">+BS!N53</f>
        <v>270.25970049708235</v>
      </c>
      <c r="F10" s="368">
        <f ca="1">+BS!O53</f>
        <v>297.87239174443613</v>
      </c>
      <c r="G10" s="368">
        <f ca="1">+BS!P53</f>
        <v>318.69388077330575</v>
      </c>
      <c r="H10" s="368">
        <f ca="1">+BS!Q53</f>
        <v>340.81897607180883</v>
      </c>
      <c r="I10" s="368">
        <f ca="1">+BS!R53</f>
        <v>385.05348117004058</v>
      </c>
      <c r="J10" s="368">
        <f ca="1">+BS!S53</f>
        <v>410.00230352468287</v>
      </c>
      <c r="K10" s="368">
        <f>+BS!T53</f>
        <v>374.27411656608547</v>
      </c>
      <c r="L10" s="366"/>
      <c r="M10" s="366"/>
      <c r="N10" s="366"/>
    </row>
    <row r="11" spans="2:14" x14ac:dyDescent="0.25">
      <c r="B11" s="367" t="s">
        <v>20</v>
      </c>
      <c r="C11" s="368">
        <f ca="1">+BS!L32</f>
        <v>1318.1957548362684</v>
      </c>
      <c r="D11" s="368">
        <f ca="1">+BS!M32</f>
        <v>1293.402634114886</v>
      </c>
      <c r="E11" s="368">
        <f ca="1">+BS!N32</f>
        <v>1329.9976326460751</v>
      </c>
      <c r="F11" s="368">
        <f ca="1">+BS!O32</f>
        <v>1368.5316487261478</v>
      </c>
      <c r="G11" s="368">
        <f ca="1">+BS!P32</f>
        <v>1415.4328567817413</v>
      </c>
      <c r="H11" s="368">
        <f ca="1">+BS!Q32</f>
        <v>1478.9873851246734</v>
      </c>
      <c r="I11" s="368">
        <f ca="1">+BS!R32</f>
        <v>1559.7998487924581</v>
      </c>
      <c r="J11" s="368">
        <f ca="1">+BS!S32</f>
        <v>1638.4869082581436</v>
      </c>
      <c r="K11" s="368">
        <f ca="1">+BS!T32</f>
        <v>1737.2050026037693</v>
      </c>
      <c r="L11" s="366"/>
      <c r="M11" s="366"/>
      <c r="N11" s="366"/>
    </row>
    <row r="12" spans="2:14" x14ac:dyDescent="0.25">
      <c r="B12" s="367" t="s">
        <v>188</v>
      </c>
      <c r="C12" s="368">
        <f ca="1">+PL!L20+PL!L15</f>
        <v>-50.595631163656165</v>
      </c>
      <c r="D12" s="368">
        <f ca="1">+PL!M20+PL!M15</f>
        <v>17.521062092160371</v>
      </c>
      <c r="E12" s="368">
        <f ca="1">+PL!N20+PL!N15</f>
        <v>76.453024670170777</v>
      </c>
      <c r="F12" s="368">
        <f ca="1">+PL!O20+PL!O15</f>
        <v>110.93116660841957</v>
      </c>
      <c r="G12" s="368">
        <f ca="1">+PL!P20+PL!P15</f>
        <v>129.67003628570183</v>
      </c>
      <c r="H12" s="368">
        <f ca="1">+PL!Q20+PL!Q15</f>
        <v>149.11768737612394</v>
      </c>
      <c r="I12" s="368">
        <f ca="1">+PL!R20+PL!R15</f>
        <v>169.38561779264859</v>
      </c>
      <c r="J12" s="368">
        <f ca="1">+PL!S20+PL!S15</f>
        <v>190.57961355951005</v>
      </c>
      <c r="K12" s="368">
        <f ca="1">+PL!T20+PL!T15</f>
        <v>212.80166959398616</v>
      </c>
      <c r="L12" s="366"/>
      <c r="M12" s="366"/>
      <c r="N12" s="366"/>
    </row>
    <row r="13" spans="2:14" x14ac:dyDescent="0.25">
      <c r="B13" s="367" t="s">
        <v>310</v>
      </c>
      <c r="C13" s="368">
        <f ca="1">+PL!L15</f>
        <v>17.543440587679402</v>
      </c>
      <c r="D13" s="368">
        <f ca="1">+PL!M15</f>
        <v>56.441980562660198</v>
      </c>
      <c r="E13" s="368">
        <f ca="1">+PL!N15</f>
        <v>35.375393881114093</v>
      </c>
      <c r="F13" s="368">
        <f ca="1">+PL!O15</f>
        <v>30.399034822481156</v>
      </c>
      <c r="G13" s="368">
        <f ca="1">+PL!P15</f>
        <v>25.837372352067632</v>
      </c>
      <c r="H13" s="368">
        <f ca="1">+PL!Q15</f>
        <v>21.690406469873516</v>
      </c>
      <c r="I13" s="368">
        <f ca="1">+PL!R15</f>
        <v>17.543440587679402</v>
      </c>
      <c r="J13" s="368">
        <f ca="1">+PL!S15</f>
        <v>12.359733234936757</v>
      </c>
      <c r="K13" s="368">
        <f ca="1">+PL!T15</f>
        <v>6.1392844116455851</v>
      </c>
      <c r="L13" s="366"/>
      <c r="M13" s="366"/>
      <c r="N13" s="366"/>
    </row>
    <row r="14" spans="2:14" x14ac:dyDescent="0.25">
      <c r="B14" s="367" t="s">
        <v>187</v>
      </c>
      <c r="C14" s="368">
        <f ca="1">+C12+PL!L16</f>
        <v>-19.839365641703068</v>
      </c>
      <c r="D14" s="368">
        <f ca="1">+D12+PL!M16</f>
        <v>44.835298663144286</v>
      </c>
      <c r="E14" s="368">
        <f ca="1">+E12+PL!N16</f>
        <v>100.19619485353755</v>
      </c>
      <c r="F14" s="368">
        <f ca="1">+F12+PL!O16</f>
        <v>131.60333445449103</v>
      </c>
      <c r="G14" s="368">
        <f ca="1">+G12+PL!P16</f>
        <v>147.69307122430402</v>
      </c>
      <c r="H14" s="368">
        <f ca="1">+H12+PL!Q16</f>
        <v>164.84994010057511</v>
      </c>
      <c r="I14" s="368">
        <f ca="1">+I12+PL!R16</f>
        <v>183.13309399798857</v>
      </c>
      <c r="J14" s="368">
        <f ca="1">+J12+PL!S16</f>
        <v>202.60468694928488</v>
      </c>
      <c r="K14" s="368">
        <f ca="1">+K12+PL!T16</f>
        <v>223.33001836484959</v>
      </c>
      <c r="L14" s="366"/>
      <c r="M14" s="366"/>
      <c r="N14" s="366"/>
    </row>
    <row r="15" spans="2:14" x14ac:dyDescent="0.25">
      <c r="B15" s="367" t="s">
        <v>269</v>
      </c>
      <c r="C15" s="368">
        <f ca="1">+PL!L33</f>
        <v>-68.139071751335564</v>
      </c>
      <c r="D15" s="368">
        <f ca="1">+PL!M33</f>
        <v>-38.920918470499828</v>
      </c>
      <c r="E15" s="368">
        <f ca="1">+PL!N33</f>
        <v>26.723463486128715</v>
      </c>
      <c r="F15" s="368">
        <f ca="1">+PL!O33</f>
        <v>52.39098365466009</v>
      </c>
      <c r="G15" s="368">
        <f ca="1">+PL!P33</f>
        <v>67.54937784866506</v>
      </c>
      <c r="H15" s="368">
        <f ca="1">+PL!Q33</f>
        <v>82.89909186637027</v>
      </c>
      <c r="I15" s="368">
        <f ca="1">+PL!R33</f>
        <v>98.782446802464733</v>
      </c>
      <c r="J15" s="368">
        <f ca="1">+PL!S33</f>
        <v>115.94272534395441</v>
      </c>
      <c r="K15" s="368">
        <f ca="1">+PL!T33</f>
        <v>134.44628130422348</v>
      </c>
      <c r="L15" s="366"/>
      <c r="M15" s="366"/>
      <c r="N15" s="366"/>
    </row>
    <row r="16" spans="2:14" x14ac:dyDescent="0.25">
      <c r="B16" s="367" t="s">
        <v>471</v>
      </c>
      <c r="C16" s="368">
        <f>+BS!L20</f>
        <v>62.874415518924671</v>
      </c>
      <c r="D16" s="368">
        <f>+BS!M20</f>
        <v>196.16817641904495</v>
      </c>
      <c r="E16" s="368">
        <f>+BS!N20</f>
        <v>285.62086486612947</v>
      </c>
      <c r="F16" s="368">
        <f>+BS!O20</f>
        <v>339.48079938374246</v>
      </c>
      <c r="G16" s="368">
        <f>+BS!P20</f>
        <v>370.71303292704692</v>
      </c>
      <c r="H16" s="368">
        <f>+BS!Q20</f>
        <v>403.90067587480149</v>
      </c>
      <c r="I16" s="368">
        <f>+BS!R20</f>
        <v>439.15018940569325</v>
      </c>
      <c r="J16" s="368">
        <f>+BS!S20</f>
        <v>476.57342293765674</v>
      </c>
      <c r="K16" s="368">
        <f>+BS!T20</f>
        <v>516.28787484912823</v>
      </c>
      <c r="L16" s="366"/>
      <c r="M16" s="366"/>
      <c r="N16" s="366"/>
    </row>
    <row r="17" spans="2:14" x14ac:dyDescent="0.25">
      <c r="B17" s="367" t="s">
        <v>472</v>
      </c>
      <c r="C17" s="368">
        <f>+BS!L25+BS!L26</f>
        <v>232.54272113325823</v>
      </c>
      <c r="D17" s="368">
        <f>+BS!M25+BS!M26</f>
        <v>342.1537960797296</v>
      </c>
      <c r="E17" s="368">
        <f>+BS!N25+BS!N26</f>
        <v>498.17592709208634</v>
      </c>
      <c r="F17" s="368">
        <f>+BS!O25+BS!O26</f>
        <v>592.11767334373701</v>
      </c>
      <c r="G17" s="368">
        <f>+BS!P25+BS!P26</f>
        <v>646.59249929136081</v>
      </c>
      <c r="H17" s="368">
        <f>+BS!Q25+BS!Q26</f>
        <v>704.4779230374445</v>
      </c>
      <c r="I17" s="368">
        <f>+BS!R25+BS!R26</f>
        <v>765.95963268434878</v>
      </c>
      <c r="J17" s="368">
        <f>+BS!S25+BS!S26</f>
        <v>831.23271442614555</v>
      </c>
      <c r="K17" s="368">
        <f>+BS!T25+BS!T26</f>
        <v>900.50210729499111</v>
      </c>
      <c r="L17" s="366"/>
      <c r="M17" s="366"/>
      <c r="N17" s="366"/>
    </row>
    <row r="18" spans="2:14" x14ac:dyDescent="0.25">
      <c r="B18" s="367" t="s">
        <v>473</v>
      </c>
      <c r="C18" s="368">
        <f>+BS!L47</f>
        <v>50.29953241513973</v>
      </c>
      <c r="D18" s="368">
        <f>+BS!M47</f>
        <v>130.77878427936329</v>
      </c>
      <c r="E18" s="368">
        <f>+BS!N47</f>
        <v>190.41390991075298</v>
      </c>
      <c r="F18" s="368">
        <f>+BS!O47</f>
        <v>226.320532922495</v>
      </c>
      <c r="G18" s="368">
        <f>+BS!P47</f>
        <v>247.1420219513646</v>
      </c>
      <c r="H18" s="368">
        <f>+BS!Q47</f>
        <v>269.26711724986768</v>
      </c>
      <c r="I18" s="368">
        <f>+BS!R47</f>
        <v>292.76679293712886</v>
      </c>
      <c r="J18" s="368">
        <f>+BS!S47</f>
        <v>317.71561529177114</v>
      </c>
      <c r="K18" s="368">
        <f>+BS!T47</f>
        <v>344.19191656608547</v>
      </c>
      <c r="L18" s="366"/>
      <c r="M18" s="366"/>
      <c r="N18" s="366"/>
    </row>
    <row r="19" spans="2:14" x14ac:dyDescent="0.25">
      <c r="B19" s="367" t="s">
        <v>474</v>
      </c>
      <c r="C19" s="368">
        <f ca="1">C11-C10</f>
        <v>1171.4625683060228</v>
      </c>
      <c r="D19" s="368">
        <f t="shared" ref="D19:K19" ca="1" si="1">D11-D10</f>
        <v>1082.7780592491933</v>
      </c>
      <c r="E19" s="368">
        <f t="shared" ca="1" si="1"/>
        <v>1059.7379321489927</v>
      </c>
      <c r="F19" s="368">
        <f t="shared" ca="1" si="1"/>
        <v>1070.6592569817117</v>
      </c>
      <c r="G19" s="368">
        <f t="shared" ca="1" si="1"/>
        <v>1096.7389760084357</v>
      </c>
      <c r="H19" s="368">
        <f t="shared" ca="1" si="1"/>
        <v>1138.1684090528647</v>
      </c>
      <c r="I19" s="368">
        <f t="shared" ca="1" si="1"/>
        <v>1174.7463676224174</v>
      </c>
      <c r="J19" s="368">
        <f t="shared" ca="1" si="1"/>
        <v>1228.4846047334606</v>
      </c>
      <c r="K19" s="368">
        <f t="shared" ca="1" si="1"/>
        <v>1362.9308860376839</v>
      </c>
      <c r="L19" s="366"/>
      <c r="M19" s="366"/>
      <c r="N19" s="366"/>
    </row>
    <row r="20" spans="2:14" x14ac:dyDescent="0.25">
      <c r="B20" s="366"/>
      <c r="C20" s="369"/>
      <c r="D20" s="369"/>
      <c r="E20" s="369"/>
      <c r="F20" s="369"/>
      <c r="G20" s="369"/>
      <c r="H20" s="369"/>
      <c r="I20" s="366"/>
      <c r="J20" s="366"/>
      <c r="K20" s="366"/>
      <c r="L20" s="366"/>
      <c r="M20" s="366"/>
      <c r="N20" s="366"/>
    </row>
    <row r="21" spans="2:14" x14ac:dyDescent="0.25">
      <c r="B21" s="366"/>
      <c r="C21" s="369"/>
      <c r="D21" s="369"/>
      <c r="E21" s="369"/>
      <c r="F21" s="369"/>
      <c r="G21" s="369"/>
      <c r="H21" s="369"/>
      <c r="I21" s="366"/>
      <c r="J21" s="366"/>
      <c r="K21" s="366"/>
      <c r="L21" s="366"/>
      <c r="M21" s="366"/>
      <c r="N21" s="366"/>
    </row>
    <row r="22" spans="2:14" x14ac:dyDescent="0.25">
      <c r="B22" s="366"/>
      <c r="C22" s="366"/>
      <c r="D22" s="370"/>
      <c r="E22" s="370"/>
      <c r="F22" s="370"/>
      <c r="G22" s="370"/>
      <c r="H22" s="370"/>
      <c r="I22" s="366"/>
      <c r="J22" s="366"/>
      <c r="K22" s="366"/>
      <c r="L22" s="366"/>
      <c r="M22" s="366"/>
      <c r="N22" s="366"/>
    </row>
    <row r="23" spans="2:14" x14ac:dyDescent="0.25">
      <c r="B23" s="371" t="s">
        <v>0</v>
      </c>
      <c r="C23" s="34">
        <v>45747</v>
      </c>
      <c r="D23" s="34">
        <f>EDATE(C23,12)</f>
        <v>46112</v>
      </c>
      <c r="E23" s="34">
        <f t="shared" ref="E23:K23" si="2">EDATE(D23,12)</f>
        <v>46477</v>
      </c>
      <c r="F23" s="34">
        <f t="shared" si="2"/>
        <v>46843</v>
      </c>
      <c r="G23" s="34">
        <f t="shared" si="2"/>
        <v>47208</v>
      </c>
      <c r="H23" s="34">
        <f t="shared" si="2"/>
        <v>47573</v>
      </c>
      <c r="I23" s="34">
        <f t="shared" si="2"/>
        <v>47938</v>
      </c>
      <c r="J23" s="34">
        <f t="shared" si="2"/>
        <v>48304</v>
      </c>
      <c r="K23" s="34">
        <f t="shared" si="2"/>
        <v>48669</v>
      </c>
      <c r="L23" s="365" t="s">
        <v>465</v>
      </c>
      <c r="M23" s="365" t="s">
        <v>475</v>
      </c>
      <c r="N23" s="365" t="s">
        <v>476</v>
      </c>
    </row>
    <row r="24" spans="2:14" x14ac:dyDescent="0.25">
      <c r="B24" s="372" t="s">
        <v>477</v>
      </c>
      <c r="C24" s="373">
        <f ca="1">C9/C10</f>
        <v>6.0414822064922813</v>
      </c>
      <c r="D24" s="373">
        <f t="shared" ref="D24:K24" ca="1" si="3">D9/D10</f>
        <v>4.2208135111530991</v>
      </c>
      <c r="E24" s="373">
        <f t="shared" ca="1" si="3"/>
        <v>3.5127146901385609</v>
      </c>
      <c r="F24" s="373">
        <f t="shared" ca="1" si="3"/>
        <v>3.3858505587184262</v>
      </c>
      <c r="G24" s="373">
        <f t="shared" ca="1" si="3"/>
        <v>3.3683597702099481</v>
      </c>
      <c r="H24" s="373">
        <f t="shared" ca="1" si="3"/>
        <v>3.3823305303088254</v>
      </c>
      <c r="I24" s="373">
        <f t="shared" ca="1" si="3"/>
        <v>3.2393483735278217</v>
      </c>
      <c r="J24" s="373">
        <f t="shared" ca="1" si="3"/>
        <v>3.2634804470660854</v>
      </c>
      <c r="K24" s="373">
        <f t="shared" ca="1" si="3"/>
        <v>3.866900968733701</v>
      </c>
      <c r="L24" s="374">
        <f t="shared" ref="L24:L30" ca="1" si="4">AVERAGE(C24:K24)</f>
        <v>3.8090312284831942</v>
      </c>
      <c r="M24" s="374">
        <f t="shared" ref="M24:M30" ca="1" si="5">MAX(C24:K24)</f>
        <v>6.0414822064922813</v>
      </c>
      <c r="N24" s="374">
        <f t="shared" ref="N24:N30" ca="1" si="6">MIN(C24:K24)</f>
        <v>3.2393483735278217</v>
      </c>
    </row>
    <row r="25" spans="2:14" x14ac:dyDescent="0.25">
      <c r="B25" s="372" t="s">
        <v>478</v>
      </c>
      <c r="C25" s="373">
        <f>C8/((BS!K20+C16)/2)</f>
        <v>3.6496667180472708</v>
      </c>
      <c r="D25" s="373">
        <f>D8/((C16+D16)/2)</f>
        <v>10.368503825505949</v>
      </c>
      <c r="E25" s="373">
        <f>E8/((D16+E16)/2)</f>
        <v>7.9719855132659427</v>
      </c>
      <c r="F25" s="373">
        <f t="shared" ref="F25:K25" si="7">F8/((E16+F16)/2)</f>
        <v>7.2629102388069953</v>
      </c>
      <c r="G25" s="373">
        <f t="shared" si="7"/>
        <v>6.9696157047820853</v>
      </c>
      <c r="H25" s="373">
        <f t="shared" si="7"/>
        <v>6.9518927583890449</v>
      </c>
      <c r="I25" s="373">
        <f t="shared" si="7"/>
        <v>6.9357681168405989</v>
      </c>
      <c r="J25" s="373">
        <f t="shared" si="7"/>
        <v>6.9210380437437706</v>
      </c>
      <c r="K25" s="373">
        <f t="shared" si="7"/>
        <v>6.9075320544903596</v>
      </c>
      <c r="L25" s="374">
        <f t="shared" si="4"/>
        <v>7.104323663763557</v>
      </c>
      <c r="M25" s="374">
        <f t="shared" si="5"/>
        <v>10.368503825505949</v>
      </c>
      <c r="N25" s="374">
        <f t="shared" si="6"/>
        <v>3.6496667180472708</v>
      </c>
    </row>
    <row r="26" spans="2:14" x14ac:dyDescent="0.25">
      <c r="B26" s="372" t="s">
        <v>479</v>
      </c>
      <c r="C26" s="379">
        <f>C7/((BS!K23+C17)/2)</f>
        <v>0.82106842440626615</v>
      </c>
      <c r="D26" s="373">
        <f>D7/((D17+C17)/2)</f>
        <v>4.8290660791713265</v>
      </c>
      <c r="E26" s="373">
        <f t="shared" ref="E26:K26" si="8">E7/((E17+D17)/2)</f>
        <v>4.8085414404632649</v>
      </c>
      <c r="F26" s="373">
        <f t="shared" si="8"/>
        <v>4.4049898462431099</v>
      </c>
      <c r="G26" s="373">
        <f t="shared" si="8"/>
        <v>4.2339069471000634</v>
      </c>
      <c r="H26" s="373">
        <f t="shared" si="8"/>
        <v>4.2293122657753468</v>
      </c>
      <c r="I26" s="373">
        <f t="shared" si="8"/>
        <v>4.2251258226867989</v>
      </c>
      <c r="J26" s="373">
        <f t="shared" si="8"/>
        <v>4.221295524047818</v>
      </c>
      <c r="K26" s="373">
        <f t="shared" si="8"/>
        <v>4.2177777777777781</v>
      </c>
      <c r="L26" s="374">
        <f t="shared" si="4"/>
        <v>3.9990093475190855</v>
      </c>
      <c r="M26" s="374">
        <f t="shared" si="5"/>
        <v>4.8290660791713265</v>
      </c>
      <c r="N26" s="374">
        <f t="shared" si="6"/>
        <v>0.82106842440626615</v>
      </c>
    </row>
    <row r="27" spans="2:14" x14ac:dyDescent="0.25">
      <c r="B27" s="372" t="s">
        <v>480</v>
      </c>
      <c r="C27" s="373">
        <f>C8/((C18+BS!K47)/2)</f>
        <v>4.5620833975590891</v>
      </c>
      <c r="D27" s="373">
        <f>D8/((D18+C18)/2)</f>
        <v>14.832720750376566</v>
      </c>
      <c r="E27" s="373">
        <f t="shared" ref="E27:K27" si="9">E8/((E18+D18)/2)</f>
        <v>11.957978269898915</v>
      </c>
      <c r="F27" s="373">
        <f t="shared" si="9"/>
        <v>10.894365358210493</v>
      </c>
      <c r="G27" s="373">
        <f t="shared" si="9"/>
        <v>10.454423557173127</v>
      </c>
      <c r="H27" s="373">
        <f t="shared" si="9"/>
        <v>10.427839137583566</v>
      </c>
      <c r="I27" s="373">
        <f t="shared" si="9"/>
        <v>10.403652175260897</v>
      </c>
      <c r="J27" s="373">
        <f t="shared" si="9"/>
        <v>10.381557065615656</v>
      </c>
      <c r="K27" s="373">
        <f t="shared" si="9"/>
        <v>10.361298081735541</v>
      </c>
      <c r="L27" s="374">
        <f t="shared" si="4"/>
        <v>10.475101977045984</v>
      </c>
      <c r="M27" s="374">
        <f t="shared" si="5"/>
        <v>14.832720750376566</v>
      </c>
      <c r="N27" s="374">
        <f t="shared" si="6"/>
        <v>4.5620833975590891</v>
      </c>
    </row>
    <row r="28" spans="2:14" x14ac:dyDescent="0.25">
      <c r="B28" s="372" t="s">
        <v>481</v>
      </c>
      <c r="C28" s="373">
        <f ca="1">C7/((C11+BS!K32)/2)</f>
        <v>0.23054737606293149</v>
      </c>
      <c r="D28" s="373">
        <f ca="1">D7/((D11+C11)/2)</f>
        <v>1.0626624173273858</v>
      </c>
      <c r="E28" s="373">
        <f t="shared" ref="E28:K28" ca="1" si="10">E7/((E11+D11)/2)</f>
        <v>1.5402759345274115</v>
      </c>
      <c r="F28" s="373">
        <f t="shared" ca="1" si="10"/>
        <v>1.7797591719669681</v>
      </c>
      <c r="G28" s="373">
        <f t="shared" ca="1" si="10"/>
        <v>1.8838543361408522</v>
      </c>
      <c r="H28" s="373">
        <f t="shared" ca="1" si="10"/>
        <v>1.9741772899286709</v>
      </c>
      <c r="I28" s="373">
        <f t="shared" ca="1" si="10"/>
        <v>2.0444944673931817</v>
      </c>
      <c r="J28" s="373">
        <f t="shared" ca="1" si="10"/>
        <v>2.1080726707940673</v>
      </c>
      <c r="K28" s="373">
        <f t="shared" ca="1" si="10"/>
        <v>2.1637260866600911</v>
      </c>
      <c r="L28" s="374">
        <f t="shared" ca="1" si="4"/>
        <v>1.6430633056446178</v>
      </c>
      <c r="M28" s="374">
        <f t="shared" ca="1" si="5"/>
        <v>2.1637260866600911</v>
      </c>
      <c r="N28" s="374">
        <f t="shared" ca="1" si="6"/>
        <v>0.23054737606293149</v>
      </c>
    </row>
    <row r="29" spans="2:14" x14ac:dyDescent="0.25">
      <c r="B29" s="372" t="s">
        <v>482</v>
      </c>
      <c r="C29" s="375">
        <f ca="1">C12/C19</f>
        <v>-4.3190139004457714E-2</v>
      </c>
      <c r="D29" s="375">
        <f t="shared" ref="D29:K29" ca="1" si="11">D12/D19</f>
        <v>1.6181582128021333E-2</v>
      </c>
      <c r="E29" s="375">
        <f t="shared" ca="1" si="11"/>
        <v>7.2143331243353051E-2</v>
      </c>
      <c r="F29" s="375">
        <f t="shared" ca="1" si="11"/>
        <v>0.10361015036767615</v>
      </c>
      <c r="G29" s="375">
        <f t="shared" ca="1" si="11"/>
        <v>0.11823235894983317</v>
      </c>
      <c r="H29" s="375">
        <f t="shared" ca="1" si="11"/>
        <v>0.13101548610035077</v>
      </c>
      <c r="I29" s="375">
        <f t="shared" ca="1" si="11"/>
        <v>0.14418909686477266</v>
      </c>
      <c r="J29" s="375">
        <f t="shared" ca="1" si="11"/>
        <v>0.15513390467018456</v>
      </c>
      <c r="K29" s="375">
        <f t="shared" ca="1" si="11"/>
        <v>0.15613533435480628</v>
      </c>
      <c r="L29" s="376">
        <f t="shared" ca="1" si="4"/>
        <v>9.4827900630504475E-2</v>
      </c>
      <c r="M29" s="376">
        <f t="shared" ca="1" si="5"/>
        <v>0.15613533435480628</v>
      </c>
      <c r="N29" s="376">
        <f t="shared" ca="1" si="6"/>
        <v>-4.3190139004457714E-2</v>
      </c>
    </row>
    <row r="30" spans="2:14" x14ac:dyDescent="0.25">
      <c r="B30" s="377" t="s">
        <v>483</v>
      </c>
      <c r="C30" s="368">
        <f ca="1">C14/C13</f>
        <v>-1.1308708541263037</v>
      </c>
      <c r="D30" s="368">
        <f t="shared" ref="D30:K30" ca="1" si="12">D14/D13</f>
        <v>0.79436083241922173</v>
      </c>
      <c r="E30" s="368">
        <f t="shared" ca="1" si="12"/>
        <v>2.8323697310697487</v>
      </c>
      <c r="F30" s="368">
        <f t="shared" ca="1" si="12"/>
        <v>4.3291945031480319</v>
      </c>
      <c r="G30" s="368">
        <f t="shared" ca="1" si="12"/>
        <v>5.7162574123945271</v>
      </c>
      <c r="H30" s="368">
        <f t="shared" ca="1" si="12"/>
        <v>7.6001314373495195</v>
      </c>
      <c r="I30" s="368">
        <f t="shared" ca="1" si="12"/>
        <v>10.438835705158159</v>
      </c>
      <c r="J30" s="368">
        <f t="shared" ca="1" si="12"/>
        <v>16.392318757866914</v>
      </c>
      <c r="K30" s="368">
        <f t="shared" ca="1" si="12"/>
        <v>36.377206754131755</v>
      </c>
      <c r="L30" s="374">
        <f t="shared" ca="1" si="4"/>
        <v>9.2610893643790639</v>
      </c>
      <c r="M30" s="374">
        <f t="shared" ca="1" si="5"/>
        <v>36.377206754131755</v>
      </c>
      <c r="N30" s="374">
        <f t="shared" ca="1" si="6"/>
        <v>-1.1308708541263037</v>
      </c>
    </row>
    <row r="31" spans="2:14" x14ac:dyDescent="0.25">
      <c r="B31" s="377" t="s">
        <v>9</v>
      </c>
      <c r="C31" s="375">
        <f ca="1">+C14/C7</f>
        <v>-7.434630816308356E-2</v>
      </c>
      <c r="D31" s="375">
        <f t="shared" ref="D31:K31" ca="1" si="13">+D14/D7</f>
        <v>3.2310847487552086E-2</v>
      </c>
      <c r="E31" s="375">
        <f t="shared" ca="1" si="13"/>
        <v>4.9592743679904003E-2</v>
      </c>
      <c r="F31" s="375">
        <f t="shared" ca="1" si="13"/>
        <v>5.4803527615554237E-2</v>
      </c>
      <c r="G31" s="375">
        <f t="shared" ca="1" si="13"/>
        <v>5.6322134353342712E-2</v>
      </c>
      <c r="H31" s="375">
        <f t="shared" ca="1" si="13"/>
        <v>5.7699367299545203E-2</v>
      </c>
      <c r="I31" s="375">
        <f t="shared" ca="1" si="13"/>
        <v>5.8953635991383674E-2</v>
      </c>
      <c r="J31" s="375">
        <f t="shared" ca="1" si="13"/>
        <v>6.0100281428619541E-2</v>
      </c>
      <c r="K31" s="375">
        <f t="shared" ca="1" si="13"/>
        <v>6.115218977844817E-2</v>
      </c>
      <c r="L31" s="378">
        <f t="shared" ref="L31:L33" ca="1" si="14">AVERAGE(C31:K31)</f>
        <v>3.9620935496807341E-2</v>
      </c>
      <c r="M31" s="378">
        <f t="shared" ref="M31:M33" ca="1" si="15">MAX(C31:K31)</f>
        <v>6.115218977844817E-2</v>
      </c>
      <c r="N31" s="378">
        <f t="shared" ref="N31:N33" ca="1" si="16">MIN(C31:K31)</f>
        <v>-7.434630816308356E-2</v>
      </c>
    </row>
    <row r="32" spans="2:14" x14ac:dyDescent="0.25">
      <c r="B32" s="377" t="s">
        <v>466</v>
      </c>
      <c r="C32" s="375">
        <f ca="1">+C12/C7</f>
        <v>-0.18960275515522929</v>
      </c>
      <c r="D32" s="375">
        <f t="shared" ref="D32:K32" ca="1" si="17">+D12/D7</f>
        <v>1.2626666531945928E-2</v>
      </c>
      <c r="E32" s="375">
        <f t="shared" ca="1" si="17"/>
        <v>3.784091064100218E-2</v>
      </c>
      <c r="F32" s="375">
        <f t="shared" ca="1" si="17"/>
        <v>4.6195024448658313E-2</v>
      </c>
      <c r="G32" s="375">
        <f t="shared" ca="1" si="17"/>
        <v>4.9449125437946134E-2</v>
      </c>
      <c r="H32" s="375">
        <f t="shared" ca="1" si="17"/>
        <v>5.2192898641785515E-2</v>
      </c>
      <c r="I32" s="375">
        <f t="shared" ca="1" si="17"/>
        <v>5.4528091212356876E-2</v>
      </c>
      <c r="J32" s="375">
        <f t="shared" ca="1" si="17"/>
        <v>5.6533185791260585E-2</v>
      </c>
      <c r="K32" s="375">
        <f t="shared" ca="1" si="17"/>
        <v>5.8269319008081251E-2</v>
      </c>
      <c r="L32" s="378">
        <f t="shared" ca="1" si="14"/>
        <v>1.9781385173089722E-2</v>
      </c>
      <c r="M32" s="378">
        <f t="shared" ca="1" si="15"/>
        <v>5.8269319008081251E-2</v>
      </c>
      <c r="N32" s="378">
        <f t="shared" ca="1" si="16"/>
        <v>-0.18960275515522929</v>
      </c>
    </row>
    <row r="33" spans="2:14" x14ac:dyDescent="0.25">
      <c r="B33" s="377" t="s">
        <v>484</v>
      </c>
      <c r="C33" s="375">
        <f ca="1">+C15/C7</f>
        <v>-0.25534528259928707</v>
      </c>
      <c r="D33" s="375">
        <f t="shared" ref="D33:K33" ca="1" si="18">+D15/D7</f>
        <v>-2.804861121198509E-2</v>
      </c>
      <c r="E33" s="375">
        <f t="shared" ca="1" si="18"/>
        <v>1.3226948157503452E-2</v>
      </c>
      <c r="F33" s="375">
        <f t="shared" ca="1" si="18"/>
        <v>2.181715783589884E-2</v>
      </c>
      <c r="G33" s="375">
        <f t="shared" ca="1" si="18"/>
        <v>2.5759672428364817E-2</v>
      </c>
      <c r="H33" s="375">
        <f t="shared" ca="1" si="18"/>
        <v>2.9015631716203159E-2</v>
      </c>
      <c r="I33" s="375">
        <f t="shared" ca="1" si="18"/>
        <v>3.1799738015646103E-2</v>
      </c>
      <c r="J33" s="375">
        <f t="shared" ca="1" si="18"/>
        <v>3.4393036645381486E-2</v>
      </c>
      <c r="K33" s="375">
        <f t="shared" ca="1" si="18"/>
        <v>3.6814059164634587E-2</v>
      </c>
      <c r="L33" s="378">
        <f t="shared" ca="1" si="14"/>
        <v>-1.0063072205293297E-2</v>
      </c>
      <c r="M33" s="378">
        <f t="shared" ca="1" si="15"/>
        <v>3.6814059164634587E-2</v>
      </c>
      <c r="N33" s="378">
        <f t="shared" ca="1" si="16"/>
        <v>-0.25534528259928707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B263C-6BF0-47BA-8EA4-591D241C655C}">
  <dimension ref="B1:G37"/>
  <sheetViews>
    <sheetView workbookViewId="0">
      <selection activeCell="C35" sqref="C35"/>
    </sheetView>
  </sheetViews>
  <sheetFormatPr defaultRowHeight="15" x14ac:dyDescent="0.25"/>
  <cols>
    <col min="2" max="2" width="37" bestFit="1" customWidth="1"/>
  </cols>
  <sheetData>
    <row r="1" spans="2:7" x14ac:dyDescent="0.25">
      <c r="B1" s="10" t="s">
        <v>260</v>
      </c>
      <c r="C1" s="53">
        <f>BS!F5</f>
        <v>43555</v>
      </c>
      <c r="D1" s="53">
        <f>BS!G5</f>
        <v>43921</v>
      </c>
      <c r="E1" s="53">
        <f>BS!H5</f>
        <v>44286</v>
      </c>
      <c r="F1" s="53">
        <f>BS!I5</f>
        <v>44651</v>
      </c>
      <c r="G1" s="53">
        <f>BS!J5</f>
        <v>45016</v>
      </c>
    </row>
    <row r="2" spans="2:7" x14ac:dyDescent="0.25">
      <c r="B2" t="str">
        <f>PL!B7</f>
        <v>Revenue from Operations</v>
      </c>
      <c r="C2" s="31">
        <f>PL!F7</f>
        <v>3515.4603000000002</v>
      </c>
      <c r="D2" s="31">
        <f>PL!G7</f>
        <v>3247.0526</v>
      </c>
      <c r="E2" s="31">
        <f>PL!H7</f>
        <v>2957.7846</v>
      </c>
      <c r="F2" s="31">
        <f>PL!I7</f>
        <v>3704.5113999999999</v>
      </c>
      <c r="G2" s="31">
        <f>PL!J7</f>
        <v>3979.1817999999998</v>
      </c>
    </row>
    <row r="3" spans="2:7" x14ac:dyDescent="0.25">
      <c r="B3" t="str">
        <f>PL!B8</f>
        <v>Other Income</v>
      </c>
      <c r="C3" s="31">
        <f>PL!F8</f>
        <v>0.30109999999999998</v>
      </c>
      <c r="D3" s="31">
        <f>PL!G8</f>
        <v>0.7127</v>
      </c>
      <c r="E3" s="31">
        <f>PL!H8</f>
        <v>0.22140000000000001</v>
      </c>
      <c r="F3" s="31">
        <f>PL!I8</f>
        <v>0.23280000000000001</v>
      </c>
      <c r="G3" s="31">
        <f>PL!J8</f>
        <v>0.46610000000000001</v>
      </c>
    </row>
    <row r="4" spans="2:7" x14ac:dyDescent="0.25">
      <c r="B4" t="s">
        <v>63</v>
      </c>
      <c r="C4" s="31">
        <f>SUM(C2:C3)</f>
        <v>3515.7614000000003</v>
      </c>
      <c r="D4" s="31">
        <f t="shared" ref="D4:G4" si="0">SUM(D2:D3)</f>
        <v>3247.7653</v>
      </c>
      <c r="E4" s="31">
        <f t="shared" si="0"/>
        <v>2958.0059999999999</v>
      </c>
      <c r="F4" s="31">
        <f t="shared" si="0"/>
        <v>3704.7442000000001</v>
      </c>
      <c r="G4" s="31">
        <f t="shared" si="0"/>
        <v>3979.6478999999999</v>
      </c>
    </row>
    <row r="5" spans="2:7" x14ac:dyDescent="0.25">
      <c r="B5" t="str">
        <f>PL!B39</f>
        <v>EBITDA</v>
      </c>
      <c r="C5" s="31">
        <f>PL!F39</f>
        <v>193.96829999999972</v>
      </c>
      <c r="D5" s="31">
        <f>PL!G39</f>
        <v>200.41130000000001</v>
      </c>
      <c r="E5" s="31">
        <f>PL!H39</f>
        <v>215.71049999999985</v>
      </c>
      <c r="F5" s="31">
        <f>PL!I39</f>
        <v>242.35120000000066</v>
      </c>
      <c r="G5" s="31">
        <f>PL!J39</f>
        <v>178.85199999999986</v>
      </c>
    </row>
    <row r="6" spans="2:7" x14ac:dyDescent="0.25">
      <c r="B6" t="str">
        <f>PL!B40</f>
        <v>EBITDA Margin</v>
      </c>
      <c r="C6" s="31">
        <f>PL!F40</f>
        <v>5.5175790208752948E-2</v>
      </c>
      <c r="D6" s="31">
        <f>PL!G40</f>
        <v>6.1720989675375142E-2</v>
      </c>
      <c r="E6" s="31">
        <f>PL!H40</f>
        <v>7.2929752896813332E-2</v>
      </c>
      <c r="F6" s="31">
        <f>PL!I40</f>
        <v>6.5420557215723693E-2</v>
      </c>
      <c r="G6" s="31">
        <f>PL!J40</f>
        <v>4.4946928536916779E-2</v>
      </c>
    </row>
    <row r="7" spans="2:7" x14ac:dyDescent="0.25">
      <c r="B7" t="str">
        <f>PL!B16</f>
        <v>Depreciation &amp; Amortization</v>
      </c>
      <c r="C7" s="31">
        <f>PL!F16</f>
        <v>14.885199999999999</v>
      </c>
      <c r="D7" s="31">
        <f>PL!G16</f>
        <v>22.970700000000001</v>
      </c>
      <c r="E7" s="31">
        <f>PL!H16</f>
        <v>23.075800000000001</v>
      </c>
      <c r="F7" s="31">
        <f>PL!I16</f>
        <v>22.823499999999999</v>
      </c>
      <c r="G7" s="31">
        <f>PL!J16</f>
        <v>22.858899999999998</v>
      </c>
    </row>
    <row r="8" spans="2:7" x14ac:dyDescent="0.25">
      <c r="B8" t="str">
        <f>PL!B15</f>
        <v>Finance Costs</v>
      </c>
      <c r="C8" s="31">
        <f>PL!F15</f>
        <v>101.1152</v>
      </c>
      <c r="D8" s="31">
        <f>PL!G15</f>
        <v>103.1438</v>
      </c>
      <c r="E8" s="31">
        <f>PL!H15</f>
        <v>116.5307</v>
      </c>
      <c r="F8" s="31">
        <f>PL!I15</f>
        <v>128.0368</v>
      </c>
      <c r="G8" s="31">
        <f>PL!J15</f>
        <v>145.55289999999999</v>
      </c>
    </row>
    <row r="9" spans="2:7" x14ac:dyDescent="0.25">
      <c r="B9" t="str">
        <f>PL!B27</f>
        <v>Profit Before Tax</v>
      </c>
      <c r="C9" s="31">
        <f>PL!F27</f>
        <v>78.02639999999974</v>
      </c>
      <c r="D9" s="31">
        <f>PL!G27</f>
        <v>74.540700000000015</v>
      </c>
      <c r="E9" s="31">
        <f>PL!H27</f>
        <v>75.833999999999833</v>
      </c>
      <c r="F9" s="31">
        <f>PL!I27</f>
        <v>91.37690000000066</v>
      </c>
      <c r="G9" s="31">
        <f>PL!J27</f>
        <v>10.440199999999862</v>
      </c>
    </row>
    <row r="10" spans="2:7" x14ac:dyDescent="0.25">
      <c r="B10" t="str">
        <f>PL!B33</f>
        <v>Profit After Tax from Continuing Operations</v>
      </c>
      <c r="C10" s="31">
        <f>PL!F33</f>
        <v>63.149399999999737</v>
      </c>
      <c r="D10" s="31">
        <f>PL!G33</f>
        <v>60.98390000000002</v>
      </c>
      <c r="E10" s="31">
        <f>PL!H33</f>
        <v>61.808999999999834</v>
      </c>
      <c r="F10" s="31">
        <f>PL!I33</f>
        <v>74.450300000000667</v>
      </c>
      <c r="G10" s="31">
        <f>PL!J33</f>
        <v>7.8127999999998625</v>
      </c>
    </row>
    <row r="12" spans="2:7" x14ac:dyDescent="0.25">
      <c r="B12" s="10" t="s">
        <v>261</v>
      </c>
    </row>
    <row r="13" spans="2:7" x14ac:dyDescent="0.25">
      <c r="B13" s="36" t="str">
        <f>BS!C37</f>
        <v>Total Equity</v>
      </c>
      <c r="C13" s="36">
        <f>BS!F37</f>
        <v>544.04939999999965</v>
      </c>
      <c r="D13" s="36">
        <f>BS!G37</f>
        <v>592.37539999999967</v>
      </c>
      <c r="E13" s="36">
        <f>BS!H37</f>
        <v>646.55249999999967</v>
      </c>
      <c r="F13" s="36">
        <f>BS!I37</f>
        <v>1012.7308000000003</v>
      </c>
      <c r="G13" s="36">
        <f>BS!J37</f>
        <v>972.61040000000014</v>
      </c>
    </row>
    <row r="14" spans="2:7" x14ac:dyDescent="0.25">
      <c r="B14" t="s">
        <v>262</v>
      </c>
      <c r="C14" s="36">
        <f>BS!F41+BS!F46</f>
        <v>741.64219999999989</v>
      </c>
      <c r="D14" s="36">
        <f>BS!G41+BS!G46</f>
        <v>865.67020000000002</v>
      </c>
      <c r="E14" s="36">
        <f>BS!H41+BS!H46</f>
        <v>949.76700000000005</v>
      </c>
      <c r="F14" s="36">
        <f>BS!I41+BS!I46</f>
        <v>1194.7612999999999</v>
      </c>
      <c r="G14" s="36">
        <f>BS!J41+BS!J46</f>
        <v>1372.8157999999999</v>
      </c>
    </row>
    <row r="15" spans="2:7" x14ac:dyDescent="0.25">
      <c r="B15" t="s">
        <v>263</v>
      </c>
      <c r="C15" s="36">
        <f>BS!F43+BS!F53-BS!F154</f>
        <v>1052.9907000000001</v>
      </c>
      <c r="D15" s="36">
        <f>BS!G43+BS!G53-BS!G154</f>
        <v>1208.0618999999999</v>
      </c>
      <c r="E15" s="36">
        <f>BS!H43+BS!H53-BS!H154</f>
        <v>1550.0441999999998</v>
      </c>
      <c r="F15" s="36">
        <f>BS!I43+BS!I53-BS!I154</f>
        <v>1932.0615</v>
      </c>
      <c r="G15" s="36">
        <f>BS!J43+BS!J53-BS!J154</f>
        <v>2043.8369999999998</v>
      </c>
    </row>
    <row r="16" spans="2:7" x14ac:dyDescent="0.25">
      <c r="B16" t="s">
        <v>264</v>
      </c>
      <c r="C16" s="36">
        <f>BS!F9+BS!F10+BS!F11+BS!F12</f>
        <v>242.18699999999995</v>
      </c>
      <c r="D16" s="36">
        <f>BS!G9+BS!G10+BS!G11+BS!G12</f>
        <v>232.38130000000004</v>
      </c>
      <c r="E16" s="36">
        <f>BS!H9+BS!H10+BS!H11+BS!H12</f>
        <v>213.89740000000006</v>
      </c>
      <c r="F16" s="36">
        <f>BS!I9+BS!I10+BS!I11+BS!I12</f>
        <v>499.98269999999985</v>
      </c>
      <c r="G16" s="36">
        <f>BS!J9+BS!J10+BS!J11+BS!J12</f>
        <v>462.04069999999996</v>
      </c>
    </row>
    <row r="17" spans="2:7" x14ac:dyDescent="0.25">
      <c r="B17" t="str">
        <f>BS!C15</f>
        <v>Investments</v>
      </c>
      <c r="C17" s="36">
        <f>BS!F15</f>
        <v>3.5057</v>
      </c>
      <c r="D17" s="36">
        <f>BS!G15</f>
        <v>3.0726000000000004</v>
      </c>
      <c r="E17" s="36">
        <f>BS!H15</f>
        <v>3.7046000000000001</v>
      </c>
      <c r="F17" s="36">
        <f>BS!I15</f>
        <v>3.6654</v>
      </c>
      <c r="G17" s="36">
        <f>BS!J15</f>
        <v>3.2346000000000004</v>
      </c>
    </row>
    <row r="19" spans="2:7" x14ac:dyDescent="0.25">
      <c r="B19" s="10" t="s">
        <v>265</v>
      </c>
    </row>
    <row r="20" spans="2:7" x14ac:dyDescent="0.25">
      <c r="B20" t="s">
        <v>266</v>
      </c>
      <c r="C20" s="36">
        <f>C15/BS!F9+BS!F10+BS!F11</f>
        <v>36.732329405392051</v>
      </c>
      <c r="D20" s="36">
        <f>D15/BS!G9+BS!G10+BS!G11</f>
        <v>31.131288986627148</v>
      </c>
      <c r="E20" s="36">
        <f>E15/BS!H9+BS!H10+BS!H11</f>
        <v>9.8713790315277663</v>
      </c>
      <c r="F20" s="36">
        <f>F15/BS!I9+BS!I10+BS!I11</f>
        <v>10.269474413068229</v>
      </c>
      <c r="G20" s="36">
        <f>G15/BS!J9+BS!J10+BS!J11</f>
        <v>21.420011289064028</v>
      </c>
    </row>
    <row r="21" spans="2:7" x14ac:dyDescent="0.25">
      <c r="B21" t="s">
        <v>267</v>
      </c>
      <c r="C21" s="36">
        <f>BS!F153+BS!F167/BS!F37</f>
        <v>9.5903397397001076</v>
      </c>
      <c r="D21" s="36">
        <f>BS!G153+BS!G167/BS!G37</f>
        <v>1.4892454437169411</v>
      </c>
      <c r="E21" s="36">
        <f>BS!H153+BS!H167/BS!H37</f>
        <v>77.097916719059953</v>
      </c>
      <c r="F21" s="36">
        <f>BS!I153+BS!I167/BS!I37</f>
        <v>27.666136769178937</v>
      </c>
      <c r="G21" s="36">
        <f>BS!J153+BS!J167/BS!J37</f>
        <v>4.4778678422521496</v>
      </c>
    </row>
    <row r="22" spans="2:7" x14ac:dyDescent="0.25">
      <c r="B22" t="s">
        <v>268</v>
      </c>
      <c r="C22" s="36">
        <f>C37</f>
        <v>0.22577679465656339</v>
      </c>
      <c r="D22" s="36">
        <f t="shared" ref="D22:G22" si="1">D37</f>
        <v>0.20553528503077348</v>
      </c>
      <c r="E22" s="36">
        <f t="shared" si="1"/>
        <v>0.21718696590297626</v>
      </c>
      <c r="F22" s="36">
        <f t="shared" si="1"/>
        <v>0.19099076311079785</v>
      </c>
      <c r="G22" s="36">
        <f t="shared" si="1"/>
        <v>0.12652567078681654</v>
      </c>
    </row>
    <row r="26" spans="2:7" x14ac:dyDescent="0.25">
      <c r="B26" s="10" t="s">
        <v>268</v>
      </c>
    </row>
    <row r="27" spans="2:7" x14ac:dyDescent="0.25">
      <c r="B27" t="s">
        <v>269</v>
      </c>
      <c r="C27" s="31">
        <f>PL!F33</f>
        <v>63.149399999999737</v>
      </c>
      <c r="D27" s="31">
        <f>PL!G33</f>
        <v>60.98390000000002</v>
      </c>
      <c r="E27" s="31">
        <f>PL!H33</f>
        <v>61.808999999999834</v>
      </c>
      <c r="F27" s="31">
        <f>PL!I33</f>
        <v>74.450300000000667</v>
      </c>
      <c r="G27" s="31">
        <f>PL!J33</f>
        <v>7.8127999999998625</v>
      </c>
    </row>
    <row r="28" spans="2:7" x14ac:dyDescent="0.25">
      <c r="B28" t="s">
        <v>276</v>
      </c>
      <c r="C28" s="31">
        <f>PL!F16</f>
        <v>14.885199999999999</v>
      </c>
      <c r="D28" s="31">
        <f>PL!G16</f>
        <v>22.970700000000001</v>
      </c>
      <c r="E28" s="31">
        <f>PL!H16</f>
        <v>23.075800000000001</v>
      </c>
      <c r="F28" s="31">
        <f>PL!I16</f>
        <v>22.823499999999999</v>
      </c>
      <c r="G28" s="31">
        <f>PL!J16</f>
        <v>22.858899999999998</v>
      </c>
    </row>
    <row r="29" spans="2:7" x14ac:dyDescent="0.25">
      <c r="B29" t="s">
        <v>270</v>
      </c>
      <c r="C29" s="31">
        <f>PL!F15</f>
        <v>101.1152</v>
      </c>
      <c r="D29" s="31">
        <f>PL!G15</f>
        <v>103.1438</v>
      </c>
      <c r="E29" s="31">
        <f>PL!H15</f>
        <v>116.5307</v>
      </c>
      <c r="F29" s="31">
        <f>PL!I15</f>
        <v>128.0368</v>
      </c>
      <c r="G29" s="31">
        <f>PL!J15</f>
        <v>145.55289999999999</v>
      </c>
    </row>
    <row r="30" spans="2:7" x14ac:dyDescent="0.25">
      <c r="B30" s="10" t="s">
        <v>271</v>
      </c>
      <c r="C30" s="32">
        <f>SUM(C27:C29)</f>
        <v>179.14979999999974</v>
      </c>
      <c r="D30" s="32">
        <f t="shared" ref="D30:G30" si="2">SUM(D27:D29)</f>
        <v>187.09840000000003</v>
      </c>
      <c r="E30" s="32">
        <f t="shared" si="2"/>
        <v>201.41549999999984</v>
      </c>
      <c r="F30" s="32">
        <f t="shared" si="2"/>
        <v>225.31060000000065</v>
      </c>
      <c r="G30" s="32">
        <f t="shared" si="2"/>
        <v>176.22459999999984</v>
      </c>
    </row>
    <row r="32" spans="2:7" x14ac:dyDescent="0.25">
      <c r="B32" s="10" t="s">
        <v>272</v>
      </c>
    </row>
    <row r="33" spans="2:7" x14ac:dyDescent="0.25">
      <c r="B33" t="s">
        <v>273</v>
      </c>
      <c r="C33" s="36">
        <f>C29</f>
        <v>101.1152</v>
      </c>
      <c r="D33" s="36">
        <f t="shared" ref="D33:G33" si="3">D29</f>
        <v>103.1438</v>
      </c>
      <c r="E33" s="36">
        <f t="shared" si="3"/>
        <v>116.5307</v>
      </c>
      <c r="F33" s="36">
        <f t="shared" si="3"/>
        <v>128.0368</v>
      </c>
      <c r="G33" s="36">
        <f t="shared" si="3"/>
        <v>145.55289999999999</v>
      </c>
    </row>
    <row r="34" spans="2:7" x14ac:dyDescent="0.25">
      <c r="B34" t="s">
        <v>277</v>
      </c>
      <c r="C34" s="36">
        <f>SUM(BS!F179:F181)+BS!F162</f>
        <v>692.36669999999992</v>
      </c>
      <c r="D34" s="36">
        <f>SUM(BS!G179:G181)+BS!G162</f>
        <v>807.15440000000001</v>
      </c>
      <c r="E34" s="36">
        <f>SUM(BS!H179:H181)+BS!H162</f>
        <v>810.85230000000001</v>
      </c>
      <c r="F34" s="36">
        <f>SUM(BS!I179:I181)+BS!I162</f>
        <v>1051.6569</v>
      </c>
      <c r="G34" s="36">
        <f>SUM(BS!J179:J181)+BS!J162</f>
        <v>1247.2442999999998</v>
      </c>
    </row>
    <row r="35" spans="2:7" x14ac:dyDescent="0.25">
      <c r="B35" s="10" t="s">
        <v>274</v>
      </c>
      <c r="C35" s="47">
        <f>SUM(C33:C34)</f>
        <v>793.48189999999988</v>
      </c>
      <c r="D35" s="47">
        <f t="shared" ref="D35:G35" si="4">SUM(D33:D34)</f>
        <v>910.29819999999995</v>
      </c>
      <c r="E35" s="47">
        <f t="shared" si="4"/>
        <v>927.38300000000004</v>
      </c>
      <c r="F35" s="47">
        <f t="shared" si="4"/>
        <v>1179.6937</v>
      </c>
      <c r="G35" s="47">
        <f t="shared" si="4"/>
        <v>1392.7971999999997</v>
      </c>
    </row>
    <row r="37" spans="2:7" x14ac:dyDescent="0.25">
      <c r="B37" s="10" t="s">
        <v>275</v>
      </c>
      <c r="C37" s="31">
        <f>C30/C35</f>
        <v>0.22577679465656339</v>
      </c>
      <c r="D37" s="31">
        <f t="shared" ref="D37:G37" si="5">D30/D35</f>
        <v>0.20553528503077348</v>
      </c>
      <c r="E37" s="31">
        <f t="shared" si="5"/>
        <v>0.21718696590297626</v>
      </c>
      <c r="F37" s="31">
        <f t="shared" si="5"/>
        <v>0.19099076311079785</v>
      </c>
      <c r="G37" s="31">
        <f t="shared" si="5"/>
        <v>0.12652567078681654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CC34-B623-4F41-89CA-9C3936DB8F42}">
  <dimension ref="C2:F21"/>
  <sheetViews>
    <sheetView workbookViewId="0">
      <selection activeCell="E3" sqref="E3"/>
    </sheetView>
  </sheetViews>
  <sheetFormatPr defaultRowHeight="15" x14ac:dyDescent="0.25"/>
  <cols>
    <col min="4" max="4" width="25.7109375" bestFit="1" customWidth="1"/>
    <col min="5" max="5" width="13.85546875" bestFit="1" customWidth="1"/>
  </cols>
  <sheetData>
    <row r="2" spans="3:6" x14ac:dyDescent="0.25">
      <c r="C2" s="412" t="s">
        <v>251</v>
      </c>
      <c r="D2" s="412"/>
      <c r="E2" s="412"/>
      <c r="F2" s="412"/>
    </row>
    <row r="3" spans="3:6" x14ac:dyDescent="0.25">
      <c r="C3" s="10" t="s">
        <v>235</v>
      </c>
      <c r="D3" s="10" t="s">
        <v>236</v>
      </c>
      <c r="E3" s="10" t="s">
        <v>237</v>
      </c>
      <c r="F3" s="10" t="s">
        <v>238</v>
      </c>
    </row>
    <row r="4" spans="3:6" x14ac:dyDescent="0.25">
      <c r="C4">
        <v>1</v>
      </c>
      <c r="D4" t="s">
        <v>239</v>
      </c>
      <c r="E4" s="42">
        <v>843740</v>
      </c>
      <c r="F4" s="39">
        <f>E4/$E$21</f>
        <v>8.8409356676125053E-2</v>
      </c>
    </row>
    <row r="5" spans="3:6" x14ac:dyDescent="0.25">
      <c r="C5">
        <f>C4+1</f>
        <v>2</v>
      </c>
      <c r="D5" t="s">
        <v>240</v>
      </c>
      <c r="E5" s="42">
        <v>293980</v>
      </c>
      <c r="F5" s="39">
        <f t="shared" ref="F5:F15" si="0">E5/$E$21</f>
        <v>3.0804018626173043E-2</v>
      </c>
    </row>
    <row r="6" spans="3:6" x14ac:dyDescent="0.25">
      <c r="C6">
        <f t="shared" ref="C6:C15" si="1">C5+1</f>
        <v>3</v>
      </c>
      <c r="D6" t="s">
        <v>241</v>
      </c>
      <c r="E6" s="42">
        <v>313100</v>
      </c>
      <c r="F6" s="39">
        <f t="shared" si="0"/>
        <v>3.2807463881402744E-2</v>
      </c>
    </row>
    <row r="7" spans="3:6" x14ac:dyDescent="0.25">
      <c r="C7">
        <f t="shared" si="1"/>
        <v>4</v>
      </c>
      <c r="D7" t="s">
        <v>242</v>
      </c>
      <c r="E7" s="42">
        <v>155000</v>
      </c>
      <c r="F7" s="39">
        <f t="shared" si="0"/>
        <v>1.6241318753169677E-2</v>
      </c>
    </row>
    <row r="8" spans="3:6" x14ac:dyDescent="0.25">
      <c r="C8">
        <f t="shared" si="1"/>
        <v>5</v>
      </c>
      <c r="D8" t="s">
        <v>243</v>
      </c>
      <c r="E8" s="42">
        <v>376440</v>
      </c>
      <c r="F8" s="39">
        <f t="shared" si="0"/>
        <v>3.944440020285931E-2</v>
      </c>
    </row>
    <row r="9" spans="3:6" x14ac:dyDescent="0.25">
      <c r="C9">
        <f t="shared" si="1"/>
        <v>6</v>
      </c>
      <c r="D9" t="s">
        <v>244</v>
      </c>
      <c r="E9" s="42">
        <v>313950</v>
      </c>
      <c r="F9" s="39">
        <f t="shared" si="0"/>
        <v>3.2896529177791095E-2</v>
      </c>
    </row>
    <row r="10" spans="3:6" x14ac:dyDescent="0.25">
      <c r="C10">
        <f t="shared" si="1"/>
        <v>7</v>
      </c>
      <c r="D10" t="s">
        <v>245</v>
      </c>
      <c r="E10" s="42">
        <v>25000</v>
      </c>
      <c r="F10" s="39">
        <f t="shared" si="0"/>
        <v>2.6195675408338189E-3</v>
      </c>
    </row>
    <row r="11" spans="3:6" x14ac:dyDescent="0.25">
      <c r="C11">
        <f t="shared" si="1"/>
        <v>8</v>
      </c>
      <c r="D11" t="s">
        <v>246</v>
      </c>
      <c r="E11" s="42">
        <v>25000</v>
      </c>
      <c r="F11" s="39">
        <f t="shared" si="0"/>
        <v>2.6195675408338189E-3</v>
      </c>
    </row>
    <row r="12" spans="3:6" x14ac:dyDescent="0.25">
      <c r="C12">
        <f t="shared" si="1"/>
        <v>9</v>
      </c>
      <c r="D12" t="s">
        <v>250</v>
      </c>
      <c r="E12" s="42">
        <v>422500</v>
      </c>
      <c r="F12" s="39">
        <f t="shared" si="0"/>
        <v>4.4270691440091541E-2</v>
      </c>
    </row>
    <row r="13" spans="3:6" x14ac:dyDescent="0.25">
      <c r="C13">
        <f t="shared" si="1"/>
        <v>10</v>
      </c>
      <c r="D13" t="s">
        <v>247</v>
      </c>
      <c r="E13" s="42">
        <v>390310</v>
      </c>
      <c r="F13" s="39">
        <f t="shared" si="0"/>
        <v>4.0897736274513916E-2</v>
      </c>
    </row>
    <row r="14" spans="3:6" x14ac:dyDescent="0.25">
      <c r="C14">
        <f t="shared" si="1"/>
        <v>11</v>
      </c>
      <c r="D14" t="s">
        <v>248</v>
      </c>
      <c r="E14" s="42">
        <v>25000</v>
      </c>
      <c r="F14" s="39">
        <f t="shared" si="0"/>
        <v>2.6195675408338189E-3</v>
      </c>
    </row>
    <row r="15" spans="3:6" x14ac:dyDescent="0.25">
      <c r="C15">
        <f t="shared" si="1"/>
        <v>12</v>
      </c>
      <c r="D15" t="s">
        <v>249</v>
      </c>
      <c r="E15" s="42">
        <v>323470</v>
      </c>
      <c r="F15" s="39">
        <f t="shared" si="0"/>
        <v>3.3894060497340617E-2</v>
      </c>
    </row>
    <row r="16" spans="3:6" x14ac:dyDescent="0.25">
      <c r="E16" s="42"/>
      <c r="F16" s="43"/>
    </row>
    <row r="17" spans="4:6" x14ac:dyDescent="0.25">
      <c r="D17" s="10" t="s">
        <v>176</v>
      </c>
      <c r="E17" s="45">
        <f>SUM(E4:E15)</f>
        <v>3507490</v>
      </c>
      <c r="F17" s="46">
        <f>SUM(F4:F15)</f>
        <v>0.36752427815196842</v>
      </c>
    </row>
    <row r="18" spans="4:6" x14ac:dyDescent="0.25">
      <c r="E18" s="41"/>
      <c r="F18" s="40"/>
    </row>
    <row r="20" spans="4:6" x14ac:dyDescent="0.25">
      <c r="E20" s="39"/>
    </row>
    <row r="21" spans="4:6" x14ac:dyDescent="0.25">
      <c r="D21" s="10" t="s">
        <v>252</v>
      </c>
      <c r="E21" s="44">
        <f>9543560</f>
        <v>9543560</v>
      </c>
    </row>
  </sheetData>
  <mergeCells count="1">
    <mergeCell ref="C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83ED-1F32-4C1E-BC6D-12CB23E76CB0}">
  <dimension ref="B4:S85"/>
  <sheetViews>
    <sheetView topLeftCell="F72" workbookViewId="0">
      <selection activeCell="K77" sqref="K77:M85"/>
    </sheetView>
  </sheetViews>
  <sheetFormatPr defaultRowHeight="15" x14ac:dyDescent="0.25"/>
  <cols>
    <col min="3" max="3" width="18.42578125" customWidth="1"/>
    <col min="4" max="4" width="10.42578125" bestFit="1" customWidth="1"/>
    <col min="5" max="5" width="10.140625" bestFit="1" customWidth="1"/>
    <col min="6" max="6" width="10.5703125" customWidth="1"/>
    <col min="7" max="7" width="11.7109375" customWidth="1"/>
    <col min="12" max="12" width="40.5703125" customWidth="1"/>
    <col min="13" max="13" width="33.7109375" customWidth="1"/>
  </cols>
  <sheetData>
    <row r="4" spans="2:13" x14ac:dyDescent="0.25">
      <c r="B4" s="335">
        <v>1</v>
      </c>
      <c r="C4" s="336" t="s">
        <v>435</v>
      </c>
    </row>
    <row r="5" spans="2:13" x14ac:dyDescent="0.25">
      <c r="B5" s="335">
        <v>2</v>
      </c>
      <c r="C5" s="336" t="s">
        <v>436</v>
      </c>
    </row>
    <row r="6" spans="2:13" x14ac:dyDescent="0.25">
      <c r="B6" s="335">
        <v>3</v>
      </c>
      <c r="C6" s="336" t="s">
        <v>437</v>
      </c>
      <c r="L6" s="387" t="s">
        <v>0</v>
      </c>
      <c r="M6" s="387" t="s">
        <v>492</v>
      </c>
    </row>
    <row r="7" spans="2:13" x14ac:dyDescent="0.25">
      <c r="B7" s="335">
        <v>4</v>
      </c>
      <c r="C7" s="336" t="s">
        <v>438</v>
      </c>
      <c r="L7" s="388" t="s">
        <v>414</v>
      </c>
      <c r="M7" s="389">
        <v>1403.8269</v>
      </c>
    </row>
    <row r="8" spans="2:13" x14ac:dyDescent="0.25">
      <c r="B8" s="335"/>
      <c r="C8" s="336"/>
      <c r="L8" s="48" t="s">
        <v>490</v>
      </c>
      <c r="M8" s="390"/>
    </row>
    <row r="9" spans="2:13" x14ac:dyDescent="0.25">
      <c r="C9" s="407" t="s">
        <v>0</v>
      </c>
      <c r="D9" s="406" t="s">
        <v>447</v>
      </c>
      <c r="E9" s="406"/>
      <c r="F9" s="406"/>
      <c r="L9" s="391" t="s">
        <v>410</v>
      </c>
      <c r="M9" s="390">
        <v>115.15</v>
      </c>
    </row>
    <row r="10" spans="2:13" x14ac:dyDescent="0.25">
      <c r="C10" s="407"/>
      <c r="D10" s="343" t="s">
        <v>440</v>
      </c>
      <c r="E10" s="343" t="s">
        <v>445</v>
      </c>
      <c r="F10" s="343" t="s">
        <v>446</v>
      </c>
      <c r="L10" s="391" t="s">
        <v>411</v>
      </c>
      <c r="M10" s="390">
        <v>223</v>
      </c>
    </row>
    <row r="11" spans="2:13" x14ac:dyDescent="0.25">
      <c r="C11" s="336" t="s">
        <v>441</v>
      </c>
      <c r="D11" s="335">
        <v>34</v>
      </c>
      <c r="E11" s="335">
        <v>73</v>
      </c>
      <c r="F11" s="335">
        <v>38.6</v>
      </c>
      <c r="G11" s="31"/>
      <c r="L11" s="391" t="s">
        <v>412</v>
      </c>
      <c r="M11" s="390">
        <v>245.79</v>
      </c>
    </row>
    <row r="12" spans="2:13" x14ac:dyDescent="0.25">
      <c r="C12" s="336" t="s">
        <v>442</v>
      </c>
      <c r="D12" s="335">
        <v>76</v>
      </c>
      <c r="E12" s="335">
        <v>58</v>
      </c>
      <c r="F12" s="335">
        <v>28.7</v>
      </c>
      <c r="G12" s="31"/>
      <c r="L12" s="391" t="s">
        <v>413</v>
      </c>
      <c r="M12" s="390">
        <v>152.69999999999999</v>
      </c>
    </row>
    <row r="13" spans="2:13" x14ac:dyDescent="0.25">
      <c r="C13" s="336" t="s">
        <v>443</v>
      </c>
      <c r="D13" s="335">
        <v>53</v>
      </c>
      <c r="E13" s="335">
        <v>40</v>
      </c>
      <c r="F13" s="335">
        <v>56.1</v>
      </c>
      <c r="G13" s="31"/>
      <c r="L13" s="48" t="s">
        <v>491</v>
      </c>
      <c r="M13" s="390">
        <v>94.520899999999997</v>
      </c>
    </row>
    <row r="14" spans="2:13" x14ac:dyDescent="0.25">
      <c r="C14" s="346" t="s">
        <v>444</v>
      </c>
      <c r="D14" s="347">
        <f>+D11+D12-D13</f>
        <v>57</v>
      </c>
      <c r="E14" s="347">
        <f>+E11+E12-E13</f>
        <v>91</v>
      </c>
      <c r="F14" s="347">
        <f>+F11+F12-F13</f>
        <v>11.199999999999996</v>
      </c>
      <c r="G14" s="344"/>
      <c r="L14" s="388" t="s">
        <v>419</v>
      </c>
      <c r="M14" s="389">
        <v>831.16089999999986</v>
      </c>
    </row>
    <row r="15" spans="2:13" x14ac:dyDescent="0.25">
      <c r="D15" s="335"/>
      <c r="E15" s="335"/>
      <c r="F15" s="335"/>
      <c r="L15" s="388" t="s">
        <v>416</v>
      </c>
      <c r="M15" s="389">
        <v>572.66600000000017</v>
      </c>
    </row>
    <row r="16" spans="2:13" x14ac:dyDescent="0.25">
      <c r="L16" s="48" t="s">
        <v>415</v>
      </c>
      <c r="M16" s="392">
        <v>0.48021010501758427</v>
      </c>
    </row>
    <row r="17" spans="3:19" x14ac:dyDescent="0.25">
      <c r="C17" s="345" t="s">
        <v>448</v>
      </c>
      <c r="D17" s="343">
        <v>2018</v>
      </c>
      <c r="E17" s="343">
        <v>2019</v>
      </c>
      <c r="F17" s="343">
        <v>2020</v>
      </c>
      <c r="G17" s="343" t="s">
        <v>465</v>
      </c>
      <c r="L17" s="393" t="s">
        <v>417</v>
      </c>
      <c r="M17" s="394">
        <v>275</v>
      </c>
    </row>
    <row r="18" spans="3:19" x14ac:dyDescent="0.25">
      <c r="C18" s="336" t="s">
        <v>441</v>
      </c>
      <c r="D18" s="335">
        <v>78</v>
      </c>
      <c r="E18" s="335">
        <v>77</v>
      </c>
      <c r="F18" s="335">
        <v>93</v>
      </c>
      <c r="G18" s="354">
        <f>+AVERAGE(D18:F18)</f>
        <v>82.666666666666671</v>
      </c>
    </row>
    <row r="19" spans="3:19" x14ac:dyDescent="0.25">
      <c r="C19" s="336" t="s">
        <v>442</v>
      </c>
      <c r="D19" s="335">
        <v>40</v>
      </c>
      <c r="E19" s="335">
        <v>54</v>
      </c>
      <c r="F19" s="335">
        <v>68</v>
      </c>
      <c r="G19" s="354">
        <f t="shared" ref="G19:G20" si="0">+AVERAGE(D19:F19)</f>
        <v>54</v>
      </c>
    </row>
    <row r="20" spans="3:19" x14ac:dyDescent="0.25">
      <c r="C20" s="336" t="s">
        <v>443</v>
      </c>
      <c r="D20" s="335">
        <v>25</v>
      </c>
      <c r="E20" s="335">
        <v>30</v>
      </c>
      <c r="F20" s="335">
        <v>37</v>
      </c>
      <c r="G20" s="354">
        <f t="shared" si="0"/>
        <v>30.666666666666668</v>
      </c>
    </row>
    <row r="21" spans="3:19" x14ac:dyDescent="0.25">
      <c r="C21" s="346" t="s">
        <v>444</v>
      </c>
      <c r="D21" s="347">
        <f>+D18+D19-D20</f>
        <v>93</v>
      </c>
      <c r="E21" s="347">
        <f>+E18+E19-E20</f>
        <v>101</v>
      </c>
      <c r="F21" s="347">
        <f>+F18+F19-F20</f>
        <v>124</v>
      </c>
      <c r="G21" s="355">
        <f>+G18+G19-G20</f>
        <v>106.00000000000001</v>
      </c>
    </row>
    <row r="22" spans="3:19" x14ac:dyDescent="0.25">
      <c r="C22" s="336" t="s">
        <v>451</v>
      </c>
      <c r="D22" t="s">
        <v>450</v>
      </c>
      <c r="E22" t="s">
        <v>449</v>
      </c>
    </row>
    <row r="28" spans="3:19" x14ac:dyDescent="0.25">
      <c r="C28" t="s">
        <v>332</v>
      </c>
      <c r="K28">
        <v>0</v>
      </c>
      <c r="L28">
        <v>405.69658821941141</v>
      </c>
      <c r="M28">
        <v>340.7851341043056</v>
      </c>
      <c r="N28">
        <v>292.10154351797621</v>
      </c>
      <c r="O28">
        <v>243.41795293164685</v>
      </c>
      <c r="P28">
        <v>202.84829410970571</v>
      </c>
      <c r="Q28">
        <v>162.27863528776456</v>
      </c>
      <c r="R28">
        <v>121.70897646582341</v>
      </c>
      <c r="S28">
        <v>60.854488232911706</v>
      </c>
    </row>
    <row r="29" spans="3:19" x14ac:dyDescent="0.25">
      <c r="C29" t="s">
        <v>182</v>
      </c>
      <c r="K29">
        <v>405.69658821941141</v>
      </c>
    </row>
    <row r="30" spans="3:19" x14ac:dyDescent="0.25">
      <c r="C30" t="s">
        <v>307</v>
      </c>
      <c r="K30">
        <v>0</v>
      </c>
      <c r="L30">
        <v>64.911454115105826</v>
      </c>
      <c r="M30">
        <v>48.683590586329366</v>
      </c>
      <c r="N30">
        <v>48.683590586329366</v>
      </c>
      <c r="O30">
        <v>40.569658821941147</v>
      </c>
      <c r="P30">
        <v>40.569658821941147</v>
      </c>
      <c r="Q30">
        <v>40.569658821941147</v>
      </c>
      <c r="R30">
        <v>60.854488232911706</v>
      </c>
      <c r="S30">
        <v>60.85448823291172</v>
      </c>
    </row>
    <row r="31" spans="3:19" x14ac:dyDescent="0.25">
      <c r="C31" t="s">
        <v>333</v>
      </c>
      <c r="K31">
        <v>405.69658821941141</v>
      </c>
      <c r="L31">
        <v>340.7851341043056</v>
      </c>
      <c r="M31">
        <v>292.10154351797621</v>
      </c>
      <c r="N31">
        <v>243.41795293164685</v>
      </c>
      <c r="O31">
        <v>202.84829410970571</v>
      </c>
      <c r="P31">
        <v>162.27863528776456</v>
      </c>
      <c r="Q31">
        <v>121.70897646582341</v>
      </c>
      <c r="R31">
        <v>60.854488232911706</v>
      </c>
      <c r="S31">
        <v>0</v>
      </c>
    </row>
    <row r="32" spans="3:19" x14ac:dyDescent="0.25">
      <c r="C32" t="s">
        <v>303</v>
      </c>
      <c r="K32">
        <v>14.1993805876794</v>
      </c>
      <c r="L32">
        <v>52.253720562660199</v>
      </c>
      <c r="M32">
        <v>31.644333881114093</v>
      </c>
      <c r="N32">
        <v>26.775974822481153</v>
      </c>
      <c r="O32">
        <v>22.31331235206763</v>
      </c>
      <c r="P32">
        <v>18.256346469873513</v>
      </c>
      <c r="Q32">
        <v>14.1993805876794</v>
      </c>
      <c r="R32">
        <v>9.1281732349367566</v>
      </c>
      <c r="S32">
        <v>3.0427244116455854</v>
      </c>
    </row>
    <row r="36" spans="3:19" x14ac:dyDescent="0.25">
      <c r="C36" t="s">
        <v>332</v>
      </c>
      <c r="K36">
        <v>0</v>
      </c>
      <c r="L36">
        <v>9</v>
      </c>
      <c r="M36">
        <v>7.5600000000000005</v>
      </c>
      <c r="N36">
        <v>6.48</v>
      </c>
      <c r="O36">
        <v>5.4</v>
      </c>
      <c r="P36">
        <v>4.5</v>
      </c>
      <c r="Q36">
        <v>3.6</v>
      </c>
      <c r="R36">
        <v>2.7</v>
      </c>
      <c r="S36">
        <v>1.3500000000000003</v>
      </c>
    </row>
    <row r="37" spans="3:19" x14ac:dyDescent="0.25">
      <c r="C37" t="s">
        <v>182</v>
      </c>
      <c r="K37">
        <v>9</v>
      </c>
    </row>
    <row r="38" spans="3:19" x14ac:dyDescent="0.25">
      <c r="C38" t="s">
        <v>307</v>
      </c>
      <c r="K38">
        <v>0</v>
      </c>
      <c r="L38">
        <v>1.44</v>
      </c>
      <c r="M38">
        <v>1.08</v>
      </c>
      <c r="N38">
        <v>1.08</v>
      </c>
      <c r="O38">
        <v>0.9</v>
      </c>
      <c r="P38">
        <v>0.9</v>
      </c>
      <c r="Q38">
        <v>0.9</v>
      </c>
      <c r="R38">
        <v>1.3499999999999999</v>
      </c>
      <c r="S38">
        <v>1.35</v>
      </c>
    </row>
    <row r="39" spans="3:19" x14ac:dyDescent="0.25">
      <c r="C39" t="s">
        <v>333</v>
      </c>
      <c r="K39">
        <v>9</v>
      </c>
      <c r="L39">
        <v>7.5600000000000005</v>
      </c>
      <c r="M39">
        <v>6.48</v>
      </c>
      <c r="N39">
        <v>5.4</v>
      </c>
      <c r="O39">
        <v>4.5</v>
      </c>
      <c r="P39">
        <v>3.6</v>
      </c>
      <c r="Q39">
        <v>2.7</v>
      </c>
      <c r="R39">
        <v>1.3500000000000003</v>
      </c>
      <c r="S39">
        <v>0</v>
      </c>
    </row>
    <row r="40" spans="3:19" x14ac:dyDescent="0.25">
      <c r="C40" t="s">
        <v>330</v>
      </c>
      <c r="K40">
        <v>0.31500000000000006</v>
      </c>
      <c r="L40">
        <v>1.1592000000000002</v>
      </c>
      <c r="M40">
        <v>0.70200000000000007</v>
      </c>
      <c r="N40">
        <v>0.59400000000000008</v>
      </c>
      <c r="O40">
        <v>0.49500000000000005</v>
      </c>
      <c r="P40">
        <v>0.40500000000000003</v>
      </c>
      <c r="Q40">
        <v>0.31500000000000006</v>
      </c>
      <c r="R40">
        <v>0.20250000000000004</v>
      </c>
      <c r="S40">
        <v>6.7500000000000018E-2</v>
      </c>
    </row>
    <row r="43" spans="3:19" x14ac:dyDescent="0.25">
      <c r="C43" t="s">
        <v>332</v>
      </c>
      <c r="K43" s="31">
        <f>+K28+K36</f>
        <v>0</v>
      </c>
      <c r="L43" s="31">
        <f t="shared" ref="L43:S43" si="1">+L28+L36</f>
        <v>414.69658821941141</v>
      </c>
      <c r="M43" s="31">
        <f t="shared" si="1"/>
        <v>348.3451341043056</v>
      </c>
      <c r="N43" s="31">
        <f t="shared" si="1"/>
        <v>298.58154351797623</v>
      </c>
      <c r="O43" s="31">
        <f t="shared" si="1"/>
        <v>248.81795293164686</v>
      </c>
      <c r="P43" s="31">
        <f t="shared" si="1"/>
        <v>207.34829410970571</v>
      </c>
      <c r="Q43" s="31">
        <f t="shared" si="1"/>
        <v>165.87863528776455</v>
      </c>
      <c r="R43" s="31">
        <f t="shared" si="1"/>
        <v>124.40897646582341</v>
      </c>
      <c r="S43" s="31">
        <f t="shared" si="1"/>
        <v>62.204488232911707</v>
      </c>
    </row>
    <row r="44" spans="3:19" x14ac:dyDescent="0.25">
      <c r="C44" t="s">
        <v>182</v>
      </c>
      <c r="K44" s="31">
        <f t="shared" ref="K44:S44" si="2">+K29+K37</f>
        <v>414.69658821941141</v>
      </c>
      <c r="L44" s="31">
        <f t="shared" si="2"/>
        <v>0</v>
      </c>
      <c r="M44" s="31">
        <f t="shared" si="2"/>
        <v>0</v>
      </c>
      <c r="N44" s="31">
        <f t="shared" si="2"/>
        <v>0</v>
      </c>
      <c r="O44" s="31">
        <f t="shared" si="2"/>
        <v>0</v>
      </c>
      <c r="P44" s="31">
        <f t="shared" si="2"/>
        <v>0</v>
      </c>
      <c r="Q44" s="31">
        <f t="shared" si="2"/>
        <v>0</v>
      </c>
      <c r="R44" s="31">
        <f t="shared" si="2"/>
        <v>0</v>
      </c>
      <c r="S44" s="31">
        <f t="shared" si="2"/>
        <v>0</v>
      </c>
    </row>
    <row r="45" spans="3:19" x14ac:dyDescent="0.25">
      <c r="C45" t="s">
        <v>307</v>
      </c>
      <c r="K45" s="31">
        <f t="shared" ref="K45:S45" si="3">+K30+K38</f>
        <v>0</v>
      </c>
      <c r="L45" s="31">
        <f t="shared" si="3"/>
        <v>66.351454115105824</v>
      </c>
      <c r="M45" s="31">
        <f t="shared" si="3"/>
        <v>49.763590586329364</v>
      </c>
      <c r="N45" s="31">
        <f t="shared" si="3"/>
        <v>49.763590586329364</v>
      </c>
      <c r="O45" s="31">
        <f t="shared" si="3"/>
        <v>41.469658821941145</v>
      </c>
      <c r="P45" s="31">
        <f t="shared" si="3"/>
        <v>41.469658821941145</v>
      </c>
      <c r="Q45" s="31">
        <f t="shared" si="3"/>
        <v>41.469658821941145</v>
      </c>
      <c r="R45" s="31">
        <f t="shared" si="3"/>
        <v>62.204488232911707</v>
      </c>
      <c r="S45" s="31">
        <f t="shared" si="3"/>
        <v>62.204488232911721</v>
      </c>
    </row>
    <row r="46" spans="3:19" x14ac:dyDescent="0.25">
      <c r="C46" t="s">
        <v>333</v>
      </c>
      <c r="K46" s="31">
        <f t="shared" ref="K46:S46" si="4">+K31+K39</f>
        <v>414.69658821941141</v>
      </c>
      <c r="L46" s="31">
        <f t="shared" si="4"/>
        <v>348.3451341043056</v>
      </c>
      <c r="M46" s="31">
        <f t="shared" si="4"/>
        <v>298.58154351797623</v>
      </c>
      <c r="N46" s="31">
        <f t="shared" si="4"/>
        <v>248.81795293164686</v>
      </c>
      <c r="O46" s="31">
        <f t="shared" si="4"/>
        <v>207.34829410970571</v>
      </c>
      <c r="P46" s="31">
        <f t="shared" si="4"/>
        <v>165.87863528776455</v>
      </c>
      <c r="Q46" s="31">
        <f t="shared" si="4"/>
        <v>124.40897646582341</v>
      </c>
      <c r="R46" s="31">
        <f t="shared" si="4"/>
        <v>62.204488232911707</v>
      </c>
      <c r="S46" s="31">
        <f t="shared" si="4"/>
        <v>0</v>
      </c>
    </row>
    <row r="47" spans="3:19" x14ac:dyDescent="0.25">
      <c r="C47" t="s">
        <v>330</v>
      </c>
      <c r="K47" s="31">
        <f t="shared" ref="K47:S47" si="5">+K32+K40</f>
        <v>14.514380587679399</v>
      </c>
      <c r="L47" s="31">
        <f t="shared" si="5"/>
        <v>53.412920562660197</v>
      </c>
      <c r="M47" s="31">
        <f t="shared" si="5"/>
        <v>32.346333881114091</v>
      </c>
      <c r="N47" s="31">
        <f t="shared" si="5"/>
        <v>27.369974822481154</v>
      </c>
      <c r="O47" s="31">
        <f t="shared" si="5"/>
        <v>22.808312352067631</v>
      </c>
      <c r="P47" s="31">
        <f t="shared" si="5"/>
        <v>18.661346469873514</v>
      </c>
      <c r="Q47" s="31">
        <f t="shared" si="5"/>
        <v>14.514380587679399</v>
      </c>
      <c r="R47" s="31">
        <f t="shared" si="5"/>
        <v>9.3306732349367572</v>
      </c>
      <c r="S47" s="31">
        <f t="shared" si="5"/>
        <v>3.1102244116455853</v>
      </c>
    </row>
    <row r="49" spans="4:15" ht="53.25" customHeight="1" x14ac:dyDescent="0.25">
      <c r="D49" s="386" t="s">
        <v>486</v>
      </c>
      <c r="E49" s="386" t="s">
        <v>489</v>
      </c>
      <c r="F49" s="386" t="s">
        <v>487</v>
      </c>
      <c r="G49" s="386" t="s">
        <v>488</v>
      </c>
    </row>
    <row r="50" spans="4:15" x14ac:dyDescent="0.25">
      <c r="D50" s="385">
        <v>45747</v>
      </c>
      <c r="E50" s="335">
        <v>140000</v>
      </c>
      <c r="F50" s="384">
        <v>0.2</v>
      </c>
      <c r="G50" s="335">
        <v>28000</v>
      </c>
    </row>
    <row r="51" spans="4:15" x14ac:dyDescent="0.25">
      <c r="D51" s="385">
        <v>46112</v>
      </c>
      <c r="E51" s="335">
        <v>140000</v>
      </c>
      <c r="F51" s="384">
        <v>0.25</v>
      </c>
      <c r="G51" s="335">
        <v>35000</v>
      </c>
    </row>
    <row r="52" spans="4:15" x14ac:dyDescent="0.25">
      <c r="D52" s="385">
        <v>46477</v>
      </c>
      <c r="E52" s="335">
        <v>140000</v>
      </c>
      <c r="F52" s="384">
        <v>0.35</v>
      </c>
      <c r="G52" s="335">
        <v>49000</v>
      </c>
      <c r="L52" s="401" t="s">
        <v>0</v>
      </c>
      <c r="M52" s="402" t="s">
        <v>325</v>
      </c>
      <c r="N52" s="402" t="s">
        <v>343</v>
      </c>
      <c r="O52" s="402" t="s">
        <v>195</v>
      </c>
    </row>
    <row r="53" spans="4:15" x14ac:dyDescent="0.25">
      <c r="D53" s="385">
        <v>46843</v>
      </c>
      <c r="E53" s="335">
        <v>140000</v>
      </c>
      <c r="F53" s="384">
        <v>0.4</v>
      </c>
      <c r="G53" s="335">
        <v>56000</v>
      </c>
      <c r="L53" s="395" t="s">
        <v>13</v>
      </c>
      <c r="M53" s="396">
        <v>254.7147586824232</v>
      </c>
      <c r="N53" s="397">
        <v>0.5</v>
      </c>
      <c r="O53" s="396">
        <v>127.3573793412116</v>
      </c>
    </row>
    <row r="54" spans="4:15" x14ac:dyDescent="0.25">
      <c r="D54" s="385">
        <v>47208</v>
      </c>
      <c r="E54" s="335">
        <v>140000</v>
      </c>
      <c r="F54" s="384">
        <v>0.42</v>
      </c>
      <c r="G54" s="335">
        <v>58800</v>
      </c>
      <c r="L54" s="395" t="s">
        <v>180</v>
      </c>
      <c r="M54" s="396">
        <v>1.3600000000000705E-2</v>
      </c>
      <c r="N54" s="397">
        <v>0.5</v>
      </c>
      <c r="O54" s="396">
        <v>6.8000000000003526E-3</v>
      </c>
    </row>
    <row r="55" spans="4:15" x14ac:dyDescent="0.25">
      <c r="D55" s="385">
        <v>47573</v>
      </c>
      <c r="E55" s="335">
        <v>140000</v>
      </c>
      <c r="F55" s="384">
        <v>0.44</v>
      </c>
      <c r="G55" s="335">
        <v>61600</v>
      </c>
      <c r="L55" s="395" t="s">
        <v>55</v>
      </c>
      <c r="M55" s="396">
        <v>16.8157</v>
      </c>
      <c r="N55" s="397">
        <v>0.5</v>
      </c>
      <c r="O55" s="396">
        <v>8.4078499999999998</v>
      </c>
    </row>
    <row r="56" spans="4:15" x14ac:dyDescent="0.25">
      <c r="D56" s="385">
        <v>47938</v>
      </c>
      <c r="E56" s="335">
        <v>140000</v>
      </c>
      <c r="F56" s="384">
        <v>0.46</v>
      </c>
      <c r="G56" s="335">
        <v>64400</v>
      </c>
      <c r="L56" s="395" t="s">
        <v>16</v>
      </c>
      <c r="M56" s="396">
        <v>516.28787484912823</v>
      </c>
      <c r="N56" s="397">
        <v>0.5</v>
      </c>
      <c r="O56" s="396">
        <v>258.14393742456411</v>
      </c>
    </row>
    <row r="57" spans="4:15" x14ac:dyDescent="0.25">
      <c r="D57" s="385">
        <v>48304</v>
      </c>
      <c r="E57" s="335">
        <v>140000</v>
      </c>
      <c r="F57" s="384">
        <v>0.48</v>
      </c>
      <c r="G57" s="335">
        <v>67200</v>
      </c>
      <c r="L57" s="395" t="s">
        <v>17</v>
      </c>
      <c r="M57" s="396">
        <v>900.50210729499111</v>
      </c>
      <c r="N57" s="397">
        <v>0.5</v>
      </c>
      <c r="O57" s="396">
        <v>450.25105364749555</v>
      </c>
    </row>
    <row r="58" spans="4:15" x14ac:dyDescent="0.25">
      <c r="D58" s="385">
        <v>48669</v>
      </c>
      <c r="E58" s="335">
        <v>140000</v>
      </c>
      <c r="F58" s="384">
        <v>0.5</v>
      </c>
      <c r="G58" s="335">
        <v>70000</v>
      </c>
      <c r="L58" s="395" t="s">
        <v>30</v>
      </c>
      <c r="M58" s="396">
        <v>-344.19191656608547</v>
      </c>
      <c r="N58" s="397">
        <v>0.5</v>
      </c>
      <c r="O58" s="396">
        <v>-172.09595828304273</v>
      </c>
    </row>
    <row r="59" spans="4:15" x14ac:dyDescent="0.25">
      <c r="L59" s="398" t="s">
        <v>406</v>
      </c>
      <c r="M59" s="399">
        <v>1344.1421242604572</v>
      </c>
      <c r="N59" s="400"/>
      <c r="O59" s="399">
        <v>672.0710621302286</v>
      </c>
    </row>
    <row r="60" spans="4:15" x14ac:dyDescent="0.25">
      <c r="L60" s="383"/>
      <c r="M60" s="383"/>
      <c r="N60" s="383"/>
      <c r="O60" s="383"/>
    </row>
    <row r="77" spans="11:13" x14ac:dyDescent="0.25">
      <c r="K77" s="382" t="s">
        <v>502</v>
      </c>
      <c r="L77" s="404" t="s">
        <v>493</v>
      </c>
      <c r="M77" s="382" t="s">
        <v>503</v>
      </c>
    </row>
    <row r="78" spans="11:13" x14ac:dyDescent="0.25">
      <c r="K78" s="335">
        <v>1</v>
      </c>
      <c r="L78" s="336" t="s">
        <v>494</v>
      </c>
      <c r="M78" s="335" t="s">
        <v>509</v>
      </c>
    </row>
    <row r="79" spans="11:13" x14ac:dyDescent="0.25">
      <c r="K79" s="335">
        <v>2</v>
      </c>
      <c r="L79" s="336" t="s">
        <v>495</v>
      </c>
      <c r="M79" s="335" t="s">
        <v>507</v>
      </c>
    </row>
    <row r="80" spans="11:13" x14ac:dyDescent="0.25">
      <c r="K80" s="335">
        <v>3</v>
      </c>
      <c r="L80" s="336" t="s">
        <v>496</v>
      </c>
      <c r="M80" s="335" t="s">
        <v>505</v>
      </c>
    </row>
    <row r="81" spans="11:13" x14ac:dyDescent="0.25">
      <c r="K81" s="335">
        <v>4</v>
      </c>
      <c r="L81" s="336" t="s">
        <v>497</v>
      </c>
      <c r="M81" s="335" t="s">
        <v>506</v>
      </c>
    </row>
    <row r="82" spans="11:13" x14ac:dyDescent="0.25">
      <c r="K82" s="335">
        <v>5</v>
      </c>
      <c r="L82" s="336" t="s">
        <v>498</v>
      </c>
      <c r="M82" s="335" t="s">
        <v>507</v>
      </c>
    </row>
    <row r="83" spans="11:13" x14ac:dyDescent="0.25">
      <c r="K83" s="335">
        <v>6</v>
      </c>
      <c r="L83" s="336" t="s">
        <v>499</v>
      </c>
      <c r="M83" s="335" t="s">
        <v>508</v>
      </c>
    </row>
    <row r="84" spans="11:13" ht="45" x14ac:dyDescent="0.25">
      <c r="K84" s="335">
        <v>7</v>
      </c>
      <c r="L84" s="336" t="s">
        <v>500</v>
      </c>
      <c r="M84" s="405" t="s">
        <v>504</v>
      </c>
    </row>
    <row r="85" spans="11:13" x14ac:dyDescent="0.25">
      <c r="K85" s="335">
        <v>8</v>
      </c>
      <c r="L85" s="336" t="s">
        <v>501</v>
      </c>
      <c r="M85" s="335" t="s">
        <v>507</v>
      </c>
    </row>
  </sheetData>
  <mergeCells count="2">
    <mergeCell ref="D9:F9"/>
    <mergeCell ref="C9:C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5E1A-9404-4DA8-8491-D93050C481AD}">
  <dimension ref="A2:V102"/>
  <sheetViews>
    <sheetView zoomScaleNormal="100" workbookViewId="0">
      <pane xSplit="5" ySplit="5" topLeftCell="J12" activePane="bottomRight" state="frozen"/>
      <selection pane="topRight" activeCell="E1" sqref="E1"/>
      <selection pane="bottomLeft" activeCell="A5" sqref="A5"/>
      <selection pane="bottomRight" activeCell="K25" sqref="K25"/>
    </sheetView>
  </sheetViews>
  <sheetFormatPr defaultColWidth="8.85546875" defaultRowHeight="12.75" x14ac:dyDescent="0.2"/>
  <cols>
    <col min="1" max="1" width="4.28515625" style="64" bestFit="1" customWidth="1"/>
    <col min="2" max="3" width="3.85546875" style="64" customWidth="1"/>
    <col min="4" max="4" width="34.7109375" style="64" customWidth="1"/>
    <col min="5" max="5" width="13.85546875" style="64" customWidth="1"/>
    <col min="6" max="6" width="11.7109375" style="64" bestFit="1" customWidth="1"/>
    <col min="7" max="10" width="10.42578125" style="64" bestFit="1" customWidth="1"/>
    <col min="11" max="11" width="10" style="64" bestFit="1" customWidth="1"/>
    <col min="12" max="13" width="9.28515625" style="64" bestFit="1" customWidth="1"/>
    <col min="14" max="20" width="10.42578125" style="64" bestFit="1" customWidth="1"/>
    <col min="21" max="16384" width="8.85546875" style="64"/>
  </cols>
  <sheetData>
    <row r="2" spans="1:22" ht="15.75" x14ac:dyDescent="0.2">
      <c r="B2" s="1" t="s">
        <v>200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59"/>
      <c r="V2" s="59"/>
    </row>
    <row r="3" spans="1:22" x14ac:dyDescent="0.2">
      <c r="B3" s="58" t="s">
        <v>351</v>
      </c>
      <c r="C3" s="58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</row>
    <row r="4" spans="1:22" x14ac:dyDescent="0.2">
      <c r="F4" s="55" t="s">
        <v>231</v>
      </c>
      <c r="G4" s="55" t="s">
        <v>231</v>
      </c>
      <c r="H4" s="55" t="s">
        <v>231</v>
      </c>
      <c r="I4" s="55" t="s">
        <v>231</v>
      </c>
      <c r="J4" s="55" t="s">
        <v>232</v>
      </c>
      <c r="K4" s="338" t="s">
        <v>439</v>
      </c>
      <c r="L4" s="338" t="s">
        <v>304</v>
      </c>
      <c r="M4" s="338" t="s">
        <v>304</v>
      </c>
      <c r="N4" s="338" t="s">
        <v>304</v>
      </c>
      <c r="O4" s="338" t="s">
        <v>304</v>
      </c>
      <c r="P4" s="338" t="s">
        <v>304</v>
      </c>
      <c r="Q4" s="338" t="s">
        <v>304</v>
      </c>
      <c r="R4" s="338" t="s">
        <v>304</v>
      </c>
      <c r="S4" s="338" t="s">
        <v>304</v>
      </c>
      <c r="T4" s="338" t="s">
        <v>304</v>
      </c>
    </row>
    <row r="5" spans="1:22" x14ac:dyDescent="0.2">
      <c r="B5" s="129" t="s">
        <v>101</v>
      </c>
      <c r="C5" s="129"/>
      <c r="D5" s="129"/>
      <c r="E5" s="129"/>
      <c r="F5" s="60">
        <f>DATE(2019,3,31)</f>
        <v>43555</v>
      </c>
      <c r="G5" s="60">
        <f>EDATE(F5,12)</f>
        <v>43921</v>
      </c>
      <c r="H5" s="60">
        <f t="shared" ref="H5:T5" si="0">EDATE(G5,12)</f>
        <v>44286</v>
      </c>
      <c r="I5" s="60">
        <f t="shared" si="0"/>
        <v>44651</v>
      </c>
      <c r="J5" s="60">
        <f t="shared" si="0"/>
        <v>45016</v>
      </c>
      <c r="K5" s="60">
        <f t="shared" si="0"/>
        <v>45382</v>
      </c>
      <c r="L5" s="60">
        <f t="shared" si="0"/>
        <v>45747</v>
      </c>
      <c r="M5" s="60">
        <f t="shared" si="0"/>
        <v>46112</v>
      </c>
      <c r="N5" s="60">
        <f t="shared" si="0"/>
        <v>46477</v>
      </c>
      <c r="O5" s="60">
        <f t="shared" si="0"/>
        <v>46843</v>
      </c>
      <c r="P5" s="60">
        <f t="shared" si="0"/>
        <v>47208</v>
      </c>
      <c r="Q5" s="60">
        <f t="shared" si="0"/>
        <v>47573</v>
      </c>
      <c r="R5" s="60">
        <f t="shared" si="0"/>
        <v>47938</v>
      </c>
      <c r="S5" s="60">
        <f t="shared" si="0"/>
        <v>48304</v>
      </c>
      <c r="T5" s="60">
        <f t="shared" si="0"/>
        <v>48669</v>
      </c>
    </row>
    <row r="6" spans="1:22" x14ac:dyDescent="0.2"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</row>
    <row r="7" spans="1:22" x14ac:dyDescent="0.2">
      <c r="A7" s="176">
        <v>0</v>
      </c>
      <c r="B7" s="130" t="s">
        <v>3</v>
      </c>
      <c r="C7" s="130"/>
      <c r="D7" s="130"/>
      <c r="E7" s="130"/>
      <c r="F7" s="94">
        <f>F49</f>
        <v>3515.4603000000002</v>
      </c>
      <c r="G7" s="94">
        <f t="shared" ref="G7:K7" si="1">G49</f>
        <v>3247.0526</v>
      </c>
      <c r="H7" s="94">
        <f t="shared" si="1"/>
        <v>2957.7846</v>
      </c>
      <c r="I7" s="94">
        <f t="shared" si="1"/>
        <v>3704.5113999999999</v>
      </c>
      <c r="J7" s="86">
        <f t="shared" si="1"/>
        <v>3979.1817999999998</v>
      </c>
      <c r="K7" s="86">
        <f t="shared" si="1"/>
        <v>400</v>
      </c>
      <c r="L7" s="86">
        <f>L49*(1-$A$7)</f>
        <v>266.85071702799422</v>
      </c>
      <c r="M7" s="86">
        <f t="shared" ref="M7:T7" si="2">M49*(1-$A$7)</f>
        <v>1387.62372854557</v>
      </c>
      <c r="N7" s="86">
        <f t="shared" si="2"/>
        <v>2020.38014876235</v>
      </c>
      <c r="O7" s="86">
        <f t="shared" si="2"/>
        <v>2401.3661196718222</v>
      </c>
      <c r="P7" s="86">
        <f t="shared" si="2"/>
        <v>2622.2918026816301</v>
      </c>
      <c r="Q7" s="86">
        <f t="shared" si="2"/>
        <v>2857.0493545407471</v>
      </c>
      <c r="R7" s="86">
        <f t="shared" si="2"/>
        <v>3106.3918436643035</v>
      </c>
      <c r="S7" s="86">
        <f t="shared" si="2"/>
        <v>3371.1104529504792</v>
      </c>
      <c r="T7" s="86">
        <f t="shared" si="2"/>
        <v>3652.0363240296861</v>
      </c>
    </row>
    <row r="8" spans="1:22" x14ac:dyDescent="0.2">
      <c r="B8" s="130" t="s">
        <v>4</v>
      </c>
      <c r="C8" s="130"/>
      <c r="D8" s="130"/>
      <c r="E8" s="130"/>
      <c r="F8" s="65">
        <f>30.11/(10^2)</f>
        <v>0.30109999999999998</v>
      </c>
      <c r="G8" s="65">
        <f>71.27/(10^2)</f>
        <v>0.7127</v>
      </c>
      <c r="H8" s="65">
        <f>22.14/(10^2)</f>
        <v>0.22140000000000001</v>
      </c>
      <c r="I8" s="65">
        <f>23.28/(10^2)</f>
        <v>0.23280000000000001</v>
      </c>
      <c r="J8" s="65">
        <f>46.61/(10^2)</f>
        <v>0.46610000000000001</v>
      </c>
      <c r="K8" s="107">
        <f>Assumptions!K30</f>
        <v>4.4283721392498317E-2</v>
      </c>
      <c r="L8" s="107">
        <f>Assumptions!L30</f>
        <v>2.9542857015640255E-2</v>
      </c>
      <c r="M8" s="107">
        <f>Assumptions!M30</f>
        <v>0.15362285648132934</v>
      </c>
      <c r="N8" s="107">
        <f>Assumptions!N30</f>
        <v>0.22367487903681552</v>
      </c>
      <c r="O8" s="107">
        <f>Assumptions!O30</f>
        <v>0.26585357051232933</v>
      </c>
      <c r="P8" s="107">
        <f>Assumptions!P30</f>
        <v>0.2903120989994637</v>
      </c>
      <c r="Q8" s="107">
        <f>Assumptions!Q30</f>
        <v>0.31630194405274897</v>
      </c>
      <c r="R8" s="107">
        <f>Assumptions!R30</f>
        <v>0.343906477351898</v>
      </c>
      <c r="S8" s="107">
        <f>Assumptions!S30</f>
        <v>0.37321329020449456</v>
      </c>
      <c r="T8" s="107">
        <f>Assumptions!T30</f>
        <v>0.40431439772153582</v>
      </c>
    </row>
    <row r="9" spans="1:22" x14ac:dyDescent="0.2">
      <c r="B9" s="229" t="s">
        <v>63</v>
      </c>
      <c r="C9" s="229"/>
      <c r="D9" s="229"/>
      <c r="E9" s="229"/>
      <c r="F9" s="230">
        <f t="shared" ref="F9:T9" si="3">F7+F8</f>
        <v>3515.7614000000003</v>
      </c>
      <c r="G9" s="230">
        <f t="shared" si="3"/>
        <v>3247.7653</v>
      </c>
      <c r="H9" s="230">
        <f t="shared" si="3"/>
        <v>2958.0059999999999</v>
      </c>
      <c r="I9" s="230">
        <f t="shared" si="3"/>
        <v>3704.7442000000001</v>
      </c>
      <c r="J9" s="230">
        <f t="shared" si="3"/>
        <v>3979.6478999999999</v>
      </c>
      <c r="K9" s="230">
        <f t="shared" si="3"/>
        <v>400.0442837213925</v>
      </c>
      <c r="L9" s="230">
        <f t="shared" si="3"/>
        <v>266.88025988500988</v>
      </c>
      <c r="M9" s="230">
        <f t="shared" si="3"/>
        <v>1387.7773514020514</v>
      </c>
      <c r="N9" s="230">
        <f t="shared" si="3"/>
        <v>2020.6038236413867</v>
      </c>
      <c r="O9" s="230">
        <f t="shared" si="3"/>
        <v>2401.6319732423344</v>
      </c>
      <c r="P9" s="230">
        <f t="shared" si="3"/>
        <v>2622.5821147806296</v>
      </c>
      <c r="Q9" s="230">
        <f t="shared" si="3"/>
        <v>2857.3656564847997</v>
      </c>
      <c r="R9" s="230">
        <f t="shared" si="3"/>
        <v>3106.7357501416554</v>
      </c>
      <c r="S9" s="230">
        <f t="shared" si="3"/>
        <v>3371.4836662406838</v>
      </c>
      <c r="T9" s="230">
        <f t="shared" si="3"/>
        <v>3652.4406384274075</v>
      </c>
    </row>
    <row r="10" spans="1:22" x14ac:dyDescent="0.2">
      <c r="B10" s="131"/>
      <c r="C10" s="131"/>
      <c r="D10" s="131"/>
      <c r="E10" s="131"/>
      <c r="F10" s="95"/>
      <c r="G10" s="106"/>
      <c r="H10" s="106"/>
      <c r="I10" s="106"/>
      <c r="J10" s="106"/>
      <c r="K10" s="49"/>
      <c r="L10" s="49"/>
      <c r="M10" s="52"/>
      <c r="N10" s="52"/>
      <c r="O10" s="52"/>
      <c r="P10" s="52"/>
      <c r="Q10" s="52"/>
      <c r="R10" s="52"/>
      <c r="S10" s="52"/>
      <c r="T10" s="52"/>
    </row>
    <row r="11" spans="1:22" x14ac:dyDescent="0.2">
      <c r="B11" s="131" t="s">
        <v>5</v>
      </c>
      <c r="C11" s="131"/>
      <c r="D11" s="131"/>
      <c r="E11" s="131"/>
      <c r="F11" s="95"/>
      <c r="G11" s="106"/>
      <c r="H11" s="106"/>
      <c r="I11" s="106"/>
      <c r="J11" s="106"/>
      <c r="K11" s="49"/>
      <c r="L11" s="49"/>
      <c r="M11" s="52"/>
      <c r="N11" s="52"/>
      <c r="O11" s="52"/>
      <c r="P11" s="52"/>
      <c r="Q11" s="52"/>
      <c r="R11" s="52"/>
      <c r="S11" s="52"/>
      <c r="T11" s="52"/>
    </row>
    <row r="12" spans="1:22" x14ac:dyDescent="0.2">
      <c r="A12" s="176">
        <v>0</v>
      </c>
      <c r="B12" s="132" t="s">
        <v>408</v>
      </c>
      <c r="C12" s="133"/>
      <c r="D12" s="133"/>
      <c r="E12" s="133"/>
      <c r="F12" s="94">
        <f>F73</f>
        <v>3076.4270000000001</v>
      </c>
      <c r="G12" s="94">
        <f t="shared" ref="G12:K12" si="4">G73</f>
        <v>2787.5757000000003</v>
      </c>
      <c r="H12" s="94">
        <f t="shared" si="4"/>
        <v>2509.2046000000005</v>
      </c>
      <c r="I12" s="94">
        <f t="shared" si="4"/>
        <v>3216.8119999999999</v>
      </c>
      <c r="J12" s="94">
        <f t="shared" si="4"/>
        <v>3508.3494999999998</v>
      </c>
      <c r="K12" s="94">
        <f t="shared" si="4"/>
        <v>344</v>
      </c>
      <c r="L12" s="94">
        <f>L73*(1+$A$12)</f>
        <v>229.49161664407504</v>
      </c>
      <c r="M12" s="94">
        <f t="shared" ref="M12:T12" si="5">M73*(1+$A$12)</f>
        <v>1193.3564065491901</v>
      </c>
      <c r="N12" s="94">
        <f t="shared" si="5"/>
        <v>1737.526927935621</v>
      </c>
      <c r="O12" s="94">
        <f t="shared" si="5"/>
        <v>2065.1748629177669</v>
      </c>
      <c r="P12" s="94">
        <f t="shared" si="5"/>
        <v>2255.170950306202</v>
      </c>
      <c r="Q12" s="94">
        <f t="shared" si="5"/>
        <v>2457.0624449050424</v>
      </c>
      <c r="R12" s="94">
        <f t="shared" si="5"/>
        <v>2671.4969855513009</v>
      </c>
      <c r="S12" s="94">
        <f t="shared" si="5"/>
        <v>2899.1549895374119</v>
      </c>
      <c r="T12" s="94">
        <f t="shared" si="5"/>
        <v>3140.7512386655299</v>
      </c>
    </row>
    <row r="13" spans="1:22" hidden="1" x14ac:dyDescent="0.2">
      <c r="B13" s="132"/>
      <c r="C13" s="133"/>
      <c r="D13" s="133"/>
      <c r="E13" s="133"/>
      <c r="F13" s="94"/>
      <c r="G13" s="94"/>
      <c r="H13" s="94"/>
      <c r="I13" s="94"/>
      <c r="J13" s="94"/>
      <c r="K13" s="94"/>
      <c r="L13" s="94">
        <f t="shared" ref="L13:T13" si="6">L71</f>
        <v>0</v>
      </c>
      <c r="M13" s="94">
        <f t="shared" si="6"/>
        <v>0</v>
      </c>
      <c r="N13" s="94">
        <f t="shared" si="6"/>
        <v>0</v>
      </c>
      <c r="O13" s="94">
        <f t="shared" si="6"/>
        <v>0</v>
      </c>
      <c r="P13" s="94">
        <f t="shared" si="6"/>
        <v>0</v>
      </c>
      <c r="Q13" s="94">
        <f t="shared" si="6"/>
        <v>0</v>
      </c>
      <c r="R13" s="94">
        <f t="shared" si="6"/>
        <v>0</v>
      </c>
      <c r="S13" s="94">
        <f t="shared" si="6"/>
        <v>0</v>
      </c>
      <c r="T13" s="94">
        <f t="shared" si="6"/>
        <v>0</v>
      </c>
    </row>
    <row r="14" spans="1:22" x14ac:dyDescent="0.2">
      <c r="B14" s="132" t="s">
        <v>2</v>
      </c>
      <c r="C14" s="133"/>
      <c r="D14" s="133"/>
      <c r="E14" s="133"/>
      <c r="F14" s="94">
        <f>F86</f>
        <v>73.524499999999989</v>
      </c>
      <c r="G14" s="94">
        <f t="shared" ref="G14:I14" si="7">G86</f>
        <v>73.355100000000022</v>
      </c>
      <c r="H14" s="94">
        <f t="shared" si="7"/>
        <v>54.446400000000011</v>
      </c>
      <c r="I14" s="94">
        <f t="shared" si="7"/>
        <v>58.299599999999998</v>
      </c>
      <c r="J14" s="94">
        <f t="shared" ref="J14:T14" si="8">J86</f>
        <v>60.279200000000017</v>
      </c>
      <c r="K14" s="94">
        <f t="shared" si="8"/>
        <v>30</v>
      </c>
      <c r="L14" s="94">
        <f t="shared" si="8"/>
        <v>30</v>
      </c>
      <c r="M14" s="94">
        <f t="shared" si="8"/>
        <v>60</v>
      </c>
      <c r="N14" s="94">
        <f t="shared" si="8"/>
        <v>63</v>
      </c>
      <c r="O14" s="94">
        <f t="shared" si="8"/>
        <v>66.150000000000006</v>
      </c>
      <c r="P14" s="94">
        <f t="shared" si="8"/>
        <v>69.45750000000001</v>
      </c>
      <c r="Q14" s="94">
        <f t="shared" si="8"/>
        <v>72.930375000000012</v>
      </c>
      <c r="R14" s="94">
        <f t="shared" si="8"/>
        <v>76.576893750000011</v>
      </c>
      <c r="S14" s="94">
        <f t="shared" si="8"/>
        <v>80.40573843750002</v>
      </c>
      <c r="T14" s="94">
        <f t="shared" si="8"/>
        <v>84.426025359375018</v>
      </c>
    </row>
    <row r="15" spans="1:22" x14ac:dyDescent="0.2">
      <c r="B15" s="132" t="s">
        <v>49</v>
      </c>
      <c r="C15" s="133"/>
      <c r="D15" s="133"/>
      <c r="E15" s="133"/>
      <c r="F15" s="94">
        <f>F96</f>
        <v>101.1152</v>
      </c>
      <c r="G15" s="94">
        <f t="shared" ref="G15:H15" si="9">G96</f>
        <v>103.1438</v>
      </c>
      <c r="H15" s="94">
        <f t="shared" si="9"/>
        <v>116.5307</v>
      </c>
      <c r="I15" s="94">
        <f>I96</f>
        <v>128.0368</v>
      </c>
      <c r="J15" s="94">
        <f>J96</f>
        <v>145.55289999999999</v>
      </c>
      <c r="K15" s="94">
        <f t="shared" ref="K15:T15" si="10">K96</f>
        <v>0</v>
      </c>
      <c r="L15" s="94">
        <f t="shared" ca="1" si="10"/>
        <v>17.543440587679402</v>
      </c>
      <c r="M15" s="94">
        <f t="shared" ca="1" si="10"/>
        <v>56.441980562660198</v>
      </c>
      <c r="N15" s="94">
        <f t="shared" ca="1" si="10"/>
        <v>35.375393881114093</v>
      </c>
      <c r="O15" s="94">
        <f t="shared" ca="1" si="10"/>
        <v>30.399034822481156</v>
      </c>
      <c r="P15" s="94">
        <f t="shared" ca="1" si="10"/>
        <v>25.837372352067632</v>
      </c>
      <c r="Q15" s="94">
        <f t="shared" ca="1" si="10"/>
        <v>21.690406469873516</v>
      </c>
      <c r="R15" s="94">
        <f t="shared" ca="1" si="10"/>
        <v>17.543440587679402</v>
      </c>
      <c r="S15" s="94">
        <f t="shared" ca="1" si="10"/>
        <v>12.359733234936757</v>
      </c>
      <c r="T15" s="94">
        <f t="shared" ca="1" si="10"/>
        <v>6.1392844116455851</v>
      </c>
    </row>
    <row r="16" spans="1:22" x14ac:dyDescent="0.2">
      <c r="B16" s="132" t="s">
        <v>233</v>
      </c>
      <c r="C16" s="133"/>
      <c r="D16" s="133"/>
      <c r="E16" s="133"/>
      <c r="F16" s="65">
        <f>1488.52/(10^2)</f>
        <v>14.885199999999999</v>
      </c>
      <c r="G16" s="65">
        <f>2297.07/(10^2)</f>
        <v>22.970700000000001</v>
      </c>
      <c r="H16" s="65">
        <f>2307.58/(10^2)</f>
        <v>23.075800000000001</v>
      </c>
      <c r="I16" s="65">
        <f>2282.35/(10^2)</f>
        <v>22.823499999999999</v>
      </c>
      <c r="J16" s="65">
        <f>2285.89/(10^2)</f>
        <v>22.858899999999998</v>
      </c>
      <c r="K16" s="65">
        <f>'Dep Sch'!K201/100</f>
        <v>34.804298366170002</v>
      </c>
      <c r="L16" s="65">
        <f>'Dep Sch'!L201/100</f>
        <v>30.756265521953097</v>
      </c>
      <c r="M16" s="65">
        <f>'Dep Sch'!M201/100</f>
        <v>27.314236570983912</v>
      </c>
      <c r="N16" s="65">
        <f>'Dep Sch'!N201/100</f>
        <v>23.743170183366779</v>
      </c>
      <c r="O16" s="65">
        <f>'Dep Sch'!O201/100</f>
        <v>20.672167846071456</v>
      </c>
      <c r="P16" s="65">
        <f>'Dep Sch'!P201/100</f>
        <v>18.023034938602194</v>
      </c>
      <c r="Q16" s="65">
        <f>'Dep Sch'!Q201/100</f>
        <v>15.732252724451167</v>
      </c>
      <c r="R16" s="65">
        <f>'Dep Sch'!R201/100</f>
        <v>13.747476205339968</v>
      </c>
      <c r="S16" s="65">
        <f>'Dep Sch'!S201/100</f>
        <v>12.025073389774827</v>
      </c>
      <c r="T16" s="65">
        <f>'Dep Sch'!T201/100</f>
        <v>10.528348770863417</v>
      </c>
    </row>
    <row r="17" spans="2:20" x14ac:dyDescent="0.2">
      <c r="B17" s="132" t="s">
        <v>6</v>
      </c>
      <c r="C17" s="133"/>
      <c r="D17" s="133"/>
      <c r="E17" s="133"/>
      <c r="F17" s="94">
        <f>F102</f>
        <v>171.78310000000002</v>
      </c>
      <c r="G17" s="94">
        <f t="shared" ref="G17:I17" si="11">G102</f>
        <v>186.17929999999998</v>
      </c>
      <c r="H17" s="94">
        <f t="shared" si="11"/>
        <v>178.9145</v>
      </c>
      <c r="I17" s="94">
        <f t="shared" si="11"/>
        <v>187.3954</v>
      </c>
      <c r="J17" s="94">
        <f t="shared" ref="J17:T17" si="12">J102</f>
        <v>232.13040000000001</v>
      </c>
      <c r="K17" s="94">
        <f t="shared" si="12"/>
        <v>33.329362602169986</v>
      </c>
      <c r="L17" s="94">
        <f t="shared" si="12"/>
        <v>27.228008882637909</v>
      </c>
      <c r="M17" s="94">
        <f t="shared" si="12"/>
        <v>89.585646189717124</v>
      </c>
      <c r="N17" s="94">
        <f t="shared" si="12"/>
        <v>119.88070085222813</v>
      </c>
      <c r="O17" s="94">
        <f t="shared" si="12"/>
        <v>138.7037758700769</v>
      </c>
      <c r="P17" s="94">
        <f t="shared" si="12"/>
        <v>150.26059325012397</v>
      </c>
      <c r="Q17" s="94">
        <f t="shared" si="12"/>
        <v>162.52289647918266</v>
      </c>
      <c r="R17" s="94">
        <f t="shared" si="12"/>
        <v>175.52877684236591</v>
      </c>
      <c r="S17" s="94">
        <f t="shared" si="12"/>
        <v>189.31825131648711</v>
      </c>
      <c r="T17" s="94">
        <f t="shared" si="12"/>
        <v>203.93335603765271</v>
      </c>
    </row>
    <row r="18" spans="2:20" x14ac:dyDescent="0.2">
      <c r="B18" s="229" t="s">
        <v>50</v>
      </c>
      <c r="C18" s="229"/>
      <c r="D18" s="229"/>
      <c r="E18" s="229"/>
      <c r="F18" s="230">
        <f>SUM(F12:F17)</f>
        <v>3437.7350000000006</v>
      </c>
      <c r="G18" s="230">
        <f>SUM(G12:G17)</f>
        <v>3173.2246</v>
      </c>
      <c r="H18" s="230">
        <f>SUM(H12:H17)</f>
        <v>2882.172</v>
      </c>
      <c r="I18" s="230">
        <f>SUM(I12:I17)</f>
        <v>3613.3672999999994</v>
      </c>
      <c r="J18" s="230">
        <f>SUM(J12:J17)</f>
        <v>3969.1709000000001</v>
      </c>
      <c r="K18" s="230">
        <f t="shared" ref="K18:T18" si="13">SUM(K12:K17)</f>
        <v>442.13366096833994</v>
      </c>
      <c r="L18" s="230">
        <f t="shared" ca="1" si="13"/>
        <v>335.01933163634544</v>
      </c>
      <c r="M18" s="230">
        <f t="shared" ca="1" si="13"/>
        <v>1426.6982698725512</v>
      </c>
      <c r="N18" s="230">
        <f t="shared" ca="1" si="13"/>
        <v>1979.52619285233</v>
      </c>
      <c r="O18" s="230">
        <f t="shared" ca="1" si="13"/>
        <v>2321.099841456396</v>
      </c>
      <c r="P18" s="230">
        <f t="shared" ca="1" si="13"/>
        <v>2518.7494508469954</v>
      </c>
      <c r="Q18" s="230">
        <f t="shared" ca="1" si="13"/>
        <v>2729.9383755785493</v>
      </c>
      <c r="R18" s="230">
        <f t="shared" ca="1" si="13"/>
        <v>2954.8935729366863</v>
      </c>
      <c r="S18" s="230">
        <f t="shared" ca="1" si="13"/>
        <v>3193.2637859161105</v>
      </c>
      <c r="T18" s="230">
        <f t="shared" ca="1" si="13"/>
        <v>3445.7782532450669</v>
      </c>
    </row>
    <row r="19" spans="2:20" x14ac:dyDescent="0.2">
      <c r="B19" s="130"/>
      <c r="C19" s="130"/>
      <c r="D19" s="130"/>
      <c r="E19" s="130"/>
      <c r="F19" s="94"/>
      <c r="G19" s="107"/>
      <c r="H19" s="107"/>
      <c r="I19" s="107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</row>
    <row r="20" spans="2:20" x14ac:dyDescent="0.2">
      <c r="B20" s="229" t="s">
        <v>320</v>
      </c>
      <c r="C20" s="231"/>
      <c r="D20" s="231"/>
      <c r="E20" s="231"/>
      <c r="F20" s="230">
        <f>F9-F18</f>
        <v>78.02639999999974</v>
      </c>
      <c r="G20" s="230">
        <f t="shared" ref="G20:T20" si="14">G9-G18</f>
        <v>74.540700000000015</v>
      </c>
      <c r="H20" s="230">
        <f t="shared" si="14"/>
        <v>75.833999999999833</v>
      </c>
      <c r="I20" s="230">
        <f t="shared" si="14"/>
        <v>91.37690000000066</v>
      </c>
      <c r="J20" s="230">
        <f t="shared" si="14"/>
        <v>10.476999999999862</v>
      </c>
      <c r="K20" s="230">
        <f t="shared" si="14"/>
        <v>-42.089377246947436</v>
      </c>
      <c r="L20" s="230">
        <f t="shared" ca="1" si="14"/>
        <v>-68.139071751335564</v>
      </c>
      <c r="M20" s="230">
        <f t="shared" ca="1" si="14"/>
        <v>-38.920918470499828</v>
      </c>
      <c r="N20" s="230">
        <f t="shared" ca="1" si="14"/>
        <v>41.077630789056684</v>
      </c>
      <c r="O20" s="230">
        <f t="shared" ca="1" si="14"/>
        <v>80.532131785938418</v>
      </c>
      <c r="P20" s="230">
        <f t="shared" ca="1" si="14"/>
        <v>103.83266393363419</v>
      </c>
      <c r="Q20" s="230">
        <f t="shared" ca="1" si="14"/>
        <v>127.42728090625042</v>
      </c>
      <c r="R20" s="230">
        <f t="shared" ca="1" si="14"/>
        <v>151.84217720496918</v>
      </c>
      <c r="S20" s="230">
        <f t="shared" ca="1" si="14"/>
        <v>178.2198803245733</v>
      </c>
      <c r="T20" s="230">
        <f t="shared" ca="1" si="14"/>
        <v>206.66238518234059</v>
      </c>
    </row>
    <row r="21" spans="2:20" x14ac:dyDescent="0.2">
      <c r="B21" s="131"/>
      <c r="C21" s="131"/>
      <c r="D21" s="131"/>
      <c r="E21" s="131"/>
      <c r="F21" s="109"/>
      <c r="G21" s="109"/>
      <c r="H21" s="109"/>
      <c r="I21" s="109"/>
      <c r="J21" s="109"/>
      <c r="K21" s="109"/>
      <c r="L21" s="109"/>
      <c r="M21" s="134"/>
      <c r="N21" s="134"/>
      <c r="O21" s="134"/>
      <c r="P21" s="134"/>
      <c r="Q21" s="134"/>
      <c r="R21" s="134"/>
      <c r="S21" s="134"/>
      <c r="T21" s="134"/>
    </row>
    <row r="22" spans="2:20" x14ac:dyDescent="0.2">
      <c r="B22" s="131" t="s">
        <v>306</v>
      </c>
      <c r="C22" s="131"/>
      <c r="D22" s="131"/>
      <c r="E22" s="131"/>
      <c r="F22" s="109">
        <f>SUM(F23:F25)</f>
        <v>0</v>
      </c>
      <c r="G22" s="109">
        <f t="shared" ref="G22:T22" si="15">SUM(G23:G25)</f>
        <v>0</v>
      </c>
      <c r="H22" s="109">
        <f t="shared" si="15"/>
        <v>0</v>
      </c>
      <c r="I22" s="109">
        <f t="shared" si="15"/>
        <v>0</v>
      </c>
      <c r="J22" s="109">
        <f t="shared" si="15"/>
        <v>3.6799999999999999E-2</v>
      </c>
      <c r="K22" s="109">
        <f t="shared" si="15"/>
        <v>3190.6967168000001</v>
      </c>
      <c r="L22" s="109">
        <f t="shared" si="15"/>
        <v>0</v>
      </c>
      <c r="M22" s="109">
        <f t="shared" si="15"/>
        <v>0</v>
      </c>
      <c r="N22" s="109">
        <f t="shared" si="15"/>
        <v>0</v>
      </c>
      <c r="O22" s="109">
        <f t="shared" si="15"/>
        <v>0</v>
      </c>
      <c r="P22" s="109">
        <f t="shared" si="15"/>
        <v>0</v>
      </c>
      <c r="Q22" s="109">
        <f t="shared" si="15"/>
        <v>0</v>
      </c>
      <c r="R22" s="109">
        <f t="shared" si="15"/>
        <v>0</v>
      </c>
      <c r="S22" s="109">
        <f t="shared" si="15"/>
        <v>0</v>
      </c>
      <c r="T22" s="109">
        <f t="shared" si="15"/>
        <v>0</v>
      </c>
    </row>
    <row r="23" spans="2:20" x14ac:dyDescent="0.2">
      <c r="B23" s="130" t="s">
        <v>306</v>
      </c>
      <c r="C23" s="130"/>
      <c r="D23" s="130"/>
      <c r="E23" s="130"/>
      <c r="F23" s="106">
        <v>0</v>
      </c>
      <c r="G23" s="106">
        <v>0</v>
      </c>
      <c r="H23" s="106">
        <v>0</v>
      </c>
      <c r="I23" s="106">
        <v>0</v>
      </c>
      <c r="J23" s="106">
        <f>3.68/10^2</f>
        <v>3.6799999999999999E-2</v>
      </c>
      <c r="K23" s="106">
        <f>-'Dep Sch'!J206/100</f>
        <v>-7.8496831999999994</v>
      </c>
      <c r="L23" s="106"/>
      <c r="M23" s="106"/>
      <c r="N23" s="106"/>
      <c r="O23" s="106"/>
      <c r="P23" s="106"/>
      <c r="Q23" s="106"/>
      <c r="R23" s="106"/>
      <c r="S23" s="106"/>
      <c r="T23" s="106"/>
    </row>
    <row r="24" spans="2:20" x14ac:dyDescent="0.2">
      <c r="B24" s="130" t="s">
        <v>385</v>
      </c>
      <c r="C24" s="130"/>
      <c r="D24" s="130"/>
      <c r="E24" s="130"/>
      <c r="F24" s="106"/>
      <c r="G24" s="106"/>
      <c r="H24" s="106"/>
      <c r="I24" s="106"/>
      <c r="J24" s="106"/>
      <c r="K24" s="106">
        <f>(BS!J24-BS!K25)+(BS!J21-BS!K21)-(BS!J48-BS!K48)</f>
        <v>1419.9262000000003</v>
      </c>
      <c r="L24" s="106"/>
      <c r="M24" s="106"/>
      <c r="N24" s="106"/>
      <c r="O24" s="106"/>
      <c r="P24" s="106"/>
      <c r="Q24" s="106"/>
      <c r="R24" s="106"/>
      <c r="S24" s="106"/>
      <c r="T24" s="106"/>
    </row>
    <row r="25" spans="2:20" x14ac:dyDescent="0.2">
      <c r="B25" s="130" t="s">
        <v>386</v>
      </c>
      <c r="C25" s="130"/>
      <c r="D25" s="130"/>
      <c r="E25" s="130"/>
      <c r="F25" s="106"/>
      <c r="G25" s="106"/>
      <c r="H25" s="106"/>
      <c r="I25" s="106"/>
      <c r="J25" s="106"/>
      <c r="K25" s="106">
        <f>Assumptions!E94</f>
        <v>1778.6202000000001</v>
      </c>
      <c r="L25" s="232"/>
      <c r="M25" s="106"/>
      <c r="N25" s="106"/>
      <c r="O25" s="106"/>
      <c r="P25" s="106"/>
      <c r="Q25" s="106"/>
      <c r="R25" s="106"/>
      <c r="S25" s="106"/>
      <c r="T25" s="106"/>
    </row>
    <row r="26" spans="2:20" x14ac:dyDescent="0.2">
      <c r="B26" s="130"/>
      <c r="C26" s="130"/>
      <c r="D26" s="130"/>
      <c r="E26" s="130"/>
      <c r="F26" s="94"/>
      <c r="G26" s="107"/>
      <c r="H26" s="107"/>
      <c r="I26" s="107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</row>
    <row r="27" spans="2:20" x14ac:dyDescent="0.2">
      <c r="B27" s="229" t="s">
        <v>319</v>
      </c>
      <c r="C27" s="231"/>
      <c r="D27" s="231"/>
      <c r="E27" s="231"/>
      <c r="F27" s="230">
        <f>F20-F22</f>
        <v>78.02639999999974</v>
      </c>
      <c r="G27" s="230">
        <f t="shared" ref="G27:T27" si="16">G20-G22</f>
        <v>74.540700000000015</v>
      </c>
      <c r="H27" s="230">
        <f t="shared" si="16"/>
        <v>75.833999999999833</v>
      </c>
      <c r="I27" s="230">
        <f t="shared" si="16"/>
        <v>91.37690000000066</v>
      </c>
      <c r="J27" s="230">
        <f t="shared" si="16"/>
        <v>10.440199999999862</v>
      </c>
      <c r="K27" s="230">
        <f t="shared" si="16"/>
        <v>-3232.7860940469477</v>
      </c>
      <c r="L27" s="230">
        <f t="shared" ca="1" si="16"/>
        <v>-68.139071751335564</v>
      </c>
      <c r="M27" s="230">
        <f t="shared" ca="1" si="16"/>
        <v>-38.920918470499828</v>
      </c>
      <c r="N27" s="230">
        <f t="shared" ca="1" si="16"/>
        <v>41.077630789056684</v>
      </c>
      <c r="O27" s="230">
        <f t="shared" ca="1" si="16"/>
        <v>80.532131785938418</v>
      </c>
      <c r="P27" s="230">
        <f t="shared" ca="1" si="16"/>
        <v>103.83266393363419</v>
      </c>
      <c r="Q27" s="230">
        <f t="shared" ca="1" si="16"/>
        <v>127.42728090625042</v>
      </c>
      <c r="R27" s="230">
        <f t="shared" ca="1" si="16"/>
        <v>151.84217720496918</v>
      </c>
      <c r="S27" s="230">
        <f t="shared" ca="1" si="16"/>
        <v>178.2198803245733</v>
      </c>
      <c r="T27" s="230">
        <f t="shared" ca="1" si="16"/>
        <v>206.66238518234059</v>
      </c>
    </row>
    <row r="28" spans="2:20" x14ac:dyDescent="0.2">
      <c r="B28" s="131"/>
      <c r="C28" s="135"/>
      <c r="D28" s="135"/>
      <c r="E28" s="135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</row>
    <row r="29" spans="2:20" s="136" customFormat="1" x14ac:dyDescent="0.2">
      <c r="B29" s="131" t="s">
        <v>8</v>
      </c>
      <c r="C29" s="135"/>
      <c r="D29" s="135"/>
      <c r="E29" s="135"/>
      <c r="F29" s="110">
        <f>SUM(F30:F31)</f>
        <v>14.877000000000001</v>
      </c>
      <c r="G29" s="110">
        <f>SUM(G30:G31)</f>
        <v>13.556799999999997</v>
      </c>
      <c r="H29" s="110">
        <f t="shared" ref="H29:J29" si="17">SUM(H30:H31)</f>
        <v>14.025</v>
      </c>
      <c r="I29" s="110">
        <f t="shared" si="17"/>
        <v>16.926599999999997</v>
      </c>
      <c r="J29" s="110">
        <f t="shared" si="17"/>
        <v>2.6274000000000002</v>
      </c>
      <c r="K29" s="109">
        <f t="shared" ref="K29:T29" si="18">SUM(K30:K31)</f>
        <v>0</v>
      </c>
      <c r="L29" s="110">
        <f t="shared" ca="1" si="18"/>
        <v>0</v>
      </c>
      <c r="M29" s="110">
        <f t="shared" ca="1" si="18"/>
        <v>0</v>
      </c>
      <c r="N29" s="110">
        <f t="shared" ca="1" si="18"/>
        <v>14.354167302927969</v>
      </c>
      <c r="O29" s="110">
        <f t="shared" ca="1" si="18"/>
        <v>28.141148131278324</v>
      </c>
      <c r="P29" s="110">
        <f t="shared" ca="1" si="18"/>
        <v>36.283286084969134</v>
      </c>
      <c r="Q29" s="110">
        <f t="shared" ca="1" si="18"/>
        <v>44.528189039880147</v>
      </c>
      <c r="R29" s="110">
        <f t="shared" ca="1" si="18"/>
        <v>53.059730402504435</v>
      </c>
      <c r="S29" s="110">
        <f t="shared" ca="1" si="18"/>
        <v>62.277154980618896</v>
      </c>
      <c r="T29" s="110">
        <f t="shared" ca="1" si="18"/>
        <v>72.216103878117096</v>
      </c>
    </row>
    <row r="30" spans="2:20" x14ac:dyDescent="0.2">
      <c r="C30" s="132" t="s">
        <v>51</v>
      </c>
      <c r="D30" s="137"/>
      <c r="E30" s="137"/>
      <c r="F30" s="65">
        <f>1443.49/(10^2)</f>
        <v>14.434900000000001</v>
      </c>
      <c r="G30" s="65">
        <f>1302.37/(10^2)</f>
        <v>13.023699999999998</v>
      </c>
      <c r="H30" s="65">
        <f>1402.93/(10^2)</f>
        <v>14.029300000000001</v>
      </c>
      <c r="I30" s="65">
        <f>1799.77/(10^2)</f>
        <v>17.997699999999998</v>
      </c>
      <c r="J30" s="65">
        <f>262.74/(10^2)</f>
        <v>2.6274000000000002</v>
      </c>
      <c r="K30" s="70">
        <f>IF(K27&lt;=0,0,K27*Assumptions!K59)</f>
        <v>0</v>
      </c>
      <c r="L30" s="70">
        <f ca="1">IF(L27&lt;=0,0,L27*Assumptions!L59)</f>
        <v>0</v>
      </c>
      <c r="M30" s="70">
        <f ca="1">IF(M27&lt;=0,0,M27*Assumptions!M59)</f>
        <v>0</v>
      </c>
      <c r="N30" s="70">
        <f ca="1">IF(N27&lt;=0,0,N27*Assumptions!N59)</f>
        <v>14.354167302927969</v>
      </c>
      <c r="O30" s="70">
        <f ca="1">IF(O27&lt;=0,0,O27*Assumptions!O59)</f>
        <v>28.141148131278324</v>
      </c>
      <c r="P30" s="70">
        <f ca="1">IF(P27&lt;=0,0,P27*Assumptions!P59)</f>
        <v>36.283286084969134</v>
      </c>
      <c r="Q30" s="70">
        <f ca="1">IF(Q27&lt;=0,0,Q27*Assumptions!Q59)</f>
        <v>44.528189039880147</v>
      </c>
      <c r="R30" s="70">
        <f ca="1">IF(R27&lt;=0,0,R27*Assumptions!R59)</f>
        <v>53.059730402504435</v>
      </c>
      <c r="S30" s="70">
        <f ca="1">IF(S27&lt;=0,0,S27*Assumptions!S59)</f>
        <v>62.277154980618896</v>
      </c>
      <c r="T30" s="70">
        <f ca="1">IF(T27&lt;=0,0,T27*Assumptions!T59)</f>
        <v>72.216103878117096</v>
      </c>
    </row>
    <row r="31" spans="2:20" x14ac:dyDescent="0.2">
      <c r="C31" s="132" t="s">
        <v>52</v>
      </c>
      <c r="D31" s="137"/>
      <c r="E31" s="137"/>
      <c r="F31" s="65">
        <f>44.21/(10^2)</f>
        <v>0.44209999999999999</v>
      </c>
      <c r="G31" s="65">
        <f>53.31/(10^2)</f>
        <v>0.53310000000000002</v>
      </c>
      <c r="H31" s="65">
        <f>-0.43/(10^2)</f>
        <v>-4.3E-3</v>
      </c>
      <c r="I31" s="65">
        <f>-107.11/(10^2)</f>
        <v>-1.0710999999999999</v>
      </c>
      <c r="J31" s="108">
        <v>0</v>
      </c>
      <c r="K31" s="108">
        <v>0</v>
      </c>
      <c r="L31" s="108">
        <v>0</v>
      </c>
      <c r="M31" s="108">
        <v>0</v>
      </c>
      <c r="N31" s="108">
        <v>0</v>
      </c>
      <c r="O31" s="108">
        <v>0</v>
      </c>
      <c r="P31" s="108">
        <v>0</v>
      </c>
      <c r="Q31" s="108">
        <v>0</v>
      </c>
      <c r="R31" s="108">
        <v>0</v>
      </c>
      <c r="S31" s="108">
        <v>0</v>
      </c>
      <c r="T31" s="108">
        <v>0</v>
      </c>
    </row>
    <row r="32" spans="2:20" x14ac:dyDescent="0.2">
      <c r="B32" s="130"/>
      <c r="C32" s="138"/>
      <c r="D32" s="138"/>
      <c r="E32" s="138"/>
      <c r="F32" s="111"/>
      <c r="G32" s="107"/>
      <c r="H32" s="107"/>
      <c r="I32" s="107"/>
      <c r="J32" s="108"/>
      <c r="K32" s="49"/>
      <c r="L32" s="49"/>
      <c r="M32" s="49"/>
      <c r="N32" s="49"/>
      <c r="O32" s="49"/>
      <c r="P32" s="49"/>
      <c r="Q32" s="49"/>
      <c r="R32" s="49"/>
      <c r="S32" s="49"/>
      <c r="T32" s="49"/>
    </row>
    <row r="33" spans="2:20" x14ac:dyDescent="0.2">
      <c r="B33" s="229" t="s">
        <v>387</v>
      </c>
      <c r="C33" s="229"/>
      <c r="D33" s="229"/>
      <c r="E33" s="229"/>
      <c r="F33" s="230">
        <f>F27-F29</f>
        <v>63.149399999999737</v>
      </c>
      <c r="G33" s="230">
        <f>G27-G29</f>
        <v>60.98390000000002</v>
      </c>
      <c r="H33" s="230">
        <f>H27-H29</f>
        <v>61.808999999999834</v>
      </c>
      <c r="I33" s="230">
        <f>I27-I29</f>
        <v>74.450300000000667</v>
      </c>
      <c r="J33" s="230">
        <f>J27-J29</f>
        <v>7.8127999999998625</v>
      </c>
      <c r="K33" s="230">
        <f t="shared" ref="K33:T33" si="19">K27-K29</f>
        <v>-3232.7860940469477</v>
      </c>
      <c r="L33" s="230">
        <f t="shared" ca="1" si="19"/>
        <v>-68.139071751335564</v>
      </c>
      <c r="M33" s="230">
        <f t="shared" ca="1" si="19"/>
        <v>-38.920918470499828</v>
      </c>
      <c r="N33" s="230">
        <f t="shared" ca="1" si="19"/>
        <v>26.723463486128715</v>
      </c>
      <c r="O33" s="230">
        <f t="shared" ca="1" si="19"/>
        <v>52.39098365466009</v>
      </c>
      <c r="P33" s="230">
        <f t="shared" ca="1" si="19"/>
        <v>67.54937784866506</v>
      </c>
      <c r="Q33" s="230">
        <f t="shared" ca="1" si="19"/>
        <v>82.89909186637027</v>
      </c>
      <c r="R33" s="230">
        <f t="shared" ca="1" si="19"/>
        <v>98.782446802464733</v>
      </c>
      <c r="S33" s="230">
        <f t="shared" ca="1" si="19"/>
        <v>115.94272534395441</v>
      </c>
      <c r="T33" s="230">
        <f t="shared" ca="1" si="19"/>
        <v>134.44628130422348</v>
      </c>
    </row>
    <row r="34" spans="2:20" x14ac:dyDescent="0.2">
      <c r="B34" s="35"/>
      <c r="C34" s="35"/>
      <c r="D34" s="35"/>
      <c r="E34" s="35"/>
      <c r="F34" s="49"/>
      <c r="G34" s="49"/>
      <c r="H34" s="49"/>
      <c r="I34" s="49"/>
      <c r="J34" s="65"/>
      <c r="K34" s="52"/>
      <c r="L34" s="52"/>
      <c r="M34" s="52"/>
      <c r="N34" s="52"/>
      <c r="O34" s="52"/>
      <c r="P34" s="52"/>
      <c r="Q34" s="52"/>
      <c r="R34" s="52"/>
      <c r="S34" s="52"/>
      <c r="T34" s="52"/>
    </row>
    <row r="35" spans="2:20" x14ac:dyDescent="0.2">
      <c r="B35" s="130" t="s">
        <v>53</v>
      </c>
      <c r="C35" s="138"/>
      <c r="D35" s="138"/>
      <c r="E35" s="138"/>
      <c r="F35" s="65">
        <f>-5.85/(10^2)</f>
        <v>-5.8499999999999996E-2</v>
      </c>
      <c r="G35" s="65">
        <f>-24.39/(10^2)</f>
        <v>-0.24390000000000001</v>
      </c>
      <c r="H35" s="65">
        <f>27/(10^2)</f>
        <v>0.27</v>
      </c>
      <c r="I35" s="65">
        <f>11.4/(10^2)</f>
        <v>0.114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  <c r="Q35" s="65">
        <v>0</v>
      </c>
      <c r="R35" s="65">
        <v>0</v>
      </c>
      <c r="S35" s="65">
        <v>0</v>
      </c>
      <c r="T35" s="65">
        <v>0</v>
      </c>
    </row>
    <row r="36" spans="2:20" x14ac:dyDescent="0.2">
      <c r="B36" s="35"/>
      <c r="C36" s="35"/>
      <c r="D36" s="35"/>
      <c r="E36" s="35"/>
      <c r="F36" s="49"/>
      <c r="G36" s="49"/>
      <c r="H36" s="49"/>
      <c r="I36" s="49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</row>
    <row r="37" spans="2:20" ht="13.5" thickBot="1" x14ac:dyDescent="0.25">
      <c r="B37" s="233" t="s">
        <v>54</v>
      </c>
      <c r="C37" s="234"/>
      <c r="D37" s="234"/>
      <c r="E37" s="234"/>
      <c r="F37" s="235">
        <f>F33+F35</f>
        <v>63.090899999999735</v>
      </c>
      <c r="G37" s="235">
        <f>G33+G35</f>
        <v>60.740000000000023</v>
      </c>
      <c r="H37" s="235">
        <f>H33+H35</f>
        <v>62.078999999999837</v>
      </c>
      <c r="I37" s="235">
        <f>I33+I35</f>
        <v>74.564300000000671</v>
      </c>
      <c r="J37" s="235">
        <f>J33+J35</f>
        <v>7.8127999999998625</v>
      </c>
      <c r="K37" s="235">
        <f t="shared" ref="K37:T37" si="20">K33+K35</f>
        <v>-3232.7860940469477</v>
      </c>
      <c r="L37" s="235">
        <f t="shared" ca="1" si="20"/>
        <v>-68.139071751335564</v>
      </c>
      <c r="M37" s="235">
        <f t="shared" ca="1" si="20"/>
        <v>-38.920918470499828</v>
      </c>
      <c r="N37" s="235">
        <f t="shared" ca="1" si="20"/>
        <v>26.723463486128715</v>
      </c>
      <c r="O37" s="235">
        <f t="shared" ca="1" si="20"/>
        <v>52.39098365466009</v>
      </c>
      <c r="P37" s="235">
        <f t="shared" ca="1" si="20"/>
        <v>67.54937784866506</v>
      </c>
      <c r="Q37" s="235">
        <f t="shared" ca="1" si="20"/>
        <v>82.89909186637027</v>
      </c>
      <c r="R37" s="235">
        <f t="shared" ca="1" si="20"/>
        <v>98.782446802464733</v>
      </c>
      <c r="S37" s="235">
        <f t="shared" ca="1" si="20"/>
        <v>115.94272534395441</v>
      </c>
      <c r="T37" s="235">
        <f t="shared" ca="1" si="20"/>
        <v>134.44628130422348</v>
      </c>
    </row>
    <row r="38" spans="2:20" ht="13.5" thickTop="1" x14ac:dyDescent="0.2">
      <c r="B38" s="35"/>
      <c r="C38" s="35"/>
      <c r="D38" s="35"/>
      <c r="E38" s="35"/>
      <c r="F38" s="49"/>
      <c r="G38" s="49"/>
      <c r="H38" s="49"/>
      <c r="I38" s="49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65"/>
    </row>
    <row r="39" spans="2:20" x14ac:dyDescent="0.2">
      <c r="B39" s="141" t="s">
        <v>187</v>
      </c>
      <c r="C39" s="141"/>
      <c r="D39" s="141"/>
      <c r="E39" s="35"/>
      <c r="F39" s="106">
        <f t="shared" ref="F39:T39" si="21">(F37+F29+F16+F15)</f>
        <v>193.96829999999972</v>
      </c>
      <c r="G39" s="106">
        <f t="shared" si="21"/>
        <v>200.41130000000001</v>
      </c>
      <c r="H39" s="106">
        <f t="shared" si="21"/>
        <v>215.71049999999985</v>
      </c>
      <c r="I39" s="106">
        <f t="shared" si="21"/>
        <v>242.35120000000066</v>
      </c>
      <c r="J39" s="106">
        <f t="shared" si="21"/>
        <v>178.85199999999986</v>
      </c>
      <c r="K39" s="106">
        <f t="shared" si="21"/>
        <v>-3197.9817956807779</v>
      </c>
      <c r="L39" s="106">
        <f t="shared" ca="1" si="21"/>
        <v>-19.839365641703065</v>
      </c>
      <c r="M39" s="106">
        <f t="shared" ca="1" si="21"/>
        <v>44.835298663144286</v>
      </c>
      <c r="N39" s="106">
        <f t="shared" ca="1" si="21"/>
        <v>100.19619485353755</v>
      </c>
      <c r="O39" s="106">
        <f t="shared" ca="1" si="21"/>
        <v>131.60333445449103</v>
      </c>
      <c r="P39" s="106">
        <f t="shared" ca="1" si="21"/>
        <v>147.69307122430402</v>
      </c>
      <c r="Q39" s="106">
        <f t="shared" ca="1" si="21"/>
        <v>164.84994010057511</v>
      </c>
      <c r="R39" s="106">
        <f t="shared" ca="1" si="21"/>
        <v>183.13309399798857</v>
      </c>
      <c r="S39" s="106">
        <f t="shared" ca="1" si="21"/>
        <v>202.60468694928488</v>
      </c>
      <c r="T39" s="106">
        <f t="shared" ca="1" si="21"/>
        <v>223.33001836484959</v>
      </c>
    </row>
    <row r="40" spans="2:20" x14ac:dyDescent="0.2">
      <c r="B40" s="141" t="s">
        <v>9</v>
      </c>
      <c r="C40" s="141"/>
      <c r="D40" s="141"/>
      <c r="E40" s="35"/>
      <c r="F40" s="236">
        <f t="shared" ref="F40:T40" si="22">(F37+F29+F16+F15)/F7</f>
        <v>5.5175790208752948E-2</v>
      </c>
      <c r="G40" s="236">
        <f t="shared" si="22"/>
        <v>6.1720989675375142E-2</v>
      </c>
      <c r="H40" s="236">
        <f t="shared" si="22"/>
        <v>7.2929752896813332E-2</v>
      </c>
      <c r="I40" s="236">
        <f t="shared" si="22"/>
        <v>6.5420557215723693E-2</v>
      </c>
      <c r="J40" s="236">
        <f t="shared" si="22"/>
        <v>4.4946928536916779E-2</v>
      </c>
      <c r="K40" s="236">
        <f t="shared" si="22"/>
        <v>-7.9949544892019446</v>
      </c>
      <c r="L40" s="236">
        <f t="shared" ca="1" si="22"/>
        <v>-7.4346308163083547E-2</v>
      </c>
      <c r="M40" s="236">
        <f t="shared" ca="1" si="22"/>
        <v>3.2310847487552086E-2</v>
      </c>
      <c r="N40" s="236">
        <f t="shared" ca="1" si="22"/>
        <v>4.9592743679904003E-2</v>
      </c>
      <c r="O40" s="236">
        <f t="shared" ca="1" si="22"/>
        <v>5.4803527615554237E-2</v>
      </c>
      <c r="P40" s="236">
        <f t="shared" ca="1" si="22"/>
        <v>5.6322134353342712E-2</v>
      </c>
      <c r="Q40" s="236">
        <f t="shared" ca="1" si="22"/>
        <v>5.7699367299545203E-2</v>
      </c>
      <c r="R40" s="236">
        <f t="shared" ca="1" si="22"/>
        <v>5.8953635991383674E-2</v>
      </c>
      <c r="S40" s="236">
        <f t="shared" ca="1" si="22"/>
        <v>6.0100281428619541E-2</v>
      </c>
      <c r="T40" s="236">
        <f t="shared" ca="1" si="22"/>
        <v>6.115218977844817E-2</v>
      </c>
    </row>
    <row r="41" spans="2:20" x14ac:dyDescent="0.2">
      <c r="B41" s="141" t="s">
        <v>10</v>
      </c>
      <c r="C41" s="141"/>
      <c r="D41" s="141"/>
      <c r="E41" s="35"/>
      <c r="F41" s="236">
        <f t="shared" ref="F41:T41" si="23">F37/F7</f>
        <v>1.7946696766850057E-2</v>
      </c>
      <c r="G41" s="236">
        <f t="shared" si="23"/>
        <v>1.8706195273830804E-2</v>
      </c>
      <c r="H41" s="236">
        <f t="shared" si="23"/>
        <v>2.0988343775946307E-2</v>
      </c>
      <c r="I41" s="236">
        <f t="shared" si="23"/>
        <v>2.0127971532224377E-2</v>
      </c>
      <c r="J41" s="236">
        <f t="shared" si="23"/>
        <v>1.963418710851528E-3</v>
      </c>
      <c r="K41" s="236">
        <f t="shared" si="23"/>
        <v>-8.0819652351173694</v>
      </c>
      <c r="L41" s="236">
        <f t="shared" ca="1" si="23"/>
        <v>-0.25534528259928707</v>
      </c>
      <c r="M41" s="236">
        <f t="shared" ca="1" si="23"/>
        <v>-2.804861121198509E-2</v>
      </c>
      <c r="N41" s="236">
        <f t="shared" ca="1" si="23"/>
        <v>1.3226948157503452E-2</v>
      </c>
      <c r="O41" s="236">
        <f t="shared" ca="1" si="23"/>
        <v>2.181715783589884E-2</v>
      </c>
      <c r="P41" s="236">
        <f t="shared" ca="1" si="23"/>
        <v>2.5759672428364817E-2</v>
      </c>
      <c r="Q41" s="236">
        <f t="shared" ca="1" si="23"/>
        <v>2.9015631716203159E-2</v>
      </c>
      <c r="R41" s="236">
        <f t="shared" ca="1" si="23"/>
        <v>3.1799738015646103E-2</v>
      </c>
      <c r="S41" s="236">
        <f t="shared" ca="1" si="23"/>
        <v>3.4393036645381486E-2</v>
      </c>
      <c r="T41" s="236">
        <f t="shared" ca="1" si="23"/>
        <v>3.6814059164634587E-2</v>
      </c>
    </row>
    <row r="42" spans="2:20" x14ac:dyDescent="0.2">
      <c r="B42" s="141"/>
      <c r="C42" s="141"/>
      <c r="D42" s="141"/>
      <c r="E42" s="35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</row>
    <row r="43" spans="2:20" x14ac:dyDescent="0.2">
      <c r="E43" s="35"/>
      <c r="F43" s="112"/>
      <c r="G43" s="112"/>
      <c r="H43" s="112"/>
      <c r="I43" s="112"/>
      <c r="J43" s="113"/>
      <c r="K43" s="113"/>
      <c r="L43" s="113"/>
      <c r="M43" s="113"/>
      <c r="N43" s="113"/>
      <c r="O43" s="113"/>
      <c r="P43" s="113"/>
      <c r="Q43" s="113"/>
      <c r="R43" s="113"/>
      <c r="S43" s="113"/>
    </row>
    <row r="44" spans="2:20" x14ac:dyDescent="0.2">
      <c r="B44" s="139" t="s">
        <v>388</v>
      </c>
      <c r="C44" s="139"/>
      <c r="D44" s="139"/>
      <c r="E44" s="126"/>
      <c r="F44" s="127"/>
      <c r="G44" s="127"/>
      <c r="H44" s="127"/>
      <c r="I44" s="127"/>
      <c r="J44" s="128"/>
      <c r="K44" s="140"/>
      <c r="L44" s="140"/>
      <c r="M44" s="140"/>
      <c r="N44" s="140"/>
      <c r="O44" s="140"/>
      <c r="P44" s="140"/>
      <c r="Q44" s="140"/>
      <c r="R44" s="140"/>
      <c r="S44" s="140"/>
      <c r="T44" s="128"/>
    </row>
    <row r="45" spans="2:20" x14ac:dyDescent="0.2">
      <c r="B45" s="224"/>
      <c r="C45" s="224"/>
      <c r="D45" s="224"/>
      <c r="E45" s="225"/>
      <c r="F45" s="226"/>
      <c r="G45" s="226"/>
      <c r="H45" s="226"/>
      <c r="I45" s="226"/>
      <c r="J45" s="227"/>
      <c r="K45" s="228"/>
      <c r="L45" s="228"/>
      <c r="M45" s="228"/>
      <c r="N45" s="228"/>
      <c r="O45" s="228"/>
      <c r="P45" s="228"/>
      <c r="Q45" s="228"/>
      <c r="R45" s="228"/>
      <c r="S45" s="228"/>
      <c r="T45" s="227"/>
    </row>
    <row r="46" spans="2:20" x14ac:dyDescent="0.2">
      <c r="B46" s="141" t="s">
        <v>56</v>
      </c>
      <c r="C46" s="141"/>
      <c r="D46" s="141"/>
      <c r="E46" s="35"/>
      <c r="F46" s="112"/>
      <c r="G46" s="112"/>
      <c r="H46" s="112"/>
      <c r="I46" s="112"/>
      <c r="K46" s="113"/>
      <c r="L46" s="113"/>
      <c r="M46" s="113"/>
      <c r="N46" s="113"/>
      <c r="O46" s="113"/>
      <c r="P46" s="113"/>
      <c r="Q46" s="113"/>
      <c r="R46" s="113"/>
      <c r="S46" s="113"/>
    </row>
    <row r="47" spans="2:20" x14ac:dyDescent="0.2">
      <c r="C47" s="142" t="s">
        <v>59</v>
      </c>
      <c r="D47" s="143"/>
      <c r="E47" s="143"/>
      <c r="F47" s="65">
        <f>307393.96/(10^2)</f>
        <v>3073.9396000000002</v>
      </c>
      <c r="G47" s="65">
        <f>293724.72/(10^2)</f>
        <v>2937.2471999999998</v>
      </c>
      <c r="H47" s="65">
        <f>274700.14/(10^2)</f>
        <v>2747.0014000000001</v>
      </c>
      <c r="I47" s="65">
        <f>345977.7/(10^2)</f>
        <v>3459.777</v>
      </c>
      <c r="J47" s="65"/>
      <c r="K47" s="113"/>
      <c r="L47" s="113"/>
      <c r="M47" s="113"/>
      <c r="N47" s="113"/>
      <c r="O47" s="113"/>
      <c r="P47" s="113"/>
      <c r="Q47" s="113"/>
      <c r="R47" s="113"/>
      <c r="S47" s="113"/>
    </row>
    <row r="48" spans="2:20" x14ac:dyDescent="0.2">
      <c r="C48" s="142" t="s">
        <v>60</v>
      </c>
      <c r="D48" s="143"/>
      <c r="E48" s="143"/>
      <c r="F48" s="65">
        <f>44152.07/(10^2)</f>
        <v>441.52069999999998</v>
      </c>
      <c r="G48" s="65">
        <f>30980.54/(10^2)</f>
        <v>309.80540000000002</v>
      </c>
      <c r="H48" s="65">
        <f>21078.32/(10^2)</f>
        <v>210.78319999999999</v>
      </c>
      <c r="I48" s="65">
        <f>24473.44/(10^2)</f>
        <v>244.73439999999999</v>
      </c>
      <c r="J48" s="113"/>
      <c r="K48" s="113"/>
      <c r="L48" s="113"/>
      <c r="M48" s="113"/>
      <c r="N48" s="113"/>
      <c r="O48" s="113"/>
      <c r="P48" s="113"/>
      <c r="Q48" s="113"/>
      <c r="R48" s="113"/>
      <c r="S48" s="113"/>
    </row>
    <row r="49" spans="2:20" x14ac:dyDescent="0.2">
      <c r="C49" s="300" t="s">
        <v>234</v>
      </c>
      <c r="D49" s="300"/>
      <c r="E49" s="300"/>
      <c r="F49" s="301">
        <f>SUM(F47:F48)</f>
        <v>3515.4603000000002</v>
      </c>
      <c r="G49" s="301">
        <f t="shared" ref="G49:I49" si="24">SUM(G47:G48)</f>
        <v>3247.0526</v>
      </c>
      <c r="H49" s="301">
        <f t="shared" si="24"/>
        <v>2957.7846</v>
      </c>
      <c r="I49" s="301">
        <f t="shared" si="24"/>
        <v>3704.5113999999999</v>
      </c>
      <c r="J49" s="301">
        <f>397918.18/10^2</f>
        <v>3979.1817999999998</v>
      </c>
      <c r="K49" s="301">
        <f>Assumptions!K27</f>
        <v>400</v>
      </c>
      <c r="L49" s="301">
        <f>Assumptions!L27</f>
        <v>266.85071702799422</v>
      </c>
      <c r="M49" s="301">
        <f>Assumptions!M27</f>
        <v>1387.62372854557</v>
      </c>
      <c r="N49" s="301">
        <f>Assumptions!N27</f>
        <v>2020.38014876235</v>
      </c>
      <c r="O49" s="301">
        <f>Assumptions!O27</f>
        <v>2401.3661196718222</v>
      </c>
      <c r="P49" s="301">
        <f>Assumptions!P27</f>
        <v>2622.2918026816301</v>
      </c>
      <c r="Q49" s="301">
        <f>Assumptions!Q27</f>
        <v>2857.0493545407471</v>
      </c>
      <c r="R49" s="301">
        <f>Assumptions!R27</f>
        <v>3106.3918436643035</v>
      </c>
      <c r="S49" s="301">
        <f>Assumptions!S27</f>
        <v>3371.1104529504792</v>
      </c>
      <c r="T49" s="301">
        <f>Assumptions!T27</f>
        <v>3652.0363240296861</v>
      </c>
    </row>
    <row r="50" spans="2:20" x14ac:dyDescent="0.2">
      <c r="C50" s="64" t="s">
        <v>278</v>
      </c>
      <c r="F50" s="68">
        <f>F47/F49</f>
        <v>0.87440600595034457</v>
      </c>
      <c r="G50" s="68">
        <f>G47/G49</f>
        <v>0.9045887337950731</v>
      </c>
      <c r="H50" s="68">
        <f>H47/H49</f>
        <v>0.92873612229910185</v>
      </c>
      <c r="I50" s="68">
        <f>I47/I49</f>
        <v>0.93393611907902352</v>
      </c>
      <c r="J50" s="68"/>
      <c r="K50" s="113"/>
      <c r="L50" s="113"/>
      <c r="M50" s="113"/>
      <c r="N50" s="113"/>
      <c r="O50" s="113"/>
      <c r="P50" s="113"/>
      <c r="Q50" s="113"/>
      <c r="R50" s="113"/>
      <c r="S50" s="113"/>
    </row>
    <row r="51" spans="2:20" x14ac:dyDescent="0.2">
      <c r="C51" s="64" t="s">
        <v>11</v>
      </c>
      <c r="F51" s="68"/>
      <c r="G51" s="68">
        <f>G49/F49-1</f>
        <v>-7.6350655986642813E-2</v>
      </c>
      <c r="H51" s="68">
        <f>H49/G49-1</f>
        <v>-8.90863301690894E-2</v>
      </c>
      <c r="I51" s="68">
        <f>I49/H49-1</f>
        <v>0.25246152136974409</v>
      </c>
      <c r="J51" s="68">
        <f>J49/I49-1</f>
        <v>7.4144838641878597E-2</v>
      </c>
    </row>
    <row r="52" spans="2:20" x14ac:dyDescent="0.2">
      <c r="F52" s="68"/>
      <c r="G52" s="68"/>
      <c r="H52" s="68"/>
      <c r="I52" s="68"/>
      <c r="J52" s="68"/>
      <c r="K52" s="113"/>
      <c r="L52" s="113"/>
      <c r="M52" s="113"/>
      <c r="N52" s="113"/>
      <c r="O52" s="113"/>
      <c r="P52" s="113"/>
      <c r="Q52" s="113"/>
      <c r="R52" s="113"/>
      <c r="S52" s="113"/>
    </row>
    <row r="53" spans="2:20" x14ac:dyDescent="0.2">
      <c r="B53" s="136" t="s">
        <v>57</v>
      </c>
      <c r="C53" s="136"/>
      <c r="D53" s="136"/>
      <c r="E53" s="136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</row>
    <row r="54" spans="2:20" x14ac:dyDescent="0.2">
      <c r="C54" s="144" t="s">
        <v>61</v>
      </c>
      <c r="D54" s="145"/>
      <c r="E54" s="145"/>
      <c r="F54" s="65">
        <f>17157.83/(10^2)</f>
        <v>171.57830000000001</v>
      </c>
      <c r="G54" s="65">
        <f>23419/(10^2)</f>
        <v>234.19</v>
      </c>
      <c r="H54" s="65">
        <f>20641.89/(10^2)</f>
        <v>206.41890000000001</v>
      </c>
      <c r="I54" s="65">
        <f>21934.84/(10^2)</f>
        <v>219.3484</v>
      </c>
      <c r="J54" s="65">
        <f>32827.02/(10^2)</f>
        <v>328.27019999999999</v>
      </c>
      <c r="K54" s="65"/>
      <c r="L54" s="65"/>
      <c r="M54" s="65"/>
      <c r="N54" s="65"/>
      <c r="O54" s="65"/>
      <c r="P54" s="65"/>
      <c r="Q54" s="65"/>
      <c r="R54" s="65"/>
      <c r="S54" s="65"/>
      <c r="T54" s="65"/>
    </row>
    <row r="55" spans="2:20" x14ac:dyDescent="0.2">
      <c r="C55" s="144" t="s">
        <v>62</v>
      </c>
      <c r="D55" s="145"/>
      <c r="E55" s="145"/>
      <c r="F55" s="65">
        <f>326947.48/(10^2)</f>
        <v>3269.4748</v>
      </c>
      <c r="G55" s="65">
        <f>289921.68/(10^2)</f>
        <v>2899.2168000000001</v>
      </c>
      <c r="H55" s="65">
        <f>270710.28/(10^2)</f>
        <v>2707.1028000000001</v>
      </c>
      <c r="I55" s="65">
        <f>341679.14/(10^2)</f>
        <v>3416.7914000000001</v>
      </c>
      <c r="J55" s="65">
        <f>366767.06/(10^2)</f>
        <v>3667.6705999999999</v>
      </c>
      <c r="K55" s="65"/>
      <c r="L55" s="65"/>
      <c r="M55" s="65"/>
      <c r="N55" s="65"/>
      <c r="O55" s="65"/>
      <c r="P55" s="65"/>
      <c r="Q55" s="65"/>
      <c r="R55" s="65"/>
      <c r="S55" s="65"/>
      <c r="T55" s="65"/>
    </row>
    <row r="56" spans="2:20" x14ac:dyDescent="0.2">
      <c r="C56" s="144" t="s">
        <v>377</v>
      </c>
      <c r="D56" s="145"/>
      <c r="E56" s="145"/>
      <c r="F56" s="65">
        <f>-6483.93/(10^2)</f>
        <v>-64.839300000000009</v>
      </c>
      <c r="G56" s="65">
        <f>-5856.38/(10^2)</f>
        <v>-58.563800000000001</v>
      </c>
      <c r="H56" s="65">
        <f>-4580.84/(10^2)</f>
        <v>-45.808399999999999</v>
      </c>
      <c r="I56" s="65">
        <f>0/(10^2)</f>
        <v>0</v>
      </c>
      <c r="J56" s="65">
        <f>0/(10^2)</f>
        <v>0</v>
      </c>
      <c r="K56" s="65"/>
      <c r="L56" s="65"/>
      <c r="M56" s="65"/>
      <c r="N56" s="65"/>
      <c r="O56" s="65"/>
      <c r="P56" s="65"/>
      <c r="Q56" s="65"/>
      <c r="R56" s="65"/>
      <c r="S56" s="65"/>
      <c r="T56" s="65"/>
    </row>
    <row r="57" spans="2:20" x14ac:dyDescent="0.2">
      <c r="F57" s="114">
        <f>SUM(F54:F56)</f>
        <v>3376.2138</v>
      </c>
      <c r="G57" s="114">
        <f>SUM(G54:G56)</f>
        <v>3074.8430000000003</v>
      </c>
      <c r="H57" s="114">
        <f>SUM(H54:H56)</f>
        <v>2867.7133000000003</v>
      </c>
      <c r="I57" s="114">
        <f>SUM(I54:I56)</f>
        <v>3636.1397999999999</v>
      </c>
      <c r="J57" s="114">
        <f>SUM(J54:J56)</f>
        <v>3995.9407999999999</v>
      </c>
      <c r="K57" s="114"/>
      <c r="L57" s="114"/>
      <c r="M57" s="114"/>
      <c r="N57" s="114"/>
      <c r="O57" s="114"/>
      <c r="P57" s="114"/>
      <c r="Q57" s="114"/>
      <c r="R57" s="114"/>
      <c r="S57" s="114"/>
      <c r="T57" s="114"/>
    </row>
    <row r="58" spans="2:20" x14ac:dyDescent="0.2">
      <c r="C58" s="144" t="s">
        <v>376</v>
      </c>
      <c r="D58" s="145"/>
      <c r="E58" s="145"/>
      <c r="F58" s="65">
        <f>-23419/(10^2)</f>
        <v>-234.19</v>
      </c>
      <c r="G58" s="65">
        <f>-20641.89/(10^2)</f>
        <v>-206.41890000000001</v>
      </c>
      <c r="H58" s="65">
        <f>-21934.84/(10^2)</f>
        <v>-219.3484</v>
      </c>
      <c r="I58" s="65">
        <f>-32827.02/(10^2)</f>
        <v>-328.27019999999999</v>
      </c>
      <c r="J58" s="65">
        <f>-32991.61/(10^2)</f>
        <v>-329.91610000000003</v>
      </c>
      <c r="K58" s="65"/>
      <c r="L58" s="65"/>
      <c r="M58" s="65"/>
      <c r="N58" s="65"/>
      <c r="O58" s="65"/>
      <c r="P58" s="65"/>
      <c r="Q58" s="65"/>
      <c r="R58" s="65"/>
      <c r="S58" s="65"/>
      <c r="T58" s="65"/>
    </row>
    <row r="59" spans="2:20" x14ac:dyDescent="0.2">
      <c r="C59" s="300" t="s">
        <v>176</v>
      </c>
      <c r="D59" s="300"/>
      <c r="E59" s="300"/>
      <c r="F59" s="301">
        <f>F57+F58</f>
        <v>3142.0237999999999</v>
      </c>
      <c r="G59" s="302">
        <f>G57+G58</f>
        <v>2868.4241000000002</v>
      </c>
      <c r="H59" s="302">
        <f>H57+H58</f>
        <v>2648.3649000000005</v>
      </c>
      <c r="I59" s="302">
        <f>I57+I58</f>
        <v>3307.8696</v>
      </c>
      <c r="J59" s="302">
        <f>J57+J58</f>
        <v>3666.0246999999999</v>
      </c>
      <c r="K59" s="302">
        <f>Assumptions!K35*K7</f>
        <v>344</v>
      </c>
      <c r="L59" s="302">
        <f>Assumptions!L35*L7</f>
        <v>229.49161664407504</v>
      </c>
      <c r="M59" s="302">
        <f>Assumptions!M35*M7</f>
        <v>1193.3564065491901</v>
      </c>
      <c r="N59" s="302">
        <f>Assumptions!N35*N7</f>
        <v>1737.526927935621</v>
      </c>
      <c r="O59" s="302">
        <f>Assumptions!O35*O7</f>
        <v>2065.1748629177669</v>
      </c>
      <c r="P59" s="302">
        <f>Assumptions!P35*P7</f>
        <v>2255.170950306202</v>
      </c>
      <c r="Q59" s="302">
        <f>Assumptions!Q35*Q7</f>
        <v>2457.0624449050424</v>
      </c>
      <c r="R59" s="302">
        <f>Assumptions!R35*R7</f>
        <v>2671.4969855513009</v>
      </c>
      <c r="S59" s="302">
        <f>Assumptions!S35*S7</f>
        <v>2899.1549895374119</v>
      </c>
      <c r="T59" s="302">
        <f>Assumptions!T35*T7</f>
        <v>3140.7512386655299</v>
      </c>
    </row>
    <row r="60" spans="2:20" x14ac:dyDescent="0.2">
      <c r="F60" s="68">
        <f>F59/F49</f>
        <v>0.89377308570374125</v>
      </c>
      <c r="G60" s="65">
        <f t="shared" ref="G60:J60" si="25">G59/G49</f>
        <v>0.88339317324271249</v>
      </c>
      <c r="H60" s="65">
        <f t="shared" si="25"/>
        <v>0.89538802115610461</v>
      </c>
      <c r="I60" s="65">
        <f t="shared" si="25"/>
        <v>0.89293006359759075</v>
      </c>
      <c r="J60" s="65">
        <f t="shared" si="25"/>
        <v>0.92130113281077031</v>
      </c>
      <c r="K60" s="65"/>
      <c r="L60" s="65"/>
      <c r="M60" s="65"/>
      <c r="N60" s="65"/>
      <c r="O60" s="65"/>
      <c r="P60" s="65"/>
      <c r="Q60" s="65"/>
      <c r="R60" s="65"/>
      <c r="S60" s="65"/>
      <c r="T60" s="65"/>
    </row>
    <row r="61" spans="2:20" x14ac:dyDescent="0.2">
      <c r="B61" s="136" t="s">
        <v>48</v>
      </c>
      <c r="C61" s="136"/>
      <c r="D61" s="136"/>
      <c r="E61" s="136"/>
      <c r="F61" s="113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</row>
    <row r="62" spans="2:20" x14ac:dyDescent="0.2">
      <c r="C62" s="144" t="s">
        <v>67</v>
      </c>
      <c r="D62" s="145"/>
      <c r="E62" s="145"/>
      <c r="F62" s="113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</row>
    <row r="63" spans="2:20" x14ac:dyDescent="0.2">
      <c r="C63" s="144"/>
      <c r="D63" s="144" t="s">
        <v>64</v>
      </c>
      <c r="E63" s="146"/>
      <c r="F63" s="65">
        <f>4803.42/(10^2)</f>
        <v>48.034199999999998</v>
      </c>
      <c r="G63" s="65">
        <f>7941.34/(10^2)</f>
        <v>79.413399999999996</v>
      </c>
      <c r="H63" s="65">
        <f>13815.62/(10^2)</f>
        <v>138.15620000000001</v>
      </c>
      <c r="I63" s="65">
        <f>30059.66/(10^2)</f>
        <v>300.59660000000002</v>
      </c>
      <c r="J63" s="65">
        <f>36317/(10^2)</f>
        <v>363.17</v>
      </c>
      <c r="K63" s="65"/>
      <c r="L63" s="65"/>
      <c r="M63" s="65"/>
      <c r="N63" s="65"/>
      <c r="O63" s="65"/>
      <c r="P63" s="65"/>
      <c r="Q63" s="65"/>
      <c r="R63" s="65"/>
      <c r="S63" s="65"/>
      <c r="T63" s="65"/>
    </row>
    <row r="64" spans="2:20" x14ac:dyDescent="0.2">
      <c r="C64" s="144"/>
      <c r="D64" s="144" t="s">
        <v>65</v>
      </c>
      <c r="E64" s="146"/>
      <c r="F64" s="65">
        <f>6194.39/(10^2)</f>
        <v>61.943900000000006</v>
      </c>
      <c r="G64" s="65">
        <f>9616.15/(10^2)</f>
        <v>96.16149999999999</v>
      </c>
      <c r="H64" s="65">
        <f>11826.71/(10^2)</f>
        <v>118.26709999999999</v>
      </c>
      <c r="I64" s="65">
        <f>9498.7/(10^2)</f>
        <v>94.987000000000009</v>
      </c>
      <c r="J64" s="65">
        <f>12347.06/(10^2)</f>
        <v>123.47059999999999</v>
      </c>
      <c r="K64" s="65"/>
      <c r="L64" s="65"/>
      <c r="M64" s="65"/>
      <c r="N64" s="65"/>
      <c r="O64" s="65"/>
      <c r="P64" s="65"/>
      <c r="Q64" s="65"/>
      <c r="R64" s="65"/>
      <c r="S64" s="65"/>
      <c r="T64" s="65"/>
    </row>
    <row r="65" spans="2:20" x14ac:dyDescent="0.2">
      <c r="C65" s="147"/>
      <c r="D65" s="147"/>
      <c r="E65" s="147"/>
      <c r="F65" s="114">
        <f>SUM(F63:F64)</f>
        <v>109.97810000000001</v>
      </c>
      <c r="G65" s="114">
        <f>SUM(G63:G64)</f>
        <v>175.57489999999999</v>
      </c>
      <c r="H65" s="114">
        <f>SUM(H63:H64)</f>
        <v>256.42329999999998</v>
      </c>
      <c r="I65" s="114">
        <f>SUM(I63:I64)</f>
        <v>395.58360000000005</v>
      </c>
      <c r="J65" s="114">
        <f>SUM(J63:J64)</f>
        <v>486.64060000000001</v>
      </c>
      <c r="K65" s="114"/>
      <c r="L65" s="114"/>
      <c r="M65" s="114"/>
      <c r="N65" s="114"/>
      <c r="O65" s="114"/>
      <c r="P65" s="114"/>
      <c r="Q65" s="114"/>
      <c r="R65" s="114"/>
      <c r="S65" s="114"/>
      <c r="T65" s="114"/>
    </row>
    <row r="66" spans="2:20" x14ac:dyDescent="0.2">
      <c r="C66" s="144" t="s">
        <v>66</v>
      </c>
      <c r="D66" s="145"/>
      <c r="E66" s="14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</row>
    <row r="67" spans="2:20" x14ac:dyDescent="0.2">
      <c r="C67" s="144"/>
      <c r="D67" s="144" t="s">
        <v>64</v>
      </c>
      <c r="E67" s="146"/>
      <c r="F67" s="65">
        <f>7941.34/(10^2)</f>
        <v>79.413399999999996</v>
      </c>
      <c r="G67" s="65">
        <f>13815.62/(10^2)</f>
        <v>138.15620000000001</v>
      </c>
      <c r="H67" s="65">
        <f>30059.66/(10^2)</f>
        <v>300.59660000000002</v>
      </c>
      <c r="I67" s="65">
        <f>36317.06/(10^2)</f>
        <v>363.17059999999998</v>
      </c>
      <c r="J67" s="65">
        <f>47158.43/(10^2)</f>
        <v>471.58429999999998</v>
      </c>
      <c r="K67" s="65"/>
      <c r="L67" s="65"/>
      <c r="M67" s="65"/>
      <c r="N67" s="65"/>
      <c r="O67" s="65"/>
      <c r="P67" s="65"/>
      <c r="Q67" s="65"/>
      <c r="R67" s="65"/>
      <c r="S67" s="65"/>
      <c r="T67" s="65"/>
    </row>
    <row r="68" spans="2:20" x14ac:dyDescent="0.2">
      <c r="C68" s="144"/>
      <c r="D68" s="144" t="s">
        <v>65</v>
      </c>
      <c r="E68" s="146"/>
      <c r="F68" s="65">
        <f>9616.15/(10^2)</f>
        <v>96.16149999999999</v>
      </c>
      <c r="G68" s="65">
        <f>11826.71/(10^2)</f>
        <v>118.26709999999999</v>
      </c>
      <c r="H68" s="65">
        <f>9498.7/(10^2)</f>
        <v>94.987000000000009</v>
      </c>
      <c r="I68" s="65">
        <f>12347.06/(10^2)</f>
        <v>123.47059999999999</v>
      </c>
      <c r="J68" s="65">
        <f>17273.15/(10^2)</f>
        <v>172.73150000000001</v>
      </c>
      <c r="K68" s="65"/>
      <c r="L68" s="65"/>
      <c r="M68" s="65"/>
      <c r="N68" s="65"/>
      <c r="O68" s="65"/>
      <c r="P68" s="65"/>
      <c r="Q68" s="65"/>
      <c r="R68" s="65"/>
      <c r="S68" s="65"/>
      <c r="T68" s="65"/>
    </row>
    <row r="69" spans="2:20" x14ac:dyDescent="0.2">
      <c r="C69" s="147"/>
      <c r="D69" s="147"/>
      <c r="E69" s="147"/>
      <c r="F69" s="114">
        <f>SUM(F67:F68)</f>
        <v>175.57489999999999</v>
      </c>
      <c r="G69" s="114">
        <f>SUM(G67:G68)</f>
        <v>256.42329999999998</v>
      </c>
      <c r="H69" s="114">
        <f>SUM(H67:H68)</f>
        <v>395.58360000000005</v>
      </c>
      <c r="I69" s="114">
        <f>SUM(I67:I68)</f>
        <v>486.64119999999997</v>
      </c>
      <c r="J69" s="114">
        <f>SUM(J67:J68)</f>
        <v>644.31579999999997</v>
      </c>
      <c r="K69" s="114"/>
      <c r="L69" s="114"/>
      <c r="M69" s="114"/>
      <c r="N69" s="114"/>
      <c r="O69" s="114"/>
      <c r="P69" s="114"/>
      <c r="Q69" s="114"/>
      <c r="R69" s="114"/>
      <c r="S69" s="114"/>
      <c r="T69" s="114"/>
    </row>
    <row r="70" spans="2:20" x14ac:dyDescent="0.2"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</row>
    <row r="71" spans="2:20" x14ac:dyDescent="0.2">
      <c r="C71" s="300" t="s">
        <v>176</v>
      </c>
      <c r="D71" s="300"/>
      <c r="E71" s="300"/>
      <c r="F71" s="301">
        <f>F65-F69</f>
        <v>-65.596799999999973</v>
      </c>
      <c r="G71" s="302">
        <f>G65-G69</f>
        <v>-80.848399999999998</v>
      </c>
      <c r="H71" s="302">
        <f>H65-H69</f>
        <v>-139.16030000000006</v>
      </c>
      <c r="I71" s="302">
        <f>I65-I69</f>
        <v>-91.057599999999923</v>
      </c>
      <c r="J71" s="302">
        <f>J65-J69</f>
        <v>-157.67519999999996</v>
      </c>
      <c r="K71" s="302">
        <f>Assumptions!K37*K7</f>
        <v>0</v>
      </c>
      <c r="L71" s="302">
        <f>Assumptions!L37*L7</f>
        <v>0</v>
      </c>
      <c r="M71" s="302">
        <f>Assumptions!M37*M7</f>
        <v>0</v>
      </c>
      <c r="N71" s="302">
        <f>Assumptions!N37*N7</f>
        <v>0</v>
      </c>
      <c r="O71" s="302">
        <f>Assumptions!O37*O7</f>
        <v>0</v>
      </c>
      <c r="P71" s="302">
        <f>Assumptions!P37*P7</f>
        <v>0</v>
      </c>
      <c r="Q71" s="302">
        <f>Assumptions!Q37*Q7</f>
        <v>0</v>
      </c>
      <c r="R71" s="302">
        <f>Assumptions!R37*R7</f>
        <v>0</v>
      </c>
      <c r="S71" s="302">
        <f>Assumptions!S37*S7</f>
        <v>0</v>
      </c>
      <c r="T71" s="302">
        <f>Assumptions!T37*T7</f>
        <v>0</v>
      </c>
    </row>
    <row r="72" spans="2:20" x14ac:dyDescent="0.2">
      <c r="F72" s="113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</row>
    <row r="73" spans="2:20" x14ac:dyDescent="0.2">
      <c r="B73" s="136" t="s">
        <v>408</v>
      </c>
      <c r="F73" s="304">
        <f>F59+F71</f>
        <v>3076.4270000000001</v>
      </c>
      <c r="G73" s="304">
        <f t="shared" ref="G73:J73" si="26">G59+G71</f>
        <v>2787.5757000000003</v>
      </c>
      <c r="H73" s="304">
        <f t="shared" si="26"/>
        <v>2509.2046000000005</v>
      </c>
      <c r="I73" s="304">
        <f t="shared" si="26"/>
        <v>3216.8119999999999</v>
      </c>
      <c r="J73" s="304">
        <f t="shared" si="26"/>
        <v>3508.3494999999998</v>
      </c>
      <c r="K73" s="78">
        <f>Assumptions!K36</f>
        <v>344</v>
      </c>
      <c r="L73" s="78">
        <f>Assumptions!L36</f>
        <v>229.49161664407504</v>
      </c>
      <c r="M73" s="78">
        <f>Assumptions!M36</f>
        <v>1193.3564065491901</v>
      </c>
      <c r="N73" s="78">
        <f>Assumptions!N36</f>
        <v>1737.526927935621</v>
      </c>
      <c r="O73" s="78">
        <f>Assumptions!O36</f>
        <v>2065.1748629177669</v>
      </c>
      <c r="P73" s="78">
        <f>Assumptions!P36</f>
        <v>2255.170950306202</v>
      </c>
      <c r="Q73" s="78">
        <f>Assumptions!Q36</f>
        <v>2457.0624449050424</v>
      </c>
      <c r="R73" s="78">
        <f>Assumptions!R36</f>
        <v>2671.4969855513009</v>
      </c>
      <c r="S73" s="78">
        <f>Assumptions!S36</f>
        <v>2899.1549895374119</v>
      </c>
      <c r="T73" s="78">
        <f>Assumptions!T36</f>
        <v>3140.7512386655299</v>
      </c>
    </row>
    <row r="74" spans="2:20" x14ac:dyDescent="0.2">
      <c r="F74" s="113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</row>
    <row r="75" spans="2:20" x14ac:dyDescent="0.2">
      <c r="B75" s="136" t="s">
        <v>58</v>
      </c>
      <c r="C75" s="136"/>
      <c r="D75" s="136"/>
      <c r="E75" s="136"/>
      <c r="F75" s="113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</row>
    <row r="76" spans="2:20" x14ac:dyDescent="0.2">
      <c r="C76" s="144" t="s">
        <v>185</v>
      </c>
      <c r="D76" s="145"/>
      <c r="E76" s="145"/>
      <c r="F76" s="65">
        <f>0/(10^2)</f>
        <v>0</v>
      </c>
      <c r="G76" s="65">
        <f>0/(10^2)</f>
        <v>0</v>
      </c>
      <c r="H76" s="65">
        <f>0/(10^2)</f>
        <v>0</v>
      </c>
      <c r="I76" s="65">
        <f>0/(10^2)</f>
        <v>0</v>
      </c>
      <c r="J76" s="65">
        <f>0/(10^2)</f>
        <v>0</v>
      </c>
      <c r="K76" s="65"/>
      <c r="L76" s="65"/>
      <c r="M76" s="65"/>
      <c r="N76" s="65"/>
      <c r="O76" s="65"/>
      <c r="P76" s="65"/>
      <c r="Q76" s="65"/>
      <c r="R76" s="65"/>
      <c r="S76" s="65"/>
      <c r="T76" s="65"/>
    </row>
    <row r="77" spans="2:20" x14ac:dyDescent="0.2">
      <c r="C77" s="144" t="s">
        <v>68</v>
      </c>
      <c r="D77" s="145"/>
      <c r="E77" s="145"/>
      <c r="F77" s="65">
        <f>39.12/(10^2)</f>
        <v>0.39119999999999999</v>
      </c>
      <c r="G77" s="65">
        <f>31.5/(10^2)</f>
        <v>0.315</v>
      </c>
      <c r="H77" s="65">
        <f>20.96/(10^2)</f>
        <v>0.20960000000000001</v>
      </c>
      <c r="I77" s="65">
        <f>20.1/(10^2)</f>
        <v>0.20100000000000001</v>
      </c>
      <c r="J77" s="65">
        <f>18.91/(10^2)</f>
        <v>0.18909999999999999</v>
      </c>
      <c r="K77" s="65"/>
      <c r="L77" s="65"/>
      <c r="M77" s="65"/>
      <c r="N77" s="65"/>
      <c r="O77" s="65"/>
      <c r="P77" s="65"/>
      <c r="Q77" s="65"/>
      <c r="R77" s="65"/>
      <c r="S77" s="65"/>
      <c r="T77" s="65"/>
    </row>
    <row r="78" spans="2:20" x14ac:dyDescent="0.2">
      <c r="C78" s="144" t="s">
        <v>69</v>
      </c>
      <c r="D78" s="145"/>
      <c r="E78" s="145"/>
      <c r="F78" s="65">
        <f>142.75/(10^2)</f>
        <v>1.4275</v>
      </c>
      <c r="G78" s="65">
        <f>181.48/(10^2)</f>
        <v>1.8148</v>
      </c>
      <c r="H78" s="65">
        <f>128.32/(10^2)</f>
        <v>1.2831999999999999</v>
      </c>
      <c r="I78" s="65">
        <f>146.27/(10^2)</f>
        <v>1.4627000000000001</v>
      </c>
      <c r="J78" s="65">
        <f>142.7/(10^2)</f>
        <v>1.4269999999999998</v>
      </c>
      <c r="K78" s="65"/>
      <c r="L78" s="65"/>
      <c r="M78" s="65"/>
      <c r="N78" s="65"/>
      <c r="O78" s="65"/>
      <c r="P78" s="65"/>
      <c r="Q78" s="65"/>
      <c r="R78" s="65"/>
      <c r="S78" s="65"/>
      <c r="T78" s="65"/>
    </row>
    <row r="79" spans="2:20" x14ac:dyDescent="0.2">
      <c r="C79" s="144" t="s">
        <v>70</v>
      </c>
      <c r="D79" s="145"/>
      <c r="E79" s="145"/>
      <c r="F79" s="65">
        <f>4735.33/(10^2)</f>
        <v>47.353299999999997</v>
      </c>
      <c r="G79" s="65">
        <f>4728.8/(10^2)</f>
        <v>47.288000000000004</v>
      </c>
      <c r="H79" s="65">
        <f>3317.82/(10^2)</f>
        <v>33.178200000000004</v>
      </c>
      <c r="I79" s="65">
        <f>3457.89/(10^2)</f>
        <v>34.578899999999997</v>
      </c>
      <c r="J79" s="65">
        <f>3738.71/(10^2)</f>
        <v>37.387100000000004</v>
      </c>
      <c r="K79" s="65"/>
      <c r="L79" s="65"/>
      <c r="M79" s="65"/>
      <c r="N79" s="65"/>
      <c r="O79" s="65"/>
      <c r="P79" s="65"/>
      <c r="Q79" s="65"/>
      <c r="R79" s="65"/>
      <c r="S79" s="65"/>
      <c r="T79" s="65"/>
    </row>
    <row r="80" spans="2:20" x14ac:dyDescent="0.2">
      <c r="C80" s="144" t="s">
        <v>71</v>
      </c>
      <c r="D80" s="145"/>
      <c r="E80" s="145"/>
      <c r="F80" s="65">
        <f>2174.67/(10^2)</f>
        <v>21.746700000000001</v>
      </c>
      <c r="G80" s="65">
        <f>2126.15/(10^2)</f>
        <v>21.261500000000002</v>
      </c>
      <c r="H80" s="65">
        <f>1771.8/(10^2)</f>
        <v>17.718</v>
      </c>
      <c r="I80" s="65">
        <f>2001.5/(10^2)</f>
        <v>20.015000000000001</v>
      </c>
      <c r="J80" s="65">
        <f>1905.71/(10^2)</f>
        <v>19.057100000000002</v>
      </c>
      <c r="K80" s="65"/>
      <c r="L80" s="65"/>
      <c r="M80" s="65"/>
      <c r="N80" s="65"/>
      <c r="O80" s="65"/>
      <c r="P80" s="65"/>
      <c r="Q80" s="65"/>
      <c r="R80" s="65"/>
      <c r="S80" s="65"/>
      <c r="T80" s="65"/>
    </row>
    <row r="81" spans="2:20" x14ac:dyDescent="0.2">
      <c r="C81" s="144" t="s">
        <v>72</v>
      </c>
      <c r="D81" s="145"/>
      <c r="E81" s="145"/>
      <c r="F81" s="65">
        <f>214.17/(10^2)</f>
        <v>2.1416999999999997</v>
      </c>
      <c r="G81" s="65">
        <f>215.42/(10^2)</f>
        <v>2.1541999999999999</v>
      </c>
      <c r="H81" s="65">
        <f>157.73/(10^2)</f>
        <v>1.5772999999999999</v>
      </c>
      <c r="I81" s="65">
        <f>163.37/(10^2)</f>
        <v>1.6337000000000002</v>
      </c>
      <c r="J81" s="65">
        <f>170.37/(10^2)</f>
        <v>1.7037</v>
      </c>
      <c r="K81" s="65"/>
      <c r="L81" s="65"/>
      <c r="M81" s="65"/>
      <c r="N81" s="65"/>
      <c r="O81" s="65"/>
      <c r="P81" s="65"/>
      <c r="Q81" s="65"/>
      <c r="R81" s="65"/>
      <c r="S81" s="65"/>
      <c r="T81" s="65"/>
    </row>
    <row r="82" spans="2:20" x14ac:dyDescent="0.2">
      <c r="C82" s="144" t="s">
        <v>73</v>
      </c>
      <c r="D82" s="145"/>
      <c r="E82" s="145"/>
      <c r="F82" s="65">
        <f>42.67/(10^2)</f>
        <v>0.42670000000000002</v>
      </c>
      <c r="G82" s="65">
        <f>40.33/(10^2)</f>
        <v>0.40329999999999999</v>
      </c>
      <c r="H82" s="65">
        <f>34.75/(10^2)</f>
        <v>0.34749999999999998</v>
      </c>
      <c r="I82" s="65">
        <f>32/(10^2)</f>
        <v>0.32</v>
      </c>
      <c r="J82" s="65">
        <f>28.54/(10^2)</f>
        <v>0.28539999999999999</v>
      </c>
      <c r="K82" s="65"/>
      <c r="L82" s="65"/>
      <c r="M82" s="65"/>
      <c r="N82" s="65"/>
      <c r="O82" s="65"/>
      <c r="P82" s="65"/>
      <c r="Q82" s="65"/>
      <c r="R82" s="65"/>
      <c r="S82" s="65"/>
      <c r="T82" s="65"/>
    </row>
    <row r="83" spans="2:20" x14ac:dyDescent="0.2">
      <c r="C83" s="144" t="s">
        <v>74</v>
      </c>
      <c r="D83" s="145"/>
      <c r="E83" s="145"/>
      <c r="F83" s="65">
        <f>0.29/(10^2)</f>
        <v>2.8999999999999998E-3</v>
      </c>
      <c r="G83" s="65">
        <f>0.06/(10^2)</f>
        <v>5.9999999999999995E-4</v>
      </c>
      <c r="H83" s="65">
        <f>0.13/(10^2)</f>
        <v>1.2999999999999999E-3</v>
      </c>
      <c r="I83" s="65">
        <f>0.2/(10^2)</f>
        <v>2E-3</v>
      </c>
      <c r="J83" s="65">
        <f>0.03/(10^2)</f>
        <v>2.9999999999999997E-4</v>
      </c>
      <c r="K83" s="65"/>
      <c r="L83" s="65"/>
      <c r="M83" s="65"/>
      <c r="N83" s="65"/>
      <c r="O83" s="65"/>
      <c r="P83" s="65"/>
      <c r="Q83" s="65"/>
      <c r="R83" s="65"/>
      <c r="S83" s="65"/>
      <c r="T83" s="65"/>
    </row>
    <row r="84" spans="2:20" x14ac:dyDescent="0.2">
      <c r="C84" s="144" t="s">
        <v>75</v>
      </c>
      <c r="D84" s="145"/>
      <c r="E84" s="145"/>
      <c r="F84" s="65">
        <f>3.45/(10^2)</f>
        <v>3.4500000000000003E-2</v>
      </c>
      <c r="G84" s="65">
        <f>11.77/(10^2)</f>
        <v>0.1177</v>
      </c>
      <c r="H84" s="65">
        <f>13.13/(10^2)</f>
        <v>0.1313</v>
      </c>
      <c r="I84" s="65">
        <f>8.63/(10^2)</f>
        <v>8.6300000000000002E-2</v>
      </c>
      <c r="J84" s="65">
        <f>22.95/(10^2)</f>
        <v>0.22949999999999998</v>
      </c>
      <c r="K84" s="65"/>
      <c r="L84" s="65"/>
      <c r="M84" s="65"/>
      <c r="N84" s="65"/>
      <c r="O84" s="65"/>
      <c r="P84" s="65"/>
      <c r="Q84" s="65"/>
      <c r="R84" s="65"/>
      <c r="S84" s="65"/>
      <c r="T84" s="65"/>
    </row>
    <row r="85" spans="2:20" x14ac:dyDescent="0.2">
      <c r="C85" s="144" t="s">
        <v>186</v>
      </c>
      <c r="D85" s="145"/>
      <c r="E85" s="145"/>
      <c r="F85" s="65">
        <f>0/(10^2)</f>
        <v>0</v>
      </c>
      <c r="G85" s="65">
        <f>0/(10^2)</f>
        <v>0</v>
      </c>
      <c r="H85" s="65">
        <f>0/(10^2)</f>
        <v>0</v>
      </c>
      <c r="I85" s="65">
        <f>0/(10^2)</f>
        <v>0</v>
      </c>
      <c r="J85" s="65">
        <f>0/(10^2)</f>
        <v>0</v>
      </c>
      <c r="K85" s="65"/>
      <c r="L85" s="65"/>
      <c r="M85" s="65"/>
      <c r="N85" s="65"/>
      <c r="O85" s="65"/>
      <c r="P85" s="65"/>
      <c r="Q85" s="65"/>
      <c r="R85" s="65"/>
      <c r="S85" s="65"/>
      <c r="T85" s="65"/>
    </row>
    <row r="86" spans="2:20" x14ac:dyDescent="0.2">
      <c r="C86" s="300" t="s">
        <v>176</v>
      </c>
      <c r="D86" s="300"/>
      <c r="E86" s="300"/>
      <c r="F86" s="301">
        <f>SUM(F76:F85)</f>
        <v>73.524499999999989</v>
      </c>
      <c r="G86" s="302">
        <f t="shared" ref="G86:J86" si="27">SUM(G76:G85)</f>
        <v>73.355100000000022</v>
      </c>
      <c r="H86" s="302">
        <f t="shared" si="27"/>
        <v>54.446400000000011</v>
      </c>
      <c r="I86" s="302">
        <f t="shared" si="27"/>
        <v>58.299599999999998</v>
      </c>
      <c r="J86" s="302">
        <f t="shared" si="27"/>
        <v>60.279200000000017</v>
      </c>
      <c r="K86" s="302">
        <f>Assumptions!K40</f>
        <v>30</v>
      </c>
      <c r="L86" s="302">
        <f>Assumptions!L40</f>
        <v>30</v>
      </c>
      <c r="M86" s="302">
        <f>Assumptions!M40</f>
        <v>60</v>
      </c>
      <c r="N86" s="302">
        <f>Assumptions!N40</f>
        <v>63</v>
      </c>
      <c r="O86" s="302">
        <f>Assumptions!O40</f>
        <v>66.150000000000006</v>
      </c>
      <c r="P86" s="302">
        <f>Assumptions!P40</f>
        <v>69.45750000000001</v>
      </c>
      <c r="Q86" s="302">
        <f>Assumptions!Q40</f>
        <v>72.930375000000012</v>
      </c>
      <c r="R86" s="302">
        <f>Assumptions!R40</f>
        <v>76.576893750000011</v>
      </c>
      <c r="S86" s="302">
        <f>Assumptions!S40</f>
        <v>80.40573843750002</v>
      </c>
      <c r="T86" s="302">
        <f>Assumptions!T40</f>
        <v>84.426025359375018</v>
      </c>
    </row>
    <row r="87" spans="2:20" x14ac:dyDescent="0.2">
      <c r="F87" s="113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</row>
    <row r="88" spans="2:20" x14ac:dyDescent="0.2">
      <c r="B88" s="148" t="s">
        <v>76</v>
      </c>
      <c r="C88" s="148"/>
      <c r="D88" s="148"/>
      <c r="E88" s="148"/>
      <c r="F88" s="113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</row>
    <row r="89" spans="2:20" x14ac:dyDescent="0.2">
      <c r="C89" s="144" t="s">
        <v>77</v>
      </c>
      <c r="D89" s="144"/>
      <c r="E89" s="144"/>
      <c r="F89" s="113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</row>
    <row r="90" spans="2:20" x14ac:dyDescent="0.2">
      <c r="C90" s="149" t="s">
        <v>296</v>
      </c>
      <c r="D90" s="150"/>
      <c r="E90" s="150"/>
      <c r="F90" s="113"/>
      <c r="G90" s="65"/>
      <c r="H90" s="65"/>
      <c r="I90" s="65"/>
      <c r="J90" s="65"/>
      <c r="K90" s="65">
        <f>Assumptions!K108</f>
        <v>0</v>
      </c>
      <c r="L90" s="65">
        <f>Assumptions!L108</f>
        <v>0</v>
      </c>
      <c r="M90" s="65">
        <f>Assumptions!M108</f>
        <v>0</v>
      </c>
      <c r="N90" s="65">
        <f>Assumptions!N108</f>
        <v>0</v>
      </c>
      <c r="O90" s="65">
        <f>Assumptions!O108</f>
        <v>0</v>
      </c>
      <c r="P90" s="65">
        <f>Assumptions!P108</f>
        <v>0</v>
      </c>
      <c r="Q90" s="65">
        <f>Assumptions!Q108</f>
        <v>0</v>
      </c>
      <c r="R90" s="65">
        <f>Assumptions!R108</f>
        <v>0</v>
      </c>
      <c r="S90" s="65">
        <f>Assumptions!S108</f>
        <v>0</v>
      </c>
      <c r="T90" s="65">
        <f>Assumptions!T108</f>
        <v>0</v>
      </c>
    </row>
    <row r="91" spans="2:20" x14ac:dyDescent="0.2">
      <c r="C91" s="149" t="s">
        <v>298</v>
      </c>
      <c r="D91" s="150"/>
      <c r="E91" s="150"/>
      <c r="F91" s="113"/>
      <c r="G91" s="65"/>
      <c r="H91" s="65"/>
      <c r="I91" s="65"/>
      <c r="J91" s="65"/>
      <c r="K91" s="65">
        <f>Assumptions!K117</f>
        <v>0</v>
      </c>
      <c r="L91" s="65">
        <f>Assumptions!L117</f>
        <v>3.0290599999999999</v>
      </c>
      <c r="M91" s="65">
        <f>Assumptions!M117</f>
        <v>3.0290599999999999</v>
      </c>
      <c r="N91" s="65">
        <f>Assumptions!N117</f>
        <v>3.0290599999999999</v>
      </c>
      <c r="O91" s="65">
        <f>Assumptions!O117</f>
        <v>3.0290599999999999</v>
      </c>
      <c r="P91" s="65">
        <f>Assumptions!P117</f>
        <v>3.0290599999999999</v>
      </c>
      <c r="Q91" s="65">
        <f>Assumptions!Q117</f>
        <v>3.0290599999999999</v>
      </c>
      <c r="R91" s="65">
        <f>Assumptions!R117</f>
        <v>3.0290599999999999</v>
      </c>
      <c r="S91" s="65">
        <f>Assumptions!S117</f>
        <v>3.0290599999999999</v>
      </c>
      <c r="T91" s="65">
        <f>Assumptions!T117</f>
        <v>3.0290599999999999</v>
      </c>
    </row>
    <row r="92" spans="2:20" x14ac:dyDescent="0.2">
      <c r="C92" s="149" t="s">
        <v>300</v>
      </c>
      <c r="D92" s="150"/>
      <c r="E92" s="150"/>
      <c r="F92" s="113"/>
      <c r="G92" s="65"/>
      <c r="H92" s="65"/>
      <c r="I92" s="65"/>
      <c r="J92" s="65"/>
      <c r="K92" s="65">
        <f>Assumptions!K127</f>
        <v>0</v>
      </c>
      <c r="L92" s="65">
        <f ca="1">Assumptions!L127</f>
        <v>14.1993805876794</v>
      </c>
      <c r="M92" s="65">
        <f ca="1">Assumptions!M127</f>
        <v>52.253720562660199</v>
      </c>
      <c r="N92" s="65">
        <f ca="1">Assumptions!N127</f>
        <v>31.644333881114093</v>
      </c>
      <c r="O92" s="65">
        <f ca="1">Assumptions!O127</f>
        <v>26.775974822481153</v>
      </c>
      <c r="P92" s="65">
        <f ca="1">Assumptions!P127</f>
        <v>22.31331235206763</v>
      </c>
      <c r="Q92" s="65">
        <f ca="1">Assumptions!Q127</f>
        <v>18.256346469873513</v>
      </c>
      <c r="R92" s="65">
        <f ca="1">Assumptions!R127</f>
        <v>14.1993805876794</v>
      </c>
      <c r="S92" s="65">
        <f ca="1">Assumptions!S127</f>
        <v>9.1281732349367566</v>
      </c>
      <c r="T92" s="65">
        <f ca="1">Assumptions!T127</f>
        <v>3.0427244116455854</v>
      </c>
    </row>
    <row r="93" spans="2:20" x14ac:dyDescent="0.2">
      <c r="C93" s="149" t="s">
        <v>329</v>
      </c>
      <c r="D93" s="150"/>
      <c r="E93" s="150"/>
      <c r="F93" s="113"/>
      <c r="G93" s="65"/>
      <c r="H93" s="65"/>
      <c r="I93" s="65"/>
      <c r="J93" s="65"/>
      <c r="K93" s="303">
        <f>Assumptions!K136</f>
        <v>0</v>
      </c>
      <c r="L93" s="303">
        <f>Assumptions!L136</f>
        <v>0.31500000000000006</v>
      </c>
      <c r="M93" s="303">
        <f>Assumptions!M136</f>
        <v>1.1592000000000002</v>
      </c>
      <c r="N93" s="303">
        <f>Assumptions!N136</f>
        <v>0.70200000000000007</v>
      </c>
      <c r="O93" s="303">
        <f>Assumptions!O136</f>
        <v>0.59400000000000008</v>
      </c>
      <c r="P93" s="303">
        <f>Assumptions!P136</f>
        <v>0.49500000000000005</v>
      </c>
      <c r="Q93" s="303">
        <f>Assumptions!Q136</f>
        <v>0.40500000000000003</v>
      </c>
      <c r="R93" s="303">
        <f>Assumptions!R136</f>
        <v>0.31500000000000006</v>
      </c>
      <c r="S93" s="303">
        <f>Assumptions!S136</f>
        <v>0.20250000000000004</v>
      </c>
      <c r="T93" s="303">
        <f>Assumptions!T136</f>
        <v>6.7500000000000018E-2</v>
      </c>
    </row>
    <row r="94" spans="2:20" x14ac:dyDescent="0.2">
      <c r="C94" s="144" t="s">
        <v>334</v>
      </c>
      <c r="D94" s="146"/>
      <c r="E94" s="146"/>
      <c r="F94" s="65">
        <f>8284.41/(10^2)</f>
        <v>82.844099999999997</v>
      </c>
      <c r="G94" s="65">
        <f>8686.01/(10^2)</f>
        <v>86.860100000000003</v>
      </c>
      <c r="H94" s="65">
        <f>9261.53/(10^2)</f>
        <v>92.615300000000005</v>
      </c>
      <c r="I94" s="65">
        <f>10035.18/(10^2)</f>
        <v>100.3518</v>
      </c>
      <c r="J94" s="65">
        <f>10890.38/(10^2)</f>
        <v>108.90379999999999</v>
      </c>
      <c r="K94" s="78">
        <f>SUM(K90:K93)</f>
        <v>0</v>
      </c>
      <c r="L94" s="78">
        <f t="shared" ref="L94:T94" ca="1" si="28">SUM(L90:L93)</f>
        <v>17.543440587679402</v>
      </c>
      <c r="M94" s="78">
        <f t="shared" ca="1" si="28"/>
        <v>56.441980562660198</v>
      </c>
      <c r="N94" s="78">
        <f t="shared" ca="1" si="28"/>
        <v>35.375393881114093</v>
      </c>
      <c r="O94" s="78">
        <f t="shared" ca="1" si="28"/>
        <v>30.399034822481156</v>
      </c>
      <c r="P94" s="78">
        <f t="shared" ca="1" si="28"/>
        <v>25.837372352067632</v>
      </c>
      <c r="Q94" s="78">
        <f t="shared" ca="1" si="28"/>
        <v>21.690406469873516</v>
      </c>
      <c r="R94" s="78">
        <f t="shared" ca="1" si="28"/>
        <v>17.543440587679402</v>
      </c>
      <c r="S94" s="78">
        <f t="shared" ca="1" si="28"/>
        <v>12.359733234936757</v>
      </c>
      <c r="T94" s="78">
        <f t="shared" ca="1" si="28"/>
        <v>6.1392844116455851</v>
      </c>
    </row>
    <row r="95" spans="2:20" x14ac:dyDescent="0.2">
      <c r="C95" s="144" t="s">
        <v>78</v>
      </c>
      <c r="D95" s="144"/>
      <c r="E95" s="144"/>
      <c r="F95" s="65">
        <f>1827.11/(10^2)</f>
        <v>18.271100000000001</v>
      </c>
      <c r="G95" s="65">
        <f>1628.37/(10^2)</f>
        <v>16.2837</v>
      </c>
      <c r="H95" s="65">
        <f>2391.54/(10^2)</f>
        <v>23.915399999999998</v>
      </c>
      <c r="I95" s="65">
        <f>2768.5/(10^2)</f>
        <v>27.684999999999999</v>
      </c>
      <c r="J95" s="65">
        <f>3664.91/(10^2)</f>
        <v>36.649099999999997</v>
      </c>
      <c r="K95" s="65"/>
      <c r="L95" s="65"/>
      <c r="M95" s="65"/>
      <c r="N95" s="65"/>
      <c r="O95" s="65"/>
      <c r="P95" s="65"/>
      <c r="Q95" s="65"/>
      <c r="R95" s="65"/>
      <c r="S95" s="65"/>
      <c r="T95" s="65"/>
    </row>
    <row r="96" spans="2:20" x14ac:dyDescent="0.2">
      <c r="C96" s="300" t="s">
        <v>176</v>
      </c>
      <c r="D96" s="300"/>
      <c r="E96" s="300"/>
      <c r="F96" s="301">
        <f t="shared" ref="F96:K96" si="29">SUM(F94:F95)</f>
        <v>101.1152</v>
      </c>
      <c r="G96" s="302">
        <f t="shared" si="29"/>
        <v>103.1438</v>
      </c>
      <c r="H96" s="302">
        <f t="shared" si="29"/>
        <v>116.5307</v>
      </c>
      <c r="I96" s="302">
        <f t="shared" si="29"/>
        <v>128.0368</v>
      </c>
      <c r="J96" s="302">
        <f t="shared" si="29"/>
        <v>145.55289999999999</v>
      </c>
      <c r="K96" s="302">
        <f t="shared" si="29"/>
        <v>0</v>
      </c>
      <c r="L96" s="302">
        <f t="shared" ref="L96:T96" ca="1" si="30">SUM(L94:L95)</f>
        <v>17.543440587679402</v>
      </c>
      <c r="M96" s="302">
        <f t="shared" ca="1" si="30"/>
        <v>56.441980562660198</v>
      </c>
      <c r="N96" s="302">
        <f t="shared" ca="1" si="30"/>
        <v>35.375393881114093</v>
      </c>
      <c r="O96" s="302">
        <f t="shared" ca="1" si="30"/>
        <v>30.399034822481156</v>
      </c>
      <c r="P96" s="302">
        <f t="shared" ca="1" si="30"/>
        <v>25.837372352067632</v>
      </c>
      <c r="Q96" s="302">
        <f t="shared" ca="1" si="30"/>
        <v>21.690406469873516</v>
      </c>
      <c r="R96" s="302">
        <f t="shared" ca="1" si="30"/>
        <v>17.543440587679402</v>
      </c>
      <c r="S96" s="302">
        <f t="shared" ca="1" si="30"/>
        <v>12.359733234936757</v>
      </c>
      <c r="T96" s="302">
        <f t="shared" ca="1" si="30"/>
        <v>6.1392844116455851</v>
      </c>
    </row>
    <row r="97" spans="2:20" x14ac:dyDescent="0.2">
      <c r="B97" s="136"/>
      <c r="C97" s="136"/>
      <c r="D97" s="136"/>
      <c r="E97" s="136"/>
      <c r="F97" s="113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</row>
    <row r="98" spans="2:20" x14ac:dyDescent="0.2">
      <c r="B98" s="136" t="s">
        <v>79</v>
      </c>
      <c r="C98" s="136"/>
      <c r="D98" s="136"/>
      <c r="E98" s="136"/>
      <c r="F98" s="113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</row>
    <row r="99" spans="2:20" x14ac:dyDescent="0.2">
      <c r="C99" s="144" t="s">
        <v>80</v>
      </c>
      <c r="D99" s="145"/>
      <c r="E99" s="145"/>
      <c r="F99" s="65">
        <f>11505.83/(10^2)</f>
        <v>115.0583</v>
      </c>
      <c r="G99" s="65">
        <f>12703.25/(10^2)</f>
        <v>127.0325</v>
      </c>
      <c r="H99" s="65">
        <f>10751.85/(10^2)</f>
        <v>107.5185</v>
      </c>
      <c r="I99" s="65">
        <f>11480.39/(10^2)</f>
        <v>114.8039</v>
      </c>
      <c r="J99" s="65">
        <f>13189.99/(10^2)</f>
        <v>131.8999</v>
      </c>
      <c r="K99" s="65">
        <f>Assumptions!K43</f>
        <v>13.917689310590276</v>
      </c>
      <c r="L99" s="65">
        <f>Assumptions!L43</f>
        <v>9.2848634297596639</v>
      </c>
      <c r="M99" s="65">
        <f>Assumptions!M43</f>
        <v>48.281289834750254</v>
      </c>
      <c r="N99" s="65">
        <f>Assumptions!N43</f>
        <v>70.297557999396375</v>
      </c>
      <c r="O99" s="65">
        <f>Assumptions!O43</f>
        <v>83.553668936425424</v>
      </c>
      <c r="P99" s="65">
        <f>Assumptions!P43</f>
        <v>91.240606478576566</v>
      </c>
      <c r="Q99" s="65">
        <f>Assumptions!Q43</f>
        <v>99.408813153801503</v>
      </c>
      <c r="R99" s="65">
        <f>Assumptions!R43</f>
        <v>108.08449139267874</v>
      </c>
      <c r="S99" s="65">
        <f>Assumptions!S43</f>
        <v>117.29516978962006</v>
      </c>
      <c r="T99" s="65">
        <f>Assumptions!T43</f>
        <v>127.06976727208841</v>
      </c>
    </row>
    <row r="100" spans="2:20" x14ac:dyDescent="0.2">
      <c r="C100" s="144" t="s">
        <v>81</v>
      </c>
      <c r="D100" s="145"/>
      <c r="E100" s="145"/>
      <c r="F100" s="65">
        <f>2972.1/(10^2)</f>
        <v>29.721</v>
      </c>
      <c r="G100" s="65">
        <f>3164.96/(10^2)</f>
        <v>31.6496</v>
      </c>
      <c r="H100" s="65">
        <f>2378.13/(10^2)</f>
        <v>23.781300000000002</v>
      </c>
      <c r="I100" s="65">
        <f>2860.67/(10^2)</f>
        <v>28.6067</v>
      </c>
      <c r="J100" s="65">
        <f>2648.34/(10^2)</f>
        <v>26.483400000000003</v>
      </c>
      <c r="K100" s="65">
        <f>Assumptions!K46</f>
        <v>15</v>
      </c>
      <c r="L100" s="65">
        <f>Assumptions!L46</f>
        <v>15</v>
      </c>
      <c r="M100" s="65">
        <f>Assumptions!M46</f>
        <v>26</v>
      </c>
      <c r="N100" s="65">
        <f>Assumptions!N46</f>
        <v>27.3</v>
      </c>
      <c r="O100" s="65">
        <f>Assumptions!O46</f>
        <v>28.665000000000003</v>
      </c>
      <c r="P100" s="65">
        <f>Assumptions!P46</f>
        <v>30.098250000000004</v>
      </c>
      <c r="Q100" s="65">
        <f>Assumptions!Q46</f>
        <v>31.603162500000007</v>
      </c>
      <c r="R100" s="65">
        <f>Assumptions!R46</f>
        <v>33.183320625000007</v>
      </c>
      <c r="S100" s="65">
        <f>Assumptions!S46</f>
        <v>34.84248665625001</v>
      </c>
      <c r="T100" s="65">
        <f>Assumptions!T46</f>
        <v>36.584610989062512</v>
      </c>
    </row>
    <row r="101" spans="2:20" x14ac:dyDescent="0.2">
      <c r="C101" s="144" t="s">
        <v>82</v>
      </c>
      <c r="D101" s="145"/>
      <c r="E101" s="145"/>
      <c r="F101" s="65">
        <f>2700.38/(10^2)</f>
        <v>27.003800000000002</v>
      </c>
      <c r="G101" s="65">
        <f>2749.72/(10^2)</f>
        <v>27.497199999999999</v>
      </c>
      <c r="H101" s="65">
        <f>4761.47/(10^2)</f>
        <v>47.614699999999999</v>
      </c>
      <c r="I101" s="65">
        <f>4398.48/(10^2)</f>
        <v>43.984799999999993</v>
      </c>
      <c r="J101" s="65">
        <f>7374.71/(10^2)</f>
        <v>73.747100000000003</v>
      </c>
      <c r="K101" s="65">
        <f>Assumptions!K49</f>
        <v>4.411673291579711</v>
      </c>
      <c r="L101" s="65">
        <f>Assumptions!L49</f>
        <v>2.9431454528782433</v>
      </c>
      <c r="M101" s="65">
        <f>Assumptions!M49</f>
        <v>15.304356354966865</v>
      </c>
      <c r="N101" s="65">
        <f>Assumptions!N49</f>
        <v>22.283142852831759</v>
      </c>
      <c r="O101" s="65">
        <f>Assumptions!O49</f>
        <v>26.485106933651466</v>
      </c>
      <c r="P101" s="65">
        <f>Assumptions!P49</f>
        <v>28.921736771547401</v>
      </c>
      <c r="Q101" s="65">
        <f>Assumptions!Q49</f>
        <v>31.510920825381167</v>
      </c>
      <c r="R101" s="65">
        <f>Assumptions!R49</f>
        <v>34.260964824687164</v>
      </c>
      <c r="S101" s="65">
        <f>Assumptions!S49</f>
        <v>37.180594870617028</v>
      </c>
      <c r="T101" s="65">
        <f>Assumptions!T49</f>
        <v>40.278977776501783</v>
      </c>
    </row>
    <row r="102" spans="2:20" x14ac:dyDescent="0.2">
      <c r="C102" s="300" t="s">
        <v>176</v>
      </c>
      <c r="D102" s="300"/>
      <c r="E102" s="300"/>
      <c r="F102" s="301">
        <f>SUM(F99:F101)</f>
        <v>171.78310000000002</v>
      </c>
      <c r="G102" s="302">
        <f>SUM(G99:G101)</f>
        <v>186.17929999999998</v>
      </c>
      <c r="H102" s="302">
        <f t="shared" ref="H102:K102" si="31">SUM(H99:H101)</f>
        <v>178.9145</v>
      </c>
      <c r="I102" s="302">
        <f t="shared" si="31"/>
        <v>187.3954</v>
      </c>
      <c r="J102" s="302">
        <f t="shared" si="31"/>
        <v>232.13040000000001</v>
      </c>
      <c r="K102" s="302">
        <f t="shared" si="31"/>
        <v>33.329362602169986</v>
      </c>
      <c r="L102" s="302">
        <f t="shared" ref="L102:T102" si="32">SUM(L99:L101)</f>
        <v>27.228008882637909</v>
      </c>
      <c r="M102" s="302">
        <f t="shared" si="32"/>
        <v>89.585646189717124</v>
      </c>
      <c r="N102" s="302">
        <f t="shared" si="32"/>
        <v>119.88070085222813</v>
      </c>
      <c r="O102" s="302">
        <f t="shared" si="32"/>
        <v>138.7037758700769</v>
      </c>
      <c r="P102" s="302">
        <f t="shared" si="32"/>
        <v>150.26059325012397</v>
      </c>
      <c r="Q102" s="302">
        <f t="shared" si="32"/>
        <v>162.52289647918266</v>
      </c>
      <c r="R102" s="302">
        <f t="shared" si="32"/>
        <v>175.52877684236591</v>
      </c>
      <c r="S102" s="302">
        <f t="shared" si="32"/>
        <v>189.31825131648711</v>
      </c>
      <c r="T102" s="302">
        <f t="shared" si="32"/>
        <v>203.93335603765271</v>
      </c>
    </row>
  </sheetData>
  <dataValidations count="1">
    <dataValidation type="list" allowBlank="1" showInputMessage="1" showErrorMessage="1" sqref="A7 A12" xr:uid="{E36C1211-7051-4F35-A35E-CA583AC46C7C}">
      <formula1>"0%,1%,2%"</formula1>
    </dataValidation>
  </dataValidations>
  <pageMargins left="0.5" right="0.5" top="0.75" bottom="0.5" header="0.3" footer="0.3"/>
  <pageSetup paperSize="9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302E5-E222-420A-9F4E-365B138402C5}">
  <dimension ref="B2:J31"/>
  <sheetViews>
    <sheetView tabSelected="1" topLeftCell="D3" workbookViewId="0">
      <selection activeCell="O23" sqref="O23"/>
    </sheetView>
  </sheetViews>
  <sheetFormatPr defaultRowHeight="15" x14ac:dyDescent="0.25"/>
  <cols>
    <col min="2" max="2" width="34.5703125" customWidth="1"/>
    <col min="3" max="3" width="10.140625" customWidth="1"/>
    <col min="4" max="4" width="10.42578125" customWidth="1"/>
    <col min="5" max="5" width="9.85546875" customWidth="1"/>
    <col min="6" max="6" width="10.5703125" customWidth="1"/>
    <col min="7" max="7" width="10.7109375" customWidth="1"/>
  </cols>
  <sheetData>
    <row r="2" spans="2:10" ht="15.75" x14ac:dyDescent="0.25">
      <c r="B2" s="1" t="s">
        <v>200</v>
      </c>
      <c r="C2" s="337"/>
      <c r="D2" s="337"/>
      <c r="E2" s="337"/>
      <c r="F2" s="337"/>
      <c r="G2" s="337"/>
    </row>
    <row r="3" spans="2:10" x14ac:dyDescent="0.25">
      <c r="B3" s="58" t="s">
        <v>351</v>
      </c>
      <c r="C3" s="58"/>
      <c r="D3" s="58"/>
      <c r="E3" s="58"/>
      <c r="F3" s="59"/>
      <c r="G3" s="59"/>
      <c r="H3" s="59"/>
      <c r="I3" s="59"/>
      <c r="J3" s="59"/>
    </row>
    <row r="4" spans="2:10" x14ac:dyDescent="0.25">
      <c r="B4" s="64"/>
      <c r="C4" s="55" t="s">
        <v>231</v>
      </c>
      <c r="D4" s="55" t="s">
        <v>231</v>
      </c>
      <c r="E4" s="55" t="s">
        <v>231</v>
      </c>
      <c r="F4" s="55" t="s">
        <v>231</v>
      </c>
      <c r="G4" s="55" t="s">
        <v>232</v>
      </c>
    </row>
    <row r="5" spans="2:10" x14ac:dyDescent="0.25">
      <c r="B5" s="129" t="s">
        <v>101</v>
      </c>
      <c r="C5" s="60">
        <f>DATE(2019,3,31)</f>
        <v>43555</v>
      </c>
      <c r="D5" s="60">
        <f>EDATE(C5,12)</f>
        <v>43921</v>
      </c>
      <c r="E5" s="60">
        <f t="shared" ref="E5:G5" si="0">EDATE(D5,12)</f>
        <v>44286</v>
      </c>
      <c r="F5" s="60">
        <f t="shared" si="0"/>
        <v>44651</v>
      </c>
      <c r="G5" s="60">
        <f t="shared" si="0"/>
        <v>45016</v>
      </c>
    </row>
    <row r="7" spans="2:10" x14ac:dyDescent="0.25">
      <c r="B7" s="130" t="s">
        <v>3</v>
      </c>
      <c r="C7" s="36">
        <f>+PL!F7</f>
        <v>3515.4603000000002</v>
      </c>
      <c r="D7" s="36">
        <f>+PL!G7</f>
        <v>3247.0526</v>
      </c>
      <c r="E7" s="36">
        <f>+PL!H7</f>
        <v>2957.7846</v>
      </c>
      <c r="F7" s="36">
        <f>+PL!I7</f>
        <v>3704.5113999999999</v>
      </c>
      <c r="G7" s="36">
        <f>+PL!J7</f>
        <v>3979.1817999999998</v>
      </c>
    </row>
    <row r="8" spans="2:10" x14ac:dyDescent="0.25">
      <c r="B8" s="130" t="s">
        <v>4</v>
      </c>
      <c r="C8" s="36">
        <f>+PL!F8</f>
        <v>0.30109999999999998</v>
      </c>
      <c r="D8" s="36">
        <f>+PL!G8</f>
        <v>0.7127</v>
      </c>
      <c r="E8" s="36">
        <f>+PL!H8</f>
        <v>0.22140000000000001</v>
      </c>
      <c r="F8" s="36">
        <f>+PL!I8</f>
        <v>0.23280000000000001</v>
      </c>
      <c r="G8" s="36">
        <f>+PL!J8</f>
        <v>0.46610000000000001</v>
      </c>
    </row>
    <row r="9" spans="2:10" x14ac:dyDescent="0.25">
      <c r="B9" s="229" t="s">
        <v>63</v>
      </c>
      <c r="C9" s="356">
        <f>+C7+C8</f>
        <v>3515.7614000000003</v>
      </c>
      <c r="D9" s="356">
        <f t="shared" ref="D9:G9" si="1">+D7+D8</f>
        <v>3247.7653</v>
      </c>
      <c r="E9" s="356">
        <f t="shared" si="1"/>
        <v>2958.0059999999999</v>
      </c>
      <c r="F9" s="356">
        <f t="shared" si="1"/>
        <v>3704.7442000000001</v>
      </c>
      <c r="G9" s="356">
        <f t="shared" si="1"/>
        <v>3979.6478999999999</v>
      </c>
    </row>
    <row r="10" spans="2:10" x14ac:dyDescent="0.25">
      <c r="B10" s="131" t="s">
        <v>5</v>
      </c>
    </row>
    <row r="11" spans="2:10" x14ac:dyDescent="0.25">
      <c r="B11" s="132" t="s">
        <v>408</v>
      </c>
      <c r="C11" s="36">
        <f>+PL!F12</f>
        <v>3076.4270000000001</v>
      </c>
      <c r="D11" s="36">
        <f>+PL!G12</f>
        <v>2787.5757000000003</v>
      </c>
      <c r="E11" s="36">
        <f>+PL!H12</f>
        <v>2509.2046000000005</v>
      </c>
      <c r="F11" s="36">
        <f>+PL!I12</f>
        <v>3216.8119999999999</v>
      </c>
      <c r="G11" s="36">
        <f>+PL!J12</f>
        <v>3508.3494999999998</v>
      </c>
    </row>
    <row r="12" spans="2:10" x14ac:dyDescent="0.25">
      <c r="B12" s="132" t="s">
        <v>2</v>
      </c>
      <c r="C12" s="36">
        <f>+PL!F14</f>
        <v>73.524499999999989</v>
      </c>
      <c r="D12" s="36">
        <f>+PL!G14</f>
        <v>73.355100000000022</v>
      </c>
      <c r="E12" s="36">
        <f>+PL!H14</f>
        <v>54.446400000000011</v>
      </c>
      <c r="F12" s="36">
        <f>+PL!I14</f>
        <v>58.299599999999998</v>
      </c>
      <c r="G12" s="36">
        <f>+PL!J14</f>
        <v>60.279200000000017</v>
      </c>
    </row>
    <row r="13" spans="2:10" x14ac:dyDescent="0.25">
      <c r="B13" s="132" t="s">
        <v>6</v>
      </c>
      <c r="C13" s="36">
        <f>+PL!F17</f>
        <v>171.78310000000002</v>
      </c>
      <c r="D13" s="36">
        <f>+PL!G17</f>
        <v>186.17929999999998</v>
      </c>
      <c r="E13" s="36">
        <f>+PL!H17</f>
        <v>178.9145</v>
      </c>
      <c r="F13" s="36">
        <f>+PL!I17</f>
        <v>187.3954</v>
      </c>
      <c r="G13" s="36">
        <f>+PL!J17</f>
        <v>232.13040000000001</v>
      </c>
    </row>
    <row r="14" spans="2:10" x14ac:dyDescent="0.25">
      <c r="B14" s="229" t="s">
        <v>50</v>
      </c>
      <c r="C14" s="356">
        <f>+C11+C12+C13</f>
        <v>3321.7346000000002</v>
      </c>
      <c r="D14" s="356">
        <f t="shared" ref="D14:G14" si="2">+D11+D12+D13</f>
        <v>3047.1101000000003</v>
      </c>
      <c r="E14" s="356">
        <f t="shared" si="2"/>
        <v>2742.5655000000002</v>
      </c>
      <c r="F14" s="356">
        <f t="shared" si="2"/>
        <v>3462.5069999999996</v>
      </c>
      <c r="G14" s="356">
        <f t="shared" si="2"/>
        <v>3800.7590999999998</v>
      </c>
    </row>
    <row r="15" spans="2:10" x14ac:dyDescent="0.25">
      <c r="B15" s="229" t="s">
        <v>187</v>
      </c>
      <c r="C15" s="356">
        <f>+C9-C14</f>
        <v>194.02680000000009</v>
      </c>
      <c r="D15" s="356">
        <f t="shared" ref="D15:G15" si="3">+D9-D14</f>
        <v>200.6551999999997</v>
      </c>
      <c r="E15" s="356">
        <f t="shared" si="3"/>
        <v>215.4404999999997</v>
      </c>
      <c r="F15" s="356">
        <f t="shared" si="3"/>
        <v>242.23720000000048</v>
      </c>
      <c r="G15" s="356">
        <f t="shared" si="3"/>
        <v>178.88880000000017</v>
      </c>
    </row>
    <row r="16" spans="2:10" x14ac:dyDescent="0.25">
      <c r="B16" s="132" t="s">
        <v>233</v>
      </c>
      <c r="C16" s="36">
        <f>+PL!F16</f>
        <v>14.885199999999999</v>
      </c>
      <c r="D16" s="36">
        <f>+PL!G16</f>
        <v>22.970700000000001</v>
      </c>
      <c r="E16" s="36">
        <f>+PL!H16</f>
        <v>23.075800000000001</v>
      </c>
      <c r="F16" s="36">
        <f>+PL!I16</f>
        <v>22.823499999999999</v>
      </c>
      <c r="G16" s="36">
        <f>+PL!J16</f>
        <v>22.858899999999998</v>
      </c>
    </row>
    <row r="17" spans="2:8" x14ac:dyDescent="0.25">
      <c r="B17" s="229" t="s">
        <v>188</v>
      </c>
      <c r="C17" s="356">
        <f>+C15-C16</f>
        <v>179.1416000000001</v>
      </c>
      <c r="D17" s="356">
        <f t="shared" ref="D17:G17" si="4">+D15-D16</f>
        <v>177.6844999999997</v>
      </c>
      <c r="E17" s="356">
        <f t="shared" si="4"/>
        <v>192.36469999999969</v>
      </c>
      <c r="F17" s="356">
        <f t="shared" si="4"/>
        <v>219.41370000000049</v>
      </c>
      <c r="G17" s="356">
        <f t="shared" si="4"/>
        <v>156.02990000000017</v>
      </c>
    </row>
    <row r="18" spans="2:8" x14ac:dyDescent="0.25">
      <c r="B18" s="132" t="s">
        <v>49</v>
      </c>
      <c r="C18" s="36">
        <f>+PL!F15</f>
        <v>101.1152</v>
      </c>
      <c r="D18" s="36">
        <f>+PL!G15</f>
        <v>103.1438</v>
      </c>
      <c r="E18" s="36">
        <f>+PL!H15</f>
        <v>116.5307</v>
      </c>
      <c r="F18" s="36">
        <f>+PL!I15</f>
        <v>128.0368</v>
      </c>
      <c r="G18" s="36">
        <f>+PL!J15</f>
        <v>145.55289999999999</v>
      </c>
    </row>
    <row r="19" spans="2:8" x14ac:dyDescent="0.25">
      <c r="B19" s="229" t="s">
        <v>453</v>
      </c>
      <c r="C19" s="356">
        <f>+C17-C18</f>
        <v>78.026400000000095</v>
      </c>
      <c r="D19" s="356">
        <f t="shared" ref="D19:G19" si="5">+D17-D18</f>
        <v>74.540699999999703</v>
      </c>
      <c r="E19" s="356">
        <f t="shared" si="5"/>
        <v>75.833999999999691</v>
      </c>
      <c r="F19" s="356">
        <f t="shared" si="5"/>
        <v>91.376900000000489</v>
      </c>
      <c r="G19" s="356">
        <f t="shared" si="5"/>
        <v>10.477000000000174</v>
      </c>
    </row>
    <row r="20" spans="2:8" x14ac:dyDescent="0.25">
      <c r="B20" s="130" t="s">
        <v>306</v>
      </c>
      <c r="C20" s="36">
        <f>+PL!F22</f>
        <v>0</v>
      </c>
      <c r="D20" s="36">
        <f>+PL!G22</f>
        <v>0</v>
      </c>
      <c r="E20" s="36">
        <f>+PL!H22</f>
        <v>0</v>
      </c>
      <c r="F20" s="36">
        <f>+PL!I22</f>
        <v>0</v>
      </c>
      <c r="G20" s="36">
        <f>+PL!J22</f>
        <v>3.6799999999999999E-2</v>
      </c>
    </row>
    <row r="21" spans="2:8" x14ac:dyDescent="0.25">
      <c r="B21" s="229" t="s">
        <v>452</v>
      </c>
      <c r="C21" s="356">
        <f>+C19-C20</f>
        <v>78.026400000000095</v>
      </c>
      <c r="D21" s="356">
        <f t="shared" ref="D21:G21" si="6">+D19-D20</f>
        <v>74.540699999999703</v>
      </c>
      <c r="E21" s="356">
        <f t="shared" si="6"/>
        <v>75.833999999999691</v>
      </c>
      <c r="F21" s="356">
        <f t="shared" si="6"/>
        <v>91.376900000000489</v>
      </c>
      <c r="G21" s="356">
        <f t="shared" si="6"/>
        <v>10.440200000000175</v>
      </c>
    </row>
    <row r="22" spans="2:8" x14ac:dyDescent="0.25">
      <c r="B22" s="131" t="s">
        <v>8</v>
      </c>
      <c r="C22" s="135"/>
      <c r="D22" s="135"/>
      <c r="E22" s="135"/>
      <c r="F22" s="135"/>
      <c r="G22" s="135"/>
    </row>
    <row r="23" spans="2:8" x14ac:dyDescent="0.25">
      <c r="B23" s="133" t="s">
        <v>51</v>
      </c>
      <c r="C23" s="36">
        <f>+PL!F30</f>
        <v>14.434900000000001</v>
      </c>
      <c r="D23" s="36">
        <f>+PL!G30</f>
        <v>13.023699999999998</v>
      </c>
      <c r="E23" s="36">
        <f>+PL!H30</f>
        <v>14.029300000000001</v>
      </c>
      <c r="F23" s="36">
        <f>+PL!I30</f>
        <v>17.997699999999998</v>
      </c>
      <c r="G23" s="36">
        <f>+PL!J30</f>
        <v>2.6274000000000002</v>
      </c>
    </row>
    <row r="24" spans="2:8" x14ac:dyDescent="0.25">
      <c r="B24" s="133" t="s">
        <v>52</v>
      </c>
      <c r="C24" s="36">
        <f>+PL!F31</f>
        <v>0.44209999999999999</v>
      </c>
      <c r="D24" s="36">
        <f>+PL!G31</f>
        <v>0.53310000000000002</v>
      </c>
      <c r="E24" s="36">
        <f>+PL!H31</f>
        <v>-4.3E-3</v>
      </c>
      <c r="F24" s="36">
        <f>+PL!I31</f>
        <v>-1.0710999999999999</v>
      </c>
      <c r="G24" s="36">
        <f>+PL!J31</f>
        <v>0</v>
      </c>
    </row>
    <row r="25" spans="2:8" x14ac:dyDescent="0.25">
      <c r="B25" s="229" t="s">
        <v>269</v>
      </c>
      <c r="C25" s="356">
        <f>+C21-C23-C24</f>
        <v>63.149400000000092</v>
      </c>
      <c r="D25" s="356">
        <f t="shared" ref="D25:G25" si="7">+D21-D23-D24</f>
        <v>60.983899999999707</v>
      </c>
      <c r="E25" s="356">
        <f t="shared" si="7"/>
        <v>61.808999999999692</v>
      </c>
      <c r="F25" s="356">
        <f t="shared" si="7"/>
        <v>74.450300000000496</v>
      </c>
      <c r="G25" s="356">
        <f t="shared" si="7"/>
        <v>7.8128000000001752</v>
      </c>
    </row>
    <row r="27" spans="2:8" x14ac:dyDescent="0.25">
      <c r="H27" s="349" t="s">
        <v>465</v>
      </c>
    </row>
    <row r="28" spans="2:8" x14ac:dyDescent="0.25">
      <c r="B28" t="s">
        <v>9</v>
      </c>
      <c r="C28" s="39">
        <f>+C15/C7</f>
        <v>5.5192430988340299E-2</v>
      </c>
      <c r="D28" s="39">
        <f t="shared" ref="D28:G28" si="8">+D15/D7</f>
        <v>6.1796103949778851E-2</v>
      </c>
      <c r="E28" s="39">
        <f t="shared" si="8"/>
        <v>7.2838468359054845E-2</v>
      </c>
      <c r="F28" s="39">
        <f t="shared" si="8"/>
        <v>6.5389783926700973E-2</v>
      </c>
      <c r="G28" s="39">
        <f t="shared" si="8"/>
        <v>4.495617666928417E-2</v>
      </c>
      <c r="H28" s="40">
        <f>+AVERAGE(C28:G28)</f>
        <v>6.0034592778631837E-2</v>
      </c>
    </row>
    <row r="29" spans="2:8" x14ac:dyDescent="0.25">
      <c r="B29" t="s">
        <v>466</v>
      </c>
      <c r="C29" s="39">
        <f>+C17/C7</f>
        <v>5.0958220179587885E-2</v>
      </c>
      <c r="D29" s="39">
        <f t="shared" ref="D29:G29" si="9">+D17/D7</f>
        <v>5.472178060805042E-2</v>
      </c>
      <c r="E29" s="39">
        <f t="shared" si="9"/>
        <v>6.5036750816810554E-2</v>
      </c>
      <c r="F29" s="39">
        <f t="shared" si="9"/>
        <v>5.9228782505568886E-2</v>
      </c>
      <c r="G29" s="39">
        <f t="shared" si="9"/>
        <v>3.9211553490720169E-2</v>
      </c>
      <c r="H29" s="40">
        <f t="shared" ref="H29:H31" si="10">+AVERAGE(C29:G29)</f>
        <v>5.3831417520147598E-2</v>
      </c>
    </row>
    <row r="30" spans="2:8" x14ac:dyDescent="0.25">
      <c r="B30" t="s">
        <v>10</v>
      </c>
      <c r="C30" s="39">
        <f>+C25/C7</f>
        <v>1.7963337546437402E-2</v>
      </c>
      <c r="D30" s="39">
        <f t="shared" ref="D30:G30" si="11">+D25/D7</f>
        <v>1.8781309548234516E-2</v>
      </c>
      <c r="E30" s="39">
        <f t="shared" si="11"/>
        <v>2.089705923818783E-2</v>
      </c>
      <c r="F30" s="39">
        <f t="shared" si="11"/>
        <v>2.0097198243201653E-2</v>
      </c>
      <c r="G30" s="39">
        <f t="shared" si="11"/>
        <v>1.9634187108516065E-3</v>
      </c>
      <c r="H30" s="40">
        <f t="shared" si="10"/>
        <v>1.5940464657382601E-2</v>
      </c>
    </row>
    <row r="31" spans="2:8" x14ac:dyDescent="0.25">
      <c r="B31" t="s">
        <v>467</v>
      </c>
      <c r="D31" s="39">
        <f>+(D7/C7)-1</f>
        <v>-7.6350655986642813E-2</v>
      </c>
      <c r="E31" s="39">
        <f t="shared" ref="E31:G31" si="12">+(E7/D7)-1</f>
        <v>-8.90863301690894E-2</v>
      </c>
      <c r="F31" s="39">
        <f t="shared" si="12"/>
        <v>0.25246152136974409</v>
      </c>
      <c r="G31" s="39">
        <f t="shared" si="12"/>
        <v>7.4144838641878597E-2</v>
      </c>
      <c r="H31" s="40">
        <f t="shared" si="10"/>
        <v>4.0292343463972619E-2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E19EF6-FFBB-4872-86ED-F23750364914}">
  <dimension ref="B2:AP292"/>
  <sheetViews>
    <sheetView zoomScaleNormal="100" workbookViewId="0">
      <pane xSplit="5" ySplit="5" topLeftCell="F12" activePane="bottomRight" state="frozen"/>
      <selection pane="topRight" activeCell="E1" sqref="E1"/>
      <selection pane="bottomLeft" activeCell="A5" sqref="A5"/>
      <selection pane="bottomRight" activeCell="J1" sqref="J1"/>
    </sheetView>
  </sheetViews>
  <sheetFormatPr defaultColWidth="8.85546875" defaultRowHeight="12.75" x14ac:dyDescent="0.2"/>
  <cols>
    <col min="1" max="3" width="3.85546875" style="64" customWidth="1"/>
    <col min="4" max="4" width="40.7109375" style="64" customWidth="1"/>
    <col min="5" max="5" width="13.7109375" style="64" customWidth="1"/>
    <col min="6" max="6" width="11.85546875" style="64" customWidth="1"/>
    <col min="7" max="7" width="12" style="64" customWidth="1"/>
    <col min="8" max="9" width="13.140625" style="64" customWidth="1"/>
    <col min="10" max="10" width="11.42578125" style="64" customWidth="1"/>
    <col min="11" max="11" width="11.85546875" style="64" bestFit="1" customWidth="1"/>
    <col min="12" max="15" width="10.7109375" style="64" bestFit="1" customWidth="1"/>
    <col min="16" max="20" width="11.42578125" style="64" bestFit="1" customWidth="1"/>
    <col min="21" max="16384" width="8.85546875" style="64"/>
  </cols>
  <sheetData>
    <row r="2" spans="2:42" x14ac:dyDescent="0.2">
      <c r="B2" s="337" t="s">
        <v>200</v>
      </c>
      <c r="C2" s="337"/>
      <c r="D2" s="337"/>
      <c r="E2" s="337"/>
      <c r="F2" s="337"/>
      <c r="G2" s="337"/>
      <c r="H2" s="337"/>
      <c r="I2" s="337"/>
      <c r="J2" s="337"/>
      <c r="K2" s="340"/>
      <c r="L2" s="337"/>
      <c r="M2" s="337"/>
      <c r="N2" s="337"/>
      <c r="O2" s="337"/>
      <c r="P2" s="337"/>
      <c r="Q2" s="337"/>
      <c r="R2" s="337"/>
      <c r="S2" s="337"/>
      <c r="T2" s="337"/>
    </row>
    <row r="3" spans="2:42" x14ac:dyDescent="0.2">
      <c r="B3" s="58" t="s">
        <v>351</v>
      </c>
      <c r="C3" s="58"/>
      <c r="D3" s="58"/>
      <c r="E3" s="58"/>
      <c r="F3" s="58"/>
      <c r="G3" s="59"/>
      <c r="H3" s="59"/>
      <c r="I3" s="59"/>
      <c r="J3" s="306"/>
      <c r="K3" s="59"/>
      <c r="L3" s="59"/>
      <c r="M3" s="59"/>
      <c r="N3" s="59"/>
      <c r="O3" s="59"/>
      <c r="P3" s="59"/>
    </row>
    <row r="4" spans="2:42" x14ac:dyDescent="0.2">
      <c r="B4" s="59"/>
      <c r="C4" s="59"/>
      <c r="D4" s="59"/>
      <c r="E4" s="59"/>
      <c r="F4" s="55" t="s">
        <v>231</v>
      </c>
      <c r="G4" s="55" t="s">
        <v>231</v>
      </c>
      <c r="H4" s="55" t="s">
        <v>231</v>
      </c>
      <c r="I4" s="55" t="s">
        <v>231</v>
      </c>
      <c r="J4" s="55" t="s">
        <v>232</v>
      </c>
      <c r="K4" s="338" t="s">
        <v>439</v>
      </c>
      <c r="L4" s="338" t="s">
        <v>439</v>
      </c>
      <c r="M4" s="338" t="s">
        <v>304</v>
      </c>
      <c r="N4" s="338" t="s">
        <v>304</v>
      </c>
      <c r="O4" s="338" t="s">
        <v>304</v>
      </c>
      <c r="P4" s="338" t="s">
        <v>304</v>
      </c>
      <c r="Q4" s="338" t="s">
        <v>304</v>
      </c>
      <c r="R4" s="338" t="s">
        <v>304</v>
      </c>
      <c r="S4" s="338" t="s">
        <v>304</v>
      </c>
      <c r="T4" s="338" t="s">
        <v>304</v>
      </c>
    </row>
    <row r="5" spans="2:42" x14ac:dyDescent="0.2">
      <c r="B5" s="129" t="s">
        <v>347</v>
      </c>
      <c r="C5" s="129"/>
      <c r="D5" s="129"/>
      <c r="E5" s="129"/>
      <c r="F5" s="60">
        <f>DATE(2019,3,31)</f>
        <v>43555</v>
      </c>
      <c r="G5" s="60">
        <f>EDATE(F5,12)</f>
        <v>43921</v>
      </c>
      <c r="H5" s="60">
        <f t="shared" ref="H5:T5" si="0">EDATE(G5,12)</f>
        <v>44286</v>
      </c>
      <c r="I5" s="60">
        <f t="shared" si="0"/>
        <v>44651</v>
      </c>
      <c r="J5" s="60">
        <f t="shared" si="0"/>
        <v>45016</v>
      </c>
      <c r="K5" s="60">
        <f t="shared" si="0"/>
        <v>45382</v>
      </c>
      <c r="L5" s="60">
        <f t="shared" si="0"/>
        <v>45747</v>
      </c>
      <c r="M5" s="60">
        <f t="shared" si="0"/>
        <v>46112</v>
      </c>
      <c r="N5" s="60">
        <f t="shared" si="0"/>
        <v>46477</v>
      </c>
      <c r="O5" s="60">
        <f t="shared" si="0"/>
        <v>46843</v>
      </c>
      <c r="P5" s="60">
        <f t="shared" si="0"/>
        <v>47208</v>
      </c>
      <c r="Q5" s="60">
        <f t="shared" si="0"/>
        <v>47573</v>
      </c>
      <c r="R5" s="60">
        <f t="shared" si="0"/>
        <v>47938</v>
      </c>
      <c r="S5" s="60">
        <f t="shared" si="0"/>
        <v>48304</v>
      </c>
      <c r="T5" s="60">
        <f t="shared" si="0"/>
        <v>48669</v>
      </c>
    </row>
    <row r="6" spans="2:42" x14ac:dyDescent="0.2">
      <c r="B6" s="59"/>
      <c r="C6" s="59"/>
      <c r="D6" s="59"/>
      <c r="E6" s="59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</row>
    <row r="7" spans="2:42" x14ac:dyDescent="0.2">
      <c r="B7" s="195" t="s">
        <v>12</v>
      </c>
      <c r="C7" s="195"/>
      <c r="D7" s="195"/>
      <c r="E7" s="195"/>
      <c r="F7" s="92"/>
      <c r="G7" s="93"/>
      <c r="H7" s="93"/>
      <c r="I7" s="93"/>
      <c r="J7" s="93"/>
      <c r="K7" s="93"/>
      <c r="L7" s="52"/>
      <c r="M7" s="52"/>
      <c r="N7" s="52"/>
      <c r="O7" s="52"/>
      <c r="P7" s="52"/>
      <c r="Q7" s="52"/>
      <c r="R7" s="52"/>
      <c r="S7" s="52"/>
      <c r="T7" s="52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</row>
    <row r="8" spans="2:42" x14ac:dyDescent="0.2">
      <c r="C8" s="195" t="s">
        <v>128</v>
      </c>
      <c r="D8" s="195"/>
      <c r="E8" s="195"/>
      <c r="F8" s="65"/>
      <c r="G8" s="65"/>
      <c r="H8" s="65"/>
      <c r="I8" s="65"/>
      <c r="J8" s="93"/>
      <c r="K8" s="65"/>
      <c r="L8" s="52"/>
      <c r="M8" s="52"/>
      <c r="N8" s="52"/>
      <c r="O8" s="52"/>
      <c r="P8" s="52"/>
      <c r="Q8" s="52"/>
      <c r="R8" s="52"/>
      <c r="S8" s="52"/>
      <c r="T8" s="52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</row>
    <row r="9" spans="2:42" x14ac:dyDescent="0.2">
      <c r="C9" s="132" t="s">
        <v>13</v>
      </c>
      <c r="D9" s="133"/>
      <c r="E9" s="133"/>
      <c r="F9" s="93">
        <f>('Dep Sch'!F204)/(10^2)</f>
        <v>210.45799999999997</v>
      </c>
      <c r="G9" s="93">
        <f>('Dep Sch'!G204)/(10^2)</f>
        <v>207.08370000000002</v>
      </c>
      <c r="H9" s="93">
        <f>('Dep Sch'!H204)/(10^2)</f>
        <v>211.35970000000006</v>
      </c>
      <c r="I9" s="93">
        <f>('Dep Sch'!I204)/(10^2)</f>
        <v>493.39209999999986</v>
      </c>
      <c r="J9" s="93">
        <f>('Dep Sch'!J205)/(10^2)</f>
        <v>445.21139999999997</v>
      </c>
      <c r="K9" s="93">
        <f>('Dep Sch'!K207)/(10^2)</f>
        <v>418.25678483383018</v>
      </c>
      <c r="L9" s="93">
        <f>('Dep Sch'!L207)/(10^2)</f>
        <v>396.50051931187699</v>
      </c>
      <c r="M9" s="93">
        <f>('Dep Sch'!M207)/(10^2)</f>
        <v>369.18628274089292</v>
      </c>
      <c r="N9" s="93">
        <f>('Dep Sch'!N207)/(10^2)</f>
        <v>345.44311255752626</v>
      </c>
      <c r="O9" s="93">
        <f>('Dep Sch'!O207)/(10^2)</f>
        <v>324.77094471145477</v>
      </c>
      <c r="P9" s="93">
        <f>('Dep Sch'!P207)/(10^2)</f>
        <v>306.74790977285255</v>
      </c>
      <c r="Q9" s="93">
        <f>('Dep Sch'!Q207)/(10^2)</f>
        <v>291.01565704840147</v>
      </c>
      <c r="R9" s="93">
        <f>('Dep Sch'!R207)/(10^2)</f>
        <v>277.26818084306143</v>
      </c>
      <c r="S9" s="93">
        <f>('Dep Sch'!S207)/(10^2)</f>
        <v>265.2431074532866</v>
      </c>
      <c r="T9" s="93">
        <f>('Dep Sch'!T207)/(10^2)</f>
        <v>254.7147586824232</v>
      </c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</row>
    <row r="10" spans="2:42" x14ac:dyDescent="0.2">
      <c r="C10" s="130" t="s">
        <v>180</v>
      </c>
      <c r="D10" s="133"/>
      <c r="E10" s="133"/>
      <c r="F10" s="93">
        <f>('Dep Sch'!F216)/(10^2)</f>
        <v>0.3055000000000001</v>
      </c>
      <c r="G10" s="93">
        <f>('Dep Sch'!G216)/(10^2)</f>
        <v>0.16970000000000027</v>
      </c>
      <c r="H10" s="93">
        <f>('Dep Sch'!H216)/(10^2)</f>
        <v>7.3800000000000518E-2</v>
      </c>
      <c r="I10" s="93">
        <f>('Dep Sch'!I216)/(10^2)</f>
        <v>1.3600000000000705E-2</v>
      </c>
      <c r="J10" s="93">
        <f>('Dep Sch'!J216)/(10^2)</f>
        <v>1.3600000000000705E-2</v>
      </c>
      <c r="K10" s="196">
        <f>J10</f>
        <v>1.3600000000000705E-2</v>
      </c>
      <c r="L10" s="196">
        <f t="shared" ref="L10:T10" si="1">K10</f>
        <v>1.3600000000000705E-2</v>
      </c>
      <c r="M10" s="196">
        <f t="shared" si="1"/>
        <v>1.3600000000000705E-2</v>
      </c>
      <c r="N10" s="196">
        <f t="shared" si="1"/>
        <v>1.3600000000000705E-2</v>
      </c>
      <c r="O10" s="196">
        <f t="shared" si="1"/>
        <v>1.3600000000000705E-2</v>
      </c>
      <c r="P10" s="196">
        <f t="shared" si="1"/>
        <v>1.3600000000000705E-2</v>
      </c>
      <c r="Q10" s="196">
        <f t="shared" si="1"/>
        <v>1.3600000000000705E-2</v>
      </c>
      <c r="R10" s="196">
        <f t="shared" si="1"/>
        <v>1.3600000000000705E-2</v>
      </c>
      <c r="S10" s="196">
        <f t="shared" si="1"/>
        <v>1.3600000000000705E-2</v>
      </c>
      <c r="T10" s="196">
        <f t="shared" si="1"/>
        <v>1.3600000000000705E-2</v>
      </c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</row>
    <row r="11" spans="2:42" x14ac:dyDescent="0.2">
      <c r="C11" s="130" t="s">
        <v>55</v>
      </c>
      <c r="D11" s="133"/>
      <c r="E11" s="133"/>
      <c r="F11" s="93">
        <f>3142.35/(10^2)</f>
        <v>31.423500000000001</v>
      </c>
      <c r="G11" s="93">
        <f>2512.79/(10^2)</f>
        <v>25.1279</v>
      </c>
      <c r="H11" s="93">
        <f>246.39/(10^2)</f>
        <v>2.4638999999999998</v>
      </c>
      <c r="I11" s="93">
        <f>634/(10^2)</f>
        <v>6.34</v>
      </c>
      <c r="J11" s="93">
        <f>1681.57/(10^2)</f>
        <v>16.8157</v>
      </c>
      <c r="K11" s="197">
        <f>J11</f>
        <v>16.8157</v>
      </c>
      <c r="L11" s="197">
        <f t="shared" ref="L11:T11" si="2">K11</f>
        <v>16.8157</v>
      </c>
      <c r="M11" s="197">
        <f t="shared" si="2"/>
        <v>16.8157</v>
      </c>
      <c r="N11" s="197">
        <f t="shared" si="2"/>
        <v>16.8157</v>
      </c>
      <c r="O11" s="197">
        <f t="shared" si="2"/>
        <v>16.8157</v>
      </c>
      <c r="P11" s="197">
        <f t="shared" si="2"/>
        <v>16.8157</v>
      </c>
      <c r="Q11" s="197">
        <f t="shared" si="2"/>
        <v>16.8157</v>
      </c>
      <c r="R11" s="197">
        <f t="shared" si="2"/>
        <v>16.8157</v>
      </c>
      <c r="S11" s="197">
        <f t="shared" si="2"/>
        <v>16.8157</v>
      </c>
      <c r="T11" s="197">
        <f t="shared" si="2"/>
        <v>16.8157</v>
      </c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</row>
    <row r="12" spans="2:42" x14ac:dyDescent="0.2">
      <c r="C12" s="130" t="s">
        <v>383</v>
      </c>
      <c r="D12" s="133"/>
      <c r="E12" s="133"/>
      <c r="F12" s="94">
        <v>0</v>
      </c>
      <c r="G12" s="65">
        <v>0</v>
      </c>
      <c r="H12" s="65">
        <v>0</v>
      </c>
      <c r="I12" s="93">
        <f>23.7/(10^2)</f>
        <v>0.23699999999999999</v>
      </c>
      <c r="J12" s="93">
        <f>0/(10^2)</f>
        <v>0</v>
      </c>
      <c r="K12" s="198">
        <f>J12</f>
        <v>0</v>
      </c>
      <c r="L12" s="198">
        <f t="shared" ref="L12:T12" si="3">K12</f>
        <v>0</v>
      </c>
      <c r="M12" s="198">
        <f t="shared" si="3"/>
        <v>0</v>
      </c>
      <c r="N12" s="198">
        <f t="shared" si="3"/>
        <v>0</v>
      </c>
      <c r="O12" s="198">
        <f t="shared" si="3"/>
        <v>0</v>
      </c>
      <c r="P12" s="198">
        <f t="shared" si="3"/>
        <v>0</v>
      </c>
      <c r="Q12" s="198">
        <f t="shared" si="3"/>
        <v>0</v>
      </c>
      <c r="R12" s="198">
        <f t="shared" si="3"/>
        <v>0</v>
      </c>
      <c r="S12" s="198">
        <f t="shared" si="3"/>
        <v>0</v>
      </c>
      <c r="T12" s="198">
        <f t="shared" si="3"/>
        <v>0</v>
      </c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</row>
    <row r="13" spans="2:42" x14ac:dyDescent="0.2">
      <c r="C13" s="195" t="s">
        <v>129</v>
      </c>
      <c r="D13" s="195"/>
      <c r="E13" s="195"/>
      <c r="F13" s="92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</row>
    <row r="14" spans="2:42" x14ac:dyDescent="0.2">
      <c r="C14" s="130" t="s">
        <v>381</v>
      </c>
      <c r="D14" s="133"/>
      <c r="E14" s="133"/>
      <c r="F14" s="94">
        <f>F101</f>
        <v>8.3524999999999991</v>
      </c>
      <c r="G14" s="94">
        <f>G101</f>
        <v>12.773699999999998</v>
      </c>
      <c r="H14" s="94">
        <f t="shared" ref="H14:J14" si="4">H101</f>
        <v>14.83</v>
      </c>
      <c r="I14" s="94">
        <f t="shared" si="4"/>
        <v>15.8523</v>
      </c>
      <c r="J14" s="94">
        <f t="shared" si="4"/>
        <v>14.9244</v>
      </c>
      <c r="K14" s="199">
        <f t="shared" ref="K14:T14" si="5">K101</f>
        <v>14.9244</v>
      </c>
      <c r="L14" s="199">
        <f t="shared" si="5"/>
        <v>14.9244</v>
      </c>
      <c r="M14" s="199">
        <f t="shared" si="5"/>
        <v>14.9244</v>
      </c>
      <c r="N14" s="199">
        <f t="shared" si="5"/>
        <v>14.9244</v>
      </c>
      <c r="O14" s="199">
        <f t="shared" si="5"/>
        <v>14.9244</v>
      </c>
      <c r="P14" s="199">
        <f t="shared" si="5"/>
        <v>14.9244</v>
      </c>
      <c r="Q14" s="199">
        <f t="shared" si="5"/>
        <v>14.9244</v>
      </c>
      <c r="R14" s="199">
        <f t="shared" si="5"/>
        <v>14.9244</v>
      </c>
      <c r="S14" s="199">
        <f t="shared" si="5"/>
        <v>14.9244</v>
      </c>
      <c r="T14" s="199">
        <f t="shared" si="5"/>
        <v>14.9244</v>
      </c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</row>
    <row r="15" spans="2:42" x14ac:dyDescent="0.2">
      <c r="C15" s="130" t="s">
        <v>14</v>
      </c>
      <c r="D15" s="133"/>
      <c r="E15" s="133"/>
      <c r="F15" s="94">
        <f>F108</f>
        <v>3.5057</v>
      </c>
      <c r="G15" s="94">
        <f>G108</f>
        <v>3.0726000000000004</v>
      </c>
      <c r="H15" s="94">
        <f t="shared" ref="H15:J15" si="6">H108</f>
        <v>3.7046000000000001</v>
      </c>
      <c r="I15" s="94">
        <f t="shared" si="6"/>
        <v>3.6654</v>
      </c>
      <c r="J15" s="94">
        <f t="shared" si="6"/>
        <v>3.2346000000000004</v>
      </c>
      <c r="K15" s="199">
        <f t="shared" ref="K15:T15" si="7">K108</f>
        <v>3.2262000000000004</v>
      </c>
      <c r="L15" s="199">
        <f t="shared" si="7"/>
        <v>3.2262000000000004</v>
      </c>
      <c r="M15" s="199">
        <f t="shared" si="7"/>
        <v>3.2262000000000004</v>
      </c>
      <c r="N15" s="199">
        <f t="shared" si="7"/>
        <v>3.2262000000000004</v>
      </c>
      <c r="O15" s="199">
        <f t="shared" si="7"/>
        <v>3.2262000000000004</v>
      </c>
      <c r="P15" s="199">
        <f t="shared" si="7"/>
        <v>3.2262000000000004</v>
      </c>
      <c r="Q15" s="199">
        <f t="shared" si="7"/>
        <v>3.2262000000000004</v>
      </c>
      <c r="R15" s="199">
        <f t="shared" si="7"/>
        <v>3.2262000000000004</v>
      </c>
      <c r="S15" s="199">
        <f t="shared" si="7"/>
        <v>3.2262000000000004</v>
      </c>
      <c r="T15" s="199">
        <f t="shared" si="7"/>
        <v>3.2262000000000004</v>
      </c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</row>
    <row r="16" spans="2:42" x14ac:dyDescent="0.2">
      <c r="C16" s="130" t="s">
        <v>382</v>
      </c>
      <c r="D16" s="133"/>
      <c r="E16" s="133"/>
      <c r="F16" s="94">
        <v>0</v>
      </c>
      <c r="G16" s="94">
        <v>0</v>
      </c>
      <c r="H16" s="94">
        <v>0</v>
      </c>
      <c r="I16" s="93">
        <f>22.94/(10^2)</f>
        <v>0.22940000000000002</v>
      </c>
      <c r="J16" s="93">
        <f>22.94/(10^2)</f>
        <v>0.22940000000000002</v>
      </c>
      <c r="K16" s="200">
        <f>J16</f>
        <v>0.22940000000000002</v>
      </c>
      <c r="L16" s="200">
        <f t="shared" ref="L16:T16" si="8">K16</f>
        <v>0.22940000000000002</v>
      </c>
      <c r="M16" s="200">
        <f t="shared" si="8"/>
        <v>0.22940000000000002</v>
      </c>
      <c r="N16" s="200">
        <f t="shared" si="8"/>
        <v>0.22940000000000002</v>
      </c>
      <c r="O16" s="200">
        <f t="shared" si="8"/>
        <v>0.22940000000000002</v>
      </c>
      <c r="P16" s="200">
        <f t="shared" si="8"/>
        <v>0.22940000000000002</v>
      </c>
      <c r="Q16" s="200">
        <f t="shared" si="8"/>
        <v>0.22940000000000002</v>
      </c>
      <c r="R16" s="200">
        <f t="shared" si="8"/>
        <v>0.22940000000000002</v>
      </c>
      <c r="S16" s="200">
        <f t="shared" si="8"/>
        <v>0.22940000000000002</v>
      </c>
      <c r="T16" s="200">
        <f t="shared" si="8"/>
        <v>0.22940000000000002</v>
      </c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</row>
    <row r="17" spans="2:42" x14ac:dyDescent="0.2">
      <c r="C17" s="219" t="s">
        <v>378</v>
      </c>
      <c r="D17" s="219"/>
      <c r="E17" s="219"/>
      <c r="F17" s="220">
        <f>SUM(F9:F16)</f>
        <v>254.04519999999994</v>
      </c>
      <c r="G17" s="220">
        <f t="shared" ref="G17:T17" si="9">SUM(G9:G16)</f>
        <v>248.22760000000002</v>
      </c>
      <c r="H17" s="220">
        <f t="shared" si="9"/>
        <v>232.43200000000007</v>
      </c>
      <c r="I17" s="220">
        <f t="shared" si="9"/>
        <v>519.72979999999984</v>
      </c>
      <c r="J17" s="220">
        <f t="shared" si="9"/>
        <v>480.42909999999995</v>
      </c>
      <c r="K17" s="220">
        <f>SUM(K9:K16)</f>
        <v>453.46608483383017</v>
      </c>
      <c r="L17" s="220">
        <f t="shared" si="9"/>
        <v>431.70981931187697</v>
      </c>
      <c r="M17" s="220">
        <f t="shared" si="9"/>
        <v>404.39558274089291</v>
      </c>
      <c r="N17" s="220">
        <f t="shared" si="9"/>
        <v>380.65241255752625</v>
      </c>
      <c r="O17" s="220">
        <f t="shared" si="9"/>
        <v>359.98024471145476</v>
      </c>
      <c r="P17" s="220">
        <f t="shared" si="9"/>
        <v>341.95720977285254</v>
      </c>
      <c r="Q17" s="220">
        <f t="shared" si="9"/>
        <v>326.22495704840145</v>
      </c>
      <c r="R17" s="220">
        <f t="shared" si="9"/>
        <v>312.47748084306141</v>
      </c>
      <c r="S17" s="220">
        <f t="shared" si="9"/>
        <v>300.45240745328658</v>
      </c>
      <c r="T17" s="220">
        <f t="shared" si="9"/>
        <v>289.92405868242321</v>
      </c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</row>
    <row r="18" spans="2:42" x14ac:dyDescent="0.2">
      <c r="B18" s="195"/>
      <c r="C18" s="195"/>
      <c r="D18" s="195"/>
      <c r="E18" s="195"/>
      <c r="F18" s="92"/>
      <c r="G18" s="96"/>
      <c r="H18" s="96"/>
      <c r="I18" s="96"/>
      <c r="J18" s="96"/>
      <c r="K18" s="96"/>
      <c r="L18" s="93"/>
      <c r="M18" s="93"/>
      <c r="N18" s="93"/>
      <c r="O18" s="93"/>
      <c r="P18" s="93"/>
      <c r="Q18" s="93"/>
      <c r="R18" s="93"/>
      <c r="S18" s="93"/>
      <c r="T18" s="93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</row>
    <row r="19" spans="2:42" x14ac:dyDescent="0.2">
      <c r="B19" s="195" t="s">
        <v>15</v>
      </c>
      <c r="C19" s="195"/>
      <c r="D19" s="195"/>
      <c r="E19" s="195"/>
      <c r="F19" s="92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</row>
    <row r="20" spans="2:42" x14ac:dyDescent="0.2">
      <c r="C20" s="130" t="s">
        <v>16</v>
      </c>
      <c r="D20" s="132"/>
      <c r="E20" s="133"/>
      <c r="F20" s="65">
        <f t="shared" ref="F20:T20" si="10">F21+F22</f>
        <v>487.78019999999998</v>
      </c>
      <c r="G20" s="65">
        <f t="shared" si="10"/>
        <v>547.8981</v>
      </c>
      <c r="H20" s="65">
        <f t="shared" si="10"/>
        <v>704.49079999999992</v>
      </c>
      <c r="I20" s="65">
        <f t="shared" si="10"/>
        <v>896.39679999999987</v>
      </c>
      <c r="J20" s="65">
        <f t="shared" si="10"/>
        <v>1054.4143000000001</v>
      </c>
      <c r="K20" s="65">
        <f t="shared" si="10"/>
        <v>94.246575342465746</v>
      </c>
      <c r="L20" s="65">
        <f t="shared" si="10"/>
        <v>62.874415518924671</v>
      </c>
      <c r="M20" s="65">
        <f t="shared" si="10"/>
        <v>196.16817641904495</v>
      </c>
      <c r="N20" s="65">
        <f t="shared" si="10"/>
        <v>285.62086486612947</v>
      </c>
      <c r="O20" s="65">
        <f t="shared" si="10"/>
        <v>339.48079938374246</v>
      </c>
      <c r="P20" s="65">
        <f t="shared" si="10"/>
        <v>370.71303292704692</v>
      </c>
      <c r="Q20" s="65">
        <f t="shared" si="10"/>
        <v>403.90067587480149</v>
      </c>
      <c r="R20" s="65">
        <f t="shared" si="10"/>
        <v>439.15018940569325</v>
      </c>
      <c r="S20" s="65">
        <f t="shared" si="10"/>
        <v>476.57342293765674</v>
      </c>
      <c r="T20" s="65">
        <f t="shared" si="10"/>
        <v>516.28787484912823</v>
      </c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</row>
    <row r="21" spans="2:42" s="201" customFormat="1" x14ac:dyDescent="0.2">
      <c r="D21" s="218" t="s">
        <v>339</v>
      </c>
      <c r="E21" s="202"/>
      <c r="F21" s="97">
        <f>F116</f>
        <v>487.78019999999998</v>
      </c>
      <c r="G21" s="97">
        <f>G116</f>
        <v>547.8981</v>
      </c>
      <c r="H21" s="97">
        <f>H116</f>
        <v>704.49079999999992</v>
      </c>
      <c r="I21" s="97">
        <f>I116</f>
        <v>896.39679999999987</v>
      </c>
      <c r="J21" s="97">
        <f>J116</f>
        <v>1054.4143000000001</v>
      </c>
      <c r="K21" s="203">
        <v>0</v>
      </c>
      <c r="L21" s="204">
        <f>K21</f>
        <v>0</v>
      </c>
      <c r="M21" s="204">
        <f t="shared" ref="M21:T21" si="11">L21</f>
        <v>0</v>
      </c>
      <c r="N21" s="204">
        <f t="shared" si="11"/>
        <v>0</v>
      </c>
      <c r="O21" s="204">
        <f t="shared" si="11"/>
        <v>0</v>
      </c>
      <c r="P21" s="204">
        <f t="shared" si="11"/>
        <v>0</v>
      </c>
      <c r="Q21" s="204">
        <f t="shared" si="11"/>
        <v>0</v>
      </c>
      <c r="R21" s="204">
        <f t="shared" si="11"/>
        <v>0</v>
      </c>
      <c r="S21" s="204">
        <f t="shared" si="11"/>
        <v>0</v>
      </c>
      <c r="T21" s="204">
        <f t="shared" si="11"/>
        <v>0</v>
      </c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</row>
    <row r="22" spans="2:42" s="201" customFormat="1" x14ac:dyDescent="0.2">
      <c r="D22" s="218" t="s">
        <v>338</v>
      </c>
      <c r="E22" s="202"/>
      <c r="F22" s="98"/>
      <c r="G22" s="98"/>
      <c r="H22" s="98"/>
      <c r="I22" s="98"/>
      <c r="J22" s="98"/>
      <c r="K22" s="97">
        <f>Assumptions!K80</f>
        <v>94.246575342465746</v>
      </c>
      <c r="L22" s="97">
        <f>Assumptions!L80</f>
        <v>62.874415518924671</v>
      </c>
      <c r="M22" s="97">
        <f>Assumptions!M80</f>
        <v>196.16817641904495</v>
      </c>
      <c r="N22" s="97">
        <f>Assumptions!N80</f>
        <v>285.62086486612947</v>
      </c>
      <c r="O22" s="97">
        <f>Assumptions!O80</f>
        <v>339.48079938374246</v>
      </c>
      <c r="P22" s="97">
        <f>Assumptions!P80</f>
        <v>370.71303292704692</v>
      </c>
      <c r="Q22" s="97">
        <f>Assumptions!Q80</f>
        <v>403.90067587480149</v>
      </c>
      <c r="R22" s="97">
        <f>Assumptions!R80</f>
        <v>439.15018940569325</v>
      </c>
      <c r="S22" s="97">
        <f>Assumptions!S80</f>
        <v>476.57342293765674</v>
      </c>
      <c r="T22" s="97">
        <f>Assumptions!T80</f>
        <v>516.28787484912823</v>
      </c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</row>
    <row r="23" spans="2:42" x14ac:dyDescent="0.2">
      <c r="C23" s="130" t="s">
        <v>17</v>
      </c>
      <c r="E23" s="133"/>
      <c r="F23" s="99">
        <f t="shared" ref="F23:T23" si="12">F24+F25+F26</f>
        <v>742.33859999999993</v>
      </c>
      <c r="G23" s="99">
        <f t="shared" si="12"/>
        <v>911.68459999999993</v>
      </c>
      <c r="H23" s="99">
        <f t="shared" si="12"/>
        <v>1178.4723999999999</v>
      </c>
      <c r="I23" s="99">
        <f t="shared" si="12"/>
        <v>1480.9412</v>
      </c>
      <c r="J23" s="99">
        <f t="shared" si="12"/>
        <v>1403.8269</v>
      </c>
      <c r="K23" s="99">
        <f t="shared" si="12"/>
        <v>417.46575342465752</v>
      </c>
      <c r="L23" s="99">
        <f t="shared" si="12"/>
        <v>232.54272113325823</v>
      </c>
      <c r="M23" s="99">
        <f t="shared" si="12"/>
        <v>342.1537960797296</v>
      </c>
      <c r="N23" s="99">
        <f t="shared" si="12"/>
        <v>498.17592709208634</v>
      </c>
      <c r="O23" s="99">
        <f t="shared" si="12"/>
        <v>592.11767334373701</v>
      </c>
      <c r="P23" s="99">
        <f t="shared" si="12"/>
        <v>646.59249929136081</v>
      </c>
      <c r="Q23" s="99">
        <f t="shared" si="12"/>
        <v>704.4779230374445</v>
      </c>
      <c r="R23" s="99">
        <f t="shared" si="12"/>
        <v>765.95963268434878</v>
      </c>
      <c r="S23" s="99">
        <f t="shared" si="12"/>
        <v>831.23271442614555</v>
      </c>
      <c r="T23" s="99">
        <f t="shared" si="12"/>
        <v>900.50210729499111</v>
      </c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</row>
    <row r="24" spans="2:42" s="201" customFormat="1" x14ac:dyDescent="0.2">
      <c r="D24" s="218" t="s">
        <v>340</v>
      </c>
      <c r="E24" s="202"/>
      <c r="F24" s="97">
        <f>F123</f>
        <v>742.33859999999993</v>
      </c>
      <c r="G24" s="97">
        <f>G123</f>
        <v>911.68459999999993</v>
      </c>
      <c r="H24" s="97">
        <f>H123</f>
        <v>1178.4723999999999</v>
      </c>
      <c r="I24" s="97">
        <f>I123</f>
        <v>1480.9412</v>
      </c>
      <c r="J24" s="97">
        <f>J123</f>
        <v>1403.8269</v>
      </c>
      <c r="K24" s="97">
        <v>0</v>
      </c>
      <c r="L24" s="97">
        <f>K24-$K$24*75%</f>
        <v>0</v>
      </c>
      <c r="M24" s="97">
        <f>$K$24*25%/2</f>
        <v>0</v>
      </c>
      <c r="N24" s="205">
        <v>0</v>
      </c>
      <c r="O24" s="205">
        <f>N24</f>
        <v>0</v>
      </c>
      <c r="P24" s="205">
        <f t="shared" ref="P24:T25" si="13">O24</f>
        <v>0</v>
      </c>
      <c r="Q24" s="205">
        <f t="shared" si="13"/>
        <v>0</v>
      </c>
      <c r="R24" s="205">
        <f t="shared" si="13"/>
        <v>0</v>
      </c>
      <c r="S24" s="205">
        <f t="shared" si="13"/>
        <v>0</v>
      </c>
      <c r="T24" s="205">
        <f t="shared" si="13"/>
        <v>0</v>
      </c>
      <c r="U24" s="98"/>
      <c r="V24" s="98"/>
      <c r="W24" s="98"/>
      <c r="X24" s="98"/>
      <c r="Y24" s="98"/>
      <c r="Z24" s="98"/>
      <c r="AA24" s="98"/>
      <c r="AB24" s="98"/>
      <c r="AC24" s="98"/>
      <c r="AD24" s="98"/>
      <c r="AE24" s="98"/>
      <c r="AF24" s="98"/>
      <c r="AG24" s="98"/>
      <c r="AH24" s="98"/>
      <c r="AI24" s="98"/>
      <c r="AJ24" s="98"/>
      <c r="AK24" s="98"/>
      <c r="AL24" s="98"/>
      <c r="AM24" s="98"/>
      <c r="AN24" s="98"/>
      <c r="AO24" s="98"/>
      <c r="AP24" s="98"/>
    </row>
    <row r="25" spans="2:42" s="201" customFormat="1" x14ac:dyDescent="0.2">
      <c r="D25" s="218" t="s">
        <v>337</v>
      </c>
      <c r="E25" s="202"/>
      <c r="F25" s="97"/>
      <c r="G25" s="97"/>
      <c r="H25" s="97"/>
      <c r="I25" s="97"/>
      <c r="J25" s="97"/>
      <c r="K25" s="97">
        <f>Assumptions!K170</f>
        <v>275</v>
      </c>
      <c r="L25" s="97">
        <f>K25*50%</f>
        <v>137.5</v>
      </c>
      <c r="M25" s="97">
        <v>0</v>
      </c>
      <c r="N25" s="205">
        <v>0</v>
      </c>
      <c r="O25" s="205">
        <f>N25</f>
        <v>0</v>
      </c>
      <c r="P25" s="205">
        <f t="shared" si="13"/>
        <v>0</v>
      </c>
      <c r="Q25" s="205">
        <f t="shared" si="13"/>
        <v>0</v>
      </c>
      <c r="R25" s="205">
        <f t="shared" si="13"/>
        <v>0</v>
      </c>
      <c r="S25" s="205">
        <f t="shared" si="13"/>
        <v>0</v>
      </c>
      <c r="T25" s="205">
        <f t="shared" si="13"/>
        <v>0</v>
      </c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</row>
    <row r="26" spans="2:42" s="201" customFormat="1" x14ac:dyDescent="0.2">
      <c r="D26" s="218" t="s">
        <v>336</v>
      </c>
      <c r="E26" s="202"/>
      <c r="F26" s="98"/>
      <c r="G26" s="98"/>
      <c r="H26" s="98"/>
      <c r="I26" s="98"/>
      <c r="J26" s="98"/>
      <c r="K26" s="97">
        <f t="shared" ref="K26:T26" si="14">K123</f>
        <v>142.46575342465752</v>
      </c>
      <c r="L26" s="97">
        <f t="shared" si="14"/>
        <v>95.042721133258226</v>
      </c>
      <c r="M26" s="97">
        <f t="shared" si="14"/>
        <v>342.1537960797296</v>
      </c>
      <c r="N26" s="97">
        <f t="shared" si="14"/>
        <v>498.17592709208634</v>
      </c>
      <c r="O26" s="97">
        <f t="shared" si="14"/>
        <v>592.11767334373701</v>
      </c>
      <c r="P26" s="97">
        <f t="shared" si="14"/>
        <v>646.59249929136081</v>
      </c>
      <c r="Q26" s="97">
        <f t="shared" si="14"/>
        <v>704.4779230374445</v>
      </c>
      <c r="R26" s="97">
        <f t="shared" si="14"/>
        <v>765.95963268434878</v>
      </c>
      <c r="S26" s="97">
        <f t="shared" si="14"/>
        <v>831.23271442614555</v>
      </c>
      <c r="T26" s="97">
        <f t="shared" si="14"/>
        <v>900.50210729499111</v>
      </c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98"/>
      <c r="AJ26" s="98"/>
      <c r="AK26" s="98"/>
      <c r="AL26" s="98"/>
      <c r="AM26" s="98"/>
      <c r="AN26" s="98"/>
      <c r="AO26" s="98"/>
      <c r="AP26" s="98"/>
    </row>
    <row r="27" spans="2:42" x14ac:dyDescent="0.2">
      <c r="C27" s="132" t="s">
        <v>18</v>
      </c>
      <c r="E27" s="133"/>
      <c r="F27" s="99">
        <f>F130</f>
        <v>131.97149999999999</v>
      </c>
      <c r="G27" s="99">
        <f>G130</f>
        <v>124.35539999999999</v>
      </c>
      <c r="H27" s="99">
        <f t="shared" ref="H27:T27" si="15">H130</f>
        <v>123.7067</v>
      </c>
      <c r="I27" s="99">
        <f t="shared" si="15"/>
        <v>141.82520000000002</v>
      </c>
      <c r="J27" s="99">
        <f t="shared" si="15"/>
        <v>171.91370000000003</v>
      </c>
      <c r="K27" s="99">
        <f t="shared" ca="1" si="15"/>
        <v>3.3219526260720897</v>
      </c>
      <c r="L27" s="99">
        <f t="shared" ca="1" si="15"/>
        <v>562.83319887220841</v>
      </c>
      <c r="M27" s="99">
        <f t="shared" ca="1" si="15"/>
        <v>322.44947887521846</v>
      </c>
      <c r="N27" s="99">
        <f t="shared" ca="1" si="15"/>
        <v>137.31282813033289</v>
      </c>
      <c r="O27" s="99">
        <f t="shared" ca="1" si="15"/>
        <v>48.717331287213341</v>
      </c>
      <c r="P27" s="99">
        <f t="shared" ca="1" si="15"/>
        <v>27.934514790481089</v>
      </c>
      <c r="Q27" s="99">
        <f t="shared" ca="1" si="15"/>
        <v>16.148229164026155</v>
      </c>
      <c r="R27" s="99">
        <f t="shared" ca="1" si="15"/>
        <v>13.976945859354593</v>
      </c>
      <c r="S27" s="99">
        <f t="shared" ca="1" si="15"/>
        <v>1.9927634410545849</v>
      </c>
      <c r="T27" s="99">
        <f t="shared" ca="1" si="15"/>
        <v>2.2553617772269874</v>
      </c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</row>
    <row r="28" spans="2:42" x14ac:dyDescent="0.2">
      <c r="C28" s="130" t="s">
        <v>380</v>
      </c>
      <c r="E28" s="133"/>
      <c r="F28" s="99">
        <f>F134</f>
        <v>33.7971</v>
      </c>
      <c r="G28" s="99">
        <f>G134</f>
        <v>29.9879</v>
      </c>
      <c r="H28" s="99">
        <f t="shared" ref="H28:T28" si="16">H134</f>
        <v>20.565000000000001</v>
      </c>
      <c r="I28" s="99">
        <f t="shared" si="16"/>
        <v>22.350700000000003</v>
      </c>
      <c r="J28" s="99">
        <f t="shared" si="16"/>
        <v>27.913800000000002</v>
      </c>
      <c r="K28" s="206">
        <f t="shared" si="16"/>
        <v>27.913800000000002</v>
      </c>
      <c r="L28" s="206">
        <f t="shared" si="16"/>
        <v>27.913800000000002</v>
      </c>
      <c r="M28" s="206">
        <f t="shared" si="16"/>
        <v>27.913800000000002</v>
      </c>
      <c r="N28" s="206">
        <f t="shared" si="16"/>
        <v>27.913800000000002</v>
      </c>
      <c r="O28" s="206">
        <f t="shared" si="16"/>
        <v>27.913800000000002</v>
      </c>
      <c r="P28" s="206">
        <f t="shared" si="16"/>
        <v>27.913800000000002</v>
      </c>
      <c r="Q28" s="206">
        <f t="shared" si="16"/>
        <v>27.913800000000002</v>
      </c>
      <c r="R28" s="206">
        <f t="shared" si="16"/>
        <v>27.913800000000002</v>
      </c>
      <c r="S28" s="206">
        <f t="shared" si="16"/>
        <v>27.913800000000002</v>
      </c>
      <c r="T28" s="206">
        <f t="shared" si="16"/>
        <v>27.913800000000002</v>
      </c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</row>
    <row r="29" spans="2:42" x14ac:dyDescent="0.2">
      <c r="C29" s="130" t="s">
        <v>215</v>
      </c>
      <c r="E29" s="133"/>
      <c r="F29" s="99">
        <v>0</v>
      </c>
      <c r="G29" s="99">
        <v>0</v>
      </c>
      <c r="H29" s="99">
        <v>0</v>
      </c>
      <c r="I29" s="93">
        <f>2.29/(10^2)</f>
        <v>2.29E-2</v>
      </c>
      <c r="J29" s="93">
        <f>32.18/(10^2)</f>
        <v>0.32179999999999997</v>
      </c>
      <c r="K29" s="196">
        <f>J29</f>
        <v>0.32179999999999997</v>
      </c>
      <c r="L29" s="196">
        <f t="shared" ref="L29:T29" si="17">K29</f>
        <v>0.32179999999999997</v>
      </c>
      <c r="M29" s="196">
        <f t="shared" si="17"/>
        <v>0.32179999999999997</v>
      </c>
      <c r="N29" s="196">
        <f t="shared" si="17"/>
        <v>0.32179999999999997</v>
      </c>
      <c r="O29" s="196">
        <f t="shared" si="17"/>
        <v>0.32179999999999997</v>
      </c>
      <c r="P29" s="196">
        <f t="shared" si="17"/>
        <v>0.32179999999999997</v>
      </c>
      <c r="Q29" s="196">
        <f t="shared" si="17"/>
        <v>0.32179999999999997</v>
      </c>
      <c r="R29" s="196">
        <f t="shared" si="17"/>
        <v>0.32179999999999997</v>
      </c>
      <c r="S29" s="196">
        <f t="shared" si="17"/>
        <v>0.32179999999999997</v>
      </c>
      <c r="T29" s="196">
        <f t="shared" si="17"/>
        <v>0.32179999999999997</v>
      </c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</row>
    <row r="30" spans="2:42" x14ac:dyDescent="0.2">
      <c r="C30" s="219" t="s">
        <v>19</v>
      </c>
      <c r="D30" s="219"/>
      <c r="E30" s="219"/>
      <c r="F30" s="221">
        <f t="shared" ref="F30:T30" si="18">F20+F23+F27+F28+F29</f>
        <v>1395.8873999999998</v>
      </c>
      <c r="G30" s="221">
        <f t="shared" si="18"/>
        <v>1613.9259999999999</v>
      </c>
      <c r="H30" s="221">
        <f t="shared" si="18"/>
        <v>2027.2348999999997</v>
      </c>
      <c r="I30" s="221">
        <f t="shared" si="18"/>
        <v>2541.5367999999999</v>
      </c>
      <c r="J30" s="221">
        <f t="shared" si="18"/>
        <v>2658.3905000000004</v>
      </c>
      <c r="K30" s="221">
        <f t="shared" ca="1" si="18"/>
        <v>543.26988139319542</v>
      </c>
      <c r="L30" s="221">
        <f t="shared" ca="1" si="18"/>
        <v>886.48593552439138</v>
      </c>
      <c r="M30" s="221">
        <f t="shared" ca="1" si="18"/>
        <v>889.00705137399314</v>
      </c>
      <c r="N30" s="221">
        <f t="shared" ca="1" si="18"/>
        <v>949.3452200885489</v>
      </c>
      <c r="O30" s="221">
        <f t="shared" ca="1" si="18"/>
        <v>1008.5514040146929</v>
      </c>
      <c r="P30" s="221">
        <f t="shared" ca="1" si="18"/>
        <v>1073.4756470088887</v>
      </c>
      <c r="Q30" s="221">
        <f t="shared" ca="1" si="18"/>
        <v>1152.762428076272</v>
      </c>
      <c r="R30" s="221">
        <f t="shared" ca="1" si="18"/>
        <v>1247.3223679493967</v>
      </c>
      <c r="S30" s="221">
        <f t="shared" ca="1" si="18"/>
        <v>1338.0345008048569</v>
      </c>
      <c r="T30" s="221">
        <f t="shared" ca="1" si="18"/>
        <v>1447.2809439213461</v>
      </c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</row>
    <row r="31" spans="2:42" x14ac:dyDescent="0.2">
      <c r="B31" s="132"/>
      <c r="C31" s="132"/>
      <c r="D31" s="132"/>
      <c r="E31" s="132"/>
      <c r="F31" s="100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</row>
    <row r="32" spans="2:42" ht="13.5" thickBot="1" x14ac:dyDescent="0.25">
      <c r="B32" s="222" t="s">
        <v>20</v>
      </c>
      <c r="C32" s="222"/>
      <c r="D32" s="222"/>
      <c r="E32" s="222"/>
      <c r="F32" s="223">
        <f t="shared" ref="F32:T32" si="19">F17+F30</f>
        <v>1649.9325999999999</v>
      </c>
      <c r="G32" s="223">
        <f t="shared" si="19"/>
        <v>1862.1535999999999</v>
      </c>
      <c r="H32" s="223">
        <f t="shared" si="19"/>
        <v>2259.6668999999997</v>
      </c>
      <c r="I32" s="223">
        <f t="shared" si="19"/>
        <v>3061.2665999999999</v>
      </c>
      <c r="J32" s="223">
        <f t="shared" si="19"/>
        <v>3138.8196000000003</v>
      </c>
      <c r="K32" s="223">
        <f t="shared" ca="1" si="19"/>
        <v>996.73596622702553</v>
      </c>
      <c r="L32" s="223">
        <f t="shared" ca="1" si="19"/>
        <v>1318.1957548362684</v>
      </c>
      <c r="M32" s="223">
        <f t="shared" ca="1" si="19"/>
        <v>1293.402634114886</v>
      </c>
      <c r="N32" s="223">
        <f t="shared" ca="1" si="19"/>
        <v>1329.9976326460751</v>
      </c>
      <c r="O32" s="223">
        <f t="shared" ca="1" si="19"/>
        <v>1368.5316487261478</v>
      </c>
      <c r="P32" s="223">
        <f t="shared" ca="1" si="19"/>
        <v>1415.4328567817413</v>
      </c>
      <c r="Q32" s="223">
        <f t="shared" ca="1" si="19"/>
        <v>1478.9873851246734</v>
      </c>
      <c r="R32" s="223">
        <f t="shared" ca="1" si="19"/>
        <v>1559.7998487924581</v>
      </c>
      <c r="S32" s="223">
        <f t="shared" ca="1" si="19"/>
        <v>1638.4869082581436</v>
      </c>
      <c r="T32" s="223">
        <f t="shared" ca="1" si="19"/>
        <v>1737.2050026037693</v>
      </c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</row>
    <row r="33" spans="2:42" ht="13.5" thickTop="1" x14ac:dyDescent="0.2">
      <c r="B33" s="195"/>
      <c r="C33" s="195"/>
      <c r="D33" s="195"/>
      <c r="E33" s="195"/>
      <c r="F33" s="92"/>
      <c r="G33" s="101"/>
      <c r="H33" s="101"/>
      <c r="I33" s="101"/>
      <c r="J33" s="101"/>
      <c r="K33" s="101"/>
      <c r="L33" s="52"/>
      <c r="M33" s="52"/>
      <c r="N33" s="52"/>
      <c r="O33" s="52"/>
      <c r="P33" s="52"/>
      <c r="Q33" s="52"/>
      <c r="R33" s="52"/>
      <c r="S33" s="52"/>
      <c r="T33" s="52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</row>
    <row r="34" spans="2:42" x14ac:dyDescent="0.2">
      <c r="B34" s="195" t="s">
        <v>21</v>
      </c>
      <c r="C34" s="195"/>
      <c r="D34" s="195"/>
      <c r="E34" s="195"/>
      <c r="F34" s="65"/>
      <c r="G34" s="65"/>
      <c r="H34" s="65"/>
      <c r="I34" s="65"/>
      <c r="J34" s="65"/>
      <c r="K34" s="101"/>
      <c r="L34" s="52"/>
      <c r="M34" s="52"/>
      <c r="N34" s="52"/>
      <c r="O34" s="52"/>
      <c r="P34" s="52"/>
      <c r="Q34" s="52"/>
      <c r="R34" s="52"/>
      <c r="S34" s="52"/>
      <c r="T34" s="52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</row>
    <row r="35" spans="2:42" x14ac:dyDescent="0.2">
      <c r="C35" s="132" t="s">
        <v>22</v>
      </c>
      <c r="D35" s="133"/>
      <c r="E35" s="133"/>
      <c r="F35" s="99">
        <f>F67</f>
        <v>9.5435999999999996</v>
      </c>
      <c r="G35" s="99">
        <f t="shared" ref="G35:J35" si="20">G67</f>
        <v>9.5435999999999996</v>
      </c>
      <c r="H35" s="99">
        <f t="shared" si="20"/>
        <v>9.5435999999999996</v>
      </c>
      <c r="I35" s="99">
        <f t="shared" si="20"/>
        <v>9.5435999999999996</v>
      </c>
      <c r="J35" s="99">
        <f t="shared" si="20"/>
        <v>9.5435999999999996</v>
      </c>
      <c r="K35" s="99">
        <f t="shared" ref="K35:T35" si="21">K67</f>
        <v>9.5435999999999996</v>
      </c>
      <c r="L35" s="99">
        <f t="shared" si="21"/>
        <v>9.5435999999999996</v>
      </c>
      <c r="M35" s="99">
        <f t="shared" si="21"/>
        <v>9.5435999999999996</v>
      </c>
      <c r="N35" s="99">
        <f t="shared" si="21"/>
        <v>9.5435999999999996</v>
      </c>
      <c r="O35" s="99">
        <f t="shared" si="21"/>
        <v>9.5435999999999996</v>
      </c>
      <c r="P35" s="99">
        <f t="shared" si="21"/>
        <v>9.5435999999999996</v>
      </c>
      <c r="Q35" s="99">
        <f t="shared" si="21"/>
        <v>9.5435999999999996</v>
      </c>
      <c r="R35" s="99">
        <f t="shared" si="21"/>
        <v>9.5435999999999996</v>
      </c>
      <c r="S35" s="99">
        <f t="shared" si="21"/>
        <v>9.5435999999999996</v>
      </c>
      <c r="T35" s="99">
        <f t="shared" si="21"/>
        <v>9.5435999999999996</v>
      </c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</row>
    <row r="36" spans="2:42" x14ac:dyDescent="0.2">
      <c r="C36" s="132" t="s">
        <v>23</v>
      </c>
      <c r="D36" s="133"/>
      <c r="E36" s="133"/>
      <c r="F36" s="100">
        <f>F97</f>
        <v>534.50579999999968</v>
      </c>
      <c r="G36" s="100">
        <f>G97</f>
        <v>582.8317999999997</v>
      </c>
      <c r="H36" s="100">
        <f>H97</f>
        <v>637.0088999999997</v>
      </c>
      <c r="I36" s="100">
        <f>I97</f>
        <v>1003.1872000000003</v>
      </c>
      <c r="J36" s="100">
        <f>J97</f>
        <v>963.06680000000017</v>
      </c>
      <c r="K36" s="100">
        <f t="shared" ref="K36:T36" si="22">K97</f>
        <v>-2269.7192940469472</v>
      </c>
      <c r="L36" s="100">
        <f t="shared" ca="1" si="22"/>
        <v>-2337.8583657982826</v>
      </c>
      <c r="M36" s="100">
        <f t="shared" ca="1" si="22"/>
        <v>-2376.7792842687827</v>
      </c>
      <c r="N36" s="100">
        <f t="shared" ca="1" si="22"/>
        <v>-2350.0558207826539</v>
      </c>
      <c r="O36" s="100">
        <f t="shared" ca="1" si="22"/>
        <v>-2297.6648371279939</v>
      </c>
      <c r="P36" s="100">
        <f t="shared" ca="1" si="22"/>
        <v>-2230.1154592793287</v>
      </c>
      <c r="Q36" s="100">
        <f t="shared" ca="1" si="22"/>
        <v>-2147.2163674129583</v>
      </c>
      <c r="R36" s="100">
        <f t="shared" ca="1" si="22"/>
        <v>-2048.4339206104937</v>
      </c>
      <c r="S36" s="100">
        <f t="shared" ca="1" si="22"/>
        <v>-1932.4911952665393</v>
      </c>
      <c r="T36" s="100">
        <f t="shared" ca="1" si="22"/>
        <v>-1798.0449139623156</v>
      </c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</row>
    <row r="37" spans="2:42" x14ac:dyDescent="0.2">
      <c r="C37" s="219" t="s">
        <v>24</v>
      </c>
      <c r="D37" s="219"/>
      <c r="E37" s="219"/>
      <c r="F37" s="221">
        <f>SUM(F35:F36)</f>
        <v>544.04939999999965</v>
      </c>
      <c r="G37" s="221">
        <f>SUM(G35:G36)</f>
        <v>592.37539999999967</v>
      </c>
      <c r="H37" s="221">
        <f>SUM(H35:H36)</f>
        <v>646.55249999999967</v>
      </c>
      <c r="I37" s="221">
        <f>SUM(I35:I36)</f>
        <v>1012.7308000000003</v>
      </c>
      <c r="J37" s="221">
        <f>SUM(J35:J36)</f>
        <v>972.61040000000014</v>
      </c>
      <c r="K37" s="221">
        <f t="shared" ref="K37:T37" si="23">SUM(K35:K36)</f>
        <v>-2260.1756940469472</v>
      </c>
      <c r="L37" s="221">
        <f t="shared" ca="1" si="23"/>
        <v>-2328.3147657982827</v>
      </c>
      <c r="M37" s="221">
        <f t="shared" ca="1" si="23"/>
        <v>-2367.2356842687827</v>
      </c>
      <c r="N37" s="221">
        <f t="shared" ca="1" si="23"/>
        <v>-2340.5122207826539</v>
      </c>
      <c r="O37" s="221">
        <f t="shared" ca="1" si="23"/>
        <v>-2288.1212371279939</v>
      </c>
      <c r="P37" s="221">
        <f t="shared" ca="1" si="23"/>
        <v>-2220.5718592793287</v>
      </c>
      <c r="Q37" s="221">
        <f t="shared" ca="1" si="23"/>
        <v>-2137.6727674129584</v>
      </c>
      <c r="R37" s="221">
        <f t="shared" ca="1" si="23"/>
        <v>-2038.8903206104937</v>
      </c>
      <c r="S37" s="221">
        <f t="shared" ca="1" si="23"/>
        <v>-1922.9475952665393</v>
      </c>
      <c r="T37" s="221">
        <f t="shared" ca="1" si="23"/>
        <v>-1788.5013139623156</v>
      </c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</row>
    <row r="38" spans="2:42" x14ac:dyDescent="0.2">
      <c r="B38" s="195"/>
      <c r="C38" s="195"/>
      <c r="D38" s="195"/>
      <c r="E38" s="195"/>
      <c r="F38" s="92"/>
      <c r="G38" s="101"/>
      <c r="H38" s="101"/>
      <c r="I38" s="101"/>
      <c r="J38" s="101"/>
      <c r="K38" s="101"/>
      <c r="L38" s="52"/>
      <c r="M38" s="52"/>
      <c r="N38" s="52"/>
      <c r="O38" s="52"/>
      <c r="P38" s="52"/>
      <c r="Q38" s="52"/>
      <c r="R38" s="52"/>
      <c r="S38" s="52"/>
      <c r="T38" s="52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</row>
    <row r="39" spans="2:42" x14ac:dyDescent="0.2">
      <c r="B39" s="195" t="s">
        <v>25</v>
      </c>
      <c r="C39" s="195"/>
      <c r="D39" s="195"/>
      <c r="E39" s="195"/>
      <c r="F39" s="92"/>
      <c r="G39" s="101"/>
      <c r="H39" s="101"/>
      <c r="I39" s="101"/>
      <c r="J39" s="101"/>
      <c r="K39" s="101"/>
      <c r="L39" s="52"/>
      <c r="M39" s="52"/>
      <c r="N39" s="52"/>
      <c r="O39" s="52"/>
      <c r="P39" s="52"/>
      <c r="Q39" s="52"/>
      <c r="R39" s="52"/>
      <c r="S39" s="52"/>
      <c r="T39" s="52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</row>
    <row r="40" spans="2:42" x14ac:dyDescent="0.2">
      <c r="C40" s="195" t="s">
        <v>26</v>
      </c>
      <c r="D40" s="195"/>
      <c r="E40" s="195"/>
      <c r="F40" s="92"/>
      <c r="G40" s="93"/>
      <c r="H40" s="93"/>
      <c r="I40" s="93"/>
      <c r="J40" s="65"/>
      <c r="K40" s="93"/>
      <c r="L40" s="52"/>
      <c r="M40" s="52"/>
      <c r="N40" s="52"/>
      <c r="O40" s="52"/>
      <c r="P40" s="52"/>
      <c r="Q40" s="52"/>
      <c r="R40" s="52"/>
      <c r="S40" s="52"/>
      <c r="T40" s="52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</row>
    <row r="41" spans="2:42" x14ac:dyDescent="0.2">
      <c r="C41" s="130" t="s">
        <v>132</v>
      </c>
      <c r="D41" s="133"/>
      <c r="E41" s="133"/>
      <c r="F41" s="94">
        <f t="shared" ref="F41:T41" si="24">F159</f>
        <v>61.232400000000005</v>
      </c>
      <c r="G41" s="94">
        <f t="shared" si="24"/>
        <v>61.849100000000007</v>
      </c>
      <c r="H41" s="94">
        <f t="shared" si="24"/>
        <v>138.91470000000001</v>
      </c>
      <c r="I41" s="94">
        <f t="shared" si="24"/>
        <v>143.1044</v>
      </c>
      <c r="J41" s="94">
        <f t="shared" si="24"/>
        <v>125.5715</v>
      </c>
      <c r="K41" s="94">
        <f t="shared" ca="1" si="24"/>
        <v>3151.4360000000001</v>
      </c>
      <c r="L41" s="94">
        <f t="shared" ca="1" si="24"/>
        <v>3499.7811341043057</v>
      </c>
      <c r="M41" s="94">
        <f t="shared" ca="1" si="24"/>
        <v>3450.0175435179763</v>
      </c>
      <c r="N41" s="94">
        <f t="shared" ca="1" si="24"/>
        <v>3400.2539529316468</v>
      </c>
      <c r="O41" s="94">
        <f t="shared" ca="1" si="24"/>
        <v>3358.7842941097056</v>
      </c>
      <c r="P41" s="94">
        <f t="shared" ca="1" si="24"/>
        <v>3317.3146352877648</v>
      </c>
      <c r="Q41" s="94">
        <f t="shared" ca="1" si="24"/>
        <v>3275.8449764658235</v>
      </c>
      <c r="R41" s="94">
        <f t="shared" ca="1" si="24"/>
        <v>3213.6404882329116</v>
      </c>
      <c r="S41" s="94">
        <f t="shared" ca="1" si="24"/>
        <v>3151.4360000000001</v>
      </c>
      <c r="T41" s="94">
        <f t="shared" ca="1" si="24"/>
        <v>3151.4360000000001</v>
      </c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</row>
    <row r="42" spans="2:42" x14ac:dyDescent="0.2">
      <c r="C42" s="130" t="s">
        <v>379</v>
      </c>
      <c r="D42" s="133"/>
      <c r="E42" s="133"/>
      <c r="F42" s="93">
        <f>31.29/(10^2)</f>
        <v>0.31290000000000001</v>
      </c>
      <c r="G42" s="93">
        <f>84.6/(10^2)</f>
        <v>0.84599999999999997</v>
      </c>
      <c r="H42" s="93">
        <f>84.17/(10^2)</f>
        <v>0.8417</v>
      </c>
      <c r="I42" s="93">
        <f>0/(10^2)</f>
        <v>0</v>
      </c>
      <c r="J42" s="93">
        <f>0/(10^2)</f>
        <v>0</v>
      </c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</row>
    <row r="43" spans="2:42" x14ac:dyDescent="0.2">
      <c r="C43" s="219" t="s">
        <v>28</v>
      </c>
      <c r="D43" s="219"/>
      <c r="E43" s="219"/>
      <c r="F43" s="221">
        <f>SUM(F41:F42)</f>
        <v>61.545300000000005</v>
      </c>
      <c r="G43" s="221">
        <f t="shared" ref="G43:T43" si="25">SUM(G41:G42)</f>
        <v>62.695100000000004</v>
      </c>
      <c r="H43" s="221">
        <f t="shared" si="25"/>
        <v>139.75640000000001</v>
      </c>
      <c r="I43" s="221">
        <f t="shared" si="25"/>
        <v>143.1044</v>
      </c>
      <c r="J43" s="221">
        <f t="shared" si="25"/>
        <v>125.5715</v>
      </c>
      <c r="K43" s="221">
        <f t="shared" ca="1" si="25"/>
        <v>3151.4360000000001</v>
      </c>
      <c r="L43" s="221">
        <f t="shared" ca="1" si="25"/>
        <v>3499.7811341043057</v>
      </c>
      <c r="M43" s="221">
        <f t="shared" ca="1" si="25"/>
        <v>3450.0175435179763</v>
      </c>
      <c r="N43" s="221">
        <f t="shared" ca="1" si="25"/>
        <v>3400.2539529316468</v>
      </c>
      <c r="O43" s="221">
        <f t="shared" ca="1" si="25"/>
        <v>3358.7842941097056</v>
      </c>
      <c r="P43" s="221">
        <f t="shared" ca="1" si="25"/>
        <v>3317.3146352877648</v>
      </c>
      <c r="Q43" s="221">
        <f t="shared" ca="1" si="25"/>
        <v>3275.8449764658235</v>
      </c>
      <c r="R43" s="221">
        <f t="shared" ca="1" si="25"/>
        <v>3213.6404882329116</v>
      </c>
      <c r="S43" s="221">
        <f t="shared" ca="1" si="25"/>
        <v>3151.4360000000001</v>
      </c>
      <c r="T43" s="221">
        <f t="shared" ca="1" si="25"/>
        <v>3151.4360000000001</v>
      </c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</row>
    <row r="44" spans="2:42" x14ac:dyDescent="0.2">
      <c r="B44" s="195"/>
      <c r="C44" s="195"/>
      <c r="D44" s="195"/>
      <c r="E44" s="195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</row>
    <row r="45" spans="2:42" x14ac:dyDescent="0.2">
      <c r="C45" s="195" t="s">
        <v>29</v>
      </c>
      <c r="D45" s="195"/>
      <c r="E45" s="195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</row>
    <row r="46" spans="2:42" x14ac:dyDescent="0.2">
      <c r="C46" s="130" t="s">
        <v>137</v>
      </c>
      <c r="D46" s="133"/>
      <c r="E46" s="133"/>
      <c r="F46" s="102">
        <f>F167</f>
        <v>680.4097999999999</v>
      </c>
      <c r="G46" s="102">
        <f t="shared" ref="G46:J46" si="26">G167</f>
        <v>803.8211</v>
      </c>
      <c r="H46" s="102">
        <f t="shared" si="26"/>
        <v>810.85230000000001</v>
      </c>
      <c r="I46" s="102">
        <f t="shared" si="26"/>
        <v>1051.6569</v>
      </c>
      <c r="J46" s="102">
        <f t="shared" si="26"/>
        <v>1247.2442999999998</v>
      </c>
      <c r="K46" s="102">
        <f t="shared" ref="K46:T46" ca="1" si="27">K167</f>
        <v>0</v>
      </c>
      <c r="L46" s="102">
        <f t="shared" ca="1" si="27"/>
        <v>66.351454115105824</v>
      </c>
      <c r="M46" s="102">
        <f t="shared" ca="1" si="27"/>
        <v>49.763590586329364</v>
      </c>
      <c r="N46" s="102">
        <f t="shared" ca="1" si="27"/>
        <v>49.763590586329364</v>
      </c>
      <c r="O46" s="102">
        <f t="shared" ca="1" si="27"/>
        <v>41.469658821941145</v>
      </c>
      <c r="P46" s="102">
        <f t="shared" ca="1" si="27"/>
        <v>41.469658821941145</v>
      </c>
      <c r="Q46" s="102">
        <f t="shared" ca="1" si="27"/>
        <v>41.469658821941145</v>
      </c>
      <c r="R46" s="102">
        <f t="shared" ca="1" si="27"/>
        <v>62.204488232911707</v>
      </c>
      <c r="S46" s="102">
        <f t="shared" ca="1" si="27"/>
        <v>62.204488232911721</v>
      </c>
      <c r="T46" s="102">
        <f t="shared" si="27"/>
        <v>0</v>
      </c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</row>
    <row r="47" spans="2:42" x14ac:dyDescent="0.2">
      <c r="C47" s="130" t="s">
        <v>30</v>
      </c>
      <c r="D47" s="133"/>
      <c r="E47" s="133"/>
      <c r="F47" s="65">
        <f t="shared" ref="F47:T47" si="28">F48+F49</f>
        <v>268.49690000000004</v>
      </c>
      <c r="G47" s="65">
        <f t="shared" si="28"/>
        <v>301.14789999999999</v>
      </c>
      <c r="H47" s="65">
        <f t="shared" si="28"/>
        <v>607.67969999999991</v>
      </c>
      <c r="I47" s="65">
        <f t="shared" si="28"/>
        <v>786.34429999999998</v>
      </c>
      <c r="J47" s="65">
        <f t="shared" si="28"/>
        <v>763.31500000000005</v>
      </c>
      <c r="K47" s="65">
        <f t="shared" si="28"/>
        <v>75.397260273972606</v>
      </c>
      <c r="L47" s="65">
        <f t="shared" si="28"/>
        <v>50.29953241513973</v>
      </c>
      <c r="M47" s="65">
        <f t="shared" si="28"/>
        <v>130.77878427936329</v>
      </c>
      <c r="N47" s="65">
        <f t="shared" si="28"/>
        <v>190.41390991075298</v>
      </c>
      <c r="O47" s="65">
        <f t="shared" si="28"/>
        <v>226.320532922495</v>
      </c>
      <c r="P47" s="65">
        <f t="shared" si="28"/>
        <v>247.1420219513646</v>
      </c>
      <c r="Q47" s="65">
        <f t="shared" si="28"/>
        <v>269.26711724986768</v>
      </c>
      <c r="R47" s="65">
        <f t="shared" si="28"/>
        <v>292.76679293712886</v>
      </c>
      <c r="S47" s="65">
        <f t="shared" si="28"/>
        <v>317.71561529177114</v>
      </c>
      <c r="T47" s="65">
        <f t="shared" si="28"/>
        <v>344.19191656608547</v>
      </c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</row>
    <row r="48" spans="2:42" s="201" customFormat="1" x14ac:dyDescent="0.2">
      <c r="D48" s="202"/>
      <c r="E48" s="202"/>
      <c r="F48" s="103">
        <f>F172</f>
        <v>268.49690000000004</v>
      </c>
      <c r="G48" s="103">
        <f>G172</f>
        <v>301.14789999999999</v>
      </c>
      <c r="H48" s="103">
        <f>H172</f>
        <v>607.67969999999991</v>
      </c>
      <c r="I48" s="103">
        <f>I172</f>
        <v>786.34429999999998</v>
      </c>
      <c r="J48" s="103">
        <f>J172</f>
        <v>763.31500000000005</v>
      </c>
      <c r="K48" s="203">
        <v>0</v>
      </c>
      <c r="L48" s="204">
        <f>K48</f>
        <v>0</v>
      </c>
      <c r="M48" s="204">
        <f t="shared" ref="M48:T48" si="29">L48</f>
        <v>0</v>
      </c>
      <c r="N48" s="204">
        <f t="shared" si="29"/>
        <v>0</v>
      </c>
      <c r="O48" s="204">
        <f t="shared" si="29"/>
        <v>0</v>
      </c>
      <c r="P48" s="204">
        <f t="shared" si="29"/>
        <v>0</v>
      </c>
      <c r="Q48" s="204">
        <f t="shared" si="29"/>
        <v>0</v>
      </c>
      <c r="R48" s="204">
        <f t="shared" si="29"/>
        <v>0</v>
      </c>
      <c r="S48" s="204">
        <f t="shared" si="29"/>
        <v>0</v>
      </c>
      <c r="T48" s="204">
        <f t="shared" si="29"/>
        <v>0</v>
      </c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  <c r="AG48" s="98"/>
      <c r="AH48" s="98"/>
      <c r="AI48" s="98"/>
      <c r="AJ48" s="98"/>
      <c r="AK48" s="98"/>
      <c r="AL48" s="98"/>
      <c r="AM48" s="98"/>
      <c r="AN48" s="98"/>
      <c r="AO48" s="98"/>
      <c r="AP48" s="98"/>
    </row>
    <row r="49" spans="2:42" s="201" customFormat="1" x14ac:dyDescent="0.2">
      <c r="D49" s="202"/>
      <c r="E49" s="202"/>
      <c r="F49" s="98"/>
      <c r="G49" s="98"/>
      <c r="H49" s="98"/>
      <c r="I49" s="98"/>
      <c r="J49" s="98"/>
      <c r="K49" s="103">
        <f t="shared" ref="K49:T49" si="30">K172</f>
        <v>75.397260273972606</v>
      </c>
      <c r="L49" s="103">
        <f t="shared" si="30"/>
        <v>50.29953241513973</v>
      </c>
      <c r="M49" s="103">
        <f t="shared" si="30"/>
        <v>130.77878427936329</v>
      </c>
      <c r="N49" s="103">
        <f t="shared" si="30"/>
        <v>190.41390991075298</v>
      </c>
      <c r="O49" s="103">
        <f t="shared" si="30"/>
        <v>226.320532922495</v>
      </c>
      <c r="P49" s="103">
        <f t="shared" si="30"/>
        <v>247.1420219513646</v>
      </c>
      <c r="Q49" s="103">
        <f t="shared" si="30"/>
        <v>269.26711724986768</v>
      </c>
      <c r="R49" s="103">
        <f t="shared" si="30"/>
        <v>292.76679293712886</v>
      </c>
      <c r="S49" s="103">
        <f t="shared" si="30"/>
        <v>317.71561529177114</v>
      </c>
      <c r="T49" s="103">
        <f t="shared" si="30"/>
        <v>344.19191656608547</v>
      </c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</row>
    <row r="50" spans="2:42" x14ac:dyDescent="0.2">
      <c r="C50" s="130" t="s">
        <v>131</v>
      </c>
      <c r="D50" s="133"/>
      <c r="E50" s="133"/>
      <c r="F50" s="94">
        <f>F174</f>
        <v>47.266400000000004</v>
      </c>
      <c r="G50" s="94">
        <f>G174</f>
        <v>87.145300000000006</v>
      </c>
      <c r="H50" s="94">
        <f>H174</f>
        <v>40.039099999999998</v>
      </c>
      <c r="I50" s="94">
        <f>I174</f>
        <v>55.377700000000004</v>
      </c>
      <c r="J50" s="94">
        <f>J174</f>
        <v>0</v>
      </c>
      <c r="K50" s="94">
        <f t="shared" ref="K50:T50" si="31">K174</f>
        <v>0</v>
      </c>
      <c r="L50" s="94">
        <f t="shared" si="31"/>
        <v>0</v>
      </c>
      <c r="M50" s="94">
        <f t="shared" si="31"/>
        <v>0</v>
      </c>
      <c r="N50" s="94">
        <f t="shared" si="31"/>
        <v>0</v>
      </c>
      <c r="O50" s="94">
        <f t="shared" si="31"/>
        <v>0</v>
      </c>
      <c r="P50" s="94">
        <f t="shared" si="31"/>
        <v>0</v>
      </c>
      <c r="Q50" s="94">
        <f t="shared" si="31"/>
        <v>0</v>
      </c>
      <c r="R50" s="94">
        <f t="shared" si="31"/>
        <v>0</v>
      </c>
      <c r="S50" s="94">
        <f t="shared" si="31"/>
        <v>0</v>
      </c>
      <c r="T50" s="94">
        <f t="shared" si="31"/>
        <v>0</v>
      </c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</row>
    <row r="51" spans="2:42" x14ac:dyDescent="0.2">
      <c r="C51" s="130" t="s">
        <v>31</v>
      </c>
      <c r="D51" s="133"/>
      <c r="E51" s="133"/>
      <c r="F51" s="94">
        <f>F196</f>
        <v>42.918999999999997</v>
      </c>
      <c r="G51" s="94">
        <f t="shared" ref="G51:I51" si="32">G196</f>
        <v>8.1552000000000007</v>
      </c>
      <c r="H51" s="94">
        <f t="shared" si="32"/>
        <v>6.6024000000000003</v>
      </c>
      <c r="I51" s="94">
        <f t="shared" si="32"/>
        <v>4.9800999999999993</v>
      </c>
      <c r="J51" s="94">
        <f t="shared" ref="J51:T51" si="33">J196</f>
        <v>27.177100000000003</v>
      </c>
      <c r="K51" s="199">
        <f t="shared" si="33"/>
        <v>27.177100000000003</v>
      </c>
      <c r="L51" s="199">
        <f t="shared" si="33"/>
        <v>27.177100000000003</v>
      </c>
      <c r="M51" s="199">
        <f t="shared" si="33"/>
        <v>27.177100000000003</v>
      </c>
      <c r="N51" s="199">
        <f t="shared" si="33"/>
        <v>27.177100000000003</v>
      </c>
      <c r="O51" s="199">
        <f t="shared" si="33"/>
        <v>27.177100000000003</v>
      </c>
      <c r="P51" s="199">
        <f t="shared" si="33"/>
        <v>27.177100000000003</v>
      </c>
      <c r="Q51" s="199">
        <f t="shared" si="33"/>
        <v>27.177100000000003</v>
      </c>
      <c r="R51" s="199">
        <f t="shared" si="33"/>
        <v>27.177100000000003</v>
      </c>
      <c r="S51" s="199">
        <f t="shared" si="33"/>
        <v>27.177100000000003</v>
      </c>
      <c r="T51" s="199">
        <f t="shared" si="33"/>
        <v>27.177100000000003</v>
      </c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</row>
    <row r="52" spans="2:42" x14ac:dyDescent="0.2">
      <c r="C52" s="130" t="s">
        <v>155</v>
      </c>
      <c r="D52" s="133"/>
      <c r="E52" s="133"/>
      <c r="F52" s="94">
        <f>F204</f>
        <v>5.2460000000000004</v>
      </c>
      <c r="G52" s="94">
        <f t="shared" ref="G52:I52" si="34">G204</f>
        <v>6.814099999999998</v>
      </c>
      <c r="H52" s="94">
        <f t="shared" si="34"/>
        <v>8.1852000000000018</v>
      </c>
      <c r="I52" s="94">
        <f t="shared" si="34"/>
        <v>7.0747999999999989</v>
      </c>
      <c r="J52" s="94">
        <f t="shared" ref="J52:T52" si="35">J204</f>
        <v>2.9051</v>
      </c>
      <c r="K52" s="199">
        <f t="shared" si="35"/>
        <v>2.9051</v>
      </c>
      <c r="L52" s="199">
        <f t="shared" si="35"/>
        <v>2.9051</v>
      </c>
      <c r="M52" s="199">
        <f t="shared" si="35"/>
        <v>2.9051</v>
      </c>
      <c r="N52" s="199">
        <f t="shared" si="35"/>
        <v>2.9051</v>
      </c>
      <c r="O52" s="199">
        <f t="shared" si="35"/>
        <v>2.9051</v>
      </c>
      <c r="P52" s="199">
        <f t="shared" si="35"/>
        <v>2.9051</v>
      </c>
      <c r="Q52" s="199">
        <f t="shared" si="35"/>
        <v>2.9051</v>
      </c>
      <c r="R52" s="199">
        <f t="shared" si="35"/>
        <v>2.9051</v>
      </c>
      <c r="S52" s="199">
        <f t="shared" si="35"/>
        <v>2.9051</v>
      </c>
      <c r="T52" s="199">
        <f t="shared" si="35"/>
        <v>2.9051</v>
      </c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</row>
    <row r="53" spans="2:42" x14ac:dyDescent="0.2">
      <c r="C53" s="219" t="s">
        <v>32</v>
      </c>
      <c r="D53" s="219"/>
      <c r="E53" s="219"/>
      <c r="F53" s="221">
        <f t="shared" ref="F53:T53" si="36">F46+F47+F50+F51+F52</f>
        <v>1044.3381000000002</v>
      </c>
      <c r="G53" s="221">
        <f t="shared" si="36"/>
        <v>1207.0835999999999</v>
      </c>
      <c r="H53" s="221">
        <f t="shared" si="36"/>
        <v>1473.3586999999998</v>
      </c>
      <c r="I53" s="221">
        <f t="shared" si="36"/>
        <v>1905.4338</v>
      </c>
      <c r="J53" s="221">
        <f t="shared" si="36"/>
        <v>2040.6415</v>
      </c>
      <c r="K53" s="221">
        <f t="shared" ca="1" si="36"/>
        <v>105.47946027397262</v>
      </c>
      <c r="L53" s="221">
        <f t="shared" ca="1" si="36"/>
        <v>146.73318653024555</v>
      </c>
      <c r="M53" s="221">
        <f t="shared" ca="1" si="36"/>
        <v>210.62457486569267</v>
      </c>
      <c r="N53" s="221">
        <f t="shared" ca="1" si="36"/>
        <v>270.25970049708235</v>
      </c>
      <c r="O53" s="221">
        <f t="shared" ca="1" si="36"/>
        <v>297.87239174443613</v>
      </c>
      <c r="P53" s="221">
        <f t="shared" ca="1" si="36"/>
        <v>318.69388077330575</v>
      </c>
      <c r="Q53" s="221">
        <f t="shared" ca="1" si="36"/>
        <v>340.81897607180883</v>
      </c>
      <c r="R53" s="221">
        <f t="shared" ca="1" si="36"/>
        <v>385.05348117004058</v>
      </c>
      <c r="S53" s="221">
        <f t="shared" ca="1" si="36"/>
        <v>410.00230352468287</v>
      </c>
      <c r="T53" s="221">
        <f t="shared" si="36"/>
        <v>374.27411656608547</v>
      </c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</row>
    <row r="54" spans="2:42" x14ac:dyDescent="0.2">
      <c r="B54" s="132"/>
      <c r="C54" s="132"/>
      <c r="D54" s="132"/>
      <c r="E54" s="132"/>
      <c r="F54" s="100"/>
      <c r="G54" s="93"/>
      <c r="H54" s="93"/>
      <c r="I54" s="93"/>
      <c r="J54" s="93"/>
      <c r="K54" s="93"/>
      <c r="L54" s="52"/>
      <c r="M54" s="52"/>
      <c r="N54" s="52"/>
      <c r="O54" s="52"/>
      <c r="P54" s="52"/>
      <c r="Q54" s="52"/>
      <c r="R54" s="52"/>
      <c r="S54" s="52"/>
      <c r="T54" s="52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</row>
    <row r="55" spans="2:42" ht="13.5" thickBot="1" x14ac:dyDescent="0.25">
      <c r="B55" s="222" t="s">
        <v>33</v>
      </c>
      <c r="C55" s="222"/>
      <c r="D55" s="222"/>
      <c r="E55" s="222"/>
      <c r="F55" s="223">
        <f t="shared" ref="F55:T55" si="37">F37+F43+F53</f>
        <v>1649.9327999999998</v>
      </c>
      <c r="G55" s="223">
        <f t="shared" si="37"/>
        <v>1862.1540999999997</v>
      </c>
      <c r="H55" s="223">
        <f t="shared" si="37"/>
        <v>2259.6675999999993</v>
      </c>
      <c r="I55" s="223">
        <f t="shared" si="37"/>
        <v>3061.2690000000002</v>
      </c>
      <c r="J55" s="223">
        <f t="shared" si="37"/>
        <v>3138.8234000000002</v>
      </c>
      <c r="K55" s="223">
        <f t="shared" ca="1" si="37"/>
        <v>996.73976622702548</v>
      </c>
      <c r="L55" s="223">
        <f t="shared" ca="1" si="37"/>
        <v>1318.1995548362686</v>
      </c>
      <c r="M55" s="223">
        <f t="shared" ca="1" si="37"/>
        <v>1293.4064341148862</v>
      </c>
      <c r="N55" s="223">
        <f t="shared" ca="1" si="37"/>
        <v>1330.0014326460753</v>
      </c>
      <c r="O55" s="223">
        <f t="shared" ca="1" si="37"/>
        <v>1368.5354487261477</v>
      </c>
      <c r="P55" s="223">
        <f t="shared" ca="1" si="37"/>
        <v>1415.4366567817419</v>
      </c>
      <c r="Q55" s="223">
        <f t="shared" ca="1" si="37"/>
        <v>1478.9911851246738</v>
      </c>
      <c r="R55" s="223">
        <f t="shared" ca="1" si="37"/>
        <v>1559.8036487924585</v>
      </c>
      <c r="S55" s="223">
        <f t="shared" ca="1" si="37"/>
        <v>1638.4907082581437</v>
      </c>
      <c r="T55" s="223">
        <f t="shared" ca="1" si="37"/>
        <v>1737.20880260377</v>
      </c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</row>
    <row r="56" spans="2:42" ht="13.5" thickTop="1" x14ac:dyDescent="0.2">
      <c r="B56" s="201" t="s">
        <v>201</v>
      </c>
      <c r="C56" s="201"/>
      <c r="D56" s="201"/>
      <c r="E56" s="201"/>
      <c r="F56" s="98">
        <f>ROUND(F55-F32,0)</f>
        <v>0</v>
      </c>
      <c r="G56" s="98">
        <f>ROUND(G55-G32,0)</f>
        <v>0</v>
      </c>
      <c r="H56" s="98">
        <f t="shared" ref="H56:T56" si="38">(H55-H32)</f>
        <v>6.9999999959691195E-4</v>
      </c>
      <c r="I56" s="98">
        <f t="shared" si="38"/>
        <v>2.4000000003070454E-3</v>
      </c>
      <c r="J56" s="98">
        <f t="shared" si="38"/>
        <v>3.7999999999556167E-3</v>
      </c>
      <c r="K56" s="98">
        <f t="shared" ca="1" si="38"/>
        <v>3.7999999999556167E-3</v>
      </c>
      <c r="L56" s="98">
        <f t="shared" ca="1" si="38"/>
        <v>3.8000000001829903E-3</v>
      </c>
      <c r="M56" s="98">
        <f t="shared" ca="1" si="38"/>
        <v>3.8000000001829903E-3</v>
      </c>
      <c r="N56" s="98">
        <f t="shared" ca="1" si="38"/>
        <v>3.8000000001829903E-3</v>
      </c>
      <c r="O56" s="98">
        <f t="shared" ca="1" si="38"/>
        <v>3.7999999999556167E-3</v>
      </c>
      <c r="P56" s="98">
        <f t="shared" ca="1" si="38"/>
        <v>3.8000000006377377E-3</v>
      </c>
      <c r="Q56" s="98">
        <f t="shared" ca="1" si="38"/>
        <v>3.800000000410364E-3</v>
      </c>
      <c r="R56" s="98">
        <f t="shared" ca="1" si="38"/>
        <v>3.800000000410364E-3</v>
      </c>
      <c r="S56" s="98">
        <f t="shared" ca="1" si="38"/>
        <v>3.8000000001829903E-3</v>
      </c>
      <c r="T56" s="98">
        <f t="shared" ca="1" si="38"/>
        <v>3.8000000006377377E-3</v>
      </c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</row>
    <row r="57" spans="2:42" x14ac:dyDescent="0.2"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</row>
    <row r="58" spans="2:42" x14ac:dyDescent="0.2">
      <c r="B58" s="139" t="s">
        <v>389</v>
      </c>
      <c r="C58" s="139"/>
      <c r="D58" s="139"/>
      <c r="E58" s="126"/>
      <c r="F58" s="127"/>
      <c r="G58" s="127"/>
      <c r="H58" s="127"/>
      <c r="I58" s="127"/>
      <c r="J58" s="128"/>
      <c r="K58" s="140"/>
      <c r="L58" s="140"/>
      <c r="M58" s="140"/>
      <c r="N58" s="140"/>
      <c r="O58" s="140"/>
      <c r="P58" s="140"/>
      <c r="Q58" s="140"/>
      <c r="R58" s="140"/>
      <c r="S58" s="140"/>
      <c r="T58" s="128"/>
    </row>
    <row r="59" spans="2:42" x14ac:dyDescent="0.2">
      <c r="B59" s="224"/>
      <c r="C59" s="224"/>
      <c r="D59" s="224"/>
      <c r="E59" s="225"/>
      <c r="F59" s="226"/>
      <c r="G59" s="226"/>
      <c r="H59" s="226"/>
      <c r="I59" s="226"/>
      <c r="J59" s="227"/>
      <c r="K59" s="228"/>
      <c r="L59" s="228"/>
      <c r="M59" s="228"/>
      <c r="N59" s="228"/>
      <c r="O59" s="228"/>
      <c r="P59" s="228"/>
      <c r="Q59" s="228"/>
      <c r="R59" s="228"/>
      <c r="S59" s="228"/>
      <c r="T59" s="227"/>
    </row>
    <row r="60" spans="2:42" x14ac:dyDescent="0.2">
      <c r="B60" s="132" t="s">
        <v>34</v>
      </c>
      <c r="C60" s="132"/>
      <c r="D60" s="132"/>
      <c r="E60" s="132"/>
      <c r="F60" s="100">
        <f>F21+F24</f>
        <v>1230.1188</v>
      </c>
      <c r="G60" s="100">
        <f>G21+G24</f>
        <v>1459.5826999999999</v>
      </c>
      <c r="H60" s="100">
        <f>H21+H24</f>
        <v>1882.9631999999997</v>
      </c>
      <c r="I60" s="100">
        <f>I21+I24</f>
        <v>2377.3379999999997</v>
      </c>
      <c r="J60" s="100">
        <f t="shared" ref="J60:T60" si="39">J20+J23</f>
        <v>2458.2412000000004</v>
      </c>
      <c r="K60" s="100">
        <f t="shared" si="39"/>
        <v>511.71232876712327</v>
      </c>
      <c r="L60" s="100">
        <f t="shared" si="39"/>
        <v>295.41713665218288</v>
      </c>
      <c r="M60" s="100">
        <f t="shared" si="39"/>
        <v>538.32197249877458</v>
      </c>
      <c r="N60" s="100">
        <f t="shared" si="39"/>
        <v>783.79679195821586</v>
      </c>
      <c r="O60" s="100">
        <f t="shared" si="39"/>
        <v>931.59847272747947</v>
      </c>
      <c r="P60" s="100">
        <f t="shared" si="39"/>
        <v>1017.3055322184077</v>
      </c>
      <c r="Q60" s="100">
        <f t="shared" si="39"/>
        <v>1108.3785989122459</v>
      </c>
      <c r="R60" s="100">
        <f t="shared" si="39"/>
        <v>1205.1098220900421</v>
      </c>
      <c r="S60" s="100">
        <f t="shared" si="39"/>
        <v>1307.8061373638022</v>
      </c>
      <c r="T60" s="100">
        <f t="shared" si="39"/>
        <v>1416.7899821441192</v>
      </c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</row>
    <row r="61" spans="2:42" x14ac:dyDescent="0.2">
      <c r="B61" s="132" t="s">
        <v>35</v>
      </c>
      <c r="C61" s="132"/>
      <c r="D61" s="132"/>
      <c r="E61" s="132"/>
      <c r="F61" s="100">
        <f>F48+F50</f>
        <v>315.76330000000007</v>
      </c>
      <c r="G61" s="100">
        <f>G48+G50</f>
        <v>388.29320000000001</v>
      </c>
      <c r="H61" s="100">
        <f>H48+H50</f>
        <v>647.71879999999987</v>
      </c>
      <c r="I61" s="100">
        <f>I48+I50</f>
        <v>841.72199999999998</v>
      </c>
      <c r="J61" s="100">
        <f t="shared" ref="J61:T61" si="40">J47+J50</f>
        <v>763.31500000000005</v>
      </c>
      <c r="K61" s="100">
        <f t="shared" si="40"/>
        <v>75.397260273972606</v>
      </c>
      <c r="L61" s="100">
        <f t="shared" si="40"/>
        <v>50.29953241513973</v>
      </c>
      <c r="M61" s="100">
        <f t="shared" si="40"/>
        <v>130.77878427936329</v>
      </c>
      <c r="N61" s="100">
        <f t="shared" si="40"/>
        <v>190.41390991075298</v>
      </c>
      <c r="O61" s="100">
        <f t="shared" si="40"/>
        <v>226.320532922495</v>
      </c>
      <c r="P61" s="100">
        <f t="shared" si="40"/>
        <v>247.1420219513646</v>
      </c>
      <c r="Q61" s="100">
        <f t="shared" si="40"/>
        <v>269.26711724986768</v>
      </c>
      <c r="R61" s="100">
        <f t="shared" si="40"/>
        <v>292.76679293712886</v>
      </c>
      <c r="S61" s="100">
        <f t="shared" si="40"/>
        <v>317.71561529177114</v>
      </c>
      <c r="T61" s="100">
        <f t="shared" si="40"/>
        <v>344.19191656608547</v>
      </c>
      <c r="U61" s="65"/>
      <c r="V61" s="65"/>
      <c r="W61" s="65"/>
      <c r="X61" s="65"/>
      <c r="Y61" s="65"/>
      <c r="Z61" s="65"/>
      <c r="AA61" s="65"/>
      <c r="AB61" s="65"/>
      <c r="AC61" s="65"/>
      <c r="AD61" s="65"/>
      <c r="AE61" s="65"/>
      <c r="AF61" s="65"/>
      <c r="AG61" s="65"/>
      <c r="AH61" s="65"/>
      <c r="AI61" s="65"/>
      <c r="AJ61" s="65"/>
      <c r="AK61" s="65"/>
      <c r="AL61" s="65"/>
      <c r="AM61" s="65"/>
      <c r="AN61" s="65"/>
      <c r="AO61" s="65"/>
      <c r="AP61" s="65"/>
    </row>
    <row r="62" spans="2:42" x14ac:dyDescent="0.2">
      <c r="B62" s="132" t="s">
        <v>36</v>
      </c>
      <c r="C62" s="132"/>
      <c r="D62" s="132"/>
      <c r="E62" s="132"/>
      <c r="F62" s="100">
        <f>F60-F61</f>
        <v>914.35549999999989</v>
      </c>
      <c r="G62" s="100">
        <f t="shared" ref="G62:T62" si="41">G60-G61</f>
        <v>1071.2894999999999</v>
      </c>
      <c r="H62" s="100">
        <f t="shared" si="41"/>
        <v>1235.2443999999998</v>
      </c>
      <c r="I62" s="100">
        <f t="shared" si="41"/>
        <v>1535.6159999999998</v>
      </c>
      <c r="J62" s="100">
        <f t="shared" si="41"/>
        <v>1694.9262000000003</v>
      </c>
      <c r="K62" s="100">
        <f t="shared" si="41"/>
        <v>436.31506849315065</v>
      </c>
      <c r="L62" s="100">
        <f t="shared" si="41"/>
        <v>245.11760423704314</v>
      </c>
      <c r="M62" s="100">
        <f t="shared" si="41"/>
        <v>407.54318821941126</v>
      </c>
      <c r="N62" s="100">
        <f t="shared" si="41"/>
        <v>593.38288204746289</v>
      </c>
      <c r="O62" s="100">
        <f t="shared" si="41"/>
        <v>705.2779398049845</v>
      </c>
      <c r="P62" s="100">
        <f t="shared" si="41"/>
        <v>770.16351026704319</v>
      </c>
      <c r="Q62" s="100">
        <f t="shared" si="41"/>
        <v>839.11148166237831</v>
      </c>
      <c r="R62" s="100">
        <f t="shared" si="41"/>
        <v>912.34302915291323</v>
      </c>
      <c r="S62" s="100">
        <f t="shared" si="41"/>
        <v>990.09052207203104</v>
      </c>
      <c r="T62" s="100">
        <f t="shared" si="41"/>
        <v>1072.5980655780338</v>
      </c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</row>
    <row r="63" spans="2:42" x14ac:dyDescent="0.2">
      <c r="B63" s="132" t="s">
        <v>37</v>
      </c>
      <c r="C63" s="132"/>
      <c r="D63" s="132"/>
      <c r="E63" s="132"/>
      <c r="F63" s="100"/>
      <c r="G63" s="52">
        <f>G62-F62</f>
        <v>156.93399999999997</v>
      </c>
      <c r="H63" s="52">
        <f t="shared" ref="H63:T63" si="42">H62-G62</f>
        <v>163.95489999999995</v>
      </c>
      <c r="I63" s="52">
        <f t="shared" si="42"/>
        <v>300.37159999999994</v>
      </c>
      <c r="J63" s="52">
        <f t="shared" si="42"/>
        <v>159.31020000000058</v>
      </c>
      <c r="K63" s="52">
        <f t="shared" si="42"/>
        <v>-1258.6111315068497</v>
      </c>
      <c r="L63" s="52">
        <f t="shared" si="42"/>
        <v>-191.19746425610751</v>
      </c>
      <c r="M63" s="52">
        <f t="shared" si="42"/>
        <v>162.42558398236812</v>
      </c>
      <c r="N63" s="52">
        <f t="shared" si="42"/>
        <v>185.83969382805162</v>
      </c>
      <c r="O63" s="52">
        <f t="shared" si="42"/>
        <v>111.89505775752161</v>
      </c>
      <c r="P63" s="52">
        <f t="shared" si="42"/>
        <v>64.885570462058695</v>
      </c>
      <c r="Q63" s="52">
        <f t="shared" si="42"/>
        <v>68.947971395335117</v>
      </c>
      <c r="R63" s="52">
        <f t="shared" si="42"/>
        <v>73.231547490534922</v>
      </c>
      <c r="S63" s="52">
        <f t="shared" si="42"/>
        <v>77.747492919117803</v>
      </c>
      <c r="T63" s="52">
        <f t="shared" si="42"/>
        <v>82.507543506002776</v>
      </c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</row>
    <row r="64" spans="2:42" x14ac:dyDescent="0.2"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</row>
    <row r="65" spans="2:42" x14ac:dyDescent="0.2">
      <c r="B65" s="195" t="s">
        <v>22</v>
      </c>
      <c r="C65" s="195"/>
      <c r="D65" s="195"/>
      <c r="E65" s="19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</row>
    <row r="66" spans="2:42" x14ac:dyDescent="0.2">
      <c r="C66" s="64" t="s">
        <v>216</v>
      </c>
      <c r="F66" s="65">
        <f>1000/(10^2)</f>
        <v>10</v>
      </c>
      <c r="G66" s="65">
        <f>1000/(10^2)</f>
        <v>10</v>
      </c>
      <c r="H66" s="65">
        <f>1000/(10^2)</f>
        <v>10</v>
      </c>
      <c r="I66" s="65">
        <f>1000/(10^2)</f>
        <v>10</v>
      </c>
      <c r="J66" s="65">
        <f>1000/(10^2)</f>
        <v>10</v>
      </c>
      <c r="K66" s="65">
        <f t="shared" ref="K66:T66" si="43">1000/(10^2)</f>
        <v>10</v>
      </c>
      <c r="L66" s="65">
        <f t="shared" si="43"/>
        <v>10</v>
      </c>
      <c r="M66" s="65">
        <f t="shared" si="43"/>
        <v>10</v>
      </c>
      <c r="N66" s="65">
        <f t="shared" si="43"/>
        <v>10</v>
      </c>
      <c r="O66" s="65">
        <f t="shared" si="43"/>
        <v>10</v>
      </c>
      <c r="P66" s="65">
        <f t="shared" si="43"/>
        <v>10</v>
      </c>
      <c r="Q66" s="65">
        <f t="shared" si="43"/>
        <v>10</v>
      </c>
      <c r="R66" s="65">
        <f t="shared" si="43"/>
        <v>10</v>
      </c>
      <c r="S66" s="65">
        <f t="shared" si="43"/>
        <v>10</v>
      </c>
      <c r="T66" s="65">
        <f t="shared" si="43"/>
        <v>10</v>
      </c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</row>
    <row r="67" spans="2:42" s="136" customFormat="1" x14ac:dyDescent="0.2">
      <c r="C67" s="136" t="s">
        <v>217</v>
      </c>
      <c r="F67" s="78">
        <f>954.36/(10^2)</f>
        <v>9.5435999999999996</v>
      </c>
      <c r="G67" s="78">
        <f>954.36/(10^2)</f>
        <v>9.5435999999999996</v>
      </c>
      <c r="H67" s="78">
        <f>954.36/(10^2)</f>
        <v>9.5435999999999996</v>
      </c>
      <c r="I67" s="78">
        <f>954.36/(10^2)</f>
        <v>9.5435999999999996</v>
      </c>
      <c r="J67" s="78">
        <f>954.36/(10^2)</f>
        <v>9.5435999999999996</v>
      </c>
      <c r="K67" s="78">
        <f t="shared" ref="K67:T67" si="44">954.36/(10^2)</f>
        <v>9.5435999999999996</v>
      </c>
      <c r="L67" s="78">
        <f t="shared" si="44"/>
        <v>9.5435999999999996</v>
      </c>
      <c r="M67" s="78">
        <f t="shared" si="44"/>
        <v>9.5435999999999996</v>
      </c>
      <c r="N67" s="78">
        <f t="shared" si="44"/>
        <v>9.5435999999999996</v>
      </c>
      <c r="O67" s="78">
        <f t="shared" si="44"/>
        <v>9.5435999999999996</v>
      </c>
      <c r="P67" s="78">
        <f t="shared" si="44"/>
        <v>9.5435999999999996</v>
      </c>
      <c r="Q67" s="78">
        <f t="shared" si="44"/>
        <v>9.5435999999999996</v>
      </c>
      <c r="R67" s="78">
        <f t="shared" si="44"/>
        <v>9.5435999999999996</v>
      </c>
      <c r="S67" s="78">
        <f t="shared" si="44"/>
        <v>9.5435999999999996</v>
      </c>
      <c r="T67" s="78">
        <f t="shared" si="44"/>
        <v>9.5435999999999996</v>
      </c>
      <c r="U67" s="78"/>
      <c r="V67" s="78"/>
      <c r="W67" s="78"/>
      <c r="X67" s="78"/>
      <c r="Y67" s="78"/>
      <c r="Z67" s="78"/>
      <c r="AA67" s="78"/>
      <c r="AB67" s="78"/>
      <c r="AC67" s="78"/>
      <c r="AD67" s="78"/>
      <c r="AE67" s="78"/>
      <c r="AF67" s="78"/>
      <c r="AG67" s="78"/>
      <c r="AH67" s="78"/>
      <c r="AI67" s="78"/>
      <c r="AJ67" s="78"/>
      <c r="AK67" s="78"/>
      <c r="AL67" s="78"/>
      <c r="AM67" s="78"/>
      <c r="AN67" s="78"/>
      <c r="AO67" s="78"/>
      <c r="AP67" s="78"/>
    </row>
    <row r="68" spans="2:42" x14ac:dyDescent="0.2"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</row>
    <row r="69" spans="2:42" x14ac:dyDescent="0.2">
      <c r="B69" s="136" t="s">
        <v>218</v>
      </c>
      <c r="C69" s="136"/>
      <c r="D69" s="136"/>
      <c r="E69" s="136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</row>
    <row r="70" spans="2:42" x14ac:dyDescent="0.2">
      <c r="C70" s="148" t="s">
        <v>220</v>
      </c>
      <c r="D70" s="188"/>
      <c r="E70" s="188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</row>
    <row r="71" spans="2:42" x14ac:dyDescent="0.2">
      <c r="D71" s="144" t="s">
        <v>225</v>
      </c>
      <c r="E71" s="146"/>
      <c r="F71" s="65">
        <f>37195.11/(10^2)</f>
        <v>371.9511</v>
      </c>
      <c r="G71" s="65">
        <f>(F78)</f>
        <v>423.05089999999973</v>
      </c>
      <c r="H71" s="65">
        <f>(G78)</f>
        <v>471.62079999999975</v>
      </c>
      <c r="I71" s="65">
        <f>(H78)</f>
        <v>525.50359999999966</v>
      </c>
      <c r="J71" s="65">
        <f>(I78)</f>
        <v>592.55040000000031</v>
      </c>
      <c r="K71" s="65">
        <f>(J78)</f>
        <v>582.58990000000017</v>
      </c>
      <c r="L71" s="65">
        <f t="shared" ref="L71:T71" si="45">(K78)</f>
        <v>-2650.1961940469473</v>
      </c>
      <c r="M71" s="65">
        <f t="shared" ca="1" si="45"/>
        <v>-2718.3352657982828</v>
      </c>
      <c r="N71" s="65">
        <f t="shared" ca="1" si="45"/>
        <v>-2757.2561842687828</v>
      </c>
      <c r="O71" s="65">
        <f t="shared" ca="1" si="45"/>
        <v>-2730.532720782654</v>
      </c>
      <c r="P71" s="65">
        <f t="shared" ca="1" si="45"/>
        <v>-2678.141737127994</v>
      </c>
      <c r="Q71" s="65">
        <f t="shared" ca="1" si="45"/>
        <v>-2610.5923592793288</v>
      </c>
      <c r="R71" s="65">
        <f t="shared" ca="1" si="45"/>
        <v>-2527.6932674129584</v>
      </c>
      <c r="S71" s="65">
        <f t="shared" ca="1" si="45"/>
        <v>-2428.9108206104938</v>
      </c>
      <c r="T71" s="65">
        <f t="shared" ca="1" si="45"/>
        <v>-2312.9680952665394</v>
      </c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</row>
    <row r="72" spans="2:42" x14ac:dyDescent="0.2">
      <c r="D72" s="144" t="s">
        <v>228</v>
      </c>
      <c r="E72" s="146"/>
      <c r="F72" s="65">
        <f>(-19.98)/(10^2)</f>
        <v>-0.19980000000000001</v>
      </c>
      <c r="G72" s="65">
        <f>0/(10^2)</f>
        <v>0</v>
      </c>
      <c r="H72" s="65">
        <f>-2.43/(10^2)</f>
        <v>-2.4300000000000002E-2</v>
      </c>
      <c r="I72" s="65">
        <f>-3.83/(10^2)</f>
        <v>-3.8300000000000001E-2</v>
      </c>
      <c r="J72" s="65">
        <v>0</v>
      </c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</row>
    <row r="73" spans="2:42" x14ac:dyDescent="0.2">
      <c r="D73" s="144" t="s">
        <v>229</v>
      </c>
      <c r="E73" s="146"/>
      <c r="F73" s="65">
        <f>(PL!F33)</f>
        <v>63.149399999999737</v>
      </c>
      <c r="G73" s="65">
        <f>(PL!G33)</f>
        <v>60.98390000000002</v>
      </c>
      <c r="H73" s="65">
        <f>(PL!H33)</f>
        <v>61.808999999999834</v>
      </c>
      <c r="I73" s="65">
        <f>(PL!I33)</f>
        <v>74.450300000000667</v>
      </c>
      <c r="J73" s="65">
        <f>(PL!J33)</f>
        <v>7.8127999999998625</v>
      </c>
      <c r="K73" s="65">
        <f>(PL!K33)</f>
        <v>-3232.7860940469477</v>
      </c>
      <c r="L73" s="65">
        <f ca="1">(PL!L33)</f>
        <v>-68.139071751335564</v>
      </c>
      <c r="M73" s="65">
        <f ca="1">(PL!M33)</f>
        <v>-38.920918470499828</v>
      </c>
      <c r="N73" s="65">
        <f ca="1">(PL!N33)</f>
        <v>26.723463486128715</v>
      </c>
      <c r="O73" s="65">
        <f ca="1">(PL!O33)</f>
        <v>52.39098365466009</v>
      </c>
      <c r="P73" s="65">
        <f ca="1">(PL!P33)</f>
        <v>67.54937784866506</v>
      </c>
      <c r="Q73" s="65">
        <f ca="1">(PL!Q33)</f>
        <v>82.89909186637027</v>
      </c>
      <c r="R73" s="65">
        <f ca="1">(PL!R33)</f>
        <v>98.782446802464733</v>
      </c>
      <c r="S73" s="65">
        <f ca="1">(PL!S33)</f>
        <v>115.94272534395441</v>
      </c>
      <c r="T73" s="65">
        <f ca="1">(PL!T33)</f>
        <v>134.44628130422348</v>
      </c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</row>
    <row r="74" spans="2:42" x14ac:dyDescent="0.2">
      <c r="D74" s="237" t="s">
        <v>253</v>
      </c>
      <c r="E74" s="238"/>
      <c r="F74" s="104">
        <f>SUM(F71:F73)</f>
        <v>434.90069999999974</v>
      </c>
      <c r="G74" s="104">
        <f t="shared" ref="G74:K74" si="46">SUM(G71:G73)</f>
        <v>484.03479999999973</v>
      </c>
      <c r="H74" s="104">
        <f t="shared" si="46"/>
        <v>533.40549999999962</v>
      </c>
      <c r="I74" s="104">
        <f t="shared" si="46"/>
        <v>599.91560000000027</v>
      </c>
      <c r="J74" s="104">
        <f t="shared" si="46"/>
        <v>600.36320000000012</v>
      </c>
      <c r="K74" s="104">
        <f t="shared" si="46"/>
        <v>-2650.1961940469473</v>
      </c>
      <c r="L74" s="104">
        <f t="shared" ref="L74:T74" ca="1" si="47">SUM(L71:L73)</f>
        <v>-2718.3352657982828</v>
      </c>
      <c r="M74" s="104">
        <f t="shared" ca="1" si="47"/>
        <v>-2757.2561842687828</v>
      </c>
      <c r="N74" s="104">
        <f t="shared" ca="1" si="47"/>
        <v>-2730.532720782654</v>
      </c>
      <c r="O74" s="104">
        <f t="shared" ca="1" si="47"/>
        <v>-2678.141737127994</v>
      </c>
      <c r="P74" s="104">
        <f t="shared" ca="1" si="47"/>
        <v>-2610.5923592793288</v>
      </c>
      <c r="Q74" s="104">
        <f t="shared" ca="1" si="47"/>
        <v>-2527.6932674129584</v>
      </c>
      <c r="R74" s="104">
        <f t="shared" ca="1" si="47"/>
        <v>-2428.9108206104938</v>
      </c>
      <c r="S74" s="104">
        <f t="shared" ca="1" si="47"/>
        <v>-2312.9680952665394</v>
      </c>
      <c r="T74" s="104">
        <f t="shared" ca="1" si="47"/>
        <v>-2178.5218139623157</v>
      </c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</row>
    <row r="75" spans="2:42" x14ac:dyDescent="0.2">
      <c r="D75" s="144" t="s">
        <v>221</v>
      </c>
      <c r="E75" s="146"/>
      <c r="F75" s="65">
        <f>(95.44)/(10^2)</f>
        <v>0.95440000000000003</v>
      </c>
      <c r="G75" s="65">
        <f>95.44/(10^2)</f>
        <v>0.95440000000000003</v>
      </c>
      <c r="H75" s="65">
        <f>95.44/(10^2)</f>
        <v>0.95440000000000003</v>
      </c>
      <c r="I75" s="65">
        <f>95.44/(10^2)</f>
        <v>0.95440000000000003</v>
      </c>
      <c r="J75" s="65">
        <f>143.15/(10^2)</f>
        <v>1.4315</v>
      </c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</row>
    <row r="76" spans="2:42" x14ac:dyDescent="0.2">
      <c r="D76" s="144" t="s">
        <v>222</v>
      </c>
      <c r="E76" s="146"/>
      <c r="F76" s="65">
        <f>(19.43)/(10^2)</f>
        <v>0.1943</v>
      </c>
      <c r="G76" s="65">
        <f>20.6/(10^2)</f>
        <v>0.20600000000000002</v>
      </c>
      <c r="H76" s="65">
        <f>0/(10^2)</f>
        <v>0</v>
      </c>
      <c r="I76" s="65">
        <f>0/(10^2)</f>
        <v>0</v>
      </c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</row>
    <row r="77" spans="2:42" x14ac:dyDescent="0.2">
      <c r="D77" s="144" t="s">
        <v>223</v>
      </c>
      <c r="E77" s="146"/>
      <c r="F77" s="65">
        <f>(1070.11)/(10^2)</f>
        <v>10.701099999999999</v>
      </c>
      <c r="G77" s="65">
        <f>1125.36/(10^2)</f>
        <v>11.253599999999999</v>
      </c>
      <c r="H77" s="65">
        <f>694.75/(10^2)</f>
        <v>6.9474999999999998</v>
      </c>
      <c r="I77" s="65">
        <f>641.08/(10^2)</f>
        <v>6.4108000000000001</v>
      </c>
      <c r="J77" s="65">
        <f>1634.18/(10^2)</f>
        <v>16.341799999999999</v>
      </c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</row>
    <row r="78" spans="2:42" x14ac:dyDescent="0.2">
      <c r="D78" s="237" t="s">
        <v>227</v>
      </c>
      <c r="E78" s="238"/>
      <c r="F78" s="104">
        <f>F74-SUM(F75:F77)</f>
        <v>423.05089999999973</v>
      </c>
      <c r="G78" s="104">
        <f t="shared" ref="G78:K78" si="48">G74-SUM(G75:G77)</f>
        <v>471.62079999999975</v>
      </c>
      <c r="H78" s="104">
        <f>H74-SUM(H75:H77)</f>
        <v>525.50359999999966</v>
      </c>
      <c r="I78" s="104">
        <f t="shared" si="48"/>
        <v>592.55040000000031</v>
      </c>
      <c r="J78" s="104">
        <f t="shared" si="48"/>
        <v>582.58990000000017</v>
      </c>
      <c r="K78" s="104">
        <f t="shared" si="48"/>
        <v>-2650.1961940469473</v>
      </c>
      <c r="L78" s="104">
        <f t="shared" ref="L78:T78" ca="1" si="49">L74-SUM(L75:L77)</f>
        <v>-2718.3352657982828</v>
      </c>
      <c r="M78" s="104">
        <f t="shared" ca="1" si="49"/>
        <v>-2757.2561842687828</v>
      </c>
      <c r="N78" s="104">
        <f t="shared" ca="1" si="49"/>
        <v>-2730.532720782654</v>
      </c>
      <c r="O78" s="104">
        <f t="shared" ca="1" si="49"/>
        <v>-2678.141737127994</v>
      </c>
      <c r="P78" s="104">
        <f t="shared" ca="1" si="49"/>
        <v>-2610.5923592793288</v>
      </c>
      <c r="Q78" s="104">
        <f t="shared" ca="1" si="49"/>
        <v>-2527.6932674129584</v>
      </c>
      <c r="R78" s="104">
        <f t="shared" ca="1" si="49"/>
        <v>-2428.9108206104938</v>
      </c>
      <c r="S78" s="104">
        <f t="shared" ca="1" si="49"/>
        <v>-2312.9680952665394</v>
      </c>
      <c r="T78" s="104">
        <f t="shared" ca="1" si="49"/>
        <v>-2178.5218139623157</v>
      </c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</row>
    <row r="79" spans="2:42" x14ac:dyDescent="0.2">
      <c r="F79" s="66"/>
      <c r="G79" s="66"/>
      <c r="H79" s="66"/>
      <c r="I79" s="66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</row>
    <row r="80" spans="2:42" x14ac:dyDescent="0.2">
      <c r="C80" s="148" t="s">
        <v>219</v>
      </c>
      <c r="D80" s="188"/>
      <c r="E80" s="188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</row>
    <row r="81" spans="3:42" x14ac:dyDescent="0.2">
      <c r="D81" s="144" t="s">
        <v>225</v>
      </c>
      <c r="E81" s="146"/>
      <c r="F81" s="65">
        <f>11131.36/(10^2)</f>
        <v>111.31360000000001</v>
      </c>
      <c r="G81" s="65">
        <f>(F84)</f>
        <v>111.31360000000001</v>
      </c>
      <c r="H81" s="65">
        <f t="shared" ref="H81:J81" si="50">(G84)</f>
        <v>111.31360000000001</v>
      </c>
      <c r="I81" s="65">
        <f t="shared" si="50"/>
        <v>111.31360000000001</v>
      </c>
      <c r="J81" s="65">
        <f t="shared" si="50"/>
        <v>111.31360000000001</v>
      </c>
      <c r="K81" s="65">
        <f t="shared" ref="K81" si="51">(J84)</f>
        <v>111.31360000000001</v>
      </c>
      <c r="L81" s="65">
        <f t="shared" ref="L81" si="52">(K84)</f>
        <v>111.31360000000001</v>
      </c>
      <c r="M81" s="65">
        <f t="shared" ref="M81" si="53">(L84)</f>
        <v>111.31360000000001</v>
      </c>
      <c r="N81" s="65">
        <f t="shared" ref="N81" si="54">(M84)</f>
        <v>111.31360000000001</v>
      </c>
      <c r="O81" s="65">
        <f t="shared" ref="O81" si="55">(N84)</f>
        <v>111.31360000000001</v>
      </c>
      <c r="P81" s="65">
        <f t="shared" ref="P81" si="56">(O84)</f>
        <v>111.31360000000001</v>
      </c>
      <c r="Q81" s="65">
        <f t="shared" ref="Q81" si="57">(P84)</f>
        <v>111.31360000000001</v>
      </c>
      <c r="R81" s="65">
        <f t="shared" ref="R81" si="58">(Q84)</f>
        <v>111.31360000000001</v>
      </c>
      <c r="S81" s="65">
        <f t="shared" ref="S81" si="59">(R84)</f>
        <v>111.31360000000001</v>
      </c>
      <c r="T81" s="65">
        <f t="shared" ref="T81" si="60">(S84)</f>
        <v>111.31360000000001</v>
      </c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</row>
    <row r="82" spans="3:42" x14ac:dyDescent="0.2">
      <c r="D82" s="144" t="s">
        <v>182</v>
      </c>
      <c r="E82" s="146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</row>
    <row r="83" spans="3:42" x14ac:dyDescent="0.2">
      <c r="D83" s="144" t="s">
        <v>226</v>
      </c>
      <c r="E83" s="146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  <c r="V83" s="65"/>
      <c r="W83" s="65"/>
      <c r="X83" s="65"/>
      <c r="Y83" s="65"/>
      <c r="Z83" s="65"/>
      <c r="AA83" s="65"/>
      <c r="AB83" s="65"/>
      <c r="AC83" s="65"/>
      <c r="AD83" s="65"/>
      <c r="AE83" s="65"/>
      <c r="AF83" s="65"/>
      <c r="AG83" s="65"/>
      <c r="AH83" s="65"/>
      <c r="AI83" s="65"/>
      <c r="AJ83" s="65"/>
      <c r="AK83" s="65"/>
      <c r="AL83" s="65"/>
      <c r="AM83" s="65"/>
      <c r="AN83" s="65"/>
      <c r="AO83" s="65"/>
      <c r="AP83" s="65"/>
    </row>
    <row r="84" spans="3:42" x14ac:dyDescent="0.2">
      <c r="D84" s="237" t="s">
        <v>227</v>
      </c>
      <c r="E84" s="238"/>
      <c r="F84" s="104">
        <f>SUM(F81:F83)</f>
        <v>111.31360000000001</v>
      </c>
      <c r="G84" s="104">
        <f t="shared" ref="G84:J84" si="61">SUM(G81:G83)</f>
        <v>111.31360000000001</v>
      </c>
      <c r="H84" s="104">
        <f t="shared" si="61"/>
        <v>111.31360000000001</v>
      </c>
      <c r="I84" s="104">
        <f t="shared" si="61"/>
        <v>111.31360000000001</v>
      </c>
      <c r="J84" s="104">
        <f t="shared" si="61"/>
        <v>111.31360000000001</v>
      </c>
      <c r="K84" s="104">
        <f t="shared" ref="K84:T84" si="62">SUM(K81:K83)</f>
        <v>111.31360000000001</v>
      </c>
      <c r="L84" s="104">
        <f t="shared" si="62"/>
        <v>111.31360000000001</v>
      </c>
      <c r="M84" s="104">
        <f t="shared" si="62"/>
        <v>111.31360000000001</v>
      </c>
      <c r="N84" s="104">
        <f t="shared" si="62"/>
        <v>111.31360000000001</v>
      </c>
      <c r="O84" s="104">
        <f t="shared" si="62"/>
        <v>111.31360000000001</v>
      </c>
      <c r="P84" s="104">
        <f t="shared" si="62"/>
        <v>111.31360000000001</v>
      </c>
      <c r="Q84" s="104">
        <f t="shared" si="62"/>
        <v>111.31360000000001</v>
      </c>
      <c r="R84" s="104">
        <f t="shared" si="62"/>
        <v>111.31360000000001</v>
      </c>
      <c r="S84" s="104">
        <f t="shared" si="62"/>
        <v>111.31360000000001</v>
      </c>
      <c r="T84" s="104">
        <f t="shared" si="62"/>
        <v>111.31360000000001</v>
      </c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</row>
    <row r="85" spans="3:42" x14ac:dyDescent="0.2"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</row>
    <row r="86" spans="3:42" x14ac:dyDescent="0.2">
      <c r="C86" s="148" t="s">
        <v>230</v>
      </c>
      <c r="D86" s="188"/>
      <c r="E86" s="188"/>
      <c r="F86" s="66"/>
      <c r="G86" s="66"/>
      <c r="H86" s="66"/>
      <c r="I86" s="66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</row>
    <row r="87" spans="3:42" x14ac:dyDescent="0.2">
      <c r="D87" s="144" t="s">
        <v>225</v>
      </c>
      <c r="E87" s="146"/>
      <c r="F87" s="65">
        <f>0/(10^2)</f>
        <v>0</v>
      </c>
      <c r="G87" s="65">
        <f>(F90)/(10^2)</f>
        <v>0</v>
      </c>
      <c r="H87" s="65">
        <f>(G90)/(10^2)</f>
        <v>0</v>
      </c>
      <c r="I87" s="65">
        <f>(H90)/(10^2)</f>
        <v>0</v>
      </c>
      <c r="J87" s="65">
        <f>(I90)</f>
        <v>298.97919999999999</v>
      </c>
      <c r="K87" s="65">
        <f>(J90)</f>
        <v>268.8193</v>
      </c>
      <c r="L87" s="65">
        <f t="shared" ref="L87:T87" si="63">(K90)</f>
        <v>268.8193</v>
      </c>
      <c r="M87" s="65">
        <f t="shared" si="63"/>
        <v>268.8193</v>
      </c>
      <c r="N87" s="65">
        <f t="shared" si="63"/>
        <v>268.8193</v>
      </c>
      <c r="O87" s="65">
        <f t="shared" si="63"/>
        <v>268.8193</v>
      </c>
      <c r="P87" s="65">
        <f t="shared" si="63"/>
        <v>268.8193</v>
      </c>
      <c r="Q87" s="65">
        <f t="shared" si="63"/>
        <v>268.8193</v>
      </c>
      <c r="R87" s="65">
        <f t="shared" si="63"/>
        <v>268.8193</v>
      </c>
      <c r="S87" s="65">
        <f t="shared" si="63"/>
        <v>268.8193</v>
      </c>
      <c r="T87" s="65">
        <f t="shared" si="63"/>
        <v>268.8193</v>
      </c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</row>
    <row r="88" spans="3:42" x14ac:dyDescent="0.2">
      <c r="D88" s="144" t="s">
        <v>182</v>
      </c>
      <c r="E88" s="146"/>
      <c r="F88" s="65">
        <f>0/(10^2)</f>
        <v>0</v>
      </c>
      <c r="G88" s="65">
        <f>0/(10^2)</f>
        <v>0</v>
      </c>
      <c r="H88" s="65">
        <f>0/(10^2)</f>
        <v>0</v>
      </c>
      <c r="I88" s="65">
        <f>29897.92/(10^2)</f>
        <v>298.97919999999999</v>
      </c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</row>
    <row r="89" spans="3:42" x14ac:dyDescent="0.2">
      <c r="D89" s="144" t="s">
        <v>226</v>
      </c>
      <c r="E89" s="146"/>
      <c r="F89" s="65">
        <f>0/(10^2)</f>
        <v>0</v>
      </c>
      <c r="G89" s="65">
        <f t="shared" ref="G89:I89" si="64">0/(10^2)</f>
        <v>0</v>
      </c>
      <c r="H89" s="65">
        <f t="shared" si="64"/>
        <v>0</v>
      </c>
      <c r="I89" s="65">
        <f t="shared" si="64"/>
        <v>0</v>
      </c>
      <c r="J89" s="65">
        <f>-30.1599</f>
        <v>-30.1599</v>
      </c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  <c r="AL89" s="65"/>
      <c r="AM89" s="65"/>
      <c r="AN89" s="65"/>
      <c r="AO89" s="65"/>
      <c r="AP89" s="65"/>
    </row>
    <row r="90" spans="3:42" x14ac:dyDescent="0.2">
      <c r="D90" s="237" t="s">
        <v>227</v>
      </c>
      <c r="E90" s="238"/>
      <c r="F90" s="104">
        <f t="shared" ref="F90:K90" si="65">SUM(F87:F89)</f>
        <v>0</v>
      </c>
      <c r="G90" s="104">
        <f t="shared" si="65"/>
        <v>0</v>
      </c>
      <c r="H90" s="104">
        <f t="shared" si="65"/>
        <v>0</v>
      </c>
      <c r="I90" s="104">
        <f t="shared" si="65"/>
        <v>298.97919999999999</v>
      </c>
      <c r="J90" s="104">
        <f t="shared" si="65"/>
        <v>268.8193</v>
      </c>
      <c r="K90" s="104">
        <f t="shared" si="65"/>
        <v>268.8193</v>
      </c>
      <c r="L90" s="104">
        <f t="shared" ref="L90:T90" si="66">SUM(L87:L89)</f>
        <v>268.8193</v>
      </c>
      <c r="M90" s="104">
        <f t="shared" si="66"/>
        <v>268.8193</v>
      </c>
      <c r="N90" s="104">
        <f t="shared" si="66"/>
        <v>268.8193</v>
      </c>
      <c r="O90" s="104">
        <f t="shared" si="66"/>
        <v>268.8193</v>
      </c>
      <c r="P90" s="104">
        <f t="shared" si="66"/>
        <v>268.8193</v>
      </c>
      <c r="Q90" s="104">
        <f t="shared" si="66"/>
        <v>268.8193</v>
      </c>
      <c r="R90" s="104">
        <f t="shared" si="66"/>
        <v>268.8193</v>
      </c>
      <c r="S90" s="104">
        <f t="shared" si="66"/>
        <v>268.8193</v>
      </c>
      <c r="T90" s="104">
        <f t="shared" si="66"/>
        <v>268.8193</v>
      </c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</row>
    <row r="91" spans="3:42" x14ac:dyDescent="0.2">
      <c r="F91" s="66"/>
      <c r="G91" s="66"/>
      <c r="H91" s="66"/>
      <c r="I91" s="66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</row>
    <row r="92" spans="3:42" x14ac:dyDescent="0.2">
      <c r="C92" s="148" t="s">
        <v>53</v>
      </c>
      <c r="D92" s="188"/>
      <c r="E92" s="188"/>
      <c r="F92" s="66"/>
      <c r="G92" s="66"/>
      <c r="H92" s="66"/>
      <c r="I92" s="66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</row>
    <row r="93" spans="3:42" x14ac:dyDescent="0.2">
      <c r="D93" s="144" t="s">
        <v>225</v>
      </c>
      <c r="E93" s="146"/>
      <c r="F93" s="65">
        <f>19.98/(10^2)</f>
        <v>0.19980000000000001</v>
      </c>
      <c r="G93" s="65">
        <f>(F95)</f>
        <v>0.14130000000000001</v>
      </c>
      <c r="H93" s="65">
        <f>(G95)</f>
        <v>-0.1026</v>
      </c>
      <c r="I93" s="65">
        <f>(H95)</f>
        <v>0.19170000000000001</v>
      </c>
      <c r="J93" s="65">
        <f>(I95)</f>
        <v>0.34399999999999997</v>
      </c>
      <c r="K93" s="65">
        <f t="shared" ref="K93:T93" si="67">(J95)</f>
        <v>0.34399999999999997</v>
      </c>
      <c r="L93" s="65">
        <f t="shared" si="67"/>
        <v>0.34399999999999997</v>
      </c>
      <c r="M93" s="65">
        <f t="shared" si="67"/>
        <v>0.34399999999999997</v>
      </c>
      <c r="N93" s="65">
        <f t="shared" si="67"/>
        <v>0.34399999999999997</v>
      </c>
      <c r="O93" s="65">
        <f t="shared" si="67"/>
        <v>0.34399999999999997</v>
      </c>
      <c r="P93" s="65">
        <f t="shared" si="67"/>
        <v>0.34399999999999997</v>
      </c>
      <c r="Q93" s="65">
        <f t="shared" si="67"/>
        <v>0.34399999999999997</v>
      </c>
      <c r="R93" s="65">
        <f t="shared" si="67"/>
        <v>0.34399999999999997</v>
      </c>
      <c r="S93" s="65">
        <f t="shared" si="67"/>
        <v>0.34399999999999997</v>
      </c>
      <c r="T93" s="65">
        <f t="shared" si="67"/>
        <v>0.34399999999999997</v>
      </c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</row>
    <row r="94" spans="3:42" x14ac:dyDescent="0.2">
      <c r="D94" s="144" t="s">
        <v>228</v>
      </c>
      <c r="E94" s="146"/>
      <c r="F94" s="65">
        <f>(PL!F35)</f>
        <v>-5.8499999999999996E-2</v>
      </c>
      <c r="G94" s="65">
        <f>(PL!G35)</f>
        <v>-0.24390000000000001</v>
      </c>
      <c r="H94" s="65">
        <f>(PL!H35-H72)</f>
        <v>0.29430000000000001</v>
      </c>
      <c r="I94" s="65">
        <f>(PL!I35-I72)</f>
        <v>0.15229999999999999</v>
      </c>
      <c r="J94" s="65">
        <f>(PL!J35-J72)</f>
        <v>0</v>
      </c>
      <c r="K94" s="65">
        <f>(PL!K35-K72)</f>
        <v>0</v>
      </c>
      <c r="L94" s="65">
        <f>(PL!L35-L72)</f>
        <v>0</v>
      </c>
      <c r="M94" s="65">
        <f>(PL!M35-M72)</f>
        <v>0</v>
      </c>
      <c r="N94" s="65">
        <f>(PL!N35-N72)</f>
        <v>0</v>
      </c>
      <c r="O94" s="65">
        <f>(PL!O35-O72)</f>
        <v>0</v>
      </c>
      <c r="P94" s="65">
        <f>(PL!P35-P72)</f>
        <v>0</v>
      </c>
      <c r="Q94" s="65">
        <f>(PL!Q35-Q72)</f>
        <v>0</v>
      </c>
      <c r="R94" s="65">
        <f>(PL!R35-R72)</f>
        <v>0</v>
      </c>
      <c r="S94" s="65">
        <f>(PL!S35-S72)</f>
        <v>0</v>
      </c>
      <c r="T94" s="65">
        <f>(PL!T35-T72)</f>
        <v>0</v>
      </c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</row>
    <row r="95" spans="3:42" x14ac:dyDescent="0.2">
      <c r="D95" s="237" t="s">
        <v>227</v>
      </c>
      <c r="E95" s="238"/>
      <c r="F95" s="104">
        <f>SUM(F93:F94)</f>
        <v>0.14130000000000001</v>
      </c>
      <c r="G95" s="104">
        <f t="shared" ref="G95:J95" si="68">SUM(G93:G94)</f>
        <v>-0.1026</v>
      </c>
      <c r="H95" s="104">
        <f t="shared" si="68"/>
        <v>0.19170000000000001</v>
      </c>
      <c r="I95" s="104">
        <f t="shared" si="68"/>
        <v>0.34399999999999997</v>
      </c>
      <c r="J95" s="104">
        <f t="shared" si="68"/>
        <v>0.34399999999999997</v>
      </c>
      <c r="K95" s="104">
        <f t="shared" ref="K95:T95" si="69">SUM(K93:K94)</f>
        <v>0.34399999999999997</v>
      </c>
      <c r="L95" s="104">
        <f t="shared" si="69"/>
        <v>0.34399999999999997</v>
      </c>
      <c r="M95" s="104">
        <f t="shared" si="69"/>
        <v>0.34399999999999997</v>
      </c>
      <c r="N95" s="104">
        <f t="shared" si="69"/>
        <v>0.34399999999999997</v>
      </c>
      <c r="O95" s="104">
        <f t="shared" si="69"/>
        <v>0.34399999999999997</v>
      </c>
      <c r="P95" s="104">
        <f t="shared" si="69"/>
        <v>0.34399999999999997</v>
      </c>
      <c r="Q95" s="104">
        <f t="shared" si="69"/>
        <v>0.34399999999999997</v>
      </c>
      <c r="R95" s="104">
        <f t="shared" si="69"/>
        <v>0.34399999999999997</v>
      </c>
      <c r="S95" s="104">
        <f t="shared" si="69"/>
        <v>0.34399999999999997</v>
      </c>
      <c r="T95" s="104">
        <f t="shared" si="69"/>
        <v>0.34399999999999997</v>
      </c>
      <c r="U95" s="65"/>
      <c r="V95" s="65"/>
      <c r="W95" s="65"/>
      <c r="X95" s="65"/>
      <c r="Y95" s="65"/>
      <c r="Z95" s="65"/>
      <c r="AA95" s="65"/>
      <c r="AB95" s="65"/>
      <c r="AC95" s="65"/>
      <c r="AD95" s="65"/>
      <c r="AE95" s="65"/>
      <c r="AF95" s="65"/>
      <c r="AG95" s="65"/>
      <c r="AH95" s="65"/>
      <c r="AI95" s="65"/>
      <c r="AJ95" s="65"/>
      <c r="AK95" s="65"/>
      <c r="AL95" s="65"/>
      <c r="AM95" s="65"/>
      <c r="AN95" s="65"/>
      <c r="AO95" s="65"/>
      <c r="AP95" s="65"/>
    </row>
    <row r="96" spans="3:42" x14ac:dyDescent="0.2">
      <c r="F96" s="66"/>
      <c r="G96" s="66"/>
      <c r="H96" s="66"/>
      <c r="I96" s="66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</row>
    <row r="97" spans="2:42" s="136" customFormat="1" x14ac:dyDescent="0.2">
      <c r="C97" s="217" t="s">
        <v>224</v>
      </c>
      <c r="D97" s="239"/>
      <c r="E97" s="239"/>
      <c r="F97" s="240">
        <f t="shared" ref="F97:H97" si="70">F84+F78+F90+F95</f>
        <v>534.50579999999968</v>
      </c>
      <c r="G97" s="240">
        <f t="shared" si="70"/>
        <v>582.8317999999997</v>
      </c>
      <c r="H97" s="240">
        <f t="shared" si="70"/>
        <v>637.0088999999997</v>
      </c>
      <c r="I97" s="240">
        <f>I84+I78+I90+I95</f>
        <v>1003.1872000000003</v>
      </c>
      <c r="J97" s="240">
        <f>J84+J78+J90+J95</f>
        <v>963.06680000000017</v>
      </c>
      <c r="K97" s="240">
        <f>K84+K78+K90+K95</f>
        <v>-2269.7192940469472</v>
      </c>
      <c r="L97" s="240">
        <f t="shared" ref="L97:T97" ca="1" si="71">L84+L78+L90+L95</f>
        <v>-2337.8583657982826</v>
      </c>
      <c r="M97" s="240">
        <f t="shared" ca="1" si="71"/>
        <v>-2376.7792842687827</v>
      </c>
      <c r="N97" s="240">
        <f t="shared" ca="1" si="71"/>
        <v>-2350.0558207826539</v>
      </c>
      <c r="O97" s="240">
        <f t="shared" ca="1" si="71"/>
        <v>-2297.6648371279939</v>
      </c>
      <c r="P97" s="240">
        <f t="shared" ca="1" si="71"/>
        <v>-2230.1154592793287</v>
      </c>
      <c r="Q97" s="240">
        <f t="shared" ca="1" si="71"/>
        <v>-2147.2163674129583</v>
      </c>
      <c r="R97" s="240">
        <f t="shared" ca="1" si="71"/>
        <v>-2048.4339206104937</v>
      </c>
      <c r="S97" s="240">
        <f t="shared" ca="1" si="71"/>
        <v>-1932.4911952665393</v>
      </c>
      <c r="T97" s="240">
        <f t="shared" ca="1" si="71"/>
        <v>-1798.0449139623156</v>
      </c>
      <c r="U97" s="78"/>
      <c r="V97" s="78"/>
      <c r="W97" s="78"/>
      <c r="X97" s="78"/>
      <c r="Y97" s="78"/>
      <c r="Z97" s="78"/>
      <c r="AA97" s="78"/>
      <c r="AB97" s="78"/>
      <c r="AC97" s="78"/>
      <c r="AD97" s="78"/>
      <c r="AE97" s="78"/>
      <c r="AF97" s="78"/>
      <c r="AG97" s="78"/>
      <c r="AH97" s="78"/>
      <c r="AI97" s="78"/>
      <c r="AJ97" s="78"/>
      <c r="AK97" s="78"/>
      <c r="AL97" s="78"/>
      <c r="AM97" s="78"/>
      <c r="AN97" s="78"/>
      <c r="AO97" s="78"/>
      <c r="AP97" s="78"/>
    </row>
    <row r="98" spans="2:42" x14ac:dyDescent="0.2"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</row>
    <row r="99" spans="2:42" x14ac:dyDescent="0.2">
      <c r="B99" s="195" t="s">
        <v>161</v>
      </c>
      <c r="C99" s="195"/>
      <c r="D99" s="195"/>
      <c r="E99" s="195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</row>
    <row r="100" spans="2:42" x14ac:dyDescent="0.2">
      <c r="B100" s="195"/>
      <c r="C100" s="132" t="s">
        <v>162</v>
      </c>
      <c r="D100" s="195"/>
      <c r="E100" s="195"/>
      <c r="F100" s="93">
        <f>835.25/(10^2)</f>
        <v>8.3524999999999991</v>
      </c>
      <c r="G100" s="93">
        <f>1277.37/(10^2)</f>
        <v>12.773699999999998</v>
      </c>
      <c r="H100" s="93">
        <f>1483/(10^2)</f>
        <v>14.83</v>
      </c>
      <c r="I100" s="93">
        <f>1585.23/(10^2)</f>
        <v>15.8523</v>
      </c>
      <c r="J100" s="93">
        <f>1492.44/(10^2)</f>
        <v>14.9244</v>
      </c>
      <c r="K100" s="196">
        <f>J100</f>
        <v>14.9244</v>
      </c>
      <c r="L100" s="196">
        <f t="shared" ref="L100" si="72">K100</f>
        <v>14.9244</v>
      </c>
      <c r="M100" s="196">
        <f t="shared" ref="M100" si="73">L100</f>
        <v>14.9244</v>
      </c>
      <c r="N100" s="196">
        <f t="shared" ref="N100" si="74">M100</f>
        <v>14.9244</v>
      </c>
      <c r="O100" s="196">
        <f t="shared" ref="O100" si="75">N100</f>
        <v>14.9244</v>
      </c>
      <c r="P100" s="196">
        <f t="shared" ref="P100" si="76">O100</f>
        <v>14.9244</v>
      </c>
      <c r="Q100" s="196">
        <f t="shared" ref="Q100" si="77">P100</f>
        <v>14.9244</v>
      </c>
      <c r="R100" s="196">
        <f t="shared" ref="R100" si="78">Q100</f>
        <v>14.9244</v>
      </c>
      <c r="S100" s="196">
        <f t="shared" ref="S100" si="79">R100</f>
        <v>14.9244</v>
      </c>
      <c r="T100" s="196">
        <f t="shared" ref="T100" si="80">S100</f>
        <v>14.9244</v>
      </c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</row>
    <row r="101" spans="2:42" s="136" customFormat="1" x14ac:dyDescent="0.2">
      <c r="C101" s="217" t="s">
        <v>176</v>
      </c>
      <c r="D101" s="239"/>
      <c r="E101" s="239"/>
      <c r="F101" s="240">
        <f>SUM(F100)</f>
        <v>8.3524999999999991</v>
      </c>
      <c r="G101" s="240">
        <f t="shared" ref="G101:T101" si="81">SUM(G100)</f>
        <v>12.773699999999998</v>
      </c>
      <c r="H101" s="240">
        <f t="shared" si="81"/>
        <v>14.83</v>
      </c>
      <c r="I101" s="240">
        <f t="shared" si="81"/>
        <v>15.8523</v>
      </c>
      <c r="J101" s="240">
        <f t="shared" si="81"/>
        <v>14.9244</v>
      </c>
      <c r="K101" s="240">
        <f t="shared" si="81"/>
        <v>14.9244</v>
      </c>
      <c r="L101" s="240">
        <f t="shared" si="81"/>
        <v>14.9244</v>
      </c>
      <c r="M101" s="240">
        <f t="shared" si="81"/>
        <v>14.9244</v>
      </c>
      <c r="N101" s="240">
        <f t="shared" si="81"/>
        <v>14.9244</v>
      </c>
      <c r="O101" s="240">
        <f t="shared" si="81"/>
        <v>14.9244</v>
      </c>
      <c r="P101" s="240">
        <f t="shared" si="81"/>
        <v>14.9244</v>
      </c>
      <c r="Q101" s="240">
        <f t="shared" si="81"/>
        <v>14.9244</v>
      </c>
      <c r="R101" s="240">
        <f t="shared" si="81"/>
        <v>14.9244</v>
      </c>
      <c r="S101" s="240">
        <f t="shared" si="81"/>
        <v>14.9244</v>
      </c>
      <c r="T101" s="240">
        <f t="shared" si="81"/>
        <v>14.9244</v>
      </c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</row>
    <row r="102" spans="2:42" x14ac:dyDescent="0.2">
      <c r="F102" s="70"/>
      <c r="G102" s="70"/>
      <c r="H102" s="70"/>
      <c r="I102" s="70"/>
      <c r="J102" s="70"/>
      <c r="K102" s="70"/>
      <c r="L102" s="70"/>
      <c r="M102" s="70"/>
      <c r="N102" s="70"/>
      <c r="O102" s="70"/>
      <c r="P102" s="70"/>
      <c r="Q102" s="70"/>
      <c r="R102" s="70"/>
      <c r="S102" s="70"/>
      <c r="T102" s="70"/>
      <c r="U102" s="70"/>
      <c r="V102" s="70"/>
      <c r="W102" s="70"/>
      <c r="X102" s="70"/>
      <c r="Y102" s="70"/>
      <c r="Z102" s="70"/>
      <c r="AA102" s="70"/>
      <c r="AB102" s="70"/>
      <c r="AC102" s="70"/>
      <c r="AD102" s="70"/>
      <c r="AE102" s="70"/>
      <c r="AF102" s="70"/>
      <c r="AG102" s="70"/>
      <c r="AH102" s="70"/>
      <c r="AI102" s="70"/>
      <c r="AJ102" s="70"/>
      <c r="AK102" s="70"/>
      <c r="AL102" s="70"/>
      <c r="AM102" s="70"/>
      <c r="AN102" s="70"/>
      <c r="AO102" s="70"/>
      <c r="AP102" s="70"/>
    </row>
    <row r="103" spans="2:42" x14ac:dyDescent="0.2">
      <c r="B103" s="136" t="s">
        <v>163</v>
      </c>
      <c r="C103" s="136"/>
      <c r="D103" s="136"/>
      <c r="E103" s="136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</row>
    <row r="104" spans="2:42" x14ac:dyDescent="0.2">
      <c r="C104" s="144" t="s">
        <v>164</v>
      </c>
      <c r="D104" s="145"/>
      <c r="E104" s="145"/>
      <c r="F104" s="93">
        <f>0.93/(10^2)</f>
        <v>9.300000000000001E-3</v>
      </c>
      <c r="G104" s="93">
        <f>0.93/(10^2)</f>
        <v>9.300000000000001E-3</v>
      </c>
      <c r="H104" s="93">
        <f>0.93/(10^2)</f>
        <v>9.300000000000001E-3</v>
      </c>
      <c r="I104" s="93">
        <f>0.93/(10^2)</f>
        <v>9.300000000000001E-3</v>
      </c>
      <c r="J104" s="93">
        <f>0.93/(10^2)</f>
        <v>9.300000000000001E-3</v>
      </c>
      <c r="K104" s="196">
        <f>J104</f>
        <v>9.300000000000001E-3</v>
      </c>
      <c r="L104" s="196">
        <f t="shared" ref="L104:T104" si="82">K104</f>
        <v>9.300000000000001E-3</v>
      </c>
      <c r="M104" s="196">
        <f t="shared" si="82"/>
        <v>9.300000000000001E-3</v>
      </c>
      <c r="N104" s="196">
        <f t="shared" si="82"/>
        <v>9.300000000000001E-3</v>
      </c>
      <c r="O104" s="196">
        <f t="shared" si="82"/>
        <v>9.300000000000001E-3</v>
      </c>
      <c r="P104" s="196">
        <f t="shared" si="82"/>
        <v>9.300000000000001E-3</v>
      </c>
      <c r="Q104" s="196">
        <f t="shared" si="82"/>
        <v>9.300000000000001E-3</v>
      </c>
      <c r="R104" s="196">
        <f t="shared" si="82"/>
        <v>9.300000000000001E-3</v>
      </c>
      <c r="S104" s="196">
        <f t="shared" si="82"/>
        <v>9.300000000000001E-3</v>
      </c>
      <c r="T104" s="196">
        <f t="shared" si="82"/>
        <v>9.300000000000001E-3</v>
      </c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</row>
    <row r="105" spans="2:42" x14ac:dyDescent="0.2">
      <c r="C105" s="144" t="s">
        <v>165</v>
      </c>
      <c r="D105" s="145"/>
      <c r="E105" s="145"/>
      <c r="F105" s="93">
        <f>239.86/(10^2)</f>
        <v>2.3986000000000001</v>
      </c>
      <c r="G105" s="93">
        <f>196.55/(10^2)</f>
        <v>1.9655</v>
      </c>
      <c r="H105" s="93">
        <f>185.44/(10^2)</f>
        <v>1.8544</v>
      </c>
      <c r="I105" s="93">
        <f>180.68/(10^2)</f>
        <v>1.8068</v>
      </c>
      <c r="J105" s="93">
        <f>120.68/(10^2)</f>
        <v>1.2068000000000001</v>
      </c>
      <c r="K105" s="196">
        <f>J105</f>
        <v>1.2068000000000001</v>
      </c>
      <c r="L105" s="196">
        <f t="shared" ref="L105:T105" si="83">K105</f>
        <v>1.2068000000000001</v>
      </c>
      <c r="M105" s="196">
        <f t="shared" si="83"/>
        <v>1.2068000000000001</v>
      </c>
      <c r="N105" s="196">
        <f t="shared" si="83"/>
        <v>1.2068000000000001</v>
      </c>
      <c r="O105" s="196">
        <f t="shared" si="83"/>
        <v>1.2068000000000001</v>
      </c>
      <c r="P105" s="196">
        <f t="shared" si="83"/>
        <v>1.2068000000000001</v>
      </c>
      <c r="Q105" s="196">
        <f t="shared" si="83"/>
        <v>1.2068000000000001</v>
      </c>
      <c r="R105" s="196">
        <f t="shared" si="83"/>
        <v>1.2068000000000001</v>
      </c>
      <c r="S105" s="196">
        <f t="shared" si="83"/>
        <v>1.2068000000000001</v>
      </c>
      <c r="T105" s="196">
        <f t="shared" si="83"/>
        <v>1.2068000000000001</v>
      </c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</row>
    <row r="106" spans="2:42" x14ac:dyDescent="0.2">
      <c r="C106" s="144" t="s">
        <v>166</v>
      </c>
      <c r="D106" s="145"/>
      <c r="E106" s="145"/>
      <c r="F106" s="93">
        <f>109.78/(10^2)</f>
        <v>1.0978000000000001</v>
      </c>
      <c r="G106" s="93">
        <f>109.78/(10^2)</f>
        <v>1.0978000000000001</v>
      </c>
      <c r="H106" s="93">
        <f>184.09/(10^2)</f>
        <v>1.8409</v>
      </c>
      <c r="I106" s="93">
        <f>184.09/(10^2)</f>
        <v>1.8409</v>
      </c>
      <c r="J106" s="93">
        <f>201.01/(10^2)</f>
        <v>2.0101</v>
      </c>
      <c r="K106" s="196">
        <f>J106</f>
        <v>2.0101</v>
      </c>
      <c r="L106" s="196">
        <f t="shared" ref="L106:T106" si="84">K106</f>
        <v>2.0101</v>
      </c>
      <c r="M106" s="196">
        <f t="shared" si="84"/>
        <v>2.0101</v>
      </c>
      <c r="N106" s="196">
        <f t="shared" si="84"/>
        <v>2.0101</v>
      </c>
      <c r="O106" s="196">
        <f t="shared" si="84"/>
        <v>2.0101</v>
      </c>
      <c r="P106" s="196">
        <f t="shared" si="84"/>
        <v>2.0101</v>
      </c>
      <c r="Q106" s="196">
        <f t="shared" si="84"/>
        <v>2.0101</v>
      </c>
      <c r="R106" s="196">
        <f t="shared" si="84"/>
        <v>2.0101</v>
      </c>
      <c r="S106" s="196">
        <f t="shared" si="84"/>
        <v>2.0101</v>
      </c>
      <c r="T106" s="196">
        <f t="shared" si="84"/>
        <v>2.0101</v>
      </c>
      <c r="U106" s="65"/>
      <c r="V106" s="65"/>
      <c r="W106" s="65"/>
      <c r="X106" s="65"/>
      <c r="Y106" s="65"/>
      <c r="Z106" s="65"/>
      <c r="AA106" s="65"/>
      <c r="AB106" s="65"/>
      <c r="AC106" s="65"/>
      <c r="AD106" s="65"/>
      <c r="AE106" s="65"/>
      <c r="AF106" s="65"/>
      <c r="AG106" s="65"/>
      <c r="AH106" s="65"/>
      <c r="AI106" s="65"/>
      <c r="AJ106" s="65"/>
      <c r="AK106" s="65"/>
      <c r="AL106" s="65"/>
      <c r="AM106" s="65"/>
      <c r="AN106" s="65"/>
      <c r="AO106" s="65"/>
      <c r="AP106" s="65"/>
    </row>
    <row r="107" spans="2:42" x14ac:dyDescent="0.2">
      <c r="C107" s="144" t="s">
        <v>214</v>
      </c>
      <c r="D107" s="145"/>
      <c r="E107" s="145"/>
      <c r="F107" s="93">
        <f>0/(10^2)</f>
        <v>0</v>
      </c>
      <c r="G107" s="93">
        <f>0/(10^2)</f>
        <v>0</v>
      </c>
      <c r="H107" s="93">
        <f>0/(10^2)</f>
        <v>0</v>
      </c>
      <c r="I107" s="93">
        <f>0.84/(10^2)</f>
        <v>8.3999999999999995E-3</v>
      </c>
      <c r="J107" s="93">
        <f>0.84/(10^2)</f>
        <v>8.3999999999999995E-3</v>
      </c>
      <c r="K107" s="196">
        <f>J107</f>
        <v>8.3999999999999995E-3</v>
      </c>
      <c r="L107" s="196">
        <f t="shared" ref="L107:T107" si="85">K107</f>
        <v>8.3999999999999995E-3</v>
      </c>
      <c r="M107" s="196">
        <f t="shared" si="85"/>
        <v>8.3999999999999995E-3</v>
      </c>
      <c r="N107" s="196">
        <f t="shared" si="85"/>
        <v>8.3999999999999995E-3</v>
      </c>
      <c r="O107" s="196">
        <f t="shared" si="85"/>
        <v>8.3999999999999995E-3</v>
      </c>
      <c r="P107" s="196">
        <f t="shared" si="85"/>
        <v>8.3999999999999995E-3</v>
      </c>
      <c r="Q107" s="196">
        <f t="shared" si="85"/>
        <v>8.3999999999999995E-3</v>
      </c>
      <c r="R107" s="196">
        <f t="shared" si="85"/>
        <v>8.3999999999999995E-3</v>
      </c>
      <c r="S107" s="196">
        <f t="shared" si="85"/>
        <v>8.3999999999999995E-3</v>
      </c>
      <c r="T107" s="196">
        <f t="shared" si="85"/>
        <v>8.3999999999999995E-3</v>
      </c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</row>
    <row r="108" spans="2:42" s="136" customFormat="1" x14ac:dyDescent="0.2">
      <c r="C108" s="217" t="s">
        <v>176</v>
      </c>
      <c r="D108" s="239"/>
      <c r="E108" s="239"/>
      <c r="F108" s="240">
        <f>SUM(F104:F107)</f>
        <v>3.5057</v>
      </c>
      <c r="G108" s="240">
        <f>SUM(G104:G107)</f>
        <v>3.0726000000000004</v>
      </c>
      <c r="H108" s="240">
        <f>SUM(H104:H107)</f>
        <v>3.7046000000000001</v>
      </c>
      <c r="I108" s="240">
        <f>SUM(I104:I107)</f>
        <v>3.6654</v>
      </c>
      <c r="J108" s="240">
        <f>SUM(J104:J107)</f>
        <v>3.2346000000000004</v>
      </c>
      <c r="K108" s="240">
        <f t="shared" ref="K108:T108" si="86">SUM(K104:K106)</f>
        <v>3.2262000000000004</v>
      </c>
      <c r="L108" s="240">
        <f t="shared" si="86"/>
        <v>3.2262000000000004</v>
      </c>
      <c r="M108" s="240">
        <f t="shared" si="86"/>
        <v>3.2262000000000004</v>
      </c>
      <c r="N108" s="240">
        <f t="shared" si="86"/>
        <v>3.2262000000000004</v>
      </c>
      <c r="O108" s="240">
        <f t="shared" si="86"/>
        <v>3.2262000000000004</v>
      </c>
      <c r="P108" s="240">
        <f t="shared" si="86"/>
        <v>3.2262000000000004</v>
      </c>
      <c r="Q108" s="240">
        <f t="shared" si="86"/>
        <v>3.2262000000000004</v>
      </c>
      <c r="R108" s="240">
        <f t="shared" si="86"/>
        <v>3.2262000000000004</v>
      </c>
      <c r="S108" s="240">
        <f t="shared" si="86"/>
        <v>3.2262000000000004</v>
      </c>
      <c r="T108" s="240">
        <f t="shared" si="86"/>
        <v>3.2262000000000004</v>
      </c>
      <c r="U108" s="78"/>
      <c r="V108" s="78"/>
      <c r="W108" s="78"/>
      <c r="X108" s="78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  <c r="AM108" s="78"/>
      <c r="AN108" s="78"/>
      <c r="AO108" s="78"/>
      <c r="AP108" s="78"/>
    </row>
    <row r="109" spans="2:42" x14ac:dyDescent="0.2"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</row>
    <row r="110" spans="2:42" x14ac:dyDescent="0.2">
      <c r="B110" s="148" t="s">
        <v>16</v>
      </c>
      <c r="C110" s="148"/>
      <c r="D110" s="148"/>
      <c r="E110" s="148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</row>
    <row r="111" spans="2:42" x14ac:dyDescent="0.2">
      <c r="C111" s="144" t="s">
        <v>167</v>
      </c>
      <c r="D111" s="145"/>
      <c r="E111" s="145"/>
      <c r="F111" s="93">
        <f>7784.8/(10^2)</f>
        <v>77.847999999999999</v>
      </c>
      <c r="G111" s="93">
        <f>8505.59/(10^2)</f>
        <v>85.055900000000008</v>
      </c>
      <c r="H111" s="93">
        <f>8955.88/(10^2)</f>
        <v>89.558799999999991</v>
      </c>
      <c r="I111" s="93">
        <f>8148.54/(10^2)</f>
        <v>81.485399999999998</v>
      </c>
      <c r="J111" s="93">
        <f>8018.24/(10^2)</f>
        <v>80.182400000000001</v>
      </c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</row>
    <row r="112" spans="2:42" x14ac:dyDescent="0.2">
      <c r="C112" s="144" t="s">
        <v>168</v>
      </c>
      <c r="D112" s="145"/>
      <c r="E112" s="145"/>
      <c r="F112" s="93">
        <f>23419/(10^2)</f>
        <v>234.19</v>
      </c>
      <c r="G112" s="93">
        <f>20641.89/(10^2)</f>
        <v>206.41890000000001</v>
      </c>
      <c r="H112" s="93">
        <f>21934.84/(10^2)</f>
        <v>219.3484</v>
      </c>
      <c r="I112" s="93">
        <f>32827.02/(10^2)</f>
        <v>328.27019999999999</v>
      </c>
      <c r="J112" s="93">
        <f>32991.61/(10^2)</f>
        <v>329.91610000000003</v>
      </c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</row>
    <row r="113" spans="2:42" x14ac:dyDescent="0.2">
      <c r="C113" s="144" t="s">
        <v>169</v>
      </c>
      <c r="D113" s="145"/>
      <c r="E113" s="145"/>
      <c r="F113" s="93">
        <f>16.73/(10^2)</f>
        <v>0.1673</v>
      </c>
      <c r="G113" s="93">
        <f>0/(10^2)</f>
        <v>0</v>
      </c>
      <c r="H113" s="93">
        <f>0/(10^2)</f>
        <v>0</v>
      </c>
      <c r="I113" s="93">
        <f>0/(10^2)</f>
        <v>0</v>
      </c>
      <c r="J113" s="93">
        <f>0/(10^2)</f>
        <v>0</v>
      </c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</row>
    <row r="114" spans="2:42" x14ac:dyDescent="0.2">
      <c r="C114" s="144" t="s">
        <v>64</v>
      </c>
      <c r="D114" s="145"/>
      <c r="E114" s="145"/>
      <c r="F114" s="93">
        <f>7941.34/(10^2)</f>
        <v>79.413399999999996</v>
      </c>
      <c r="G114" s="93">
        <f>13815.62/(10^2)</f>
        <v>138.15620000000001</v>
      </c>
      <c r="H114" s="93">
        <f>30059.66/(10^2)</f>
        <v>300.59660000000002</v>
      </c>
      <c r="I114" s="93">
        <f>36317.06/(10^2)</f>
        <v>363.17059999999998</v>
      </c>
      <c r="J114" s="93">
        <f>47158.43/(10^2)</f>
        <v>471.58429999999998</v>
      </c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</row>
    <row r="115" spans="2:42" x14ac:dyDescent="0.2">
      <c r="C115" s="144" t="s">
        <v>65</v>
      </c>
      <c r="D115" s="145"/>
      <c r="E115" s="145"/>
      <c r="F115" s="93">
        <f>9616.15/(10^2)</f>
        <v>96.16149999999999</v>
      </c>
      <c r="G115" s="93">
        <f>11826.71/(10^2)</f>
        <v>118.26709999999999</v>
      </c>
      <c r="H115" s="93">
        <f>9498.7/(10^2)</f>
        <v>94.987000000000009</v>
      </c>
      <c r="I115" s="93">
        <f>12347.06/(10^2)</f>
        <v>123.47059999999999</v>
      </c>
      <c r="J115" s="93">
        <f>17273.15/(10^2)</f>
        <v>172.73150000000001</v>
      </c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</row>
    <row r="116" spans="2:42" s="136" customFormat="1" x14ac:dyDescent="0.2">
      <c r="C116" s="217" t="s">
        <v>176</v>
      </c>
      <c r="D116" s="239"/>
      <c r="E116" s="239"/>
      <c r="F116" s="240">
        <f>SUM(F111:F115)</f>
        <v>487.78019999999998</v>
      </c>
      <c r="G116" s="240">
        <f>SUM(G111:G115)</f>
        <v>547.8981</v>
      </c>
      <c r="H116" s="240">
        <f>SUM(H111:H115)</f>
        <v>704.49079999999992</v>
      </c>
      <c r="I116" s="240">
        <f>SUM(I111:I115)</f>
        <v>896.39679999999987</v>
      </c>
      <c r="J116" s="240">
        <f>SUM(J111:J115)</f>
        <v>1054.4143000000001</v>
      </c>
      <c r="K116" s="240">
        <f>Assumptions!K80</f>
        <v>94.246575342465746</v>
      </c>
      <c r="L116" s="240">
        <f>Assumptions!L81</f>
        <v>100</v>
      </c>
      <c r="M116" s="240">
        <f>Assumptions!M81</f>
        <v>60</v>
      </c>
      <c r="N116" s="240">
        <f>Assumptions!N81</f>
        <v>60</v>
      </c>
      <c r="O116" s="240">
        <f>Assumptions!O81</f>
        <v>60</v>
      </c>
      <c r="P116" s="240">
        <f>Assumptions!P81</f>
        <v>60</v>
      </c>
      <c r="Q116" s="240">
        <f>Assumptions!Q81</f>
        <v>60</v>
      </c>
      <c r="R116" s="240">
        <f>Assumptions!R81</f>
        <v>60</v>
      </c>
      <c r="S116" s="240">
        <f>Assumptions!S81</f>
        <v>60</v>
      </c>
      <c r="T116" s="240">
        <f>Assumptions!T81</f>
        <v>60</v>
      </c>
      <c r="U116" s="78"/>
      <c r="V116" s="78"/>
      <c r="W116" s="78"/>
      <c r="X116" s="78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  <c r="AM116" s="78"/>
      <c r="AN116" s="78"/>
      <c r="AO116" s="78"/>
      <c r="AP116" s="78"/>
    </row>
    <row r="117" spans="2:42" x14ac:dyDescent="0.2"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</row>
    <row r="118" spans="2:42" x14ac:dyDescent="0.2">
      <c r="B118" s="148" t="s">
        <v>259</v>
      </c>
      <c r="D118" s="188"/>
      <c r="E118" s="188"/>
      <c r="F118" s="65"/>
      <c r="G118" s="65">
        <f>(F116+G116/2)/PL!G12*365</f>
        <v>99.739417390530406</v>
      </c>
      <c r="H118" s="65">
        <f>(G116+H116/2)/PL!H12*365</f>
        <v>130.93885508579089</v>
      </c>
      <c r="I118" s="65">
        <f>(H116+I116/2)/PL!I12*365</f>
        <v>130.79146620940233</v>
      </c>
      <c r="J118" s="65">
        <f>(I116+J116/2)/PL!J12*365</f>
        <v>148.10823201907334</v>
      </c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</row>
    <row r="119" spans="2:42" x14ac:dyDescent="0.2"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</row>
    <row r="120" spans="2:42" x14ac:dyDescent="0.2">
      <c r="B120" s="148" t="s">
        <v>17</v>
      </c>
      <c r="C120" s="148"/>
      <c r="D120" s="148"/>
      <c r="E120" s="148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</row>
    <row r="121" spans="2:42" x14ac:dyDescent="0.2">
      <c r="C121" s="144" t="s">
        <v>170</v>
      </c>
      <c r="D121" s="145"/>
      <c r="E121" s="145"/>
      <c r="F121" s="93">
        <f>1510.89/(10^2)</f>
        <v>15.1089</v>
      </c>
      <c r="G121" s="93">
        <f>2066.18/(10^2)</f>
        <v>20.661799999999999</v>
      </c>
      <c r="H121" s="93">
        <f>8024.56/(10^2)</f>
        <v>80.24560000000001</v>
      </c>
      <c r="I121" s="93">
        <f>7656.5/(10^2)</f>
        <v>76.564999999999998</v>
      </c>
      <c r="J121" s="93">
        <f>9452.09/(10^2)</f>
        <v>94.520899999999997</v>
      </c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</row>
    <row r="122" spans="2:42" x14ac:dyDescent="0.2">
      <c r="C122" s="144" t="s">
        <v>384</v>
      </c>
      <c r="D122" s="145"/>
      <c r="E122" s="145"/>
      <c r="F122" s="93">
        <f>72722.97/(10^2)</f>
        <v>727.22969999999998</v>
      </c>
      <c r="G122" s="93">
        <f>89102.28/(10^2)</f>
        <v>891.02279999999996</v>
      </c>
      <c r="H122" s="93">
        <f>109822.68/(10^2)</f>
        <v>1098.2267999999999</v>
      </c>
      <c r="I122" s="93">
        <f>140437.62/(10^2)</f>
        <v>1404.3761999999999</v>
      </c>
      <c r="J122" s="93">
        <f>130930.6/(10^2)</f>
        <v>1309.306</v>
      </c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</row>
    <row r="123" spans="2:42" s="136" customFormat="1" x14ac:dyDescent="0.2">
      <c r="C123" s="217" t="s">
        <v>176</v>
      </c>
      <c r="D123" s="239"/>
      <c r="E123" s="239"/>
      <c r="F123" s="240">
        <f>SUM(F121:F122)</f>
        <v>742.33859999999993</v>
      </c>
      <c r="G123" s="240">
        <f>SUM(G121:G122)</f>
        <v>911.68459999999993</v>
      </c>
      <c r="H123" s="240">
        <f>SUM(H121:H122)</f>
        <v>1178.4723999999999</v>
      </c>
      <c r="I123" s="240">
        <f>SUM(I121:I122)</f>
        <v>1480.9412</v>
      </c>
      <c r="J123" s="240">
        <f>SUM(J121:J122)</f>
        <v>1403.8269</v>
      </c>
      <c r="K123" s="240">
        <f>Assumptions!K77</f>
        <v>142.46575342465752</v>
      </c>
      <c r="L123" s="240">
        <f>Assumptions!L77</f>
        <v>95.042721133258226</v>
      </c>
      <c r="M123" s="240">
        <f>Assumptions!M77</f>
        <v>342.1537960797296</v>
      </c>
      <c r="N123" s="240">
        <f>Assumptions!N77</f>
        <v>498.17592709208634</v>
      </c>
      <c r="O123" s="240">
        <f>Assumptions!O77</f>
        <v>592.11767334373701</v>
      </c>
      <c r="P123" s="240">
        <f>Assumptions!P77</f>
        <v>646.59249929136081</v>
      </c>
      <c r="Q123" s="240">
        <f>Assumptions!Q77</f>
        <v>704.4779230374445</v>
      </c>
      <c r="R123" s="240">
        <f>Assumptions!R77</f>
        <v>765.95963268434878</v>
      </c>
      <c r="S123" s="240">
        <f>Assumptions!S77</f>
        <v>831.23271442614555</v>
      </c>
      <c r="T123" s="240">
        <f>Assumptions!T77</f>
        <v>900.50210729499111</v>
      </c>
      <c r="U123" s="78"/>
      <c r="V123" s="78"/>
      <c r="W123" s="78"/>
      <c r="X123" s="78"/>
      <c r="Y123" s="78"/>
      <c r="Z123" s="78"/>
      <c r="AA123" s="78"/>
      <c r="AB123" s="78"/>
      <c r="AC123" s="78"/>
      <c r="AD123" s="78"/>
      <c r="AE123" s="78"/>
      <c r="AF123" s="78"/>
      <c r="AG123" s="78"/>
      <c r="AH123" s="78"/>
      <c r="AI123" s="78"/>
      <c r="AJ123" s="78"/>
      <c r="AK123" s="78"/>
      <c r="AL123" s="78"/>
      <c r="AM123" s="78"/>
      <c r="AN123" s="78"/>
      <c r="AO123" s="78"/>
      <c r="AP123" s="78"/>
    </row>
    <row r="124" spans="2:42" x14ac:dyDescent="0.2">
      <c r="F124" s="65">
        <f>F123/$F$123-1</f>
        <v>0</v>
      </c>
      <c r="G124" s="65">
        <f>G123/$F$123-1</f>
        <v>0.22812500926127255</v>
      </c>
      <c r="H124" s="65">
        <f>H123/$F$123-1</f>
        <v>0.58751329918719031</v>
      </c>
      <c r="I124" s="65">
        <f>I123/$F$123-1</f>
        <v>0.99496725618201731</v>
      </c>
      <c r="J124" s="65">
        <f>J123/$F$123-1</f>
        <v>0.89108703225185937</v>
      </c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</row>
    <row r="125" spans="2:42" x14ac:dyDescent="0.2">
      <c r="B125" s="136" t="s">
        <v>18</v>
      </c>
      <c r="C125" s="136"/>
      <c r="D125" s="136"/>
      <c r="E125" s="136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  <c r="V125" s="65"/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65"/>
      <c r="AI125" s="65"/>
      <c r="AJ125" s="65"/>
      <c r="AK125" s="65"/>
      <c r="AL125" s="65"/>
      <c r="AM125" s="65"/>
      <c r="AN125" s="65"/>
      <c r="AO125" s="65"/>
      <c r="AP125" s="65"/>
    </row>
    <row r="126" spans="2:42" x14ac:dyDescent="0.2">
      <c r="C126" s="144" t="s">
        <v>171</v>
      </c>
      <c r="D126" s="145"/>
      <c r="E126" s="145"/>
      <c r="F126" s="93">
        <f>11.18/(10^2)</f>
        <v>0.1118</v>
      </c>
      <c r="G126" s="93">
        <f>14.55/(10^2)</f>
        <v>0.14550000000000002</v>
      </c>
      <c r="H126" s="93">
        <f>11.91/(10^2)</f>
        <v>0.1191</v>
      </c>
      <c r="I126" s="93">
        <f>13.47/(10^2)</f>
        <v>0.13470000000000001</v>
      </c>
      <c r="J126" s="93">
        <f>9.8/(10^2)</f>
        <v>9.8000000000000004E-2</v>
      </c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</row>
    <row r="127" spans="2:42" x14ac:dyDescent="0.2">
      <c r="C127" s="144" t="s">
        <v>172</v>
      </c>
      <c r="D127" s="145"/>
      <c r="E127" s="14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65"/>
      <c r="AJ127" s="65"/>
      <c r="AK127" s="65"/>
      <c r="AL127" s="65"/>
      <c r="AM127" s="65"/>
      <c r="AN127" s="65"/>
      <c r="AO127" s="65"/>
      <c r="AP127" s="65"/>
    </row>
    <row r="128" spans="2:42" x14ac:dyDescent="0.2">
      <c r="D128" s="144" t="s">
        <v>173</v>
      </c>
      <c r="E128" s="146"/>
      <c r="F128" s="93">
        <f>10892.74/(10^2)</f>
        <v>108.92739999999999</v>
      </c>
      <c r="G128" s="93">
        <f>11648.32/(10^2)</f>
        <v>116.4832</v>
      </c>
      <c r="H128" s="93">
        <f>12018.14/(10^2)</f>
        <v>120.1814</v>
      </c>
      <c r="I128" s="93">
        <f>14122.03/(10^2)</f>
        <v>141.22030000000001</v>
      </c>
      <c r="J128" s="93">
        <f>16802/(10^2)</f>
        <v>168.02</v>
      </c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  <c r="V128" s="65"/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65"/>
      <c r="AI128" s="65"/>
      <c r="AJ128" s="65"/>
      <c r="AK128" s="65"/>
      <c r="AL128" s="65"/>
      <c r="AM128" s="65"/>
      <c r="AN128" s="65"/>
      <c r="AO128" s="65"/>
      <c r="AP128" s="65"/>
    </row>
    <row r="129" spans="2:42" x14ac:dyDescent="0.2">
      <c r="D129" s="144" t="s">
        <v>174</v>
      </c>
      <c r="E129" s="146"/>
      <c r="F129" s="93">
        <f>2293.23/(10^2)</f>
        <v>22.932300000000001</v>
      </c>
      <c r="G129" s="93">
        <f>772.67/(10^2)</f>
        <v>7.7266999999999992</v>
      </c>
      <c r="H129" s="93">
        <f>340.62/(10^2)</f>
        <v>3.4062000000000001</v>
      </c>
      <c r="I129" s="93">
        <f>47.02/(10^2)</f>
        <v>0.47020000000000001</v>
      </c>
      <c r="J129" s="93">
        <f>379.57/(10^2)</f>
        <v>3.7957000000000001</v>
      </c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65"/>
      <c r="AE129" s="65"/>
      <c r="AF129" s="65"/>
      <c r="AG129" s="65"/>
      <c r="AH129" s="65"/>
      <c r="AI129" s="65"/>
      <c r="AJ129" s="65"/>
      <c r="AK129" s="65"/>
      <c r="AL129" s="65"/>
      <c r="AM129" s="65"/>
      <c r="AN129" s="65"/>
      <c r="AO129" s="65"/>
      <c r="AP129" s="65"/>
    </row>
    <row r="130" spans="2:42" s="136" customFormat="1" x14ac:dyDescent="0.2">
      <c r="C130" s="217" t="s">
        <v>176</v>
      </c>
      <c r="D130" s="239"/>
      <c r="E130" s="239"/>
      <c r="F130" s="240">
        <f>SUM(F126:F129)</f>
        <v>131.97149999999999</v>
      </c>
      <c r="G130" s="240">
        <f>SUM(G126:G129)</f>
        <v>124.35539999999999</v>
      </c>
      <c r="H130" s="240">
        <f>SUM(H126:H129)</f>
        <v>123.7067</v>
      </c>
      <c r="I130" s="240">
        <f>SUM(I126:I129)</f>
        <v>141.82520000000002</v>
      </c>
      <c r="J130" s="240">
        <f>SUM(J126:J129)</f>
        <v>171.91370000000003</v>
      </c>
      <c r="K130" s="240">
        <f ca="1">CFS!F45</f>
        <v>3.3219526260720897</v>
      </c>
      <c r="L130" s="240">
        <f ca="1">CFS!G45</f>
        <v>562.83319887220841</v>
      </c>
      <c r="M130" s="240">
        <f ca="1">CFS!H45</f>
        <v>322.44947887521846</v>
      </c>
      <c r="N130" s="240">
        <f ca="1">CFS!I45</f>
        <v>137.31282813033289</v>
      </c>
      <c r="O130" s="240">
        <f ca="1">CFS!J45</f>
        <v>48.717331287213341</v>
      </c>
      <c r="P130" s="240">
        <f ca="1">CFS!K45</f>
        <v>27.934514790481089</v>
      </c>
      <c r="Q130" s="240">
        <f ca="1">CFS!L45</f>
        <v>16.148229164026155</v>
      </c>
      <c r="R130" s="240">
        <f ca="1">CFS!M45</f>
        <v>13.976945859354593</v>
      </c>
      <c r="S130" s="240">
        <f ca="1">CFS!N45</f>
        <v>1.9927634410545849</v>
      </c>
      <c r="T130" s="240">
        <f ca="1">CFS!O45</f>
        <v>2.2553617772269874</v>
      </c>
      <c r="U130" s="78"/>
      <c r="V130" s="78"/>
      <c r="W130" s="78"/>
      <c r="X130" s="78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  <c r="AM130" s="78"/>
      <c r="AN130" s="78"/>
      <c r="AO130" s="78"/>
      <c r="AP130" s="78"/>
    </row>
    <row r="131" spans="2:42" x14ac:dyDescent="0.2"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/>
      <c r="AD131" s="65"/>
      <c r="AE131" s="65"/>
      <c r="AF131" s="65"/>
      <c r="AG131" s="65"/>
      <c r="AH131" s="65"/>
      <c r="AI131" s="65"/>
      <c r="AJ131" s="65"/>
      <c r="AK131" s="65"/>
      <c r="AL131" s="65"/>
      <c r="AM131" s="65"/>
      <c r="AN131" s="65"/>
      <c r="AO131" s="65"/>
      <c r="AP131" s="65"/>
    </row>
    <row r="132" spans="2:42" x14ac:dyDescent="0.2">
      <c r="B132" s="136" t="s">
        <v>130</v>
      </c>
      <c r="C132" s="136"/>
      <c r="D132" s="136"/>
      <c r="E132" s="136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/>
      <c r="AD132" s="65"/>
      <c r="AE132" s="65"/>
      <c r="AF132" s="65"/>
      <c r="AG132" s="65"/>
      <c r="AH132" s="65"/>
      <c r="AI132" s="65"/>
      <c r="AJ132" s="65"/>
      <c r="AK132" s="65"/>
      <c r="AL132" s="65"/>
      <c r="AM132" s="65"/>
      <c r="AN132" s="65"/>
      <c r="AO132" s="65"/>
      <c r="AP132" s="65"/>
    </row>
    <row r="133" spans="2:42" x14ac:dyDescent="0.2">
      <c r="C133" s="144" t="s">
        <v>175</v>
      </c>
      <c r="D133" s="208"/>
      <c r="E133" s="208"/>
      <c r="F133" s="93">
        <f>3379.71/(10^2)</f>
        <v>33.7971</v>
      </c>
      <c r="G133" s="93">
        <f>2998.79/(10^2)</f>
        <v>29.9879</v>
      </c>
      <c r="H133" s="93">
        <f>2056.5/(10^2)</f>
        <v>20.565000000000001</v>
      </c>
      <c r="I133" s="93">
        <f>2235.07/(10^2)</f>
        <v>22.350700000000003</v>
      </c>
      <c r="J133" s="93">
        <f>2791.38/(10^2)</f>
        <v>27.913800000000002</v>
      </c>
      <c r="K133" s="196">
        <f>J133</f>
        <v>27.913800000000002</v>
      </c>
      <c r="L133" s="196">
        <f t="shared" ref="L133:T133" si="87">K133</f>
        <v>27.913800000000002</v>
      </c>
      <c r="M133" s="196">
        <f t="shared" si="87"/>
        <v>27.913800000000002</v>
      </c>
      <c r="N133" s="196">
        <f t="shared" si="87"/>
        <v>27.913800000000002</v>
      </c>
      <c r="O133" s="196">
        <f t="shared" si="87"/>
        <v>27.913800000000002</v>
      </c>
      <c r="P133" s="196">
        <f t="shared" si="87"/>
        <v>27.913800000000002</v>
      </c>
      <c r="Q133" s="196">
        <f t="shared" si="87"/>
        <v>27.913800000000002</v>
      </c>
      <c r="R133" s="196">
        <f t="shared" si="87"/>
        <v>27.913800000000002</v>
      </c>
      <c r="S133" s="196">
        <f t="shared" si="87"/>
        <v>27.913800000000002</v>
      </c>
      <c r="T133" s="196">
        <f t="shared" si="87"/>
        <v>27.913800000000002</v>
      </c>
      <c r="U133" s="65"/>
      <c r="V133" s="65"/>
      <c r="W133" s="65"/>
      <c r="X133" s="65"/>
      <c r="Y133" s="65"/>
      <c r="Z133" s="65"/>
      <c r="AA133" s="65"/>
      <c r="AB133" s="65"/>
      <c r="AC133" s="65"/>
      <c r="AD133" s="65"/>
      <c r="AE133" s="65"/>
      <c r="AF133" s="65"/>
      <c r="AG133" s="65"/>
      <c r="AH133" s="65"/>
      <c r="AI133" s="65"/>
      <c r="AJ133" s="65"/>
      <c r="AK133" s="65"/>
      <c r="AL133" s="65"/>
      <c r="AM133" s="65"/>
      <c r="AN133" s="65"/>
      <c r="AO133" s="65"/>
      <c r="AP133" s="65"/>
    </row>
    <row r="134" spans="2:42" s="136" customFormat="1" x14ac:dyDescent="0.2">
      <c r="B134" s="64"/>
      <c r="C134" s="217" t="s">
        <v>176</v>
      </c>
      <c r="D134" s="239"/>
      <c r="E134" s="239"/>
      <c r="F134" s="240">
        <f>F133</f>
        <v>33.7971</v>
      </c>
      <c r="G134" s="240">
        <f>G133</f>
        <v>29.9879</v>
      </c>
      <c r="H134" s="240">
        <f>H133</f>
        <v>20.565000000000001</v>
      </c>
      <c r="I134" s="240">
        <f>I133</f>
        <v>22.350700000000003</v>
      </c>
      <c r="J134" s="240">
        <f>J133</f>
        <v>27.913800000000002</v>
      </c>
      <c r="K134" s="240">
        <f t="shared" ref="K134:T134" si="88">K133</f>
        <v>27.913800000000002</v>
      </c>
      <c r="L134" s="240">
        <f t="shared" si="88"/>
        <v>27.913800000000002</v>
      </c>
      <c r="M134" s="240">
        <f t="shared" si="88"/>
        <v>27.913800000000002</v>
      </c>
      <c r="N134" s="240">
        <f t="shared" si="88"/>
        <v>27.913800000000002</v>
      </c>
      <c r="O134" s="240">
        <f t="shared" si="88"/>
        <v>27.913800000000002</v>
      </c>
      <c r="P134" s="240">
        <f t="shared" si="88"/>
        <v>27.913800000000002</v>
      </c>
      <c r="Q134" s="240">
        <f t="shared" si="88"/>
        <v>27.913800000000002</v>
      </c>
      <c r="R134" s="240">
        <f t="shared" si="88"/>
        <v>27.913800000000002</v>
      </c>
      <c r="S134" s="240">
        <f t="shared" si="88"/>
        <v>27.913800000000002</v>
      </c>
      <c r="T134" s="240">
        <f t="shared" si="88"/>
        <v>27.913800000000002</v>
      </c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</row>
    <row r="135" spans="2:42" x14ac:dyDescent="0.2"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5"/>
      <c r="AM135" s="65"/>
      <c r="AN135" s="65"/>
      <c r="AO135" s="65"/>
      <c r="AP135" s="65"/>
    </row>
    <row r="136" spans="2:42" x14ac:dyDescent="0.2">
      <c r="B136" s="195" t="s">
        <v>132</v>
      </c>
      <c r="C136" s="195"/>
      <c r="D136" s="195"/>
      <c r="E136" s="19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/>
      <c r="AD136" s="65"/>
      <c r="AE136" s="65"/>
      <c r="AF136" s="65"/>
      <c r="AG136" s="65"/>
      <c r="AH136" s="65"/>
      <c r="AI136" s="65"/>
      <c r="AJ136" s="65"/>
      <c r="AK136" s="65"/>
      <c r="AL136" s="65"/>
      <c r="AM136" s="65"/>
      <c r="AN136" s="65"/>
      <c r="AO136" s="65"/>
      <c r="AP136" s="65"/>
    </row>
    <row r="137" spans="2:42" x14ac:dyDescent="0.2">
      <c r="C137" s="195" t="s">
        <v>133</v>
      </c>
      <c r="D137" s="209"/>
      <c r="E137" s="209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/>
      <c r="AD137" s="65"/>
      <c r="AE137" s="65"/>
      <c r="AF137" s="65"/>
      <c r="AG137" s="65"/>
      <c r="AH137" s="65"/>
      <c r="AI137" s="65"/>
      <c r="AJ137" s="65"/>
      <c r="AK137" s="65"/>
      <c r="AL137" s="65"/>
      <c r="AM137" s="65"/>
      <c r="AN137" s="65"/>
      <c r="AO137" s="65"/>
      <c r="AP137" s="65"/>
    </row>
    <row r="138" spans="2:42" x14ac:dyDescent="0.2">
      <c r="D138" s="132" t="s">
        <v>134</v>
      </c>
      <c r="E138" s="210"/>
      <c r="F138" s="93">
        <f>444.44/(10^2)</f>
        <v>4.4443999999999999</v>
      </c>
      <c r="G138" s="93">
        <f t="shared" ref="G138:J139" si="89">0/(10^2)</f>
        <v>0</v>
      </c>
      <c r="H138" s="93">
        <f t="shared" si="89"/>
        <v>0</v>
      </c>
      <c r="I138" s="93">
        <f t="shared" si="89"/>
        <v>0</v>
      </c>
      <c r="J138" s="93">
        <f t="shared" si="89"/>
        <v>0</v>
      </c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/>
      <c r="AD138" s="65"/>
      <c r="AE138" s="65"/>
      <c r="AF138" s="65"/>
      <c r="AG138" s="65"/>
      <c r="AH138" s="65"/>
      <c r="AI138" s="65"/>
      <c r="AJ138" s="65"/>
      <c r="AK138" s="65"/>
      <c r="AL138" s="65"/>
      <c r="AM138" s="65"/>
      <c r="AN138" s="65"/>
      <c r="AO138" s="65"/>
      <c r="AP138" s="65"/>
    </row>
    <row r="139" spans="2:42" x14ac:dyDescent="0.2">
      <c r="D139" s="132" t="s">
        <v>203</v>
      </c>
      <c r="E139" s="210"/>
      <c r="F139" s="93">
        <f>382.25/(10^2)</f>
        <v>3.8224999999999998</v>
      </c>
      <c r="G139" s="93">
        <f t="shared" si="89"/>
        <v>0</v>
      </c>
      <c r="H139" s="93">
        <f t="shared" si="89"/>
        <v>0</v>
      </c>
      <c r="I139" s="93">
        <f t="shared" si="89"/>
        <v>0</v>
      </c>
      <c r="J139" s="93">
        <f t="shared" si="89"/>
        <v>0</v>
      </c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/>
      <c r="AD139" s="65"/>
      <c r="AE139" s="65"/>
      <c r="AF139" s="65"/>
      <c r="AG139" s="65"/>
      <c r="AH139" s="65"/>
      <c r="AI139" s="65"/>
      <c r="AJ139" s="65"/>
      <c r="AK139" s="65"/>
      <c r="AL139" s="65"/>
      <c r="AM139" s="65"/>
      <c r="AN139" s="65"/>
      <c r="AO139" s="65"/>
      <c r="AP139" s="65"/>
    </row>
    <row r="140" spans="2:42" x14ac:dyDescent="0.2">
      <c r="C140" s="210"/>
      <c r="D140" s="210"/>
      <c r="E140" s="210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/>
      <c r="AD140" s="65"/>
      <c r="AE140" s="65"/>
      <c r="AF140" s="65"/>
      <c r="AG140" s="65"/>
      <c r="AH140" s="65"/>
      <c r="AI140" s="65"/>
      <c r="AJ140" s="65"/>
      <c r="AK140" s="65"/>
      <c r="AL140" s="65"/>
      <c r="AM140" s="65"/>
      <c r="AN140" s="65"/>
      <c r="AO140" s="65"/>
      <c r="AP140" s="65"/>
    </row>
    <row r="141" spans="2:42" x14ac:dyDescent="0.2">
      <c r="C141" s="136" t="s">
        <v>202</v>
      </c>
      <c r="D141" s="211"/>
      <c r="E141" s="211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/>
      <c r="AD141" s="65"/>
      <c r="AE141" s="65"/>
      <c r="AF141" s="65"/>
      <c r="AG141" s="65"/>
      <c r="AH141" s="65"/>
      <c r="AI141" s="65"/>
      <c r="AJ141" s="65"/>
      <c r="AK141" s="65"/>
      <c r="AL141" s="65"/>
      <c r="AM141" s="65"/>
      <c r="AN141" s="65"/>
      <c r="AO141" s="65"/>
      <c r="AP141" s="65"/>
    </row>
    <row r="142" spans="2:42" ht="14.45" customHeight="1" x14ac:dyDescent="0.2">
      <c r="D142" s="132" t="s">
        <v>148</v>
      </c>
      <c r="E142" s="210"/>
      <c r="F142" s="93">
        <f t="shared" ref="F142:G147" si="90">0/(10^2)</f>
        <v>0</v>
      </c>
      <c r="G142" s="93">
        <f t="shared" si="90"/>
        <v>0</v>
      </c>
      <c r="H142" s="93">
        <f>3772/(10^2)</f>
        <v>37.72</v>
      </c>
      <c r="I142" s="93">
        <f>1257.33/(10^2)</f>
        <v>12.5733</v>
      </c>
      <c r="J142" s="93">
        <v>0</v>
      </c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/>
      <c r="AD142" s="65"/>
      <c r="AE142" s="65"/>
      <c r="AF142" s="65"/>
      <c r="AG142" s="65"/>
      <c r="AH142" s="65"/>
      <c r="AI142" s="65"/>
      <c r="AJ142" s="65"/>
      <c r="AK142" s="65"/>
      <c r="AL142" s="65"/>
      <c r="AM142" s="65"/>
      <c r="AN142" s="65"/>
      <c r="AO142" s="65"/>
      <c r="AP142" s="65"/>
    </row>
    <row r="143" spans="2:42" x14ac:dyDescent="0.2">
      <c r="D143" s="132" t="s">
        <v>205</v>
      </c>
      <c r="E143" s="210"/>
      <c r="F143" s="93">
        <f t="shared" si="90"/>
        <v>0</v>
      </c>
      <c r="G143" s="93">
        <f t="shared" si="90"/>
        <v>0</v>
      </c>
      <c r="H143" s="93">
        <f>1933.82/(10^2)</f>
        <v>19.338200000000001</v>
      </c>
      <c r="I143" s="93">
        <f>1130.03/(10^2)</f>
        <v>11.3003</v>
      </c>
      <c r="J143" s="93">
        <f>322.3/(10^2)</f>
        <v>3.2230000000000003</v>
      </c>
      <c r="K143" s="196">
        <f>J143*0</f>
        <v>0</v>
      </c>
      <c r="L143" s="196">
        <f>K143*0</f>
        <v>0</v>
      </c>
      <c r="M143" s="196">
        <f t="shared" ref="M143:T143" si="91">L143</f>
        <v>0</v>
      </c>
      <c r="N143" s="196">
        <f t="shared" si="91"/>
        <v>0</v>
      </c>
      <c r="O143" s="196">
        <f t="shared" si="91"/>
        <v>0</v>
      </c>
      <c r="P143" s="196">
        <f t="shared" si="91"/>
        <v>0</v>
      </c>
      <c r="Q143" s="196">
        <f t="shared" si="91"/>
        <v>0</v>
      </c>
      <c r="R143" s="196">
        <f t="shared" si="91"/>
        <v>0</v>
      </c>
      <c r="S143" s="196">
        <f t="shared" si="91"/>
        <v>0</v>
      </c>
      <c r="T143" s="196">
        <f t="shared" si="91"/>
        <v>0</v>
      </c>
      <c r="U143" s="65"/>
      <c r="V143" s="65"/>
      <c r="W143" s="65"/>
      <c r="X143" s="65"/>
      <c r="Y143" s="65"/>
      <c r="Z143" s="65"/>
      <c r="AA143" s="65"/>
      <c r="AB143" s="65"/>
      <c r="AC143" s="65"/>
      <c r="AD143" s="65"/>
      <c r="AE143" s="65"/>
      <c r="AF143" s="65"/>
      <c r="AG143" s="65"/>
      <c r="AH143" s="65"/>
      <c r="AI143" s="65"/>
      <c r="AJ143" s="65"/>
      <c r="AK143" s="65"/>
      <c r="AL143" s="65"/>
      <c r="AM143" s="65"/>
      <c r="AN143" s="65"/>
      <c r="AO143" s="65"/>
      <c r="AP143" s="65"/>
    </row>
    <row r="144" spans="2:42" x14ac:dyDescent="0.2">
      <c r="D144" s="132" t="s">
        <v>206</v>
      </c>
      <c r="E144" s="210"/>
      <c r="F144" s="93">
        <f t="shared" si="90"/>
        <v>0</v>
      </c>
      <c r="G144" s="93">
        <f t="shared" si="90"/>
        <v>0</v>
      </c>
      <c r="H144" s="93">
        <f>513.32/(10^2)</f>
        <v>5.1332000000000004</v>
      </c>
      <c r="I144" s="93">
        <f>116.77/(10^2)</f>
        <v>1.1677</v>
      </c>
      <c r="J144" s="93">
        <v>0</v>
      </c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  <c r="V144" s="65"/>
      <c r="W144" s="65"/>
      <c r="X144" s="65"/>
      <c r="Y144" s="65"/>
      <c r="Z144" s="65"/>
      <c r="AA144" s="65"/>
      <c r="AB144" s="65"/>
      <c r="AC144" s="65"/>
      <c r="AD144" s="65"/>
      <c r="AE144" s="65"/>
      <c r="AF144" s="65"/>
      <c r="AG144" s="65"/>
      <c r="AH144" s="65"/>
      <c r="AI144" s="65"/>
      <c r="AJ144" s="65"/>
      <c r="AK144" s="65"/>
      <c r="AL144" s="65"/>
      <c r="AM144" s="65"/>
      <c r="AN144" s="65"/>
      <c r="AO144" s="65"/>
      <c r="AP144" s="65"/>
    </row>
    <row r="145" spans="2:42" x14ac:dyDescent="0.2">
      <c r="D145" s="132" t="s">
        <v>207</v>
      </c>
      <c r="E145" s="210"/>
      <c r="F145" s="93">
        <f t="shared" si="90"/>
        <v>0</v>
      </c>
      <c r="G145" s="93">
        <f t="shared" si="90"/>
        <v>0</v>
      </c>
      <c r="H145" s="93">
        <f>280.5/(10^2)</f>
        <v>2.8050000000000002</v>
      </c>
      <c r="I145" s="93">
        <f>0/(10^2)</f>
        <v>0</v>
      </c>
      <c r="J145" s="93">
        <v>0</v>
      </c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  <c r="V145" s="65"/>
      <c r="W145" s="65"/>
      <c r="X145" s="65"/>
      <c r="Y145" s="65"/>
      <c r="Z145" s="65"/>
      <c r="AA145" s="65"/>
      <c r="AB145" s="65"/>
      <c r="AC145" s="65"/>
      <c r="AD145" s="65"/>
      <c r="AE145" s="65"/>
      <c r="AF145" s="65"/>
      <c r="AG145" s="65"/>
      <c r="AH145" s="65"/>
      <c r="AI145" s="65"/>
      <c r="AJ145" s="65"/>
      <c r="AK145" s="65"/>
      <c r="AL145" s="65"/>
      <c r="AM145" s="65"/>
      <c r="AN145" s="65"/>
      <c r="AO145" s="65"/>
      <c r="AP145" s="65"/>
    </row>
    <row r="146" spans="2:42" x14ac:dyDescent="0.2">
      <c r="D146" s="132" t="s">
        <v>208</v>
      </c>
      <c r="E146" s="210"/>
      <c r="F146" s="93">
        <f t="shared" si="90"/>
        <v>0</v>
      </c>
      <c r="G146" s="93">
        <f t="shared" si="90"/>
        <v>0</v>
      </c>
      <c r="H146" s="93">
        <f>450/(10^2)</f>
        <v>4.5</v>
      </c>
      <c r="I146" s="93">
        <f>70.9/(10^2)</f>
        <v>0.70900000000000007</v>
      </c>
      <c r="J146" s="93">
        <v>0</v>
      </c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  <c r="V146" s="65"/>
      <c r="W146" s="65"/>
      <c r="X146" s="65"/>
      <c r="Y146" s="65"/>
      <c r="Z146" s="65"/>
      <c r="AA146" s="65"/>
      <c r="AB146" s="65"/>
      <c r="AC146" s="65"/>
      <c r="AD146" s="65"/>
      <c r="AE146" s="65"/>
      <c r="AF146" s="65"/>
      <c r="AG146" s="65"/>
      <c r="AH146" s="65"/>
      <c r="AI146" s="65"/>
      <c r="AJ146" s="65"/>
      <c r="AK146" s="65"/>
      <c r="AL146" s="65"/>
      <c r="AM146" s="65"/>
      <c r="AN146" s="65"/>
      <c r="AO146" s="65"/>
      <c r="AP146" s="65"/>
    </row>
    <row r="147" spans="2:42" x14ac:dyDescent="0.2">
      <c r="D147" s="132" t="s">
        <v>209</v>
      </c>
      <c r="E147" s="210"/>
      <c r="F147" s="93">
        <f t="shared" si="90"/>
        <v>0</v>
      </c>
      <c r="G147" s="93">
        <f t="shared" si="90"/>
        <v>0</v>
      </c>
      <c r="H147" s="93">
        <f>634.74/(10^2)</f>
        <v>6.3474000000000004</v>
      </c>
      <c r="I147" s="93">
        <f>87.74/(10^2)</f>
        <v>0.87739999999999996</v>
      </c>
      <c r="J147" s="93">
        <v>0</v>
      </c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  <c r="X147" s="65"/>
      <c r="Y147" s="65"/>
      <c r="Z147" s="65"/>
      <c r="AA147" s="65"/>
      <c r="AB147" s="65"/>
      <c r="AC147" s="65"/>
      <c r="AD147" s="65"/>
      <c r="AE147" s="65"/>
      <c r="AF147" s="65"/>
      <c r="AG147" s="65"/>
      <c r="AH147" s="65"/>
      <c r="AI147" s="65"/>
      <c r="AJ147" s="65"/>
      <c r="AK147" s="65"/>
      <c r="AL147" s="65"/>
      <c r="AM147" s="65"/>
      <c r="AN147" s="65"/>
      <c r="AO147" s="65"/>
      <c r="AP147" s="65"/>
    </row>
    <row r="148" spans="2:42" x14ac:dyDescent="0.2">
      <c r="C148" s="210"/>
      <c r="D148" s="210"/>
      <c r="E148" s="210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  <c r="X148" s="65"/>
      <c r="Y148" s="65"/>
      <c r="Z148" s="65"/>
      <c r="AA148" s="65"/>
      <c r="AB148" s="65"/>
      <c r="AC148" s="65"/>
      <c r="AD148" s="65"/>
      <c r="AE148" s="65"/>
      <c r="AF148" s="65"/>
      <c r="AG148" s="65"/>
      <c r="AH148" s="65"/>
      <c r="AI148" s="65"/>
      <c r="AJ148" s="65"/>
      <c r="AK148" s="65"/>
      <c r="AL148" s="65"/>
      <c r="AM148" s="65"/>
      <c r="AN148" s="65"/>
      <c r="AO148" s="65"/>
      <c r="AP148" s="65"/>
    </row>
    <row r="149" spans="2:42" x14ac:dyDescent="0.2">
      <c r="C149" s="148" t="s">
        <v>254</v>
      </c>
      <c r="D149" s="213"/>
      <c r="E149" s="213"/>
      <c r="F149" s="65"/>
      <c r="G149" s="66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  <c r="V149" s="65"/>
      <c r="W149" s="65"/>
      <c r="X149" s="65"/>
      <c r="Y149" s="65"/>
      <c r="Z149" s="65"/>
      <c r="AA149" s="65"/>
      <c r="AB149" s="65"/>
      <c r="AC149" s="65"/>
      <c r="AD149" s="65"/>
      <c r="AE149" s="65"/>
      <c r="AF149" s="65"/>
      <c r="AG149" s="65"/>
      <c r="AH149" s="65"/>
      <c r="AI149" s="65"/>
      <c r="AJ149" s="65"/>
      <c r="AK149" s="65"/>
      <c r="AL149" s="65"/>
      <c r="AM149" s="65"/>
      <c r="AN149" s="65"/>
      <c r="AO149" s="65"/>
      <c r="AP149" s="65"/>
    </row>
    <row r="150" spans="2:42" x14ac:dyDescent="0.2">
      <c r="D150" s="144" t="s">
        <v>204</v>
      </c>
      <c r="E150" s="146"/>
      <c r="F150" s="93">
        <f>0.19/(10^2)</f>
        <v>1.9E-3</v>
      </c>
      <c r="G150" s="93">
        <f>0/(10^2)</f>
        <v>0</v>
      </c>
      <c r="H150" s="93">
        <f>0/(10^2)</f>
        <v>0</v>
      </c>
      <c r="I150" s="93">
        <f>0/(10^2)</f>
        <v>0</v>
      </c>
      <c r="J150" s="93">
        <f>0/(10^2)</f>
        <v>0</v>
      </c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5"/>
      <c r="Z150" s="65"/>
      <c r="AA150" s="65"/>
      <c r="AB150" s="65"/>
      <c r="AC150" s="65"/>
      <c r="AD150" s="65"/>
      <c r="AE150" s="65"/>
      <c r="AF150" s="65"/>
      <c r="AG150" s="65"/>
      <c r="AH150" s="65"/>
      <c r="AI150" s="65"/>
      <c r="AJ150" s="65"/>
      <c r="AK150" s="65"/>
      <c r="AL150" s="65"/>
      <c r="AM150" s="65"/>
      <c r="AN150" s="65"/>
      <c r="AO150" s="65"/>
      <c r="AP150" s="65"/>
    </row>
    <row r="151" spans="2:42" x14ac:dyDescent="0.2">
      <c r="D151" s="144" t="s">
        <v>148</v>
      </c>
      <c r="E151" s="146"/>
      <c r="F151" s="93">
        <f>7.09/(10^2)</f>
        <v>7.0900000000000005E-2</v>
      </c>
      <c r="G151" s="93">
        <f>13.23/(10^2)</f>
        <v>0.1323</v>
      </c>
      <c r="H151" s="93">
        <f>0/(10^2)</f>
        <v>0</v>
      </c>
      <c r="I151" s="93">
        <f>0/(10^2)</f>
        <v>0</v>
      </c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  <c r="V151" s="65"/>
      <c r="W151" s="65"/>
      <c r="X151" s="65"/>
      <c r="Y151" s="65"/>
      <c r="Z151" s="65"/>
      <c r="AA151" s="65"/>
      <c r="AB151" s="65"/>
      <c r="AC151" s="65"/>
      <c r="AD151" s="65"/>
      <c r="AE151" s="65"/>
      <c r="AF151" s="65"/>
      <c r="AG151" s="65"/>
      <c r="AH151" s="65"/>
      <c r="AI151" s="65"/>
      <c r="AJ151" s="65"/>
      <c r="AK151" s="65"/>
      <c r="AL151" s="65"/>
      <c r="AM151" s="65"/>
      <c r="AN151" s="65"/>
      <c r="AO151" s="65"/>
      <c r="AP151" s="65"/>
    </row>
    <row r="152" spans="2:42" x14ac:dyDescent="0.2">
      <c r="D152" s="144" t="s">
        <v>255</v>
      </c>
      <c r="E152" s="146"/>
      <c r="F152" s="93"/>
      <c r="G152" s="93"/>
      <c r="H152" s="93"/>
      <c r="I152" s="93"/>
      <c r="J152" s="105">
        <f>-2.75/(10^2)</f>
        <v>-2.75E-2</v>
      </c>
      <c r="K152" s="65">
        <f>J152*0</f>
        <v>0</v>
      </c>
      <c r="L152" s="65">
        <f>K152*0</f>
        <v>0</v>
      </c>
      <c r="M152" s="65">
        <f t="shared" ref="M152:T152" si="92">L152</f>
        <v>0</v>
      </c>
      <c r="N152" s="65">
        <f t="shared" si="92"/>
        <v>0</v>
      </c>
      <c r="O152" s="65">
        <f t="shared" si="92"/>
        <v>0</v>
      </c>
      <c r="P152" s="65">
        <f t="shared" si="92"/>
        <v>0</v>
      </c>
      <c r="Q152" s="65">
        <f t="shared" si="92"/>
        <v>0</v>
      </c>
      <c r="R152" s="65">
        <f t="shared" si="92"/>
        <v>0</v>
      </c>
      <c r="S152" s="65">
        <f t="shared" si="92"/>
        <v>0</v>
      </c>
      <c r="T152" s="65">
        <f t="shared" si="92"/>
        <v>0</v>
      </c>
      <c r="U152" s="65"/>
      <c r="V152" s="65"/>
      <c r="W152" s="65"/>
      <c r="X152" s="65"/>
      <c r="Y152" s="65"/>
      <c r="Z152" s="65"/>
      <c r="AA152" s="65"/>
      <c r="AB152" s="65"/>
      <c r="AC152" s="65"/>
      <c r="AD152" s="65"/>
      <c r="AE152" s="65"/>
      <c r="AF152" s="65"/>
      <c r="AG152" s="65"/>
      <c r="AH152" s="65"/>
      <c r="AI152" s="65"/>
      <c r="AJ152" s="65"/>
      <c r="AK152" s="65"/>
      <c r="AL152" s="65"/>
      <c r="AM152" s="65"/>
      <c r="AN152" s="65"/>
      <c r="AO152" s="65"/>
      <c r="AP152" s="65"/>
    </row>
    <row r="153" spans="2:42" s="136" customFormat="1" x14ac:dyDescent="0.2">
      <c r="B153" s="64"/>
      <c r="C153" s="217" t="s">
        <v>253</v>
      </c>
      <c r="D153" s="239"/>
      <c r="E153" s="239"/>
      <c r="F153" s="240">
        <f t="shared" ref="F153:T153" si="93">SUM(F138:F152)</f>
        <v>8.3396999999999988</v>
      </c>
      <c r="G153" s="240">
        <f t="shared" si="93"/>
        <v>0.1323</v>
      </c>
      <c r="H153" s="240">
        <f t="shared" si="93"/>
        <v>75.843800000000016</v>
      </c>
      <c r="I153" s="240">
        <f t="shared" si="93"/>
        <v>26.627700000000001</v>
      </c>
      <c r="J153" s="240">
        <f t="shared" si="93"/>
        <v>3.1955000000000005</v>
      </c>
      <c r="K153" s="240">
        <f t="shared" si="93"/>
        <v>0</v>
      </c>
      <c r="L153" s="240">
        <f t="shared" si="93"/>
        <v>0</v>
      </c>
      <c r="M153" s="240">
        <f t="shared" si="93"/>
        <v>0</v>
      </c>
      <c r="N153" s="240">
        <f t="shared" si="93"/>
        <v>0</v>
      </c>
      <c r="O153" s="240">
        <f t="shared" si="93"/>
        <v>0</v>
      </c>
      <c r="P153" s="240">
        <f t="shared" si="93"/>
        <v>0</v>
      </c>
      <c r="Q153" s="240">
        <f t="shared" si="93"/>
        <v>0</v>
      </c>
      <c r="R153" s="240">
        <f t="shared" si="93"/>
        <v>0</v>
      </c>
      <c r="S153" s="240">
        <f t="shared" si="93"/>
        <v>0</v>
      </c>
      <c r="T153" s="240">
        <f t="shared" si="93"/>
        <v>0</v>
      </c>
      <c r="U153" s="78"/>
      <c r="V153" s="78"/>
      <c r="W153" s="78"/>
      <c r="X153" s="78"/>
      <c r="Y153" s="78"/>
      <c r="Z153" s="78"/>
      <c r="AA153" s="78"/>
      <c r="AB153" s="78"/>
      <c r="AC153" s="78"/>
      <c r="AD153" s="78"/>
      <c r="AE153" s="78"/>
      <c r="AF153" s="78"/>
      <c r="AG153" s="78"/>
      <c r="AH153" s="78"/>
      <c r="AI153" s="78"/>
      <c r="AJ153" s="78"/>
      <c r="AK153" s="78"/>
      <c r="AL153" s="78"/>
      <c r="AM153" s="78"/>
      <c r="AN153" s="78"/>
      <c r="AO153" s="78"/>
      <c r="AP153" s="78"/>
    </row>
    <row r="154" spans="2:42" x14ac:dyDescent="0.2">
      <c r="C154" s="64" t="s">
        <v>136</v>
      </c>
      <c r="D154" s="136"/>
      <c r="E154" s="136"/>
      <c r="F154" s="93">
        <f>5289.27/(10^2)</f>
        <v>52.892700000000005</v>
      </c>
      <c r="G154" s="93">
        <f>6171.68/(10^2)</f>
        <v>61.716800000000006</v>
      </c>
      <c r="H154" s="93">
        <f>6307.09/(10^2)</f>
        <v>63.070900000000002</v>
      </c>
      <c r="I154" s="93">
        <f>11647.67/(10^2)</f>
        <v>116.47669999999999</v>
      </c>
      <c r="J154" s="93">
        <f>12237.6/(10^2)</f>
        <v>122.376</v>
      </c>
      <c r="K154" s="196">
        <f>J154</f>
        <v>122.376</v>
      </c>
      <c r="L154" s="196">
        <f t="shared" ref="L154:T154" si="94">K154</f>
        <v>122.376</v>
      </c>
      <c r="M154" s="196">
        <f t="shared" si="94"/>
        <v>122.376</v>
      </c>
      <c r="N154" s="196">
        <f t="shared" si="94"/>
        <v>122.376</v>
      </c>
      <c r="O154" s="196">
        <f t="shared" si="94"/>
        <v>122.376</v>
      </c>
      <c r="P154" s="196">
        <f t="shared" si="94"/>
        <v>122.376</v>
      </c>
      <c r="Q154" s="196">
        <f t="shared" si="94"/>
        <v>122.376</v>
      </c>
      <c r="R154" s="196">
        <f t="shared" si="94"/>
        <v>122.376</v>
      </c>
      <c r="S154" s="196">
        <f t="shared" si="94"/>
        <v>122.376</v>
      </c>
      <c r="T154" s="196">
        <f t="shared" si="94"/>
        <v>122.376</v>
      </c>
      <c r="U154" s="65"/>
      <c r="V154" s="65"/>
      <c r="W154" s="65"/>
      <c r="X154" s="65"/>
      <c r="Y154" s="65"/>
      <c r="Z154" s="65"/>
      <c r="AA154" s="65"/>
      <c r="AB154" s="65"/>
      <c r="AC154" s="65"/>
      <c r="AD154" s="65"/>
      <c r="AE154" s="65"/>
      <c r="AF154" s="65"/>
      <c r="AG154" s="65"/>
      <c r="AH154" s="65"/>
      <c r="AI154" s="65"/>
      <c r="AJ154" s="65"/>
      <c r="AK154" s="65"/>
      <c r="AL154" s="65"/>
      <c r="AM154" s="65"/>
      <c r="AN154" s="65"/>
      <c r="AO154" s="65"/>
      <c r="AP154" s="65"/>
    </row>
    <row r="155" spans="2:42" x14ac:dyDescent="0.2">
      <c r="C155" s="64" t="s">
        <v>300</v>
      </c>
      <c r="D155" s="136"/>
      <c r="E155" s="136"/>
      <c r="F155" s="93"/>
      <c r="G155" s="93"/>
      <c r="H155" s="93"/>
      <c r="I155" s="93"/>
      <c r="J155" s="93"/>
      <c r="K155" s="196">
        <f ca="1">Assumptions!K149</f>
        <v>0</v>
      </c>
      <c r="L155" s="196">
        <f ca="1">Assumptions!L149</f>
        <v>340.7851341043056</v>
      </c>
      <c r="M155" s="196">
        <f ca="1">Assumptions!M149</f>
        <v>292.10154351797621</v>
      </c>
      <c r="N155" s="196">
        <f ca="1">Assumptions!N149</f>
        <v>243.41795293164685</v>
      </c>
      <c r="O155" s="196">
        <f ca="1">Assumptions!O149</f>
        <v>202.84829410970571</v>
      </c>
      <c r="P155" s="196">
        <f ca="1">Assumptions!P149</f>
        <v>162.27863528776456</v>
      </c>
      <c r="Q155" s="196">
        <f ca="1">Assumptions!Q149</f>
        <v>121.70897646582341</v>
      </c>
      <c r="R155" s="196">
        <f ca="1">Assumptions!R149</f>
        <v>60.854488232911706</v>
      </c>
      <c r="S155" s="196">
        <f ca="1">Assumptions!S149</f>
        <v>0</v>
      </c>
      <c r="T155" s="196">
        <f ca="1">Assumptions!T149</f>
        <v>0</v>
      </c>
      <c r="U155" s="65"/>
      <c r="V155" s="65"/>
      <c r="W155" s="65"/>
      <c r="X155" s="65"/>
      <c r="Y155" s="65"/>
      <c r="Z155" s="65"/>
      <c r="AA155" s="65"/>
      <c r="AB155" s="65"/>
      <c r="AC155" s="65"/>
      <c r="AD155" s="65"/>
      <c r="AE155" s="65"/>
      <c r="AF155" s="65"/>
      <c r="AG155" s="65"/>
      <c r="AH155" s="65"/>
      <c r="AI155" s="65"/>
      <c r="AJ155" s="65"/>
      <c r="AK155" s="65"/>
      <c r="AL155" s="65"/>
      <c r="AM155" s="65"/>
      <c r="AN155" s="65"/>
      <c r="AO155" s="65"/>
      <c r="AP155" s="65"/>
    </row>
    <row r="156" spans="2:42" x14ac:dyDescent="0.2">
      <c r="C156" s="64" t="s">
        <v>329</v>
      </c>
      <c r="D156" s="136"/>
      <c r="E156" s="136"/>
      <c r="F156" s="93"/>
      <c r="G156" s="93"/>
      <c r="H156" s="93"/>
      <c r="I156" s="93"/>
      <c r="J156" s="93"/>
      <c r="K156" s="196">
        <f>Assumptions!K150</f>
        <v>0</v>
      </c>
      <c r="L156" s="196">
        <f>Assumptions!L150</f>
        <v>7.5600000000000005</v>
      </c>
      <c r="M156" s="196">
        <f>Assumptions!M150</f>
        <v>6.48</v>
      </c>
      <c r="N156" s="196">
        <f>Assumptions!N150</f>
        <v>5.4</v>
      </c>
      <c r="O156" s="196">
        <f>Assumptions!O150</f>
        <v>4.5</v>
      </c>
      <c r="P156" s="196">
        <f>Assumptions!P150</f>
        <v>3.6</v>
      </c>
      <c r="Q156" s="196">
        <f>Assumptions!Q150</f>
        <v>2.7</v>
      </c>
      <c r="R156" s="196">
        <f>Assumptions!R150</f>
        <v>1.3500000000000003</v>
      </c>
      <c r="S156" s="196">
        <f>Assumptions!S150</f>
        <v>0</v>
      </c>
      <c r="T156" s="196">
        <f>Assumptions!T150</f>
        <v>0</v>
      </c>
      <c r="U156" s="65"/>
      <c r="V156" s="65"/>
      <c r="W156" s="65"/>
      <c r="X156" s="65"/>
      <c r="Y156" s="65"/>
      <c r="Z156" s="65"/>
      <c r="AA156" s="65"/>
      <c r="AB156" s="65"/>
      <c r="AC156" s="65"/>
      <c r="AD156" s="65"/>
      <c r="AE156" s="65"/>
      <c r="AF156" s="65"/>
      <c r="AG156" s="65"/>
      <c r="AH156" s="65"/>
      <c r="AI156" s="65"/>
      <c r="AJ156" s="65"/>
      <c r="AK156" s="65"/>
      <c r="AL156" s="65"/>
      <c r="AM156" s="65"/>
      <c r="AN156" s="65"/>
      <c r="AO156" s="65"/>
      <c r="AP156" s="65"/>
    </row>
    <row r="157" spans="2:42" x14ac:dyDescent="0.2">
      <c r="C157" s="64" t="s">
        <v>390</v>
      </c>
      <c r="D157" s="136"/>
      <c r="E157" s="136"/>
      <c r="F157" s="93"/>
      <c r="G157" s="93"/>
      <c r="H157" s="93"/>
      <c r="I157" s="93"/>
      <c r="J157" s="93"/>
      <c r="K157" s="196">
        <f>Assumptions!K147</f>
        <v>0</v>
      </c>
      <c r="L157" s="196">
        <f>Assumptions!L147</f>
        <v>0</v>
      </c>
      <c r="M157" s="196">
        <f>Assumptions!M147</f>
        <v>0</v>
      </c>
      <c r="N157" s="196">
        <f>Assumptions!N147</f>
        <v>0</v>
      </c>
      <c r="O157" s="196">
        <f>Assumptions!O147</f>
        <v>0</v>
      </c>
      <c r="P157" s="196">
        <f>Assumptions!P147</f>
        <v>0</v>
      </c>
      <c r="Q157" s="196">
        <f>Assumptions!Q147</f>
        <v>0</v>
      </c>
      <c r="R157" s="196">
        <f>Assumptions!R147</f>
        <v>0</v>
      </c>
      <c r="S157" s="196">
        <f>Assumptions!S147</f>
        <v>0</v>
      </c>
      <c r="T157" s="196">
        <f>Assumptions!T147</f>
        <v>0</v>
      </c>
      <c r="U157" s="65"/>
      <c r="V157" s="65"/>
      <c r="W157" s="65"/>
      <c r="X157" s="65"/>
      <c r="Y157" s="65"/>
      <c r="Z157" s="65"/>
      <c r="AA157" s="65"/>
      <c r="AB157" s="65"/>
      <c r="AC157" s="65"/>
      <c r="AD157" s="65"/>
      <c r="AE157" s="65"/>
      <c r="AF157" s="65"/>
      <c r="AG157" s="65"/>
      <c r="AH157" s="65"/>
      <c r="AI157" s="65"/>
      <c r="AJ157" s="65"/>
      <c r="AK157" s="65"/>
      <c r="AL157" s="65"/>
      <c r="AM157" s="65"/>
      <c r="AN157" s="65"/>
      <c r="AO157" s="65"/>
      <c r="AP157" s="65"/>
    </row>
    <row r="158" spans="2:42" x14ac:dyDescent="0.2">
      <c r="C158" s="64" t="s">
        <v>331</v>
      </c>
      <c r="D158" s="136"/>
      <c r="E158" s="136"/>
      <c r="F158" s="93"/>
      <c r="G158" s="93"/>
      <c r="H158" s="93"/>
      <c r="I158" s="93"/>
      <c r="J158" s="93"/>
      <c r="K158" s="196">
        <f>Assumptions!K148</f>
        <v>3029.06</v>
      </c>
      <c r="L158" s="196">
        <f>Assumptions!L148</f>
        <v>3029.06</v>
      </c>
      <c r="M158" s="196">
        <f>Assumptions!M148</f>
        <v>3029.06</v>
      </c>
      <c r="N158" s="196">
        <f>Assumptions!N148</f>
        <v>3029.06</v>
      </c>
      <c r="O158" s="196">
        <f>Assumptions!O148</f>
        <v>3029.06</v>
      </c>
      <c r="P158" s="196">
        <f>Assumptions!P148</f>
        <v>3029.06</v>
      </c>
      <c r="Q158" s="196">
        <f>Assumptions!Q148</f>
        <v>3029.06</v>
      </c>
      <c r="R158" s="196">
        <f>Assumptions!R148</f>
        <v>3029.06</v>
      </c>
      <c r="S158" s="196">
        <f>Assumptions!S148</f>
        <v>3029.06</v>
      </c>
      <c r="T158" s="196">
        <f>Assumptions!T148</f>
        <v>3029.06</v>
      </c>
      <c r="U158" s="65"/>
      <c r="V158" s="65"/>
      <c r="W158" s="65"/>
      <c r="X158" s="65"/>
      <c r="Y158" s="65"/>
      <c r="Z158" s="65"/>
      <c r="AA158" s="65"/>
      <c r="AB158" s="65"/>
      <c r="AC158" s="65"/>
      <c r="AD158" s="65"/>
      <c r="AE158" s="65"/>
      <c r="AF158" s="65"/>
      <c r="AG158" s="65"/>
      <c r="AH158" s="65"/>
      <c r="AI158" s="65"/>
      <c r="AJ158" s="65"/>
      <c r="AK158" s="65"/>
      <c r="AL158" s="65"/>
      <c r="AM158" s="65"/>
      <c r="AN158" s="65"/>
      <c r="AO158" s="65"/>
      <c r="AP158" s="65"/>
    </row>
    <row r="159" spans="2:42" s="136" customFormat="1" x14ac:dyDescent="0.2">
      <c r="B159" s="64"/>
      <c r="C159" s="217" t="s">
        <v>176</v>
      </c>
      <c r="D159" s="239"/>
      <c r="E159" s="239"/>
      <c r="F159" s="240">
        <f>SUM(F153:F154)</f>
        <v>61.232400000000005</v>
      </c>
      <c r="G159" s="240">
        <f>SUM(G153:G154)</f>
        <v>61.849100000000007</v>
      </c>
      <c r="H159" s="240">
        <f>SUM(H153:H154)</f>
        <v>138.91470000000001</v>
      </c>
      <c r="I159" s="240">
        <f>SUM(I153:I154)</f>
        <v>143.1044</v>
      </c>
      <c r="J159" s="240">
        <f>SUM(J153:J154)</f>
        <v>125.5715</v>
      </c>
      <c r="K159" s="240">
        <f t="shared" ref="K159:T159" ca="1" si="95">SUM(K153:K158)</f>
        <v>3151.4360000000001</v>
      </c>
      <c r="L159" s="240">
        <f t="shared" ca="1" si="95"/>
        <v>3499.7811341043057</v>
      </c>
      <c r="M159" s="240">
        <f t="shared" ca="1" si="95"/>
        <v>3450.0175435179763</v>
      </c>
      <c r="N159" s="240">
        <f t="shared" ca="1" si="95"/>
        <v>3400.2539529316468</v>
      </c>
      <c r="O159" s="240">
        <f t="shared" ca="1" si="95"/>
        <v>3358.7842941097056</v>
      </c>
      <c r="P159" s="240">
        <f t="shared" ca="1" si="95"/>
        <v>3317.3146352877648</v>
      </c>
      <c r="Q159" s="240">
        <f t="shared" ca="1" si="95"/>
        <v>3275.8449764658235</v>
      </c>
      <c r="R159" s="240">
        <f t="shared" ca="1" si="95"/>
        <v>3213.6404882329116</v>
      </c>
      <c r="S159" s="240">
        <f t="shared" ca="1" si="95"/>
        <v>3151.4360000000001</v>
      </c>
      <c r="T159" s="240">
        <f t="shared" ca="1" si="95"/>
        <v>3151.4360000000001</v>
      </c>
      <c r="U159" s="78"/>
      <c r="V159" s="78"/>
      <c r="W159" s="78"/>
      <c r="X159" s="78"/>
      <c r="Y159" s="78"/>
      <c r="Z159" s="78"/>
      <c r="AA159" s="78"/>
      <c r="AB159" s="78"/>
      <c r="AC159" s="78"/>
      <c r="AD159" s="78"/>
      <c r="AE159" s="78"/>
      <c r="AF159" s="78"/>
      <c r="AG159" s="78"/>
      <c r="AH159" s="78"/>
      <c r="AI159" s="78"/>
      <c r="AJ159" s="78"/>
      <c r="AK159" s="78"/>
      <c r="AL159" s="78"/>
      <c r="AM159" s="78"/>
      <c r="AN159" s="78"/>
      <c r="AO159" s="78"/>
      <c r="AP159" s="78"/>
    </row>
    <row r="160" spans="2:42" x14ac:dyDescent="0.2">
      <c r="F160" s="65"/>
      <c r="G160" s="65"/>
      <c r="H160" s="65"/>
      <c r="I160" s="65"/>
      <c r="J160" s="65"/>
      <c r="K160" s="65"/>
      <c r="L160" s="65">
        <f>L157-K157</f>
        <v>0</v>
      </c>
      <c r="M160" s="65"/>
      <c r="N160" s="65"/>
      <c r="O160" s="65"/>
      <c r="P160" s="65"/>
      <c r="Q160" s="65"/>
      <c r="R160" s="65"/>
      <c r="S160" s="65"/>
      <c r="T160" s="65"/>
      <c r="U160" s="65"/>
      <c r="V160" s="65"/>
      <c r="W160" s="65"/>
      <c r="X160" s="65"/>
      <c r="Y160" s="65"/>
      <c r="Z160" s="65"/>
      <c r="AA160" s="65"/>
      <c r="AB160" s="65"/>
      <c r="AC160" s="65"/>
      <c r="AD160" s="65"/>
      <c r="AE160" s="65"/>
      <c r="AF160" s="65"/>
      <c r="AG160" s="65"/>
      <c r="AH160" s="65"/>
      <c r="AI160" s="65"/>
      <c r="AJ160" s="65"/>
      <c r="AK160" s="65"/>
      <c r="AL160" s="65"/>
      <c r="AM160" s="65"/>
      <c r="AN160" s="65"/>
      <c r="AO160" s="65"/>
      <c r="AP160" s="65"/>
    </row>
    <row r="161" spans="2:42" x14ac:dyDescent="0.2">
      <c r="B161" s="136" t="s">
        <v>137</v>
      </c>
      <c r="C161" s="136"/>
      <c r="D161" s="136"/>
      <c r="E161" s="136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  <c r="V161" s="65"/>
      <c r="W161" s="65"/>
      <c r="X161" s="65"/>
      <c r="Y161" s="65"/>
      <c r="Z161" s="65"/>
      <c r="AA161" s="65"/>
      <c r="AB161" s="65"/>
      <c r="AC161" s="65"/>
      <c r="AD161" s="65"/>
      <c r="AE161" s="65"/>
      <c r="AF161" s="65"/>
      <c r="AG161" s="65"/>
      <c r="AH161" s="65"/>
      <c r="AI161" s="65"/>
      <c r="AJ161" s="65"/>
      <c r="AK161" s="65"/>
      <c r="AL161" s="65"/>
      <c r="AM161" s="65"/>
      <c r="AN161" s="65"/>
      <c r="AO161" s="65"/>
      <c r="AP161" s="65"/>
    </row>
    <row r="162" spans="2:42" x14ac:dyDescent="0.2">
      <c r="C162" s="64" t="s">
        <v>138</v>
      </c>
      <c r="D162" s="212"/>
      <c r="E162" s="212"/>
      <c r="F162" s="93">
        <f>68040.98/(10^2)</f>
        <v>680.4097999999999</v>
      </c>
      <c r="G162" s="93">
        <f>80382.11/(10^2)</f>
        <v>803.8211</v>
      </c>
      <c r="H162" s="93">
        <f>81085.23/(10^2)</f>
        <v>810.85230000000001</v>
      </c>
      <c r="I162" s="93">
        <f>105165.69/(10^2)</f>
        <v>1051.6569</v>
      </c>
      <c r="J162" s="93">
        <f>124724.43/(10^2)</f>
        <v>1247.2442999999998</v>
      </c>
      <c r="K162" s="196"/>
      <c r="L162" s="196"/>
      <c r="M162" s="196">
        <f t="shared" ref="M162:T162" si="96">L162</f>
        <v>0</v>
      </c>
      <c r="N162" s="196">
        <f t="shared" si="96"/>
        <v>0</v>
      </c>
      <c r="O162" s="196">
        <f t="shared" si="96"/>
        <v>0</v>
      </c>
      <c r="P162" s="196">
        <f t="shared" si="96"/>
        <v>0</v>
      </c>
      <c r="Q162" s="196">
        <f t="shared" si="96"/>
        <v>0</v>
      </c>
      <c r="R162" s="196">
        <f t="shared" si="96"/>
        <v>0</v>
      </c>
      <c r="S162" s="196">
        <f t="shared" si="96"/>
        <v>0</v>
      </c>
      <c r="T162" s="196">
        <f t="shared" si="96"/>
        <v>0</v>
      </c>
      <c r="U162" s="65"/>
      <c r="V162" s="65"/>
      <c r="W162" s="65"/>
      <c r="X162" s="65"/>
      <c r="Y162" s="65"/>
      <c r="Z162" s="65"/>
      <c r="AA162" s="65"/>
      <c r="AB162" s="65"/>
      <c r="AC162" s="65"/>
      <c r="AD162" s="65"/>
      <c r="AE162" s="65"/>
      <c r="AF162" s="65"/>
      <c r="AG162" s="65"/>
      <c r="AH162" s="65"/>
      <c r="AI162" s="65"/>
      <c r="AJ162" s="65"/>
      <c r="AK162" s="65"/>
      <c r="AL162" s="65"/>
      <c r="AM162" s="65"/>
      <c r="AN162" s="65"/>
      <c r="AO162" s="65"/>
      <c r="AP162" s="65"/>
    </row>
    <row r="163" spans="2:42" x14ac:dyDescent="0.2">
      <c r="C163" s="64" t="s">
        <v>300</v>
      </c>
      <c r="D163" s="136"/>
      <c r="E163" s="136"/>
      <c r="F163" s="93"/>
      <c r="G163" s="93"/>
      <c r="H163" s="93"/>
      <c r="I163" s="93"/>
      <c r="J163" s="93"/>
      <c r="K163" s="196">
        <f ca="1">Assumptions!K155</f>
        <v>0</v>
      </c>
      <c r="L163" s="196">
        <f ca="1">Assumptions!L155</f>
        <v>64.911454115105826</v>
      </c>
      <c r="M163" s="196">
        <f ca="1">Assumptions!M155</f>
        <v>48.683590586329366</v>
      </c>
      <c r="N163" s="196">
        <f ca="1">Assumptions!N155</f>
        <v>48.683590586329366</v>
      </c>
      <c r="O163" s="196">
        <f ca="1">Assumptions!O155</f>
        <v>40.569658821941147</v>
      </c>
      <c r="P163" s="196">
        <f ca="1">Assumptions!P155</f>
        <v>40.569658821941147</v>
      </c>
      <c r="Q163" s="196">
        <f ca="1">Assumptions!Q155</f>
        <v>40.569658821941147</v>
      </c>
      <c r="R163" s="196">
        <f ca="1">Assumptions!R155</f>
        <v>60.854488232911706</v>
      </c>
      <c r="S163" s="196">
        <f ca="1">Assumptions!S155</f>
        <v>60.85448823291172</v>
      </c>
      <c r="T163" s="196">
        <f>Assumptions!T155</f>
        <v>0</v>
      </c>
      <c r="U163" s="65"/>
      <c r="V163" s="65"/>
      <c r="W163" s="65"/>
      <c r="X163" s="65"/>
      <c r="Y163" s="65"/>
      <c r="Z163" s="65"/>
      <c r="AA163" s="65"/>
      <c r="AB163" s="65"/>
      <c r="AC163" s="65"/>
      <c r="AD163" s="65"/>
      <c r="AE163" s="65"/>
      <c r="AF163" s="65"/>
      <c r="AG163" s="65"/>
      <c r="AH163" s="65"/>
      <c r="AI163" s="65"/>
      <c r="AJ163" s="65"/>
      <c r="AK163" s="65"/>
      <c r="AL163" s="65"/>
      <c r="AM163" s="65"/>
      <c r="AN163" s="65"/>
      <c r="AO163" s="65"/>
      <c r="AP163" s="65"/>
    </row>
    <row r="164" spans="2:42" x14ac:dyDescent="0.2">
      <c r="C164" s="64" t="s">
        <v>329</v>
      </c>
      <c r="D164" s="136"/>
      <c r="E164" s="136"/>
      <c r="F164" s="93"/>
      <c r="G164" s="93"/>
      <c r="H164" s="93"/>
      <c r="I164" s="93"/>
      <c r="J164" s="93"/>
      <c r="K164" s="196">
        <f>Assumptions!K156</f>
        <v>0</v>
      </c>
      <c r="L164" s="196">
        <f>Assumptions!L156</f>
        <v>1.44</v>
      </c>
      <c r="M164" s="196">
        <f>Assumptions!M156</f>
        <v>1.08</v>
      </c>
      <c r="N164" s="196">
        <f>Assumptions!N156</f>
        <v>1.08</v>
      </c>
      <c r="O164" s="196">
        <f>Assumptions!O156</f>
        <v>0.9</v>
      </c>
      <c r="P164" s="196">
        <f>Assumptions!P156</f>
        <v>0.9</v>
      </c>
      <c r="Q164" s="196">
        <f>Assumptions!Q156</f>
        <v>0.9</v>
      </c>
      <c r="R164" s="196">
        <f>Assumptions!R156</f>
        <v>1.3499999999999999</v>
      </c>
      <c r="S164" s="196">
        <f>Assumptions!S156</f>
        <v>1.35</v>
      </c>
      <c r="T164" s="196">
        <f>Assumptions!T156</f>
        <v>0</v>
      </c>
      <c r="U164" s="65"/>
      <c r="V164" s="65"/>
      <c r="W164" s="65"/>
      <c r="X164" s="65"/>
      <c r="Y164" s="65"/>
      <c r="Z164" s="65"/>
      <c r="AA164" s="65"/>
      <c r="AB164" s="65"/>
      <c r="AC164" s="65"/>
      <c r="AD164" s="65"/>
      <c r="AE164" s="65"/>
      <c r="AF164" s="65"/>
      <c r="AG164" s="65"/>
      <c r="AH164" s="65"/>
      <c r="AI164" s="65"/>
      <c r="AJ164" s="65"/>
      <c r="AK164" s="65"/>
      <c r="AL164" s="65"/>
      <c r="AM164" s="65"/>
      <c r="AN164" s="65"/>
      <c r="AO164" s="65"/>
      <c r="AP164" s="65"/>
    </row>
    <row r="165" spans="2:42" x14ac:dyDescent="0.2">
      <c r="C165" s="64" t="s">
        <v>296</v>
      </c>
      <c r="D165" s="136"/>
      <c r="E165" s="136"/>
      <c r="F165" s="93"/>
      <c r="G165" s="93"/>
      <c r="H165" s="93"/>
      <c r="I165" s="93"/>
      <c r="J165" s="93"/>
      <c r="K165" s="196">
        <f>Assumptions!K153</f>
        <v>0</v>
      </c>
      <c r="L165" s="196">
        <f>Assumptions!L153</f>
        <v>0</v>
      </c>
      <c r="M165" s="196">
        <f>Assumptions!M153</f>
        <v>0</v>
      </c>
      <c r="N165" s="196">
        <f>Assumptions!N153</f>
        <v>0</v>
      </c>
      <c r="O165" s="196">
        <f>Assumptions!O153</f>
        <v>0</v>
      </c>
      <c r="P165" s="196">
        <f>Assumptions!P153</f>
        <v>0</v>
      </c>
      <c r="Q165" s="196">
        <f>Assumptions!Q153</f>
        <v>0</v>
      </c>
      <c r="R165" s="196">
        <f>Assumptions!R153</f>
        <v>0</v>
      </c>
      <c r="S165" s="196">
        <f>Assumptions!S153</f>
        <v>0</v>
      </c>
      <c r="T165" s="196">
        <f>Assumptions!T153</f>
        <v>0</v>
      </c>
      <c r="U165" s="65"/>
      <c r="V165" s="65"/>
      <c r="W165" s="65"/>
      <c r="X165" s="65"/>
      <c r="Y165" s="65"/>
      <c r="Z165" s="65"/>
      <c r="AA165" s="65"/>
      <c r="AB165" s="65"/>
      <c r="AC165" s="65"/>
      <c r="AD165" s="65"/>
      <c r="AE165" s="65"/>
      <c r="AF165" s="65"/>
      <c r="AG165" s="65"/>
      <c r="AH165" s="65"/>
      <c r="AI165" s="65"/>
      <c r="AJ165" s="65"/>
      <c r="AK165" s="65"/>
      <c r="AL165" s="65"/>
      <c r="AM165" s="65"/>
      <c r="AN165" s="65"/>
      <c r="AO165" s="65"/>
      <c r="AP165" s="65"/>
    </row>
    <row r="166" spans="2:42" x14ac:dyDescent="0.2">
      <c r="C166" s="64" t="s">
        <v>331</v>
      </c>
      <c r="D166" s="136"/>
      <c r="E166" s="136"/>
      <c r="F166" s="93"/>
      <c r="G166" s="93"/>
      <c r="H166" s="93"/>
      <c r="I166" s="93"/>
      <c r="J166" s="93"/>
      <c r="K166" s="196">
        <f>Assumptions!K154</f>
        <v>0</v>
      </c>
      <c r="L166" s="196">
        <f>Assumptions!L154</f>
        <v>0</v>
      </c>
      <c r="M166" s="196">
        <f>Assumptions!M154</f>
        <v>0</v>
      </c>
      <c r="N166" s="196">
        <f>Assumptions!N154</f>
        <v>0</v>
      </c>
      <c r="O166" s="196">
        <f>Assumptions!O154</f>
        <v>0</v>
      </c>
      <c r="P166" s="196">
        <f>Assumptions!P154</f>
        <v>0</v>
      </c>
      <c r="Q166" s="196">
        <f>Assumptions!Q154</f>
        <v>0</v>
      </c>
      <c r="R166" s="196">
        <f>Assumptions!R154</f>
        <v>0</v>
      </c>
      <c r="S166" s="196">
        <f>Assumptions!S154</f>
        <v>0</v>
      </c>
      <c r="T166" s="196">
        <f>Assumptions!T154</f>
        <v>0</v>
      </c>
      <c r="U166" s="65"/>
      <c r="V166" s="65"/>
      <c r="W166" s="65"/>
      <c r="X166" s="65"/>
      <c r="Y166" s="65"/>
      <c r="Z166" s="65"/>
      <c r="AA166" s="65"/>
      <c r="AB166" s="65"/>
      <c r="AC166" s="65"/>
      <c r="AD166" s="65"/>
      <c r="AE166" s="65"/>
      <c r="AF166" s="65"/>
      <c r="AG166" s="65"/>
      <c r="AH166" s="65"/>
      <c r="AI166" s="65"/>
      <c r="AJ166" s="65"/>
      <c r="AK166" s="65"/>
      <c r="AL166" s="65"/>
      <c r="AM166" s="65"/>
      <c r="AN166" s="65"/>
      <c r="AO166" s="65"/>
      <c r="AP166" s="65"/>
    </row>
    <row r="167" spans="2:42" s="136" customFormat="1" x14ac:dyDescent="0.2">
      <c r="B167" s="64"/>
      <c r="C167" s="217" t="s">
        <v>176</v>
      </c>
      <c r="D167" s="239"/>
      <c r="E167" s="239"/>
      <c r="F167" s="240">
        <f>SUM(F161:F166)</f>
        <v>680.4097999999999</v>
      </c>
      <c r="G167" s="240">
        <f>SUM(G161:G166)</f>
        <v>803.8211</v>
      </c>
      <c r="H167" s="240">
        <f>SUM(H161:H166)</f>
        <v>810.85230000000001</v>
      </c>
      <c r="I167" s="240">
        <f>SUM(I161:I166)</f>
        <v>1051.6569</v>
      </c>
      <c r="J167" s="240">
        <f>SUM(J161:J166)</f>
        <v>1247.2442999999998</v>
      </c>
      <c r="K167" s="240">
        <f t="shared" ref="K167:T167" ca="1" si="97">SUM(K161:K166)</f>
        <v>0</v>
      </c>
      <c r="L167" s="240">
        <f t="shared" ca="1" si="97"/>
        <v>66.351454115105824</v>
      </c>
      <c r="M167" s="240">
        <f t="shared" ca="1" si="97"/>
        <v>49.763590586329364</v>
      </c>
      <c r="N167" s="240">
        <f t="shared" ca="1" si="97"/>
        <v>49.763590586329364</v>
      </c>
      <c r="O167" s="240">
        <f t="shared" ca="1" si="97"/>
        <v>41.469658821941145</v>
      </c>
      <c r="P167" s="240">
        <f t="shared" ca="1" si="97"/>
        <v>41.469658821941145</v>
      </c>
      <c r="Q167" s="240">
        <f t="shared" ca="1" si="97"/>
        <v>41.469658821941145</v>
      </c>
      <c r="R167" s="240">
        <f t="shared" ca="1" si="97"/>
        <v>62.204488232911707</v>
      </c>
      <c r="S167" s="240">
        <f t="shared" ca="1" si="97"/>
        <v>62.204488232911721</v>
      </c>
      <c r="T167" s="240">
        <f t="shared" si="97"/>
        <v>0</v>
      </c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</row>
    <row r="168" spans="2:42" x14ac:dyDescent="0.2"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  <c r="V168" s="65"/>
      <c r="W168" s="65"/>
      <c r="X168" s="65"/>
      <c r="Y168" s="65"/>
      <c r="Z168" s="65"/>
      <c r="AA168" s="65"/>
      <c r="AB168" s="65"/>
      <c r="AC168" s="65"/>
      <c r="AD168" s="65"/>
      <c r="AE168" s="65"/>
      <c r="AF168" s="65"/>
      <c r="AG168" s="65"/>
      <c r="AH168" s="65"/>
      <c r="AI168" s="65"/>
      <c r="AJ168" s="65"/>
      <c r="AK168" s="65"/>
      <c r="AL168" s="65"/>
      <c r="AM168" s="65"/>
      <c r="AN168" s="65"/>
      <c r="AO168" s="65"/>
      <c r="AP168" s="65"/>
    </row>
    <row r="169" spans="2:42" x14ac:dyDescent="0.2">
      <c r="B169" s="136" t="s">
        <v>30</v>
      </c>
      <c r="C169" s="136"/>
      <c r="D169" s="136"/>
      <c r="E169" s="136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  <c r="V169" s="65"/>
      <c r="W169" s="65"/>
      <c r="X169" s="65"/>
      <c r="Y169" s="65"/>
      <c r="Z169" s="65"/>
      <c r="AA169" s="65"/>
      <c r="AB169" s="65"/>
      <c r="AC169" s="65"/>
      <c r="AD169" s="65"/>
      <c r="AE169" s="65"/>
      <c r="AF169" s="65"/>
      <c r="AG169" s="65"/>
      <c r="AH169" s="65"/>
      <c r="AI169" s="65"/>
      <c r="AJ169" s="65"/>
      <c r="AK169" s="65"/>
      <c r="AL169" s="65"/>
      <c r="AM169" s="65"/>
      <c r="AN169" s="65"/>
      <c r="AO169" s="65"/>
      <c r="AP169" s="65"/>
    </row>
    <row r="170" spans="2:42" x14ac:dyDescent="0.2">
      <c r="C170" s="144" t="s">
        <v>139</v>
      </c>
      <c r="D170" s="145"/>
      <c r="E170" s="145"/>
      <c r="F170" s="93">
        <f>1625.56/(10^2)</f>
        <v>16.255600000000001</v>
      </c>
      <c r="G170" s="93">
        <f>2069.9/(10^2)</f>
        <v>20.699000000000002</v>
      </c>
      <c r="H170" s="93">
        <f>2259.88/(10^2)</f>
        <v>22.598800000000001</v>
      </c>
      <c r="I170" s="93">
        <f>5434.64/(10^2)</f>
        <v>54.346400000000003</v>
      </c>
      <c r="J170" s="93">
        <f>72091.91/(10^2)</f>
        <v>720.91910000000007</v>
      </c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  <c r="V170" s="65"/>
      <c r="W170" s="65"/>
      <c r="X170" s="65"/>
      <c r="Y170" s="65"/>
      <c r="Z170" s="65"/>
      <c r="AA170" s="65"/>
      <c r="AB170" s="65"/>
      <c r="AC170" s="65"/>
      <c r="AD170" s="65"/>
      <c r="AE170" s="65"/>
      <c r="AF170" s="65"/>
      <c r="AG170" s="65"/>
      <c r="AH170" s="65"/>
      <c r="AI170" s="65"/>
      <c r="AJ170" s="65"/>
      <c r="AK170" s="65"/>
      <c r="AL170" s="65"/>
      <c r="AM170" s="65"/>
      <c r="AN170" s="65"/>
      <c r="AO170" s="65"/>
      <c r="AP170" s="65"/>
    </row>
    <row r="171" spans="2:42" x14ac:dyDescent="0.2">
      <c r="C171" s="144" t="s">
        <v>27</v>
      </c>
      <c r="D171" s="145"/>
      <c r="E171" s="145"/>
      <c r="F171" s="93">
        <f>25224.13/(10^2)</f>
        <v>252.24130000000002</v>
      </c>
      <c r="G171" s="93">
        <f>28044.89/(10^2)</f>
        <v>280.44889999999998</v>
      </c>
      <c r="H171" s="93">
        <f>58508.09/(10^2)</f>
        <v>585.08089999999993</v>
      </c>
      <c r="I171" s="93">
        <f>73199.79/(10^2)</f>
        <v>731.99789999999996</v>
      </c>
      <c r="J171" s="93">
        <f>4239.59/(10^2)</f>
        <v>42.395900000000005</v>
      </c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  <c r="V171" s="65"/>
      <c r="W171" s="65"/>
      <c r="X171" s="65"/>
      <c r="Y171" s="65"/>
      <c r="Z171" s="65"/>
      <c r="AA171" s="65"/>
      <c r="AB171" s="65"/>
      <c r="AC171" s="65"/>
      <c r="AD171" s="65"/>
      <c r="AE171" s="65"/>
      <c r="AF171" s="65"/>
      <c r="AG171" s="65"/>
      <c r="AH171" s="65"/>
      <c r="AI171" s="65"/>
      <c r="AJ171" s="65"/>
      <c r="AK171" s="65"/>
      <c r="AL171" s="65"/>
      <c r="AM171" s="65"/>
      <c r="AN171" s="65"/>
      <c r="AO171" s="65"/>
      <c r="AP171" s="65"/>
    </row>
    <row r="172" spans="2:42" s="136" customFormat="1" x14ac:dyDescent="0.2">
      <c r="B172" s="64"/>
      <c r="C172" s="217" t="s">
        <v>176</v>
      </c>
      <c r="D172" s="239"/>
      <c r="E172" s="239"/>
      <c r="F172" s="240">
        <f>SUM(F170:F171)</f>
        <v>268.49690000000004</v>
      </c>
      <c r="G172" s="240">
        <f>SUM(G170:G171)</f>
        <v>301.14789999999999</v>
      </c>
      <c r="H172" s="240">
        <f>SUM(H170:H171)</f>
        <v>607.67969999999991</v>
      </c>
      <c r="I172" s="240">
        <f>SUM(I170:I171)</f>
        <v>786.34429999999998</v>
      </c>
      <c r="J172" s="240">
        <f>SUM(J170:J171)</f>
        <v>763.31500000000005</v>
      </c>
      <c r="K172" s="240">
        <f>Assumptions!K83</f>
        <v>75.397260273972606</v>
      </c>
      <c r="L172" s="240">
        <f>Assumptions!L83</f>
        <v>50.29953241513973</v>
      </c>
      <c r="M172" s="240">
        <f>Assumptions!M83</f>
        <v>130.77878427936329</v>
      </c>
      <c r="N172" s="240">
        <f>Assumptions!N83</f>
        <v>190.41390991075298</v>
      </c>
      <c r="O172" s="240">
        <f>Assumptions!O83</f>
        <v>226.320532922495</v>
      </c>
      <c r="P172" s="240">
        <f>Assumptions!P83</f>
        <v>247.1420219513646</v>
      </c>
      <c r="Q172" s="240">
        <f>Assumptions!Q83</f>
        <v>269.26711724986768</v>
      </c>
      <c r="R172" s="240">
        <f>Assumptions!R83</f>
        <v>292.76679293712886</v>
      </c>
      <c r="S172" s="240">
        <f>Assumptions!S83</f>
        <v>317.71561529177114</v>
      </c>
      <c r="T172" s="240">
        <f>Assumptions!T83</f>
        <v>344.19191656608547</v>
      </c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</row>
    <row r="173" spans="2:42" x14ac:dyDescent="0.2"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  <c r="V173" s="65"/>
      <c r="W173" s="65"/>
      <c r="X173" s="65"/>
      <c r="Y173" s="65"/>
      <c r="Z173" s="65"/>
      <c r="AA173" s="65"/>
      <c r="AB173" s="65"/>
      <c r="AC173" s="65"/>
      <c r="AD173" s="65"/>
      <c r="AE173" s="65"/>
      <c r="AF173" s="65"/>
      <c r="AG173" s="65"/>
      <c r="AH173" s="65"/>
      <c r="AI173" s="65"/>
      <c r="AJ173" s="65"/>
      <c r="AK173" s="65"/>
      <c r="AL173" s="65"/>
      <c r="AM173" s="65"/>
      <c r="AN173" s="65"/>
      <c r="AO173" s="65"/>
      <c r="AP173" s="65"/>
    </row>
    <row r="174" spans="2:42" s="136" customFormat="1" x14ac:dyDescent="0.2">
      <c r="B174" s="136" t="s">
        <v>131</v>
      </c>
      <c r="F174" s="96">
        <f>4726.64/(10^2)</f>
        <v>47.266400000000004</v>
      </c>
      <c r="G174" s="96">
        <f>8714.53/(10^2)</f>
        <v>87.145300000000006</v>
      </c>
      <c r="H174" s="96">
        <f>4003.91/(10^2)</f>
        <v>40.039099999999998</v>
      </c>
      <c r="I174" s="96">
        <f>5537.77/(10^2)</f>
        <v>55.377700000000004</v>
      </c>
      <c r="J174" s="96">
        <f>0/(10^2)</f>
        <v>0</v>
      </c>
      <c r="K174" s="78">
        <f>J174</f>
        <v>0</v>
      </c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</row>
    <row r="175" spans="2:42" x14ac:dyDescent="0.2"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65"/>
      <c r="AE175" s="65"/>
      <c r="AF175" s="65"/>
      <c r="AG175" s="65"/>
      <c r="AH175" s="65"/>
      <c r="AI175" s="65"/>
      <c r="AJ175" s="65"/>
      <c r="AK175" s="65"/>
      <c r="AL175" s="65"/>
      <c r="AM175" s="65"/>
      <c r="AN175" s="65"/>
      <c r="AO175" s="65"/>
      <c r="AP175" s="65"/>
    </row>
    <row r="176" spans="2:42" x14ac:dyDescent="0.2">
      <c r="B176" s="136" t="s">
        <v>31</v>
      </c>
      <c r="C176" s="136"/>
      <c r="D176" s="136"/>
      <c r="E176" s="136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65"/>
      <c r="AE176" s="65"/>
      <c r="AF176" s="65"/>
      <c r="AG176" s="65"/>
      <c r="AH176" s="65"/>
      <c r="AI176" s="65"/>
      <c r="AJ176" s="65"/>
      <c r="AK176" s="65"/>
      <c r="AL176" s="65"/>
      <c r="AM176" s="65"/>
      <c r="AN176" s="65"/>
      <c r="AO176" s="65"/>
      <c r="AP176" s="65"/>
    </row>
    <row r="177" spans="3:42" x14ac:dyDescent="0.2">
      <c r="C177" s="214" t="s">
        <v>140</v>
      </c>
      <c r="D177" s="214"/>
      <c r="E177" s="214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65"/>
      <c r="AE177" s="65"/>
      <c r="AF177" s="65"/>
      <c r="AG177" s="65"/>
      <c r="AH177" s="65"/>
      <c r="AI177" s="65"/>
      <c r="AJ177" s="65"/>
      <c r="AK177" s="65"/>
      <c r="AL177" s="65"/>
      <c r="AM177" s="65"/>
      <c r="AN177" s="65"/>
      <c r="AO177" s="65"/>
      <c r="AP177" s="65"/>
    </row>
    <row r="178" spans="3:42" x14ac:dyDescent="0.2">
      <c r="C178" s="64" t="s">
        <v>141</v>
      </c>
      <c r="D178" s="145"/>
      <c r="E178" s="145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65"/>
      <c r="AE178" s="65"/>
      <c r="AF178" s="65"/>
      <c r="AG178" s="65"/>
      <c r="AH178" s="65"/>
      <c r="AI178" s="65"/>
      <c r="AJ178" s="65"/>
      <c r="AK178" s="65"/>
      <c r="AL178" s="65"/>
      <c r="AM178" s="65"/>
      <c r="AN178" s="65"/>
      <c r="AO178" s="65"/>
      <c r="AP178" s="65"/>
    </row>
    <row r="179" spans="3:42" x14ac:dyDescent="0.2">
      <c r="D179" s="144" t="s">
        <v>142</v>
      </c>
      <c r="E179" s="146"/>
      <c r="F179" s="93">
        <f>444.44/(10^2)</f>
        <v>4.4443999999999999</v>
      </c>
      <c r="G179" s="93">
        <f t="shared" ref="G179:J180" si="98">0/(10^2)</f>
        <v>0</v>
      </c>
      <c r="H179" s="93">
        <f t="shared" si="98"/>
        <v>0</v>
      </c>
      <c r="I179" s="93">
        <f t="shared" si="98"/>
        <v>0</v>
      </c>
      <c r="J179" s="93">
        <f t="shared" si="98"/>
        <v>0</v>
      </c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  <c r="V179" s="65"/>
      <c r="W179" s="65"/>
      <c r="X179" s="65"/>
      <c r="Y179" s="65"/>
      <c r="Z179" s="65"/>
      <c r="AA179" s="65"/>
      <c r="AB179" s="65"/>
      <c r="AC179" s="65"/>
      <c r="AD179" s="65"/>
      <c r="AE179" s="65"/>
      <c r="AF179" s="65"/>
      <c r="AG179" s="65"/>
      <c r="AH179" s="65"/>
      <c r="AI179" s="65"/>
      <c r="AJ179" s="65"/>
      <c r="AK179" s="65"/>
      <c r="AL179" s="65"/>
      <c r="AM179" s="65"/>
      <c r="AN179" s="65"/>
      <c r="AO179" s="65"/>
      <c r="AP179" s="65"/>
    </row>
    <row r="180" spans="3:42" x14ac:dyDescent="0.2">
      <c r="D180" s="144" t="s">
        <v>143</v>
      </c>
      <c r="E180" s="146"/>
      <c r="F180" s="93">
        <f>389.06/(10^2)</f>
        <v>3.8906000000000001</v>
      </c>
      <c r="G180" s="93">
        <f t="shared" si="98"/>
        <v>0</v>
      </c>
      <c r="H180" s="93">
        <f t="shared" si="98"/>
        <v>0</v>
      </c>
      <c r="I180" s="93">
        <f t="shared" si="98"/>
        <v>0</v>
      </c>
      <c r="J180" s="93">
        <f t="shared" si="98"/>
        <v>0</v>
      </c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65"/>
      <c r="AE180" s="65"/>
      <c r="AF180" s="65"/>
      <c r="AG180" s="65"/>
      <c r="AH180" s="65"/>
      <c r="AI180" s="65"/>
      <c r="AJ180" s="65"/>
      <c r="AK180" s="65"/>
      <c r="AL180" s="65"/>
      <c r="AM180" s="65"/>
      <c r="AN180" s="65"/>
      <c r="AO180" s="65"/>
      <c r="AP180" s="65"/>
    </row>
    <row r="181" spans="3:42" x14ac:dyDescent="0.2">
      <c r="D181" s="144" t="s">
        <v>144</v>
      </c>
      <c r="E181" s="146"/>
      <c r="F181" s="93">
        <f>362.19/(10^2)</f>
        <v>3.6219000000000001</v>
      </c>
      <c r="G181" s="93">
        <f>333.33/(10^2)</f>
        <v>3.3332999999999999</v>
      </c>
      <c r="H181" s="93">
        <f>0/(10^2)</f>
        <v>0</v>
      </c>
      <c r="I181" s="93">
        <f>0/(10^2)</f>
        <v>0</v>
      </c>
      <c r="J181" s="93">
        <f>0/(10^2)</f>
        <v>0</v>
      </c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</row>
    <row r="182" spans="3:42" x14ac:dyDescent="0.2">
      <c r="C182" s="146"/>
      <c r="D182" s="146"/>
      <c r="E182" s="146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  <c r="V182" s="65"/>
      <c r="W182" s="65"/>
      <c r="X182" s="65"/>
      <c r="Y182" s="65"/>
      <c r="Z182" s="65"/>
      <c r="AA182" s="65"/>
      <c r="AB182" s="65"/>
      <c r="AC182" s="65"/>
      <c r="AD182" s="65"/>
      <c r="AE182" s="65"/>
      <c r="AF182" s="65"/>
      <c r="AG182" s="65"/>
      <c r="AH182" s="65"/>
      <c r="AI182" s="65"/>
      <c r="AJ182" s="65"/>
      <c r="AK182" s="65"/>
      <c r="AL182" s="65"/>
      <c r="AM182" s="65"/>
      <c r="AN182" s="65"/>
      <c r="AO182" s="65"/>
      <c r="AP182" s="65"/>
    </row>
    <row r="183" spans="3:42" x14ac:dyDescent="0.2">
      <c r="C183" s="215" t="s">
        <v>145</v>
      </c>
      <c r="D183" s="216"/>
      <c r="E183" s="216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  <c r="V183" s="65"/>
      <c r="W183" s="65"/>
      <c r="X183" s="65"/>
      <c r="Y183" s="65"/>
      <c r="Z183" s="65"/>
      <c r="AA183" s="65"/>
      <c r="AB183" s="65"/>
      <c r="AC183" s="65"/>
      <c r="AD183" s="65"/>
      <c r="AE183" s="65"/>
      <c r="AF183" s="65"/>
      <c r="AG183" s="65"/>
      <c r="AH183" s="65"/>
      <c r="AI183" s="65"/>
      <c r="AJ183" s="65"/>
      <c r="AK183" s="65"/>
      <c r="AL183" s="65"/>
      <c r="AM183" s="65"/>
      <c r="AN183" s="65"/>
      <c r="AO183" s="65"/>
      <c r="AP183" s="65"/>
    </row>
    <row r="184" spans="3:42" x14ac:dyDescent="0.2">
      <c r="D184" s="144" t="s">
        <v>135</v>
      </c>
      <c r="E184" s="146"/>
      <c r="F184" s="93">
        <f>1.98/(10^2)</f>
        <v>1.9799999999999998E-2</v>
      </c>
      <c r="G184" s="93">
        <f>0/(10^2)</f>
        <v>0</v>
      </c>
      <c r="H184" s="93">
        <f>0/(10^2)</f>
        <v>0</v>
      </c>
      <c r="I184" s="93">
        <f>0/(10^2)</f>
        <v>0</v>
      </c>
      <c r="J184" s="93">
        <f>0/(10^2)</f>
        <v>0</v>
      </c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  <c r="V184" s="65"/>
      <c r="W184" s="65"/>
      <c r="X184" s="65"/>
      <c r="Y184" s="65"/>
      <c r="Z184" s="65"/>
      <c r="AA184" s="65"/>
      <c r="AB184" s="65"/>
      <c r="AC184" s="65"/>
      <c r="AD184" s="65"/>
      <c r="AE184" s="65"/>
      <c r="AF184" s="65"/>
      <c r="AG184" s="65"/>
      <c r="AH184" s="65"/>
      <c r="AI184" s="65"/>
      <c r="AJ184" s="65"/>
      <c r="AK184" s="65"/>
      <c r="AL184" s="65"/>
      <c r="AM184" s="65"/>
      <c r="AN184" s="65"/>
      <c r="AO184" s="65"/>
      <c r="AP184" s="65"/>
    </row>
    <row r="185" spans="3:42" x14ac:dyDescent="0.2">
      <c r="D185" s="144" t="s">
        <v>146</v>
      </c>
      <c r="E185" s="146"/>
      <c r="F185" s="93">
        <f>2.24/(10^2)</f>
        <v>2.2400000000000003E-2</v>
      </c>
      <c r="G185" s="93">
        <f>0.19/(10^2)</f>
        <v>1.9E-3</v>
      </c>
      <c r="H185" s="93">
        <f t="shared" ref="H185:J187" si="99">0/(10^2)</f>
        <v>0</v>
      </c>
      <c r="I185" s="93">
        <f t="shared" si="99"/>
        <v>0</v>
      </c>
      <c r="J185" s="93">
        <f t="shared" si="99"/>
        <v>0</v>
      </c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  <c r="AB185" s="65"/>
      <c r="AC185" s="65"/>
      <c r="AD185" s="65"/>
      <c r="AE185" s="65"/>
      <c r="AF185" s="65"/>
      <c r="AG185" s="65"/>
      <c r="AH185" s="65"/>
      <c r="AI185" s="65"/>
      <c r="AJ185" s="65"/>
      <c r="AK185" s="65"/>
      <c r="AL185" s="65"/>
      <c r="AM185" s="65"/>
      <c r="AN185" s="65"/>
      <c r="AO185" s="65"/>
      <c r="AP185" s="65"/>
    </row>
    <row r="186" spans="3:42" x14ac:dyDescent="0.2">
      <c r="D186" s="144" t="s">
        <v>147</v>
      </c>
      <c r="E186" s="146"/>
      <c r="F186" s="93">
        <f>14.19/(10^2)</f>
        <v>0.1419</v>
      </c>
      <c r="G186" s="93">
        <f>0/(10^2)</f>
        <v>0</v>
      </c>
      <c r="H186" s="93">
        <f t="shared" si="99"/>
        <v>0</v>
      </c>
      <c r="I186" s="93">
        <f t="shared" si="99"/>
        <v>0</v>
      </c>
      <c r="J186" s="93">
        <f t="shared" si="99"/>
        <v>0</v>
      </c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  <c r="AB186" s="65"/>
      <c r="AC186" s="65"/>
      <c r="AD186" s="65"/>
      <c r="AE186" s="65"/>
      <c r="AF186" s="65"/>
      <c r="AG186" s="65"/>
      <c r="AH186" s="65"/>
      <c r="AI186" s="65"/>
      <c r="AJ186" s="65"/>
      <c r="AK186" s="65"/>
      <c r="AL186" s="65"/>
      <c r="AM186" s="65"/>
      <c r="AN186" s="65"/>
      <c r="AO186" s="65"/>
      <c r="AP186" s="65"/>
    </row>
    <row r="187" spans="3:42" x14ac:dyDescent="0.2">
      <c r="D187" s="144" t="s">
        <v>148</v>
      </c>
      <c r="E187" s="146"/>
      <c r="F187" s="93">
        <f>7.34/(10^2)</f>
        <v>7.3399999999999993E-2</v>
      </c>
      <c r="G187" s="93">
        <f>11.47/(10^2)</f>
        <v>0.11470000000000001</v>
      </c>
      <c r="H187" s="93">
        <f t="shared" si="99"/>
        <v>0</v>
      </c>
      <c r="I187" s="93">
        <f t="shared" si="99"/>
        <v>0</v>
      </c>
      <c r="J187" s="93">
        <f t="shared" si="99"/>
        <v>0</v>
      </c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  <c r="AB187" s="65"/>
      <c r="AC187" s="65"/>
      <c r="AD187" s="65"/>
      <c r="AE187" s="65"/>
      <c r="AF187" s="65"/>
      <c r="AG187" s="65"/>
      <c r="AH187" s="65"/>
      <c r="AI187" s="65"/>
      <c r="AJ187" s="65"/>
      <c r="AK187" s="65"/>
      <c r="AL187" s="65"/>
      <c r="AM187" s="65"/>
      <c r="AN187" s="65"/>
      <c r="AO187" s="65"/>
      <c r="AP187" s="65"/>
    </row>
    <row r="188" spans="3:42" x14ac:dyDescent="0.2">
      <c r="C188" s="146"/>
      <c r="D188" s="146"/>
      <c r="E188" s="146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  <c r="AB188" s="65"/>
      <c r="AC188" s="65"/>
      <c r="AD188" s="65"/>
      <c r="AE188" s="65"/>
      <c r="AF188" s="65"/>
      <c r="AG188" s="65"/>
      <c r="AH188" s="65"/>
      <c r="AI188" s="65"/>
      <c r="AJ188" s="65"/>
      <c r="AK188" s="65"/>
      <c r="AL188" s="65"/>
      <c r="AM188" s="65"/>
      <c r="AN188" s="65"/>
      <c r="AO188" s="65"/>
      <c r="AP188" s="65"/>
    </row>
    <row r="189" spans="3:42" x14ac:dyDescent="0.2">
      <c r="C189" s="215" t="s">
        <v>149</v>
      </c>
      <c r="D189" s="215"/>
      <c r="E189" s="21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  <c r="AB189" s="65"/>
      <c r="AC189" s="65"/>
      <c r="AD189" s="65"/>
      <c r="AE189" s="65"/>
      <c r="AF189" s="65"/>
      <c r="AG189" s="65"/>
      <c r="AH189" s="65"/>
      <c r="AI189" s="65"/>
      <c r="AJ189" s="65"/>
      <c r="AK189" s="65"/>
      <c r="AL189" s="65"/>
      <c r="AM189" s="65"/>
      <c r="AN189" s="65"/>
      <c r="AO189" s="65"/>
      <c r="AP189" s="65"/>
    </row>
    <row r="190" spans="3:42" x14ac:dyDescent="0.2">
      <c r="D190" s="144" t="s">
        <v>150</v>
      </c>
      <c r="E190" s="146"/>
      <c r="F190" s="93">
        <f>4/(10^2)</f>
        <v>0.04</v>
      </c>
      <c r="G190" s="93">
        <f>6/(10^2)</f>
        <v>0.06</v>
      </c>
      <c r="H190" s="93">
        <f>6/(10^2)</f>
        <v>0.06</v>
      </c>
      <c r="I190" s="93">
        <f>9.2/(10^2)</f>
        <v>9.1999999999999998E-2</v>
      </c>
      <c r="J190" s="93">
        <f>11.2/(10^2)</f>
        <v>0.11199999999999999</v>
      </c>
      <c r="K190" s="196">
        <f>J190</f>
        <v>0.11199999999999999</v>
      </c>
      <c r="L190" s="196">
        <f t="shared" ref="L190:T190" si="100">K190</f>
        <v>0.11199999999999999</v>
      </c>
      <c r="M190" s="196">
        <f t="shared" si="100"/>
        <v>0.11199999999999999</v>
      </c>
      <c r="N190" s="196">
        <f t="shared" si="100"/>
        <v>0.11199999999999999</v>
      </c>
      <c r="O190" s="196">
        <f t="shared" si="100"/>
        <v>0.11199999999999999</v>
      </c>
      <c r="P190" s="196">
        <f t="shared" si="100"/>
        <v>0.11199999999999999</v>
      </c>
      <c r="Q190" s="196">
        <f t="shared" si="100"/>
        <v>0.11199999999999999</v>
      </c>
      <c r="R190" s="196">
        <f t="shared" si="100"/>
        <v>0.11199999999999999</v>
      </c>
      <c r="S190" s="196">
        <f t="shared" si="100"/>
        <v>0.11199999999999999</v>
      </c>
      <c r="T190" s="196">
        <f t="shared" si="100"/>
        <v>0.11199999999999999</v>
      </c>
      <c r="U190" s="65"/>
      <c r="V190" s="65"/>
      <c r="W190" s="65"/>
      <c r="X190" s="65"/>
      <c r="Y190" s="65"/>
      <c r="Z190" s="65"/>
      <c r="AA190" s="65"/>
      <c r="AB190" s="65"/>
      <c r="AC190" s="65"/>
      <c r="AD190" s="65"/>
      <c r="AE190" s="65"/>
      <c r="AF190" s="65"/>
      <c r="AG190" s="65"/>
      <c r="AH190" s="65"/>
      <c r="AI190" s="65"/>
      <c r="AJ190" s="65"/>
      <c r="AK190" s="65"/>
      <c r="AL190" s="65"/>
      <c r="AM190" s="65"/>
      <c r="AN190" s="65"/>
      <c r="AO190" s="65"/>
      <c r="AP190" s="65"/>
    </row>
    <row r="191" spans="3:42" x14ac:dyDescent="0.2">
      <c r="D191" s="144" t="s">
        <v>151</v>
      </c>
      <c r="E191" s="146"/>
      <c r="F191" s="93">
        <f>290.46/(10^2)</f>
        <v>2.9045999999999998</v>
      </c>
      <c r="G191" s="93">
        <f>31.4/(10^2)</f>
        <v>0.314</v>
      </c>
      <c r="H191" s="93">
        <f>33.62/(10^2)</f>
        <v>0.3362</v>
      </c>
      <c r="I191" s="93">
        <f>80.19/(10^2)</f>
        <v>0.80189999999999995</v>
      </c>
      <c r="J191" s="93">
        <f>685.23/(10^2)</f>
        <v>6.8523000000000005</v>
      </c>
      <c r="K191" s="200">
        <f>685.23/(10^2)</f>
        <v>6.8523000000000005</v>
      </c>
      <c r="L191" s="200">
        <f t="shared" ref="L191:T191" si="101">685.23/(10^2)</f>
        <v>6.8523000000000005</v>
      </c>
      <c r="M191" s="200">
        <f t="shared" si="101"/>
        <v>6.8523000000000005</v>
      </c>
      <c r="N191" s="200">
        <f t="shared" si="101"/>
        <v>6.8523000000000005</v>
      </c>
      <c r="O191" s="200">
        <f t="shared" si="101"/>
        <v>6.8523000000000005</v>
      </c>
      <c r="P191" s="200">
        <f t="shared" si="101"/>
        <v>6.8523000000000005</v>
      </c>
      <c r="Q191" s="200">
        <f t="shared" si="101"/>
        <v>6.8523000000000005</v>
      </c>
      <c r="R191" s="200">
        <f t="shared" si="101"/>
        <v>6.8523000000000005</v>
      </c>
      <c r="S191" s="200">
        <f t="shared" si="101"/>
        <v>6.8523000000000005</v>
      </c>
      <c r="T191" s="200">
        <f t="shared" si="101"/>
        <v>6.8523000000000005</v>
      </c>
      <c r="U191" s="65"/>
      <c r="V191" s="65"/>
      <c r="W191" s="65"/>
      <c r="X191" s="65"/>
      <c r="Y191" s="65"/>
      <c r="Z191" s="65"/>
      <c r="AA191" s="65"/>
      <c r="AB191" s="65"/>
      <c r="AC191" s="65"/>
      <c r="AD191" s="65"/>
      <c r="AE191" s="65"/>
      <c r="AF191" s="65"/>
      <c r="AG191" s="65"/>
      <c r="AH191" s="65"/>
      <c r="AI191" s="65"/>
      <c r="AJ191" s="65"/>
      <c r="AK191" s="65"/>
      <c r="AL191" s="65"/>
      <c r="AM191" s="65"/>
      <c r="AN191" s="65"/>
      <c r="AO191" s="65"/>
      <c r="AP191" s="65"/>
    </row>
    <row r="192" spans="3:42" x14ac:dyDescent="0.2">
      <c r="D192" s="144" t="s">
        <v>152</v>
      </c>
      <c r="E192" s="146"/>
      <c r="F192" s="93">
        <f>257.01/(10^2)</f>
        <v>2.5701000000000001</v>
      </c>
      <c r="G192" s="93">
        <f>211.32/(10^2)</f>
        <v>2.1132</v>
      </c>
      <c r="H192" s="93">
        <f>91.69/(10^2)</f>
        <v>0.91689999999999994</v>
      </c>
      <c r="I192" s="93">
        <f>168.93/(10^2)</f>
        <v>1.6893</v>
      </c>
      <c r="J192" s="93">
        <f>89.43/(10^2)</f>
        <v>0.89430000000000009</v>
      </c>
      <c r="K192" s="200">
        <f>89.43/(10^2)</f>
        <v>0.89430000000000009</v>
      </c>
      <c r="L192" s="200">
        <f t="shared" ref="L192:T192" si="102">89.43/(10^2)</f>
        <v>0.89430000000000009</v>
      </c>
      <c r="M192" s="200">
        <f t="shared" si="102"/>
        <v>0.89430000000000009</v>
      </c>
      <c r="N192" s="200">
        <f t="shared" si="102"/>
        <v>0.89430000000000009</v>
      </c>
      <c r="O192" s="200">
        <f t="shared" si="102"/>
        <v>0.89430000000000009</v>
      </c>
      <c r="P192" s="200">
        <f t="shared" si="102"/>
        <v>0.89430000000000009</v>
      </c>
      <c r="Q192" s="200">
        <f t="shared" si="102"/>
        <v>0.89430000000000009</v>
      </c>
      <c r="R192" s="200">
        <f t="shared" si="102"/>
        <v>0.89430000000000009</v>
      </c>
      <c r="S192" s="200">
        <f t="shared" si="102"/>
        <v>0.89430000000000009</v>
      </c>
      <c r="T192" s="200">
        <f t="shared" si="102"/>
        <v>0.89430000000000009</v>
      </c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</row>
    <row r="193" spans="2:42" x14ac:dyDescent="0.2">
      <c r="D193" s="144" t="s">
        <v>153</v>
      </c>
      <c r="E193" s="146"/>
      <c r="F193" s="93">
        <f>0/(10^2)</f>
        <v>0</v>
      </c>
      <c r="G193" s="93">
        <f>0.04/(10^2)</f>
        <v>4.0000000000000002E-4</v>
      </c>
      <c r="H193" s="93">
        <f>21.41/(10^2)</f>
        <v>0.21410000000000001</v>
      </c>
      <c r="I193" s="93">
        <f>6.58/(10^2)</f>
        <v>6.5799999999999997E-2</v>
      </c>
      <c r="J193" s="93">
        <f>1.46/(10^2)</f>
        <v>1.46E-2</v>
      </c>
      <c r="K193" s="200">
        <f>1.46/(10^2)</f>
        <v>1.46E-2</v>
      </c>
      <c r="L193" s="200">
        <f t="shared" ref="L193:T193" si="103">1.46/(10^2)</f>
        <v>1.46E-2</v>
      </c>
      <c r="M193" s="200">
        <f t="shared" si="103"/>
        <v>1.46E-2</v>
      </c>
      <c r="N193" s="200">
        <f t="shared" si="103"/>
        <v>1.46E-2</v>
      </c>
      <c r="O193" s="200">
        <f t="shared" si="103"/>
        <v>1.46E-2</v>
      </c>
      <c r="P193" s="200">
        <f t="shared" si="103"/>
        <v>1.46E-2</v>
      </c>
      <c r="Q193" s="200">
        <f t="shared" si="103"/>
        <v>1.46E-2</v>
      </c>
      <c r="R193" s="200">
        <f t="shared" si="103"/>
        <v>1.46E-2</v>
      </c>
      <c r="S193" s="200">
        <f t="shared" si="103"/>
        <v>1.46E-2</v>
      </c>
      <c r="T193" s="200">
        <f t="shared" si="103"/>
        <v>1.46E-2</v>
      </c>
      <c r="U193" s="65"/>
      <c r="V193" s="65"/>
      <c r="W193" s="65"/>
      <c r="X193" s="65"/>
      <c r="Y193" s="65"/>
      <c r="Z193" s="65"/>
      <c r="AA193" s="65"/>
      <c r="AB193" s="65"/>
      <c r="AC193" s="65"/>
      <c r="AD193" s="65"/>
      <c r="AE193" s="65"/>
      <c r="AF193" s="65"/>
      <c r="AG193" s="65"/>
      <c r="AH193" s="65"/>
      <c r="AI193" s="65"/>
      <c r="AJ193" s="65"/>
      <c r="AK193" s="65"/>
      <c r="AL193" s="65"/>
      <c r="AM193" s="65"/>
      <c r="AN193" s="65"/>
      <c r="AO193" s="65"/>
      <c r="AP193" s="65"/>
    </row>
    <row r="194" spans="2:42" x14ac:dyDescent="0.2">
      <c r="D194" s="144" t="s">
        <v>154</v>
      </c>
      <c r="E194" s="146"/>
      <c r="F194" s="93">
        <f>1.76/(10^2)</f>
        <v>1.7600000000000001E-2</v>
      </c>
      <c r="G194" s="93">
        <f>1.79/(10^2)</f>
        <v>1.7899999999999999E-2</v>
      </c>
      <c r="H194" s="93">
        <f>2.15/(10^2)</f>
        <v>2.1499999999999998E-2</v>
      </c>
      <c r="I194" s="93">
        <f>1.78/(10^2)</f>
        <v>1.78E-2</v>
      </c>
      <c r="J194" s="93">
        <f>1.3/(10^2)</f>
        <v>1.3000000000000001E-2</v>
      </c>
      <c r="K194" s="200">
        <f>1.3/(10^2)</f>
        <v>1.3000000000000001E-2</v>
      </c>
      <c r="L194" s="200">
        <f t="shared" ref="L194:T194" si="104">1.3/(10^2)</f>
        <v>1.3000000000000001E-2</v>
      </c>
      <c r="M194" s="200">
        <f t="shared" si="104"/>
        <v>1.3000000000000001E-2</v>
      </c>
      <c r="N194" s="200">
        <f t="shared" si="104"/>
        <v>1.3000000000000001E-2</v>
      </c>
      <c r="O194" s="200">
        <f t="shared" si="104"/>
        <v>1.3000000000000001E-2</v>
      </c>
      <c r="P194" s="200">
        <f t="shared" si="104"/>
        <v>1.3000000000000001E-2</v>
      </c>
      <c r="Q194" s="200">
        <f t="shared" si="104"/>
        <v>1.3000000000000001E-2</v>
      </c>
      <c r="R194" s="200">
        <f t="shared" si="104"/>
        <v>1.3000000000000001E-2</v>
      </c>
      <c r="S194" s="200">
        <f t="shared" si="104"/>
        <v>1.3000000000000001E-2</v>
      </c>
      <c r="T194" s="200">
        <f t="shared" si="104"/>
        <v>1.3000000000000001E-2</v>
      </c>
      <c r="U194" s="65"/>
      <c r="V194" s="65"/>
      <c r="W194" s="65"/>
      <c r="X194" s="65"/>
      <c r="Y194" s="65"/>
      <c r="Z194" s="65"/>
      <c r="AA194" s="65"/>
      <c r="AB194" s="65"/>
      <c r="AC194" s="65"/>
      <c r="AD194" s="65"/>
      <c r="AE194" s="65"/>
      <c r="AF194" s="65"/>
      <c r="AG194" s="65"/>
      <c r="AH194" s="65"/>
      <c r="AI194" s="65"/>
      <c r="AJ194" s="65"/>
      <c r="AK194" s="65"/>
      <c r="AL194" s="65"/>
      <c r="AM194" s="65"/>
      <c r="AN194" s="65"/>
      <c r="AO194" s="65"/>
      <c r="AP194" s="65"/>
    </row>
    <row r="195" spans="2:42" x14ac:dyDescent="0.2">
      <c r="D195" s="144" t="s">
        <v>27</v>
      </c>
      <c r="E195" s="146"/>
      <c r="F195" s="93">
        <f>2517.23/(10^2)</f>
        <v>25.1723</v>
      </c>
      <c r="G195" s="93">
        <f>219.98/(10^2)</f>
        <v>2.1997999999999998</v>
      </c>
      <c r="H195" s="93">
        <f>505.37/(10^2)</f>
        <v>5.0537000000000001</v>
      </c>
      <c r="I195" s="93">
        <f>231.33/(10^2)</f>
        <v>2.3132999999999999</v>
      </c>
      <c r="J195" s="93">
        <f>1929.09/(10^2)</f>
        <v>19.290900000000001</v>
      </c>
      <c r="K195" s="200">
        <f>1929.09/(10^2)</f>
        <v>19.290900000000001</v>
      </c>
      <c r="L195" s="200">
        <f t="shared" ref="L195:T195" si="105">1929.09/(10^2)</f>
        <v>19.290900000000001</v>
      </c>
      <c r="M195" s="200">
        <f t="shared" si="105"/>
        <v>19.290900000000001</v>
      </c>
      <c r="N195" s="200">
        <f t="shared" si="105"/>
        <v>19.290900000000001</v>
      </c>
      <c r="O195" s="200">
        <f t="shared" si="105"/>
        <v>19.290900000000001</v>
      </c>
      <c r="P195" s="200">
        <f t="shared" si="105"/>
        <v>19.290900000000001</v>
      </c>
      <c r="Q195" s="200">
        <f t="shared" si="105"/>
        <v>19.290900000000001</v>
      </c>
      <c r="R195" s="200">
        <f t="shared" si="105"/>
        <v>19.290900000000001</v>
      </c>
      <c r="S195" s="200">
        <f t="shared" si="105"/>
        <v>19.290900000000001</v>
      </c>
      <c r="T195" s="200">
        <f t="shared" si="105"/>
        <v>19.290900000000001</v>
      </c>
      <c r="U195" s="65"/>
      <c r="V195" s="65"/>
      <c r="W195" s="65"/>
      <c r="X195" s="65"/>
      <c r="Y195" s="65"/>
      <c r="Z195" s="65"/>
      <c r="AA195" s="65"/>
      <c r="AB195" s="65"/>
      <c r="AC195" s="65"/>
      <c r="AD195" s="65"/>
      <c r="AE195" s="65"/>
      <c r="AF195" s="65"/>
      <c r="AG195" s="65"/>
      <c r="AH195" s="65"/>
      <c r="AI195" s="65"/>
      <c r="AJ195" s="65"/>
      <c r="AK195" s="65"/>
      <c r="AL195" s="65"/>
      <c r="AM195" s="65"/>
      <c r="AN195" s="65"/>
      <c r="AO195" s="65"/>
      <c r="AP195" s="65"/>
    </row>
    <row r="196" spans="2:42" s="136" customFormat="1" x14ac:dyDescent="0.2">
      <c r="B196" s="64"/>
      <c r="C196" s="217" t="s">
        <v>176</v>
      </c>
      <c r="D196" s="239"/>
      <c r="E196" s="239"/>
      <c r="F196" s="240">
        <f t="shared" ref="F196:K196" si="106">SUM(F178:F195)</f>
        <v>42.918999999999997</v>
      </c>
      <c r="G196" s="240">
        <f t="shared" si="106"/>
        <v>8.1552000000000007</v>
      </c>
      <c r="H196" s="240">
        <f t="shared" si="106"/>
        <v>6.6024000000000003</v>
      </c>
      <c r="I196" s="240">
        <f t="shared" si="106"/>
        <v>4.9800999999999993</v>
      </c>
      <c r="J196" s="240">
        <f t="shared" si="106"/>
        <v>27.177100000000003</v>
      </c>
      <c r="K196" s="240">
        <f t="shared" si="106"/>
        <v>27.177100000000003</v>
      </c>
      <c r="L196" s="240">
        <f t="shared" ref="L196:T196" si="107">SUM(L178:L195)</f>
        <v>27.177100000000003</v>
      </c>
      <c r="M196" s="240">
        <f t="shared" si="107"/>
        <v>27.177100000000003</v>
      </c>
      <c r="N196" s="240">
        <f t="shared" si="107"/>
        <v>27.177100000000003</v>
      </c>
      <c r="O196" s="240">
        <f t="shared" si="107"/>
        <v>27.177100000000003</v>
      </c>
      <c r="P196" s="240">
        <f t="shared" si="107"/>
        <v>27.177100000000003</v>
      </c>
      <c r="Q196" s="240">
        <f t="shared" si="107"/>
        <v>27.177100000000003</v>
      </c>
      <c r="R196" s="240">
        <f t="shared" si="107"/>
        <v>27.177100000000003</v>
      </c>
      <c r="S196" s="240">
        <f t="shared" si="107"/>
        <v>27.177100000000003</v>
      </c>
      <c r="T196" s="240">
        <f t="shared" si="107"/>
        <v>27.177100000000003</v>
      </c>
      <c r="U196" s="78"/>
      <c r="V196" s="78"/>
      <c r="W196" s="78"/>
      <c r="X196" s="78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  <c r="AM196" s="78"/>
      <c r="AN196" s="78"/>
      <c r="AO196" s="78"/>
      <c r="AP196" s="78"/>
    </row>
    <row r="197" spans="2:42" x14ac:dyDescent="0.2"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  <c r="V197" s="65"/>
      <c r="W197" s="65"/>
      <c r="X197" s="65"/>
      <c r="Y197" s="65"/>
      <c r="Z197" s="65"/>
      <c r="AA197" s="65"/>
      <c r="AB197" s="65"/>
      <c r="AC197" s="65"/>
      <c r="AD197" s="65"/>
      <c r="AE197" s="65"/>
      <c r="AF197" s="65"/>
      <c r="AG197" s="65"/>
      <c r="AH197" s="65"/>
      <c r="AI197" s="65"/>
      <c r="AJ197" s="65"/>
      <c r="AK197" s="65"/>
      <c r="AL197" s="65"/>
      <c r="AM197" s="65"/>
      <c r="AN197" s="65"/>
      <c r="AO197" s="65"/>
      <c r="AP197" s="65"/>
    </row>
    <row r="198" spans="2:42" x14ac:dyDescent="0.2">
      <c r="B198" s="148" t="s">
        <v>155</v>
      </c>
      <c r="C198" s="148"/>
      <c r="D198" s="148"/>
      <c r="E198" s="148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  <c r="V198" s="65"/>
      <c r="W198" s="65"/>
      <c r="X198" s="65"/>
      <c r="Y198" s="65"/>
      <c r="Z198" s="65"/>
      <c r="AA198" s="65"/>
      <c r="AB198" s="65"/>
      <c r="AC198" s="65"/>
      <c r="AD198" s="65"/>
      <c r="AE198" s="65"/>
      <c r="AF198" s="65"/>
      <c r="AG198" s="65"/>
      <c r="AH198" s="65"/>
      <c r="AI198" s="65"/>
      <c r="AJ198" s="65"/>
      <c r="AK198" s="65"/>
      <c r="AL198" s="65"/>
      <c r="AM198" s="65"/>
      <c r="AN198" s="65"/>
      <c r="AO198" s="65"/>
      <c r="AP198" s="65"/>
    </row>
    <row r="199" spans="2:42" x14ac:dyDescent="0.2">
      <c r="C199" s="144" t="s">
        <v>156</v>
      </c>
      <c r="D199" s="145"/>
      <c r="E199" s="145"/>
      <c r="F199" s="93">
        <f>4.93/(10^2)</f>
        <v>4.9299999999999997E-2</v>
      </c>
      <c r="G199" s="93">
        <f>2.81/(10^2)</f>
        <v>2.81E-2</v>
      </c>
      <c r="H199" s="93">
        <f>2.3/(10^2)</f>
        <v>2.3E-2</v>
      </c>
      <c r="I199" s="93">
        <f>2.3/(10^2)</f>
        <v>2.3E-2</v>
      </c>
      <c r="J199" s="93">
        <f>1.82/(10^2)</f>
        <v>1.8200000000000001E-2</v>
      </c>
      <c r="K199" s="196">
        <f>J199</f>
        <v>1.8200000000000001E-2</v>
      </c>
      <c r="L199" s="196">
        <f t="shared" ref="L199:T199" si="108">K199</f>
        <v>1.8200000000000001E-2</v>
      </c>
      <c r="M199" s="196">
        <f t="shared" si="108"/>
        <v>1.8200000000000001E-2</v>
      </c>
      <c r="N199" s="196">
        <f t="shared" si="108"/>
        <v>1.8200000000000001E-2</v>
      </c>
      <c r="O199" s="196">
        <f t="shared" si="108"/>
        <v>1.8200000000000001E-2</v>
      </c>
      <c r="P199" s="196">
        <f t="shared" si="108"/>
        <v>1.8200000000000001E-2</v>
      </c>
      <c r="Q199" s="196">
        <f t="shared" si="108"/>
        <v>1.8200000000000001E-2</v>
      </c>
      <c r="R199" s="196">
        <f t="shared" si="108"/>
        <v>1.8200000000000001E-2</v>
      </c>
      <c r="S199" s="196">
        <f t="shared" si="108"/>
        <v>1.8200000000000001E-2</v>
      </c>
      <c r="T199" s="196">
        <f t="shared" si="108"/>
        <v>1.8200000000000001E-2</v>
      </c>
      <c r="U199" s="65"/>
      <c r="V199" s="65"/>
      <c r="W199" s="65"/>
      <c r="X199" s="65"/>
      <c r="Y199" s="65"/>
      <c r="Z199" s="65"/>
      <c r="AA199" s="65"/>
      <c r="AB199" s="65"/>
      <c r="AC199" s="65"/>
      <c r="AD199" s="65"/>
      <c r="AE199" s="65"/>
      <c r="AF199" s="65"/>
      <c r="AG199" s="65"/>
      <c r="AH199" s="65"/>
      <c r="AI199" s="65"/>
      <c r="AJ199" s="65"/>
      <c r="AK199" s="65"/>
      <c r="AL199" s="65"/>
      <c r="AM199" s="65"/>
      <c r="AN199" s="65"/>
      <c r="AO199" s="65"/>
      <c r="AP199" s="65"/>
    </row>
    <row r="200" spans="2:42" x14ac:dyDescent="0.2">
      <c r="C200" s="144" t="s">
        <v>157</v>
      </c>
      <c r="D200" s="145"/>
      <c r="E200" s="145"/>
      <c r="F200" s="93">
        <f>26.18/(10^2)</f>
        <v>0.26179999999999998</v>
      </c>
      <c r="G200" s="93">
        <f>26.23/(10^2)</f>
        <v>0.26229999999999998</v>
      </c>
      <c r="H200" s="93">
        <f>23.29/(10^2)</f>
        <v>0.2329</v>
      </c>
      <c r="I200" s="93">
        <f>24.41/(10^2)</f>
        <v>0.24410000000000001</v>
      </c>
      <c r="J200" s="93">
        <f>25.95/(10^2)</f>
        <v>0.25950000000000001</v>
      </c>
      <c r="K200" s="196">
        <f>J200</f>
        <v>0.25950000000000001</v>
      </c>
      <c r="L200" s="196">
        <f t="shared" ref="L200:T200" si="109">K200</f>
        <v>0.25950000000000001</v>
      </c>
      <c r="M200" s="196">
        <f t="shared" si="109"/>
        <v>0.25950000000000001</v>
      </c>
      <c r="N200" s="196">
        <f t="shared" si="109"/>
        <v>0.25950000000000001</v>
      </c>
      <c r="O200" s="196">
        <f t="shared" si="109"/>
        <v>0.25950000000000001</v>
      </c>
      <c r="P200" s="196">
        <f t="shared" si="109"/>
        <v>0.25950000000000001</v>
      </c>
      <c r="Q200" s="196">
        <f t="shared" si="109"/>
        <v>0.25950000000000001</v>
      </c>
      <c r="R200" s="196">
        <f t="shared" si="109"/>
        <v>0.25950000000000001</v>
      </c>
      <c r="S200" s="196">
        <f t="shared" si="109"/>
        <v>0.25950000000000001</v>
      </c>
      <c r="T200" s="196">
        <f t="shared" si="109"/>
        <v>0.25950000000000001</v>
      </c>
      <c r="U200" s="65"/>
      <c r="V200" s="65"/>
      <c r="W200" s="65"/>
      <c r="X200" s="65"/>
      <c r="Y200" s="65"/>
      <c r="Z200" s="65"/>
      <c r="AA200" s="65"/>
      <c r="AB200" s="65"/>
      <c r="AC200" s="65"/>
      <c r="AD200" s="65"/>
      <c r="AE200" s="65"/>
      <c r="AF200" s="65"/>
      <c r="AG200" s="65"/>
      <c r="AH200" s="65"/>
      <c r="AI200" s="65"/>
      <c r="AJ200" s="65"/>
      <c r="AK200" s="65"/>
      <c r="AL200" s="65"/>
      <c r="AM200" s="65"/>
      <c r="AN200" s="65"/>
      <c r="AO200" s="65"/>
      <c r="AP200" s="65"/>
    </row>
    <row r="201" spans="2:42" x14ac:dyDescent="0.2">
      <c r="C201" s="144" t="s">
        <v>158</v>
      </c>
      <c r="D201" s="146"/>
      <c r="E201" s="146"/>
      <c r="F201" s="93">
        <f>1443.49/(10^2)</f>
        <v>14.434900000000001</v>
      </c>
      <c r="G201" s="93">
        <f>1302.37/(10^2)</f>
        <v>13.023699999999998</v>
      </c>
      <c r="H201" s="93">
        <f>1402.93/(10^2)</f>
        <v>14.029300000000001</v>
      </c>
      <c r="I201" s="93">
        <f>1799.77/(10^2)</f>
        <v>17.997699999999998</v>
      </c>
      <c r="J201" s="93">
        <f>262.74/(10^2)</f>
        <v>2.6274000000000002</v>
      </c>
      <c r="K201" s="196">
        <f>J201</f>
        <v>2.6274000000000002</v>
      </c>
      <c r="L201" s="196">
        <f t="shared" ref="L201:T201" si="110">K201</f>
        <v>2.6274000000000002</v>
      </c>
      <c r="M201" s="196">
        <f t="shared" si="110"/>
        <v>2.6274000000000002</v>
      </c>
      <c r="N201" s="196">
        <f t="shared" si="110"/>
        <v>2.6274000000000002</v>
      </c>
      <c r="O201" s="196">
        <f t="shared" si="110"/>
        <v>2.6274000000000002</v>
      </c>
      <c r="P201" s="196">
        <f t="shared" si="110"/>
        <v>2.6274000000000002</v>
      </c>
      <c r="Q201" s="196">
        <f t="shared" si="110"/>
        <v>2.6274000000000002</v>
      </c>
      <c r="R201" s="196">
        <f t="shared" si="110"/>
        <v>2.6274000000000002</v>
      </c>
      <c r="S201" s="196">
        <f t="shared" si="110"/>
        <v>2.6274000000000002</v>
      </c>
      <c r="T201" s="196">
        <f t="shared" si="110"/>
        <v>2.6274000000000002</v>
      </c>
      <c r="U201" s="65"/>
      <c r="V201" s="65"/>
      <c r="W201" s="65"/>
      <c r="X201" s="65"/>
      <c r="Y201" s="65"/>
      <c r="Z201" s="65"/>
      <c r="AA201" s="65"/>
      <c r="AB201" s="65"/>
      <c r="AC201" s="65"/>
      <c r="AD201" s="65"/>
      <c r="AE201" s="65"/>
      <c r="AF201" s="65"/>
      <c r="AG201" s="65"/>
      <c r="AH201" s="65"/>
      <c r="AI201" s="65"/>
      <c r="AJ201" s="65"/>
      <c r="AK201" s="65"/>
      <c r="AL201" s="65"/>
      <c r="AM201" s="65"/>
      <c r="AN201" s="65"/>
      <c r="AO201" s="65"/>
      <c r="AP201" s="65"/>
    </row>
    <row r="202" spans="2:42" x14ac:dyDescent="0.2">
      <c r="C202" s="144" t="s">
        <v>159</v>
      </c>
      <c r="D202" s="146"/>
      <c r="E202" s="146"/>
      <c r="F202" s="93">
        <f>950/(10^2)</f>
        <v>9.5</v>
      </c>
      <c r="G202" s="93">
        <f>650/(10^2)</f>
        <v>6.5</v>
      </c>
      <c r="H202" s="93">
        <f>610/(10^2)</f>
        <v>6.1</v>
      </c>
      <c r="I202" s="93">
        <f>1119/(10^2)</f>
        <v>11.19</v>
      </c>
      <c r="J202" s="65">
        <v>0</v>
      </c>
      <c r="K202" s="196">
        <f>J202</f>
        <v>0</v>
      </c>
      <c r="L202" s="196">
        <f t="shared" ref="L202:T202" si="111">K202</f>
        <v>0</v>
      </c>
      <c r="M202" s="196">
        <f t="shared" si="111"/>
        <v>0</v>
      </c>
      <c r="N202" s="196">
        <f t="shared" si="111"/>
        <v>0</v>
      </c>
      <c r="O202" s="196">
        <f t="shared" si="111"/>
        <v>0</v>
      </c>
      <c r="P202" s="196">
        <f t="shared" si="111"/>
        <v>0</v>
      </c>
      <c r="Q202" s="196">
        <f t="shared" si="111"/>
        <v>0</v>
      </c>
      <c r="R202" s="196">
        <f t="shared" si="111"/>
        <v>0</v>
      </c>
      <c r="S202" s="196">
        <f t="shared" si="111"/>
        <v>0</v>
      </c>
      <c r="T202" s="196">
        <f t="shared" si="111"/>
        <v>0</v>
      </c>
      <c r="U202" s="65"/>
      <c r="V202" s="65"/>
      <c r="W202" s="65"/>
      <c r="X202" s="65"/>
      <c r="Y202" s="65"/>
      <c r="Z202" s="65"/>
      <c r="AA202" s="65"/>
      <c r="AB202" s="65"/>
      <c r="AC202" s="65"/>
      <c r="AD202" s="65"/>
      <c r="AE202" s="65"/>
      <c r="AF202" s="65"/>
      <c r="AG202" s="65"/>
      <c r="AH202" s="65"/>
      <c r="AI202" s="65"/>
      <c r="AJ202" s="65"/>
      <c r="AK202" s="65"/>
      <c r="AL202" s="65"/>
      <c r="AM202" s="65"/>
      <c r="AN202" s="65"/>
      <c r="AO202" s="65"/>
      <c r="AP202" s="65"/>
    </row>
    <row r="203" spans="2:42" x14ac:dyDescent="0.2">
      <c r="C203" s="144" t="s">
        <v>160</v>
      </c>
      <c r="D203" s="145"/>
      <c r="E203" s="145"/>
      <c r="F203" s="65">
        <f>F201-F202</f>
        <v>4.9349000000000007</v>
      </c>
      <c r="G203" s="65">
        <f t="shared" ref="G203:J203" si="112">G201-G202</f>
        <v>6.5236999999999981</v>
      </c>
      <c r="H203" s="65">
        <f t="shared" si="112"/>
        <v>7.9293000000000013</v>
      </c>
      <c r="I203" s="65">
        <f t="shared" si="112"/>
        <v>6.8076999999999988</v>
      </c>
      <c r="J203" s="65">
        <f t="shared" si="112"/>
        <v>2.6274000000000002</v>
      </c>
      <c r="K203" s="196">
        <f>J203</f>
        <v>2.6274000000000002</v>
      </c>
      <c r="L203" s="196">
        <f t="shared" ref="L203:T203" si="113">K203</f>
        <v>2.6274000000000002</v>
      </c>
      <c r="M203" s="196">
        <f t="shared" si="113"/>
        <v>2.6274000000000002</v>
      </c>
      <c r="N203" s="196">
        <f t="shared" si="113"/>
        <v>2.6274000000000002</v>
      </c>
      <c r="O203" s="196">
        <f t="shared" si="113"/>
        <v>2.6274000000000002</v>
      </c>
      <c r="P203" s="196">
        <f t="shared" si="113"/>
        <v>2.6274000000000002</v>
      </c>
      <c r="Q203" s="196">
        <f t="shared" si="113"/>
        <v>2.6274000000000002</v>
      </c>
      <c r="R203" s="196">
        <f t="shared" si="113"/>
        <v>2.6274000000000002</v>
      </c>
      <c r="S203" s="196">
        <f t="shared" si="113"/>
        <v>2.6274000000000002</v>
      </c>
      <c r="T203" s="196">
        <f t="shared" si="113"/>
        <v>2.6274000000000002</v>
      </c>
      <c r="U203" s="65"/>
      <c r="V203" s="65"/>
      <c r="W203" s="65"/>
      <c r="X203" s="65"/>
      <c r="Y203" s="65"/>
      <c r="Z203" s="65"/>
      <c r="AA203" s="65"/>
      <c r="AB203" s="65"/>
      <c r="AC203" s="65"/>
      <c r="AD203" s="65"/>
      <c r="AE203" s="65"/>
      <c r="AF203" s="65"/>
      <c r="AG203" s="65"/>
      <c r="AH203" s="65"/>
      <c r="AI203" s="65"/>
      <c r="AJ203" s="65"/>
      <c r="AK203" s="65"/>
      <c r="AL203" s="65"/>
      <c r="AM203" s="65"/>
      <c r="AN203" s="65"/>
      <c r="AO203" s="65"/>
      <c r="AP203" s="65"/>
    </row>
    <row r="204" spans="2:42" s="136" customFormat="1" x14ac:dyDescent="0.2">
      <c r="B204" s="64"/>
      <c r="C204" s="217" t="s">
        <v>176</v>
      </c>
      <c r="D204" s="239"/>
      <c r="E204" s="239"/>
      <c r="F204" s="240">
        <f>F199+F200+F203</f>
        <v>5.2460000000000004</v>
      </c>
      <c r="G204" s="240">
        <f t="shared" ref="G204:T204" si="114">G199+G200+G203</f>
        <v>6.814099999999998</v>
      </c>
      <c r="H204" s="240">
        <f t="shared" si="114"/>
        <v>8.1852000000000018</v>
      </c>
      <c r="I204" s="240">
        <f t="shared" si="114"/>
        <v>7.0747999999999989</v>
      </c>
      <c r="J204" s="240">
        <f t="shared" si="114"/>
        <v>2.9051</v>
      </c>
      <c r="K204" s="240">
        <f t="shared" si="114"/>
        <v>2.9051</v>
      </c>
      <c r="L204" s="240">
        <f t="shared" si="114"/>
        <v>2.9051</v>
      </c>
      <c r="M204" s="240">
        <f t="shared" si="114"/>
        <v>2.9051</v>
      </c>
      <c r="N204" s="240">
        <f t="shared" si="114"/>
        <v>2.9051</v>
      </c>
      <c r="O204" s="240">
        <f t="shared" si="114"/>
        <v>2.9051</v>
      </c>
      <c r="P204" s="240">
        <f t="shared" si="114"/>
        <v>2.9051</v>
      </c>
      <c r="Q204" s="240">
        <f t="shared" si="114"/>
        <v>2.9051</v>
      </c>
      <c r="R204" s="240">
        <f t="shared" si="114"/>
        <v>2.9051</v>
      </c>
      <c r="S204" s="240">
        <f t="shared" si="114"/>
        <v>2.9051</v>
      </c>
      <c r="T204" s="240">
        <f t="shared" si="114"/>
        <v>2.9051</v>
      </c>
      <c r="U204" s="78"/>
      <c r="V204" s="78"/>
      <c r="W204" s="78"/>
      <c r="X204" s="78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  <c r="AM204" s="78"/>
      <c r="AN204" s="78"/>
      <c r="AO204" s="78"/>
      <c r="AP204" s="78"/>
    </row>
    <row r="205" spans="2:42" x14ac:dyDescent="0.2"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  <c r="V205" s="65"/>
      <c r="W205" s="65"/>
      <c r="X205" s="65"/>
      <c r="Y205" s="65"/>
      <c r="Z205" s="65"/>
      <c r="AA205" s="65"/>
      <c r="AB205" s="65"/>
      <c r="AC205" s="65"/>
      <c r="AD205" s="65"/>
      <c r="AE205" s="65"/>
      <c r="AF205" s="65"/>
      <c r="AG205" s="65"/>
      <c r="AH205" s="65"/>
      <c r="AI205" s="65"/>
      <c r="AJ205" s="65"/>
      <c r="AK205" s="65"/>
      <c r="AL205" s="65"/>
      <c r="AM205" s="65"/>
      <c r="AN205" s="65"/>
      <c r="AO205" s="65"/>
      <c r="AP205" s="65"/>
    </row>
    <row r="206" spans="2:42" x14ac:dyDescent="0.2"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  <c r="V206" s="65"/>
      <c r="W206" s="65"/>
      <c r="X206" s="65"/>
      <c r="Y206" s="65"/>
      <c r="Z206" s="65"/>
      <c r="AA206" s="65"/>
      <c r="AB206" s="65"/>
      <c r="AC206" s="65"/>
      <c r="AD206" s="65"/>
      <c r="AE206" s="65"/>
      <c r="AF206" s="65"/>
      <c r="AG206" s="65"/>
      <c r="AH206" s="65"/>
      <c r="AI206" s="65"/>
      <c r="AJ206" s="65"/>
      <c r="AK206" s="65"/>
      <c r="AL206" s="65"/>
      <c r="AM206" s="65"/>
      <c r="AN206" s="65"/>
      <c r="AO206" s="65"/>
      <c r="AP206" s="65"/>
    </row>
    <row r="207" spans="2:42" x14ac:dyDescent="0.2"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  <c r="V207" s="65"/>
      <c r="W207" s="65"/>
      <c r="X207" s="65"/>
      <c r="Y207" s="65"/>
      <c r="Z207" s="65"/>
      <c r="AA207" s="65"/>
      <c r="AB207" s="65"/>
      <c r="AC207" s="65"/>
      <c r="AD207" s="65"/>
      <c r="AE207" s="65"/>
      <c r="AF207" s="65"/>
      <c r="AG207" s="65"/>
      <c r="AH207" s="65"/>
      <c r="AI207" s="65"/>
      <c r="AJ207" s="65"/>
      <c r="AK207" s="65"/>
      <c r="AL207" s="65"/>
      <c r="AM207" s="65"/>
      <c r="AN207" s="65"/>
      <c r="AO207" s="65"/>
      <c r="AP207" s="65"/>
    </row>
    <row r="208" spans="2:42" x14ac:dyDescent="0.2"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  <c r="V208" s="65"/>
      <c r="W208" s="65"/>
      <c r="X208" s="65"/>
      <c r="Y208" s="65"/>
      <c r="Z208" s="65"/>
      <c r="AA208" s="65"/>
      <c r="AB208" s="65"/>
      <c r="AC208" s="65"/>
      <c r="AD208" s="65"/>
      <c r="AE208" s="65"/>
      <c r="AF208" s="65"/>
      <c r="AG208" s="65"/>
      <c r="AH208" s="65"/>
      <c r="AI208" s="65"/>
      <c r="AJ208" s="65"/>
      <c r="AK208" s="65"/>
      <c r="AL208" s="65"/>
      <c r="AM208" s="65"/>
      <c r="AN208" s="65"/>
      <c r="AO208" s="65"/>
      <c r="AP208" s="65"/>
    </row>
    <row r="209" spans="6:42" x14ac:dyDescent="0.2"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  <c r="V209" s="65"/>
      <c r="W209" s="65"/>
      <c r="X209" s="65"/>
      <c r="Y209" s="65"/>
      <c r="Z209" s="65"/>
      <c r="AA209" s="65"/>
      <c r="AB209" s="65"/>
      <c r="AC209" s="65"/>
      <c r="AD209" s="65"/>
      <c r="AE209" s="65"/>
      <c r="AF209" s="65"/>
      <c r="AG209" s="65"/>
      <c r="AH209" s="65"/>
      <c r="AI209" s="65"/>
      <c r="AJ209" s="65"/>
      <c r="AK209" s="65"/>
      <c r="AL209" s="65"/>
      <c r="AM209" s="65"/>
      <c r="AN209" s="65"/>
      <c r="AO209" s="65"/>
      <c r="AP209" s="65"/>
    </row>
    <row r="210" spans="6:42" x14ac:dyDescent="0.2"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  <c r="V210" s="65"/>
      <c r="W210" s="65"/>
      <c r="X210" s="65"/>
      <c r="Y210" s="65"/>
      <c r="Z210" s="65"/>
      <c r="AA210" s="65"/>
      <c r="AB210" s="65"/>
      <c r="AC210" s="65"/>
      <c r="AD210" s="65"/>
      <c r="AE210" s="65"/>
      <c r="AF210" s="65"/>
      <c r="AG210" s="65"/>
      <c r="AH210" s="65"/>
      <c r="AI210" s="65"/>
      <c r="AJ210" s="65"/>
      <c r="AK210" s="65"/>
      <c r="AL210" s="65"/>
      <c r="AM210" s="65"/>
      <c r="AN210" s="65"/>
      <c r="AO210" s="65"/>
      <c r="AP210" s="65"/>
    </row>
    <row r="211" spans="6:42" x14ac:dyDescent="0.2"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  <c r="V211" s="65"/>
      <c r="W211" s="65"/>
      <c r="X211" s="65"/>
      <c r="Y211" s="65"/>
      <c r="Z211" s="65"/>
      <c r="AA211" s="65"/>
      <c r="AB211" s="65"/>
      <c r="AC211" s="65"/>
      <c r="AD211" s="65"/>
      <c r="AE211" s="65"/>
      <c r="AF211" s="65"/>
      <c r="AG211" s="65"/>
      <c r="AH211" s="65"/>
      <c r="AI211" s="65"/>
      <c r="AJ211" s="65"/>
      <c r="AK211" s="65"/>
      <c r="AL211" s="65"/>
      <c r="AM211" s="65"/>
      <c r="AN211" s="65"/>
      <c r="AO211" s="65"/>
      <c r="AP211" s="65"/>
    </row>
    <row r="212" spans="6:42" x14ac:dyDescent="0.2"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  <c r="V212" s="65"/>
      <c r="W212" s="65"/>
      <c r="X212" s="65"/>
      <c r="Y212" s="65"/>
      <c r="Z212" s="65"/>
      <c r="AA212" s="65"/>
      <c r="AB212" s="65"/>
      <c r="AC212" s="65"/>
      <c r="AD212" s="65"/>
      <c r="AE212" s="65"/>
      <c r="AF212" s="65"/>
      <c r="AG212" s="65"/>
      <c r="AH212" s="65"/>
      <c r="AI212" s="65"/>
      <c r="AJ212" s="65"/>
      <c r="AK212" s="65"/>
      <c r="AL212" s="65"/>
      <c r="AM212" s="65"/>
      <c r="AN212" s="65"/>
      <c r="AO212" s="65"/>
      <c r="AP212" s="65"/>
    </row>
    <row r="213" spans="6:42" x14ac:dyDescent="0.2"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65"/>
      <c r="Y213" s="65"/>
      <c r="Z213" s="65"/>
      <c r="AA213" s="65"/>
      <c r="AB213" s="65"/>
      <c r="AC213" s="65"/>
      <c r="AD213" s="65"/>
      <c r="AE213" s="65"/>
      <c r="AF213" s="65"/>
      <c r="AG213" s="65"/>
      <c r="AH213" s="65"/>
      <c r="AI213" s="65"/>
      <c r="AJ213" s="65"/>
      <c r="AK213" s="65"/>
      <c r="AL213" s="65"/>
      <c r="AM213" s="65"/>
      <c r="AN213" s="65"/>
      <c r="AO213" s="65"/>
      <c r="AP213" s="65"/>
    </row>
    <row r="214" spans="6:42" x14ac:dyDescent="0.2"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65"/>
      <c r="Y214" s="65"/>
      <c r="Z214" s="65"/>
      <c r="AA214" s="65"/>
      <c r="AB214" s="65"/>
      <c r="AC214" s="65"/>
      <c r="AD214" s="65"/>
      <c r="AE214" s="65"/>
      <c r="AF214" s="65"/>
      <c r="AG214" s="65"/>
      <c r="AH214" s="65"/>
      <c r="AI214" s="65"/>
      <c r="AJ214" s="65"/>
      <c r="AK214" s="65"/>
      <c r="AL214" s="65"/>
      <c r="AM214" s="65"/>
      <c r="AN214" s="65"/>
      <c r="AO214" s="65"/>
      <c r="AP214" s="65"/>
    </row>
    <row r="215" spans="6:42" x14ac:dyDescent="0.2"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</row>
    <row r="216" spans="6:42" x14ac:dyDescent="0.2"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  <c r="V216" s="65"/>
      <c r="W216" s="65"/>
      <c r="X216" s="65"/>
      <c r="Y216" s="65"/>
      <c r="Z216" s="65"/>
      <c r="AA216" s="65"/>
      <c r="AB216" s="65"/>
      <c r="AC216" s="65"/>
      <c r="AD216" s="65"/>
      <c r="AE216" s="65"/>
      <c r="AF216" s="65"/>
      <c r="AG216" s="65"/>
      <c r="AH216" s="65"/>
      <c r="AI216" s="65"/>
      <c r="AJ216" s="65"/>
      <c r="AK216" s="65"/>
      <c r="AL216" s="65"/>
      <c r="AM216" s="65"/>
      <c r="AN216" s="65"/>
      <c r="AO216" s="65"/>
      <c r="AP216" s="65"/>
    </row>
    <row r="217" spans="6:42" x14ac:dyDescent="0.2"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  <c r="V217" s="65"/>
      <c r="W217" s="65"/>
      <c r="X217" s="65"/>
      <c r="Y217" s="65"/>
      <c r="Z217" s="65"/>
      <c r="AA217" s="65"/>
      <c r="AB217" s="65"/>
      <c r="AC217" s="65"/>
      <c r="AD217" s="65"/>
      <c r="AE217" s="65"/>
      <c r="AF217" s="65"/>
      <c r="AG217" s="65"/>
      <c r="AH217" s="65"/>
      <c r="AI217" s="65"/>
      <c r="AJ217" s="65"/>
      <c r="AK217" s="65"/>
      <c r="AL217" s="65"/>
      <c r="AM217" s="65"/>
      <c r="AN217" s="65"/>
      <c r="AO217" s="65"/>
      <c r="AP217" s="65"/>
    </row>
    <row r="218" spans="6:42" x14ac:dyDescent="0.2"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  <c r="V218" s="65"/>
      <c r="W218" s="65"/>
      <c r="X218" s="65"/>
      <c r="Y218" s="65"/>
      <c r="Z218" s="65"/>
      <c r="AA218" s="65"/>
      <c r="AB218" s="65"/>
      <c r="AC218" s="65"/>
      <c r="AD218" s="65"/>
      <c r="AE218" s="65"/>
      <c r="AF218" s="65"/>
      <c r="AG218" s="65"/>
      <c r="AH218" s="65"/>
      <c r="AI218" s="65"/>
      <c r="AJ218" s="65"/>
      <c r="AK218" s="65"/>
      <c r="AL218" s="65"/>
      <c r="AM218" s="65"/>
      <c r="AN218" s="65"/>
      <c r="AO218" s="65"/>
      <c r="AP218" s="65"/>
    </row>
    <row r="219" spans="6:42" x14ac:dyDescent="0.2"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  <c r="V219" s="65"/>
      <c r="W219" s="65"/>
      <c r="X219" s="65"/>
      <c r="Y219" s="65"/>
      <c r="Z219" s="65"/>
      <c r="AA219" s="65"/>
      <c r="AB219" s="65"/>
      <c r="AC219" s="65"/>
      <c r="AD219" s="65"/>
      <c r="AE219" s="65"/>
      <c r="AF219" s="65"/>
      <c r="AG219" s="65"/>
      <c r="AH219" s="65"/>
      <c r="AI219" s="65"/>
      <c r="AJ219" s="65"/>
      <c r="AK219" s="65"/>
      <c r="AL219" s="65"/>
      <c r="AM219" s="65"/>
      <c r="AN219" s="65"/>
      <c r="AO219" s="65"/>
      <c r="AP219" s="65"/>
    </row>
    <row r="220" spans="6:42" x14ac:dyDescent="0.2"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65"/>
      <c r="Y220" s="65"/>
      <c r="Z220" s="65"/>
      <c r="AA220" s="65"/>
      <c r="AB220" s="65"/>
      <c r="AC220" s="65"/>
      <c r="AD220" s="65"/>
      <c r="AE220" s="65"/>
      <c r="AF220" s="65"/>
      <c r="AG220" s="65"/>
      <c r="AH220" s="65"/>
      <c r="AI220" s="65"/>
      <c r="AJ220" s="65"/>
      <c r="AK220" s="65"/>
      <c r="AL220" s="65"/>
      <c r="AM220" s="65"/>
      <c r="AN220" s="65"/>
      <c r="AO220" s="65"/>
      <c r="AP220" s="65"/>
    </row>
    <row r="221" spans="6:42" x14ac:dyDescent="0.2"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  <c r="V221" s="65"/>
      <c r="W221" s="65"/>
      <c r="X221" s="65"/>
      <c r="Y221" s="65"/>
      <c r="Z221" s="65"/>
      <c r="AA221" s="65"/>
      <c r="AB221" s="65"/>
      <c r="AC221" s="65"/>
      <c r="AD221" s="65"/>
      <c r="AE221" s="65"/>
      <c r="AF221" s="65"/>
      <c r="AG221" s="65"/>
      <c r="AH221" s="65"/>
      <c r="AI221" s="65"/>
      <c r="AJ221" s="65"/>
      <c r="AK221" s="65"/>
      <c r="AL221" s="65"/>
      <c r="AM221" s="65"/>
      <c r="AN221" s="65"/>
      <c r="AO221" s="65"/>
      <c r="AP221" s="65"/>
    </row>
    <row r="222" spans="6:42" x14ac:dyDescent="0.2"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  <c r="V222" s="65"/>
      <c r="W222" s="65"/>
      <c r="X222" s="65"/>
      <c r="Y222" s="65"/>
      <c r="Z222" s="65"/>
      <c r="AA222" s="65"/>
      <c r="AB222" s="65"/>
      <c r="AC222" s="65"/>
      <c r="AD222" s="65"/>
      <c r="AE222" s="65"/>
      <c r="AF222" s="65"/>
      <c r="AG222" s="65"/>
      <c r="AH222" s="65"/>
      <c r="AI222" s="65"/>
      <c r="AJ222" s="65"/>
      <c r="AK222" s="65"/>
      <c r="AL222" s="65"/>
      <c r="AM222" s="65"/>
      <c r="AN222" s="65"/>
      <c r="AO222" s="65"/>
      <c r="AP222" s="65"/>
    </row>
    <row r="223" spans="6:42" x14ac:dyDescent="0.2"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  <c r="V223" s="65"/>
      <c r="W223" s="65"/>
      <c r="X223" s="65"/>
      <c r="Y223" s="65"/>
      <c r="Z223" s="65"/>
      <c r="AA223" s="65"/>
      <c r="AB223" s="65"/>
      <c r="AC223" s="65"/>
      <c r="AD223" s="65"/>
      <c r="AE223" s="65"/>
      <c r="AF223" s="65"/>
      <c r="AG223" s="65"/>
      <c r="AH223" s="65"/>
      <c r="AI223" s="65"/>
      <c r="AJ223" s="65"/>
      <c r="AK223" s="65"/>
      <c r="AL223" s="65"/>
      <c r="AM223" s="65"/>
      <c r="AN223" s="65"/>
      <c r="AO223" s="65"/>
      <c r="AP223" s="65"/>
    </row>
    <row r="224" spans="6:42" x14ac:dyDescent="0.2"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  <c r="V224" s="65"/>
      <c r="W224" s="65"/>
      <c r="X224" s="65"/>
      <c r="Y224" s="65"/>
      <c r="Z224" s="65"/>
      <c r="AA224" s="65"/>
      <c r="AB224" s="65"/>
      <c r="AC224" s="65"/>
      <c r="AD224" s="65"/>
      <c r="AE224" s="65"/>
      <c r="AF224" s="65"/>
      <c r="AG224" s="65"/>
      <c r="AH224" s="65"/>
      <c r="AI224" s="65"/>
      <c r="AJ224" s="65"/>
      <c r="AK224" s="65"/>
      <c r="AL224" s="65"/>
      <c r="AM224" s="65"/>
      <c r="AN224" s="65"/>
      <c r="AO224" s="65"/>
      <c r="AP224" s="65"/>
    </row>
    <row r="225" spans="6:42" x14ac:dyDescent="0.2"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  <c r="V225" s="65"/>
      <c r="W225" s="65"/>
      <c r="X225" s="65"/>
      <c r="Y225" s="65"/>
      <c r="Z225" s="65"/>
      <c r="AA225" s="65"/>
      <c r="AB225" s="65"/>
      <c r="AC225" s="65"/>
      <c r="AD225" s="65"/>
      <c r="AE225" s="65"/>
      <c r="AF225" s="65"/>
      <c r="AG225" s="65"/>
      <c r="AH225" s="65"/>
      <c r="AI225" s="65"/>
      <c r="AJ225" s="65"/>
      <c r="AK225" s="65"/>
      <c r="AL225" s="65"/>
      <c r="AM225" s="65"/>
      <c r="AN225" s="65"/>
      <c r="AO225" s="65"/>
      <c r="AP225" s="65"/>
    </row>
    <row r="226" spans="6:42" x14ac:dyDescent="0.2"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65"/>
      <c r="Y226" s="65"/>
      <c r="Z226" s="65"/>
      <c r="AA226" s="65"/>
      <c r="AB226" s="65"/>
      <c r="AC226" s="65"/>
      <c r="AD226" s="65"/>
      <c r="AE226" s="65"/>
      <c r="AF226" s="65"/>
      <c r="AG226" s="65"/>
      <c r="AH226" s="65"/>
      <c r="AI226" s="65"/>
      <c r="AJ226" s="65"/>
      <c r="AK226" s="65"/>
      <c r="AL226" s="65"/>
      <c r="AM226" s="65"/>
      <c r="AN226" s="65"/>
      <c r="AO226" s="65"/>
      <c r="AP226" s="65"/>
    </row>
    <row r="227" spans="6:42" x14ac:dyDescent="0.2"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  <c r="V227" s="65"/>
      <c r="W227" s="65"/>
      <c r="X227" s="65"/>
      <c r="Y227" s="65"/>
      <c r="Z227" s="65"/>
      <c r="AA227" s="65"/>
      <c r="AB227" s="65"/>
      <c r="AC227" s="65"/>
      <c r="AD227" s="65"/>
      <c r="AE227" s="65"/>
      <c r="AF227" s="65"/>
      <c r="AG227" s="65"/>
      <c r="AH227" s="65"/>
      <c r="AI227" s="65"/>
      <c r="AJ227" s="65"/>
      <c r="AK227" s="65"/>
      <c r="AL227" s="65"/>
      <c r="AM227" s="65"/>
      <c r="AN227" s="65"/>
      <c r="AO227" s="65"/>
      <c r="AP227" s="65"/>
    </row>
    <row r="228" spans="6:42" x14ac:dyDescent="0.2"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  <c r="V228" s="65"/>
      <c r="W228" s="65"/>
      <c r="X228" s="65"/>
      <c r="Y228" s="65"/>
      <c r="Z228" s="65"/>
      <c r="AA228" s="65"/>
      <c r="AB228" s="65"/>
      <c r="AC228" s="65"/>
      <c r="AD228" s="65"/>
      <c r="AE228" s="65"/>
      <c r="AF228" s="65"/>
      <c r="AG228" s="65"/>
      <c r="AH228" s="65"/>
      <c r="AI228" s="65"/>
      <c r="AJ228" s="65"/>
      <c r="AK228" s="65"/>
      <c r="AL228" s="65"/>
      <c r="AM228" s="65"/>
      <c r="AN228" s="65"/>
      <c r="AO228" s="65"/>
      <c r="AP228" s="65"/>
    </row>
    <row r="229" spans="6:42" x14ac:dyDescent="0.2"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  <c r="V229" s="65"/>
      <c r="W229" s="65"/>
      <c r="X229" s="65"/>
      <c r="Y229" s="65"/>
      <c r="Z229" s="65"/>
      <c r="AA229" s="65"/>
      <c r="AB229" s="65"/>
      <c r="AC229" s="65"/>
      <c r="AD229" s="65"/>
      <c r="AE229" s="65"/>
      <c r="AF229" s="65"/>
      <c r="AG229" s="65"/>
      <c r="AH229" s="65"/>
      <c r="AI229" s="65"/>
      <c r="AJ229" s="65"/>
      <c r="AK229" s="65"/>
      <c r="AL229" s="65"/>
      <c r="AM229" s="65"/>
      <c r="AN229" s="65"/>
      <c r="AO229" s="65"/>
      <c r="AP229" s="65"/>
    </row>
    <row r="230" spans="6:42" x14ac:dyDescent="0.2"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65"/>
      <c r="Y230" s="65"/>
      <c r="Z230" s="65"/>
      <c r="AA230" s="65"/>
      <c r="AB230" s="65"/>
      <c r="AC230" s="65"/>
      <c r="AD230" s="65"/>
      <c r="AE230" s="65"/>
      <c r="AF230" s="65"/>
      <c r="AG230" s="65"/>
      <c r="AH230" s="65"/>
      <c r="AI230" s="65"/>
      <c r="AJ230" s="65"/>
      <c r="AK230" s="65"/>
      <c r="AL230" s="65"/>
      <c r="AM230" s="65"/>
      <c r="AN230" s="65"/>
      <c r="AO230" s="65"/>
      <c r="AP230" s="65"/>
    </row>
    <row r="231" spans="6:42" x14ac:dyDescent="0.2"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  <c r="V231" s="65"/>
      <c r="W231" s="65"/>
      <c r="X231" s="65"/>
      <c r="Y231" s="65"/>
      <c r="Z231" s="65"/>
      <c r="AA231" s="65"/>
      <c r="AB231" s="65"/>
      <c r="AC231" s="65"/>
      <c r="AD231" s="65"/>
      <c r="AE231" s="65"/>
      <c r="AF231" s="65"/>
      <c r="AG231" s="65"/>
      <c r="AH231" s="65"/>
      <c r="AI231" s="65"/>
      <c r="AJ231" s="65"/>
      <c r="AK231" s="65"/>
      <c r="AL231" s="65"/>
      <c r="AM231" s="65"/>
      <c r="AN231" s="65"/>
      <c r="AO231" s="65"/>
      <c r="AP231" s="65"/>
    </row>
    <row r="232" spans="6:42" x14ac:dyDescent="0.2"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  <c r="V232" s="65"/>
      <c r="W232" s="65"/>
      <c r="X232" s="65"/>
      <c r="Y232" s="65"/>
      <c r="Z232" s="65"/>
      <c r="AA232" s="65"/>
      <c r="AB232" s="65"/>
      <c r="AC232" s="65"/>
      <c r="AD232" s="65"/>
      <c r="AE232" s="65"/>
      <c r="AF232" s="65"/>
      <c r="AG232" s="65"/>
      <c r="AH232" s="65"/>
      <c r="AI232" s="65"/>
      <c r="AJ232" s="65"/>
      <c r="AK232" s="65"/>
      <c r="AL232" s="65"/>
      <c r="AM232" s="65"/>
      <c r="AN232" s="65"/>
      <c r="AO232" s="65"/>
      <c r="AP232" s="65"/>
    </row>
    <row r="233" spans="6:42" x14ac:dyDescent="0.2"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  <c r="V233" s="65"/>
      <c r="W233" s="65"/>
      <c r="X233" s="65"/>
      <c r="Y233" s="65"/>
      <c r="Z233" s="65"/>
      <c r="AA233" s="65"/>
      <c r="AB233" s="65"/>
      <c r="AC233" s="65"/>
      <c r="AD233" s="65"/>
      <c r="AE233" s="65"/>
      <c r="AF233" s="65"/>
      <c r="AG233" s="65"/>
      <c r="AH233" s="65"/>
      <c r="AI233" s="65"/>
      <c r="AJ233" s="65"/>
      <c r="AK233" s="65"/>
      <c r="AL233" s="65"/>
      <c r="AM233" s="65"/>
      <c r="AN233" s="65"/>
      <c r="AO233" s="65"/>
      <c r="AP233" s="65"/>
    </row>
    <row r="234" spans="6:42" x14ac:dyDescent="0.2"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  <c r="V234" s="65"/>
      <c r="W234" s="65"/>
      <c r="X234" s="65"/>
      <c r="Y234" s="65"/>
      <c r="Z234" s="65"/>
      <c r="AA234" s="65"/>
      <c r="AB234" s="65"/>
      <c r="AC234" s="65"/>
      <c r="AD234" s="65"/>
      <c r="AE234" s="65"/>
      <c r="AF234" s="65"/>
      <c r="AG234" s="65"/>
      <c r="AH234" s="65"/>
      <c r="AI234" s="65"/>
      <c r="AJ234" s="65"/>
      <c r="AK234" s="65"/>
      <c r="AL234" s="65"/>
      <c r="AM234" s="65"/>
      <c r="AN234" s="65"/>
      <c r="AO234" s="65"/>
      <c r="AP234" s="65"/>
    </row>
    <row r="235" spans="6:42" x14ac:dyDescent="0.2"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  <c r="AB235" s="65"/>
      <c r="AC235" s="65"/>
      <c r="AD235" s="65"/>
      <c r="AE235" s="65"/>
      <c r="AF235" s="65"/>
      <c r="AG235" s="65"/>
      <c r="AH235" s="65"/>
      <c r="AI235" s="65"/>
      <c r="AJ235" s="65"/>
      <c r="AK235" s="65"/>
      <c r="AL235" s="65"/>
      <c r="AM235" s="65"/>
      <c r="AN235" s="65"/>
      <c r="AO235" s="65"/>
      <c r="AP235" s="65"/>
    </row>
    <row r="236" spans="6:42" x14ac:dyDescent="0.2"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  <c r="AB236" s="65"/>
      <c r="AC236" s="65"/>
      <c r="AD236" s="65"/>
      <c r="AE236" s="65"/>
      <c r="AF236" s="65"/>
      <c r="AG236" s="65"/>
      <c r="AH236" s="65"/>
      <c r="AI236" s="65"/>
      <c r="AJ236" s="65"/>
      <c r="AK236" s="65"/>
      <c r="AL236" s="65"/>
      <c r="AM236" s="65"/>
      <c r="AN236" s="65"/>
      <c r="AO236" s="65"/>
      <c r="AP236" s="65"/>
    </row>
    <row r="237" spans="6:42" x14ac:dyDescent="0.2"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  <c r="AB237" s="65"/>
      <c r="AC237" s="65"/>
      <c r="AD237" s="65"/>
      <c r="AE237" s="65"/>
      <c r="AF237" s="65"/>
      <c r="AG237" s="65"/>
      <c r="AH237" s="65"/>
      <c r="AI237" s="65"/>
      <c r="AJ237" s="65"/>
      <c r="AK237" s="65"/>
      <c r="AL237" s="65"/>
      <c r="AM237" s="65"/>
      <c r="AN237" s="65"/>
      <c r="AO237" s="65"/>
      <c r="AP237" s="65"/>
    </row>
    <row r="238" spans="6:42" x14ac:dyDescent="0.2"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  <c r="V238" s="65"/>
      <c r="W238" s="65"/>
      <c r="X238" s="65"/>
      <c r="Y238" s="65"/>
      <c r="Z238" s="65"/>
      <c r="AA238" s="65"/>
      <c r="AB238" s="65"/>
      <c r="AC238" s="65"/>
      <c r="AD238" s="65"/>
      <c r="AE238" s="65"/>
      <c r="AF238" s="65"/>
      <c r="AG238" s="65"/>
      <c r="AH238" s="65"/>
      <c r="AI238" s="65"/>
      <c r="AJ238" s="65"/>
      <c r="AK238" s="65"/>
      <c r="AL238" s="65"/>
      <c r="AM238" s="65"/>
      <c r="AN238" s="65"/>
      <c r="AO238" s="65"/>
      <c r="AP238" s="65"/>
    </row>
    <row r="239" spans="6:42" x14ac:dyDescent="0.2"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  <c r="V239" s="65"/>
      <c r="W239" s="65"/>
      <c r="X239" s="65"/>
      <c r="Y239" s="65"/>
      <c r="Z239" s="65"/>
      <c r="AA239" s="65"/>
      <c r="AB239" s="65"/>
      <c r="AC239" s="65"/>
      <c r="AD239" s="65"/>
      <c r="AE239" s="65"/>
      <c r="AF239" s="65"/>
      <c r="AG239" s="65"/>
      <c r="AH239" s="65"/>
      <c r="AI239" s="65"/>
      <c r="AJ239" s="65"/>
      <c r="AK239" s="65"/>
      <c r="AL239" s="65"/>
      <c r="AM239" s="65"/>
      <c r="AN239" s="65"/>
      <c r="AO239" s="65"/>
      <c r="AP239" s="65"/>
    </row>
    <row r="240" spans="6:42" x14ac:dyDescent="0.2"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  <c r="V240" s="65"/>
      <c r="W240" s="65"/>
      <c r="X240" s="65"/>
      <c r="Y240" s="65"/>
      <c r="Z240" s="65"/>
      <c r="AA240" s="65"/>
      <c r="AB240" s="65"/>
      <c r="AC240" s="65"/>
      <c r="AD240" s="65"/>
      <c r="AE240" s="65"/>
      <c r="AF240" s="65"/>
      <c r="AG240" s="65"/>
      <c r="AH240" s="65"/>
      <c r="AI240" s="65"/>
      <c r="AJ240" s="65"/>
      <c r="AK240" s="65"/>
      <c r="AL240" s="65"/>
      <c r="AM240" s="65"/>
      <c r="AN240" s="65"/>
      <c r="AO240" s="65"/>
      <c r="AP240" s="65"/>
    </row>
    <row r="241" spans="6:42" x14ac:dyDescent="0.2"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  <c r="V241" s="65"/>
      <c r="W241" s="65"/>
      <c r="X241" s="65"/>
      <c r="Y241" s="65"/>
      <c r="Z241" s="65"/>
      <c r="AA241" s="65"/>
      <c r="AB241" s="65"/>
      <c r="AC241" s="65"/>
      <c r="AD241" s="65"/>
      <c r="AE241" s="65"/>
      <c r="AF241" s="65"/>
      <c r="AG241" s="65"/>
      <c r="AH241" s="65"/>
      <c r="AI241" s="65"/>
      <c r="AJ241" s="65"/>
      <c r="AK241" s="65"/>
      <c r="AL241" s="65"/>
      <c r="AM241" s="65"/>
      <c r="AN241" s="65"/>
      <c r="AO241" s="65"/>
      <c r="AP241" s="65"/>
    </row>
    <row r="242" spans="6:42" x14ac:dyDescent="0.2"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  <c r="V242" s="65"/>
      <c r="W242" s="65"/>
      <c r="X242" s="65"/>
      <c r="Y242" s="65"/>
      <c r="Z242" s="65"/>
      <c r="AA242" s="65"/>
      <c r="AB242" s="65"/>
      <c r="AC242" s="65"/>
      <c r="AD242" s="65"/>
      <c r="AE242" s="65"/>
      <c r="AF242" s="65"/>
      <c r="AG242" s="65"/>
      <c r="AH242" s="65"/>
      <c r="AI242" s="65"/>
      <c r="AJ242" s="65"/>
      <c r="AK242" s="65"/>
      <c r="AL242" s="65"/>
      <c r="AM242" s="65"/>
      <c r="AN242" s="65"/>
      <c r="AO242" s="65"/>
      <c r="AP242" s="65"/>
    </row>
    <row r="243" spans="6:42" x14ac:dyDescent="0.2"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  <c r="V243" s="65"/>
      <c r="W243" s="65"/>
      <c r="X243" s="65"/>
      <c r="Y243" s="65"/>
      <c r="Z243" s="65"/>
      <c r="AA243" s="65"/>
      <c r="AB243" s="65"/>
      <c r="AC243" s="65"/>
      <c r="AD243" s="65"/>
      <c r="AE243" s="65"/>
      <c r="AF243" s="65"/>
      <c r="AG243" s="65"/>
      <c r="AH243" s="65"/>
      <c r="AI243" s="65"/>
      <c r="AJ243" s="65"/>
      <c r="AK243" s="65"/>
      <c r="AL243" s="65"/>
      <c r="AM243" s="65"/>
      <c r="AN243" s="65"/>
      <c r="AO243" s="65"/>
      <c r="AP243" s="65"/>
    </row>
    <row r="244" spans="6:42" x14ac:dyDescent="0.2"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  <c r="V244" s="65"/>
      <c r="W244" s="65"/>
      <c r="X244" s="65"/>
      <c r="Y244" s="65"/>
      <c r="Z244" s="65"/>
      <c r="AA244" s="65"/>
      <c r="AB244" s="65"/>
      <c r="AC244" s="65"/>
      <c r="AD244" s="65"/>
      <c r="AE244" s="65"/>
      <c r="AF244" s="65"/>
      <c r="AG244" s="65"/>
      <c r="AH244" s="65"/>
      <c r="AI244" s="65"/>
      <c r="AJ244" s="65"/>
      <c r="AK244" s="65"/>
      <c r="AL244" s="65"/>
      <c r="AM244" s="65"/>
      <c r="AN244" s="65"/>
      <c r="AO244" s="65"/>
      <c r="AP244" s="65"/>
    </row>
    <row r="245" spans="6:42" x14ac:dyDescent="0.2"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  <c r="V245" s="65"/>
      <c r="W245" s="65"/>
      <c r="X245" s="65"/>
      <c r="Y245" s="65"/>
      <c r="Z245" s="65"/>
      <c r="AA245" s="65"/>
      <c r="AB245" s="65"/>
      <c r="AC245" s="65"/>
      <c r="AD245" s="65"/>
      <c r="AE245" s="65"/>
      <c r="AF245" s="65"/>
      <c r="AG245" s="65"/>
      <c r="AH245" s="65"/>
      <c r="AI245" s="65"/>
      <c r="AJ245" s="65"/>
      <c r="AK245" s="65"/>
      <c r="AL245" s="65"/>
      <c r="AM245" s="65"/>
      <c r="AN245" s="65"/>
      <c r="AO245" s="65"/>
      <c r="AP245" s="65"/>
    </row>
    <row r="246" spans="6:42" x14ac:dyDescent="0.2"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  <c r="V246" s="65"/>
      <c r="W246" s="65"/>
      <c r="X246" s="65"/>
      <c r="Y246" s="65"/>
      <c r="Z246" s="65"/>
      <c r="AA246" s="65"/>
      <c r="AB246" s="65"/>
      <c r="AC246" s="65"/>
      <c r="AD246" s="65"/>
      <c r="AE246" s="65"/>
      <c r="AF246" s="65"/>
      <c r="AG246" s="65"/>
      <c r="AH246" s="65"/>
      <c r="AI246" s="65"/>
      <c r="AJ246" s="65"/>
      <c r="AK246" s="65"/>
      <c r="AL246" s="65"/>
      <c r="AM246" s="65"/>
      <c r="AN246" s="65"/>
      <c r="AO246" s="65"/>
      <c r="AP246" s="65"/>
    </row>
    <row r="247" spans="6:42" x14ac:dyDescent="0.2"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  <c r="V247" s="65"/>
      <c r="W247" s="65"/>
      <c r="X247" s="65"/>
      <c r="Y247" s="65"/>
      <c r="Z247" s="65"/>
      <c r="AA247" s="65"/>
      <c r="AB247" s="65"/>
      <c r="AC247" s="65"/>
      <c r="AD247" s="65"/>
      <c r="AE247" s="65"/>
      <c r="AF247" s="65"/>
      <c r="AG247" s="65"/>
      <c r="AH247" s="65"/>
      <c r="AI247" s="65"/>
      <c r="AJ247" s="65"/>
      <c r="AK247" s="65"/>
      <c r="AL247" s="65"/>
      <c r="AM247" s="65"/>
      <c r="AN247" s="65"/>
      <c r="AO247" s="65"/>
      <c r="AP247" s="65"/>
    </row>
    <row r="248" spans="6:42" x14ac:dyDescent="0.2"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  <c r="V248" s="65"/>
      <c r="W248" s="65"/>
      <c r="X248" s="65"/>
      <c r="Y248" s="65"/>
      <c r="Z248" s="65"/>
      <c r="AA248" s="65"/>
      <c r="AB248" s="65"/>
      <c r="AC248" s="65"/>
      <c r="AD248" s="65"/>
      <c r="AE248" s="65"/>
      <c r="AF248" s="65"/>
      <c r="AG248" s="65"/>
      <c r="AH248" s="65"/>
      <c r="AI248" s="65"/>
      <c r="AJ248" s="65"/>
      <c r="AK248" s="65"/>
      <c r="AL248" s="65"/>
      <c r="AM248" s="65"/>
      <c r="AN248" s="65"/>
      <c r="AO248" s="65"/>
      <c r="AP248" s="65"/>
    </row>
    <row r="249" spans="6:42" x14ac:dyDescent="0.2"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  <c r="V249" s="65"/>
      <c r="W249" s="65"/>
      <c r="X249" s="65"/>
      <c r="Y249" s="65"/>
      <c r="Z249" s="65"/>
      <c r="AA249" s="65"/>
      <c r="AB249" s="65"/>
      <c r="AC249" s="65"/>
      <c r="AD249" s="65"/>
      <c r="AE249" s="65"/>
      <c r="AF249" s="65"/>
      <c r="AG249" s="65"/>
      <c r="AH249" s="65"/>
      <c r="AI249" s="65"/>
      <c r="AJ249" s="65"/>
      <c r="AK249" s="65"/>
      <c r="AL249" s="65"/>
      <c r="AM249" s="65"/>
      <c r="AN249" s="65"/>
      <c r="AO249" s="65"/>
      <c r="AP249" s="65"/>
    </row>
    <row r="250" spans="6:42" x14ac:dyDescent="0.2"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  <c r="V250" s="65"/>
      <c r="W250" s="65"/>
      <c r="X250" s="65"/>
      <c r="Y250" s="65"/>
      <c r="Z250" s="65"/>
      <c r="AA250" s="65"/>
      <c r="AB250" s="65"/>
      <c r="AC250" s="65"/>
      <c r="AD250" s="65"/>
      <c r="AE250" s="65"/>
      <c r="AF250" s="65"/>
      <c r="AG250" s="65"/>
      <c r="AH250" s="65"/>
      <c r="AI250" s="65"/>
      <c r="AJ250" s="65"/>
      <c r="AK250" s="65"/>
      <c r="AL250" s="65"/>
      <c r="AM250" s="65"/>
      <c r="AN250" s="65"/>
      <c r="AO250" s="65"/>
      <c r="AP250" s="65"/>
    </row>
    <row r="251" spans="6:42" x14ac:dyDescent="0.2"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  <c r="V251" s="65"/>
      <c r="W251" s="65"/>
      <c r="X251" s="65"/>
      <c r="Y251" s="65"/>
      <c r="Z251" s="65"/>
      <c r="AA251" s="65"/>
      <c r="AB251" s="65"/>
      <c r="AC251" s="65"/>
      <c r="AD251" s="65"/>
      <c r="AE251" s="65"/>
      <c r="AF251" s="65"/>
      <c r="AG251" s="65"/>
      <c r="AH251" s="65"/>
      <c r="AI251" s="65"/>
      <c r="AJ251" s="65"/>
      <c r="AK251" s="65"/>
      <c r="AL251" s="65"/>
      <c r="AM251" s="65"/>
      <c r="AN251" s="65"/>
      <c r="AO251" s="65"/>
      <c r="AP251" s="65"/>
    </row>
    <row r="252" spans="6:42" x14ac:dyDescent="0.2"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  <c r="V252" s="65"/>
      <c r="W252" s="65"/>
      <c r="X252" s="65"/>
      <c r="Y252" s="65"/>
      <c r="Z252" s="65"/>
      <c r="AA252" s="65"/>
      <c r="AB252" s="65"/>
      <c r="AC252" s="65"/>
      <c r="AD252" s="65"/>
      <c r="AE252" s="65"/>
      <c r="AF252" s="65"/>
      <c r="AG252" s="65"/>
      <c r="AH252" s="65"/>
      <c r="AI252" s="65"/>
      <c r="AJ252" s="65"/>
      <c r="AK252" s="65"/>
      <c r="AL252" s="65"/>
      <c r="AM252" s="65"/>
      <c r="AN252" s="65"/>
      <c r="AO252" s="65"/>
      <c r="AP252" s="65"/>
    </row>
    <row r="253" spans="6:42" x14ac:dyDescent="0.2"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  <c r="V253" s="65"/>
      <c r="W253" s="65"/>
      <c r="X253" s="65"/>
      <c r="Y253" s="65"/>
      <c r="Z253" s="65"/>
      <c r="AA253" s="65"/>
      <c r="AB253" s="65"/>
      <c r="AC253" s="65"/>
      <c r="AD253" s="65"/>
      <c r="AE253" s="65"/>
      <c r="AF253" s="65"/>
      <c r="AG253" s="65"/>
      <c r="AH253" s="65"/>
      <c r="AI253" s="65"/>
      <c r="AJ253" s="65"/>
      <c r="AK253" s="65"/>
      <c r="AL253" s="65"/>
      <c r="AM253" s="65"/>
      <c r="AN253" s="65"/>
      <c r="AO253" s="65"/>
      <c r="AP253" s="65"/>
    </row>
    <row r="254" spans="6:42" x14ac:dyDescent="0.2"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  <c r="V254" s="65"/>
      <c r="W254" s="65"/>
      <c r="X254" s="65"/>
      <c r="Y254" s="65"/>
      <c r="Z254" s="65"/>
      <c r="AA254" s="65"/>
      <c r="AB254" s="65"/>
      <c r="AC254" s="65"/>
      <c r="AD254" s="65"/>
      <c r="AE254" s="65"/>
      <c r="AF254" s="65"/>
      <c r="AG254" s="65"/>
      <c r="AH254" s="65"/>
      <c r="AI254" s="65"/>
      <c r="AJ254" s="65"/>
      <c r="AK254" s="65"/>
      <c r="AL254" s="65"/>
      <c r="AM254" s="65"/>
      <c r="AN254" s="65"/>
      <c r="AO254" s="65"/>
      <c r="AP254" s="65"/>
    </row>
    <row r="255" spans="6:42" x14ac:dyDescent="0.2"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  <c r="V255" s="65"/>
      <c r="W255" s="65"/>
      <c r="X255" s="65"/>
      <c r="Y255" s="65"/>
      <c r="Z255" s="65"/>
      <c r="AA255" s="65"/>
      <c r="AB255" s="65"/>
      <c r="AC255" s="65"/>
      <c r="AD255" s="65"/>
      <c r="AE255" s="65"/>
      <c r="AF255" s="65"/>
      <c r="AG255" s="65"/>
      <c r="AH255" s="65"/>
      <c r="AI255" s="65"/>
      <c r="AJ255" s="65"/>
      <c r="AK255" s="65"/>
      <c r="AL255" s="65"/>
      <c r="AM255" s="65"/>
      <c r="AN255" s="65"/>
      <c r="AO255" s="65"/>
      <c r="AP255" s="65"/>
    </row>
    <row r="256" spans="6:42" x14ac:dyDescent="0.2"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  <c r="V256" s="65"/>
      <c r="W256" s="65"/>
      <c r="X256" s="65"/>
      <c r="Y256" s="65"/>
      <c r="Z256" s="65"/>
      <c r="AA256" s="65"/>
      <c r="AB256" s="65"/>
      <c r="AC256" s="65"/>
      <c r="AD256" s="65"/>
      <c r="AE256" s="65"/>
      <c r="AF256" s="65"/>
      <c r="AG256" s="65"/>
      <c r="AH256" s="65"/>
      <c r="AI256" s="65"/>
      <c r="AJ256" s="65"/>
      <c r="AK256" s="65"/>
      <c r="AL256" s="65"/>
      <c r="AM256" s="65"/>
      <c r="AN256" s="65"/>
      <c r="AO256" s="65"/>
      <c r="AP256" s="65"/>
    </row>
    <row r="257" spans="6:42" x14ac:dyDescent="0.2"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  <c r="V257" s="65"/>
      <c r="W257" s="65"/>
      <c r="X257" s="65"/>
      <c r="Y257" s="65"/>
      <c r="Z257" s="65"/>
      <c r="AA257" s="65"/>
      <c r="AB257" s="65"/>
      <c r="AC257" s="65"/>
      <c r="AD257" s="65"/>
      <c r="AE257" s="65"/>
      <c r="AF257" s="65"/>
      <c r="AG257" s="65"/>
      <c r="AH257" s="65"/>
      <c r="AI257" s="65"/>
      <c r="AJ257" s="65"/>
      <c r="AK257" s="65"/>
      <c r="AL257" s="65"/>
      <c r="AM257" s="65"/>
      <c r="AN257" s="65"/>
      <c r="AO257" s="65"/>
      <c r="AP257" s="65"/>
    </row>
    <row r="258" spans="6:42" x14ac:dyDescent="0.2"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  <c r="V258" s="65"/>
      <c r="W258" s="65"/>
      <c r="X258" s="65"/>
      <c r="Y258" s="65"/>
      <c r="Z258" s="65"/>
      <c r="AA258" s="65"/>
      <c r="AB258" s="65"/>
      <c r="AC258" s="65"/>
      <c r="AD258" s="65"/>
      <c r="AE258" s="65"/>
      <c r="AF258" s="65"/>
      <c r="AG258" s="65"/>
      <c r="AH258" s="65"/>
      <c r="AI258" s="65"/>
      <c r="AJ258" s="65"/>
      <c r="AK258" s="65"/>
      <c r="AL258" s="65"/>
      <c r="AM258" s="65"/>
      <c r="AN258" s="65"/>
      <c r="AO258" s="65"/>
      <c r="AP258" s="65"/>
    </row>
    <row r="259" spans="6:42" x14ac:dyDescent="0.2"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  <c r="V259" s="65"/>
      <c r="W259" s="65"/>
      <c r="X259" s="65"/>
      <c r="Y259" s="65"/>
      <c r="Z259" s="65"/>
      <c r="AA259" s="65"/>
      <c r="AB259" s="65"/>
      <c r="AC259" s="65"/>
      <c r="AD259" s="65"/>
      <c r="AE259" s="65"/>
      <c r="AF259" s="65"/>
      <c r="AG259" s="65"/>
      <c r="AH259" s="65"/>
      <c r="AI259" s="65"/>
      <c r="AJ259" s="65"/>
      <c r="AK259" s="65"/>
      <c r="AL259" s="65"/>
      <c r="AM259" s="65"/>
      <c r="AN259" s="65"/>
      <c r="AO259" s="65"/>
      <c r="AP259" s="65"/>
    </row>
    <row r="260" spans="6:42" x14ac:dyDescent="0.2"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  <c r="V260" s="65"/>
      <c r="W260" s="65"/>
      <c r="X260" s="65"/>
      <c r="Y260" s="65"/>
      <c r="Z260" s="65"/>
      <c r="AA260" s="65"/>
      <c r="AB260" s="65"/>
      <c r="AC260" s="65"/>
      <c r="AD260" s="65"/>
      <c r="AE260" s="65"/>
      <c r="AF260" s="65"/>
      <c r="AG260" s="65"/>
      <c r="AH260" s="65"/>
      <c r="AI260" s="65"/>
      <c r="AJ260" s="65"/>
      <c r="AK260" s="65"/>
      <c r="AL260" s="65"/>
      <c r="AM260" s="65"/>
      <c r="AN260" s="65"/>
      <c r="AO260" s="65"/>
      <c r="AP260" s="65"/>
    </row>
    <row r="261" spans="6:42" x14ac:dyDescent="0.2"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  <c r="V261" s="65"/>
      <c r="W261" s="65"/>
      <c r="X261" s="65"/>
      <c r="Y261" s="65"/>
      <c r="Z261" s="65"/>
      <c r="AA261" s="65"/>
      <c r="AB261" s="65"/>
      <c r="AC261" s="65"/>
      <c r="AD261" s="65"/>
      <c r="AE261" s="65"/>
      <c r="AF261" s="65"/>
      <c r="AG261" s="65"/>
      <c r="AH261" s="65"/>
      <c r="AI261" s="65"/>
      <c r="AJ261" s="65"/>
      <c r="AK261" s="65"/>
      <c r="AL261" s="65"/>
      <c r="AM261" s="65"/>
      <c r="AN261" s="65"/>
      <c r="AO261" s="65"/>
      <c r="AP261" s="65"/>
    </row>
    <row r="262" spans="6:42" x14ac:dyDescent="0.2"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  <c r="V262" s="65"/>
      <c r="W262" s="65"/>
      <c r="X262" s="65"/>
      <c r="Y262" s="65"/>
      <c r="Z262" s="65"/>
      <c r="AA262" s="65"/>
      <c r="AB262" s="65"/>
      <c r="AC262" s="65"/>
      <c r="AD262" s="65"/>
      <c r="AE262" s="65"/>
      <c r="AF262" s="65"/>
      <c r="AG262" s="65"/>
      <c r="AH262" s="65"/>
      <c r="AI262" s="65"/>
      <c r="AJ262" s="65"/>
      <c r="AK262" s="65"/>
      <c r="AL262" s="65"/>
      <c r="AM262" s="65"/>
      <c r="AN262" s="65"/>
      <c r="AO262" s="65"/>
      <c r="AP262" s="65"/>
    </row>
    <row r="263" spans="6:42" x14ac:dyDescent="0.2"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  <c r="V263" s="65"/>
      <c r="W263" s="65"/>
      <c r="X263" s="65"/>
      <c r="Y263" s="65"/>
      <c r="Z263" s="65"/>
      <c r="AA263" s="65"/>
      <c r="AB263" s="65"/>
      <c r="AC263" s="65"/>
      <c r="AD263" s="65"/>
      <c r="AE263" s="65"/>
      <c r="AF263" s="65"/>
      <c r="AG263" s="65"/>
      <c r="AH263" s="65"/>
      <c r="AI263" s="65"/>
      <c r="AJ263" s="65"/>
      <c r="AK263" s="65"/>
      <c r="AL263" s="65"/>
      <c r="AM263" s="65"/>
      <c r="AN263" s="65"/>
      <c r="AO263" s="65"/>
      <c r="AP263" s="65"/>
    </row>
    <row r="264" spans="6:42" x14ac:dyDescent="0.2"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  <c r="V264" s="65"/>
      <c r="W264" s="65"/>
      <c r="X264" s="65"/>
      <c r="Y264" s="65"/>
      <c r="Z264" s="65"/>
      <c r="AA264" s="65"/>
      <c r="AB264" s="65"/>
      <c r="AC264" s="65"/>
      <c r="AD264" s="65"/>
      <c r="AE264" s="65"/>
      <c r="AF264" s="65"/>
      <c r="AG264" s="65"/>
      <c r="AH264" s="65"/>
      <c r="AI264" s="65"/>
      <c r="AJ264" s="65"/>
      <c r="AK264" s="65"/>
      <c r="AL264" s="65"/>
      <c r="AM264" s="65"/>
      <c r="AN264" s="65"/>
      <c r="AO264" s="65"/>
      <c r="AP264" s="65"/>
    </row>
    <row r="265" spans="6:42" x14ac:dyDescent="0.2"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  <c r="V265" s="65"/>
      <c r="W265" s="65"/>
      <c r="X265" s="65"/>
      <c r="Y265" s="65"/>
      <c r="Z265" s="65"/>
      <c r="AA265" s="65"/>
      <c r="AB265" s="65"/>
      <c r="AC265" s="65"/>
      <c r="AD265" s="65"/>
      <c r="AE265" s="65"/>
      <c r="AF265" s="65"/>
      <c r="AG265" s="65"/>
      <c r="AH265" s="65"/>
      <c r="AI265" s="65"/>
      <c r="AJ265" s="65"/>
      <c r="AK265" s="65"/>
      <c r="AL265" s="65"/>
      <c r="AM265" s="65"/>
      <c r="AN265" s="65"/>
      <c r="AO265" s="65"/>
      <c r="AP265" s="65"/>
    </row>
    <row r="266" spans="6:42" x14ac:dyDescent="0.2"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  <c r="V266" s="65"/>
      <c r="W266" s="65"/>
      <c r="X266" s="65"/>
      <c r="Y266" s="65"/>
      <c r="Z266" s="65"/>
      <c r="AA266" s="65"/>
      <c r="AB266" s="65"/>
      <c r="AC266" s="65"/>
      <c r="AD266" s="65"/>
      <c r="AE266" s="65"/>
      <c r="AF266" s="65"/>
      <c r="AG266" s="65"/>
      <c r="AH266" s="65"/>
      <c r="AI266" s="65"/>
      <c r="AJ266" s="65"/>
      <c r="AK266" s="65"/>
      <c r="AL266" s="65"/>
      <c r="AM266" s="65"/>
      <c r="AN266" s="65"/>
      <c r="AO266" s="65"/>
      <c r="AP266" s="65"/>
    </row>
    <row r="267" spans="6:42" x14ac:dyDescent="0.2"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  <c r="V267" s="65"/>
      <c r="W267" s="65"/>
      <c r="X267" s="65"/>
      <c r="Y267" s="65"/>
      <c r="Z267" s="65"/>
      <c r="AA267" s="65"/>
      <c r="AB267" s="65"/>
      <c r="AC267" s="65"/>
      <c r="AD267" s="65"/>
      <c r="AE267" s="65"/>
      <c r="AF267" s="65"/>
      <c r="AG267" s="65"/>
      <c r="AH267" s="65"/>
      <c r="AI267" s="65"/>
      <c r="AJ267" s="65"/>
      <c r="AK267" s="65"/>
      <c r="AL267" s="65"/>
      <c r="AM267" s="65"/>
      <c r="AN267" s="65"/>
      <c r="AO267" s="65"/>
      <c r="AP267" s="65"/>
    </row>
    <row r="268" spans="6:42" x14ac:dyDescent="0.2"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  <c r="V268" s="65"/>
      <c r="W268" s="65"/>
      <c r="X268" s="65"/>
      <c r="Y268" s="65"/>
      <c r="Z268" s="65"/>
      <c r="AA268" s="65"/>
      <c r="AB268" s="65"/>
      <c r="AC268" s="65"/>
      <c r="AD268" s="65"/>
      <c r="AE268" s="65"/>
      <c r="AF268" s="65"/>
      <c r="AG268" s="65"/>
      <c r="AH268" s="65"/>
      <c r="AI268" s="65"/>
      <c r="AJ268" s="65"/>
      <c r="AK268" s="65"/>
      <c r="AL268" s="65"/>
      <c r="AM268" s="65"/>
      <c r="AN268" s="65"/>
      <c r="AO268" s="65"/>
      <c r="AP268" s="65"/>
    </row>
    <row r="269" spans="6:42" x14ac:dyDescent="0.2"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  <c r="V269" s="65"/>
      <c r="W269" s="65"/>
      <c r="X269" s="65"/>
      <c r="Y269" s="65"/>
      <c r="Z269" s="65"/>
      <c r="AA269" s="65"/>
      <c r="AB269" s="65"/>
      <c r="AC269" s="65"/>
      <c r="AD269" s="65"/>
      <c r="AE269" s="65"/>
      <c r="AF269" s="65"/>
      <c r="AG269" s="65"/>
      <c r="AH269" s="65"/>
      <c r="AI269" s="65"/>
      <c r="AJ269" s="65"/>
      <c r="AK269" s="65"/>
      <c r="AL269" s="65"/>
      <c r="AM269" s="65"/>
      <c r="AN269" s="65"/>
      <c r="AO269" s="65"/>
      <c r="AP269" s="65"/>
    </row>
    <row r="270" spans="6:42" x14ac:dyDescent="0.2"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  <c r="V270" s="65"/>
      <c r="W270" s="65"/>
      <c r="X270" s="65"/>
      <c r="Y270" s="65"/>
      <c r="Z270" s="65"/>
      <c r="AA270" s="65"/>
      <c r="AB270" s="65"/>
      <c r="AC270" s="65"/>
      <c r="AD270" s="65"/>
      <c r="AE270" s="65"/>
      <c r="AF270" s="65"/>
      <c r="AG270" s="65"/>
      <c r="AH270" s="65"/>
      <c r="AI270" s="65"/>
      <c r="AJ270" s="65"/>
      <c r="AK270" s="65"/>
      <c r="AL270" s="65"/>
      <c r="AM270" s="65"/>
      <c r="AN270" s="65"/>
      <c r="AO270" s="65"/>
      <c r="AP270" s="65"/>
    </row>
    <row r="271" spans="6:42" x14ac:dyDescent="0.2"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  <c r="V271" s="65"/>
      <c r="W271" s="65"/>
      <c r="X271" s="65"/>
      <c r="Y271" s="65"/>
      <c r="Z271" s="65"/>
      <c r="AA271" s="65"/>
      <c r="AB271" s="65"/>
      <c r="AC271" s="65"/>
      <c r="AD271" s="65"/>
      <c r="AE271" s="65"/>
      <c r="AF271" s="65"/>
      <c r="AG271" s="65"/>
      <c r="AH271" s="65"/>
      <c r="AI271" s="65"/>
      <c r="AJ271" s="65"/>
      <c r="AK271" s="65"/>
      <c r="AL271" s="65"/>
      <c r="AM271" s="65"/>
      <c r="AN271" s="65"/>
      <c r="AO271" s="65"/>
      <c r="AP271" s="65"/>
    </row>
    <row r="272" spans="6:42" x14ac:dyDescent="0.2"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  <c r="V272" s="65"/>
      <c r="W272" s="65"/>
      <c r="X272" s="65"/>
      <c r="Y272" s="65"/>
      <c r="Z272" s="65"/>
      <c r="AA272" s="65"/>
      <c r="AB272" s="65"/>
      <c r="AC272" s="65"/>
      <c r="AD272" s="65"/>
      <c r="AE272" s="65"/>
      <c r="AF272" s="65"/>
      <c r="AG272" s="65"/>
      <c r="AH272" s="65"/>
      <c r="AI272" s="65"/>
      <c r="AJ272" s="65"/>
      <c r="AK272" s="65"/>
      <c r="AL272" s="65"/>
      <c r="AM272" s="65"/>
      <c r="AN272" s="65"/>
      <c r="AO272" s="65"/>
      <c r="AP272" s="65"/>
    </row>
    <row r="273" spans="6:42" x14ac:dyDescent="0.2"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</row>
    <row r="274" spans="6:42" x14ac:dyDescent="0.2"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  <c r="V274" s="65"/>
      <c r="W274" s="65"/>
      <c r="X274" s="65"/>
      <c r="Y274" s="65"/>
      <c r="Z274" s="65"/>
      <c r="AA274" s="65"/>
      <c r="AB274" s="65"/>
      <c r="AC274" s="65"/>
      <c r="AD274" s="65"/>
      <c r="AE274" s="65"/>
      <c r="AF274" s="65"/>
      <c r="AG274" s="65"/>
      <c r="AH274" s="65"/>
      <c r="AI274" s="65"/>
      <c r="AJ274" s="65"/>
      <c r="AK274" s="65"/>
      <c r="AL274" s="65"/>
      <c r="AM274" s="65"/>
      <c r="AN274" s="65"/>
      <c r="AO274" s="65"/>
      <c r="AP274" s="65"/>
    </row>
    <row r="275" spans="6:42" x14ac:dyDescent="0.2"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  <c r="V275" s="65"/>
      <c r="W275" s="65"/>
      <c r="X275" s="65"/>
      <c r="Y275" s="65"/>
      <c r="Z275" s="65"/>
      <c r="AA275" s="65"/>
      <c r="AB275" s="65"/>
      <c r="AC275" s="65"/>
      <c r="AD275" s="65"/>
      <c r="AE275" s="65"/>
      <c r="AF275" s="65"/>
      <c r="AG275" s="65"/>
      <c r="AH275" s="65"/>
      <c r="AI275" s="65"/>
      <c r="AJ275" s="65"/>
      <c r="AK275" s="65"/>
      <c r="AL275" s="65"/>
      <c r="AM275" s="65"/>
      <c r="AN275" s="65"/>
      <c r="AO275" s="65"/>
      <c r="AP275" s="65"/>
    </row>
    <row r="276" spans="6:42" x14ac:dyDescent="0.2"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  <c r="V276" s="65"/>
      <c r="W276" s="65"/>
      <c r="X276" s="65"/>
      <c r="Y276" s="65"/>
      <c r="Z276" s="65"/>
      <c r="AA276" s="65"/>
      <c r="AB276" s="65"/>
      <c r="AC276" s="65"/>
      <c r="AD276" s="65"/>
      <c r="AE276" s="65"/>
      <c r="AF276" s="65"/>
      <c r="AG276" s="65"/>
      <c r="AH276" s="65"/>
      <c r="AI276" s="65"/>
      <c r="AJ276" s="65"/>
      <c r="AK276" s="65"/>
      <c r="AL276" s="65"/>
      <c r="AM276" s="65"/>
      <c r="AN276" s="65"/>
      <c r="AO276" s="65"/>
      <c r="AP276" s="65"/>
    </row>
    <row r="277" spans="6:42" x14ac:dyDescent="0.2"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C277" s="65"/>
      <c r="AD277" s="65"/>
      <c r="AE277" s="65"/>
      <c r="AF277" s="65"/>
      <c r="AG277" s="65"/>
      <c r="AH277" s="65"/>
      <c r="AI277" s="65"/>
      <c r="AJ277" s="65"/>
      <c r="AK277" s="65"/>
      <c r="AL277" s="65"/>
      <c r="AM277" s="65"/>
      <c r="AN277" s="65"/>
      <c r="AO277" s="65"/>
      <c r="AP277" s="65"/>
    </row>
    <row r="278" spans="6:42" x14ac:dyDescent="0.2"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C278" s="65"/>
      <c r="AD278" s="65"/>
      <c r="AE278" s="65"/>
      <c r="AF278" s="65"/>
      <c r="AG278" s="65"/>
      <c r="AH278" s="65"/>
      <c r="AI278" s="65"/>
      <c r="AJ278" s="65"/>
      <c r="AK278" s="65"/>
      <c r="AL278" s="65"/>
      <c r="AM278" s="65"/>
      <c r="AN278" s="65"/>
      <c r="AO278" s="65"/>
      <c r="AP278" s="65"/>
    </row>
    <row r="279" spans="6:42" x14ac:dyDescent="0.2"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C279" s="65"/>
      <c r="AD279" s="65"/>
      <c r="AE279" s="65"/>
      <c r="AF279" s="65"/>
      <c r="AG279" s="65"/>
      <c r="AH279" s="65"/>
      <c r="AI279" s="65"/>
      <c r="AJ279" s="65"/>
      <c r="AK279" s="65"/>
      <c r="AL279" s="65"/>
      <c r="AM279" s="65"/>
      <c r="AN279" s="65"/>
      <c r="AO279" s="65"/>
      <c r="AP279" s="65"/>
    </row>
    <row r="280" spans="6:42" x14ac:dyDescent="0.2"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C280" s="65"/>
      <c r="AD280" s="65"/>
      <c r="AE280" s="65"/>
      <c r="AF280" s="65"/>
      <c r="AG280" s="65"/>
      <c r="AH280" s="65"/>
      <c r="AI280" s="65"/>
      <c r="AJ280" s="65"/>
      <c r="AK280" s="65"/>
      <c r="AL280" s="65"/>
      <c r="AM280" s="65"/>
      <c r="AN280" s="65"/>
      <c r="AO280" s="65"/>
      <c r="AP280" s="65"/>
    </row>
    <row r="281" spans="6:42" x14ac:dyDescent="0.2"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  <c r="V281" s="65"/>
      <c r="W281" s="65"/>
      <c r="X281" s="65"/>
      <c r="Y281" s="65"/>
      <c r="Z281" s="65"/>
      <c r="AA281" s="65"/>
      <c r="AB281" s="65"/>
      <c r="AC281" s="65"/>
      <c r="AD281" s="65"/>
      <c r="AE281" s="65"/>
      <c r="AF281" s="65"/>
      <c r="AG281" s="65"/>
      <c r="AH281" s="65"/>
      <c r="AI281" s="65"/>
      <c r="AJ281" s="65"/>
      <c r="AK281" s="65"/>
      <c r="AL281" s="65"/>
      <c r="AM281" s="65"/>
      <c r="AN281" s="65"/>
      <c r="AO281" s="65"/>
      <c r="AP281" s="65"/>
    </row>
    <row r="282" spans="6:42" x14ac:dyDescent="0.2"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  <c r="V282" s="65"/>
      <c r="W282" s="65"/>
      <c r="X282" s="65"/>
      <c r="Y282" s="65"/>
      <c r="Z282" s="65"/>
      <c r="AA282" s="65"/>
      <c r="AB282" s="65"/>
      <c r="AC282" s="65"/>
      <c r="AD282" s="65"/>
      <c r="AE282" s="65"/>
      <c r="AF282" s="65"/>
      <c r="AG282" s="65"/>
      <c r="AH282" s="65"/>
      <c r="AI282" s="65"/>
      <c r="AJ282" s="65"/>
      <c r="AK282" s="65"/>
      <c r="AL282" s="65"/>
      <c r="AM282" s="65"/>
      <c r="AN282" s="65"/>
      <c r="AO282" s="65"/>
      <c r="AP282" s="65"/>
    </row>
    <row r="283" spans="6:42" x14ac:dyDescent="0.2"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  <c r="V283" s="65"/>
      <c r="W283" s="65"/>
      <c r="X283" s="65"/>
      <c r="Y283" s="65"/>
      <c r="Z283" s="65"/>
      <c r="AA283" s="65"/>
      <c r="AB283" s="65"/>
      <c r="AC283" s="65"/>
      <c r="AD283" s="65"/>
      <c r="AE283" s="65"/>
      <c r="AF283" s="65"/>
      <c r="AG283" s="65"/>
      <c r="AH283" s="65"/>
      <c r="AI283" s="65"/>
      <c r="AJ283" s="65"/>
      <c r="AK283" s="65"/>
      <c r="AL283" s="65"/>
      <c r="AM283" s="65"/>
      <c r="AN283" s="65"/>
      <c r="AO283" s="65"/>
      <c r="AP283" s="65"/>
    </row>
    <row r="284" spans="6:42" x14ac:dyDescent="0.2"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  <c r="V284" s="65"/>
      <c r="W284" s="65"/>
      <c r="X284" s="65"/>
      <c r="Y284" s="65"/>
      <c r="Z284" s="65"/>
      <c r="AA284" s="65"/>
      <c r="AB284" s="65"/>
      <c r="AC284" s="65"/>
      <c r="AD284" s="65"/>
      <c r="AE284" s="65"/>
      <c r="AF284" s="65"/>
      <c r="AG284" s="65"/>
      <c r="AH284" s="65"/>
      <c r="AI284" s="65"/>
      <c r="AJ284" s="65"/>
      <c r="AK284" s="65"/>
      <c r="AL284" s="65"/>
      <c r="AM284" s="65"/>
      <c r="AN284" s="65"/>
      <c r="AO284" s="65"/>
      <c r="AP284" s="65"/>
    </row>
    <row r="285" spans="6:42" x14ac:dyDescent="0.2"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  <c r="V285" s="65"/>
      <c r="W285" s="65"/>
      <c r="X285" s="65"/>
      <c r="Y285" s="65"/>
      <c r="Z285" s="65"/>
      <c r="AA285" s="65"/>
      <c r="AB285" s="65"/>
      <c r="AC285" s="65"/>
      <c r="AD285" s="65"/>
      <c r="AE285" s="65"/>
      <c r="AF285" s="65"/>
      <c r="AG285" s="65"/>
      <c r="AH285" s="65"/>
      <c r="AI285" s="65"/>
      <c r="AJ285" s="65"/>
      <c r="AK285" s="65"/>
      <c r="AL285" s="65"/>
      <c r="AM285" s="65"/>
      <c r="AN285" s="65"/>
      <c r="AO285" s="65"/>
      <c r="AP285" s="65"/>
    </row>
    <row r="286" spans="6:42" x14ac:dyDescent="0.2"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  <c r="V286" s="65"/>
      <c r="W286" s="65"/>
      <c r="X286" s="65"/>
      <c r="Y286" s="65"/>
      <c r="Z286" s="65"/>
      <c r="AA286" s="65"/>
      <c r="AB286" s="65"/>
      <c r="AC286" s="65"/>
      <c r="AD286" s="65"/>
      <c r="AE286" s="65"/>
      <c r="AF286" s="65"/>
      <c r="AG286" s="65"/>
      <c r="AH286" s="65"/>
      <c r="AI286" s="65"/>
      <c r="AJ286" s="65"/>
      <c r="AK286" s="65"/>
      <c r="AL286" s="65"/>
      <c r="AM286" s="65"/>
      <c r="AN286" s="65"/>
      <c r="AO286" s="65"/>
      <c r="AP286" s="65"/>
    </row>
    <row r="287" spans="6:42" x14ac:dyDescent="0.2"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  <c r="V287" s="65"/>
      <c r="W287" s="65"/>
      <c r="X287" s="65"/>
      <c r="Y287" s="65"/>
      <c r="Z287" s="65"/>
      <c r="AA287" s="65"/>
      <c r="AB287" s="65"/>
      <c r="AC287" s="65"/>
      <c r="AD287" s="65"/>
      <c r="AE287" s="65"/>
      <c r="AF287" s="65"/>
      <c r="AG287" s="65"/>
      <c r="AH287" s="65"/>
      <c r="AI287" s="65"/>
      <c r="AJ287" s="65"/>
      <c r="AK287" s="65"/>
      <c r="AL287" s="65"/>
      <c r="AM287" s="65"/>
      <c r="AN287" s="65"/>
      <c r="AO287" s="65"/>
      <c r="AP287" s="65"/>
    </row>
    <row r="288" spans="6:42" x14ac:dyDescent="0.2"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  <c r="V288" s="65"/>
      <c r="W288" s="65"/>
      <c r="X288" s="65"/>
      <c r="Y288" s="65"/>
      <c r="Z288" s="65"/>
      <c r="AA288" s="65"/>
      <c r="AB288" s="65"/>
      <c r="AC288" s="65"/>
      <c r="AD288" s="65"/>
      <c r="AE288" s="65"/>
      <c r="AF288" s="65"/>
      <c r="AG288" s="65"/>
      <c r="AH288" s="65"/>
      <c r="AI288" s="65"/>
      <c r="AJ288" s="65"/>
      <c r="AK288" s="65"/>
      <c r="AL288" s="65"/>
      <c r="AM288" s="65"/>
      <c r="AN288" s="65"/>
      <c r="AO288" s="65"/>
      <c r="AP288" s="65"/>
    </row>
    <row r="289" spans="6:42" x14ac:dyDescent="0.2"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  <c r="V289" s="65"/>
      <c r="W289" s="65"/>
      <c r="X289" s="65"/>
      <c r="Y289" s="65"/>
      <c r="Z289" s="65"/>
      <c r="AA289" s="65"/>
      <c r="AB289" s="65"/>
      <c r="AC289" s="65"/>
      <c r="AD289" s="65"/>
      <c r="AE289" s="65"/>
      <c r="AF289" s="65"/>
      <c r="AG289" s="65"/>
      <c r="AH289" s="65"/>
      <c r="AI289" s="65"/>
      <c r="AJ289" s="65"/>
      <c r="AK289" s="65"/>
      <c r="AL289" s="65"/>
      <c r="AM289" s="65"/>
      <c r="AN289" s="65"/>
      <c r="AO289" s="65"/>
      <c r="AP289" s="65"/>
    </row>
    <row r="290" spans="6:42" x14ac:dyDescent="0.2"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  <c r="V290" s="65"/>
      <c r="W290" s="65"/>
      <c r="X290" s="65"/>
      <c r="Y290" s="65"/>
      <c r="Z290" s="65"/>
      <c r="AA290" s="65"/>
      <c r="AB290" s="65"/>
      <c r="AC290" s="65"/>
      <c r="AD290" s="65"/>
      <c r="AE290" s="65"/>
      <c r="AF290" s="65"/>
      <c r="AG290" s="65"/>
      <c r="AH290" s="65"/>
      <c r="AI290" s="65"/>
      <c r="AJ290" s="65"/>
      <c r="AK290" s="65"/>
      <c r="AL290" s="65"/>
      <c r="AM290" s="65"/>
      <c r="AN290" s="65"/>
      <c r="AO290" s="65"/>
      <c r="AP290" s="65"/>
    </row>
    <row r="291" spans="6:42" x14ac:dyDescent="0.2"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  <c r="V291" s="65"/>
      <c r="W291" s="65"/>
      <c r="X291" s="65"/>
      <c r="Y291" s="65"/>
      <c r="Z291" s="65"/>
      <c r="AA291" s="65"/>
      <c r="AB291" s="65"/>
      <c r="AC291" s="65"/>
      <c r="AD291" s="65"/>
      <c r="AE291" s="65"/>
      <c r="AF291" s="65"/>
      <c r="AG291" s="65"/>
      <c r="AH291" s="65"/>
      <c r="AI291" s="65"/>
      <c r="AJ291" s="65"/>
      <c r="AK291" s="65"/>
      <c r="AL291" s="65"/>
      <c r="AM291" s="65"/>
      <c r="AN291" s="65"/>
      <c r="AO291" s="65"/>
      <c r="AP291" s="65"/>
    </row>
    <row r="292" spans="6:42" x14ac:dyDescent="0.2"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  <c r="V292" s="65"/>
      <c r="W292" s="65"/>
      <c r="X292" s="65"/>
      <c r="Y292" s="65"/>
      <c r="Z292" s="65"/>
      <c r="AA292" s="65"/>
      <c r="AB292" s="65"/>
      <c r="AC292" s="65"/>
      <c r="AD292" s="65"/>
      <c r="AE292" s="65"/>
      <c r="AF292" s="65"/>
      <c r="AG292" s="65"/>
      <c r="AH292" s="65"/>
      <c r="AI292" s="65"/>
      <c r="AJ292" s="65"/>
      <c r="AK292" s="65"/>
      <c r="AL292" s="65"/>
      <c r="AM292" s="65"/>
      <c r="AN292" s="65"/>
      <c r="AO292" s="65"/>
      <c r="AP292" s="65"/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5AFB1-93DB-4EB6-83BD-90634305BDD0}">
  <dimension ref="B2:O47"/>
  <sheetViews>
    <sheetView workbookViewId="0">
      <pane xSplit="5" ySplit="5" topLeftCell="F33" activePane="bottomRight" state="frozen"/>
      <selection pane="topRight" activeCell="E1" sqref="E1"/>
      <selection pane="bottomLeft" activeCell="A5" sqref="A5"/>
      <selection pane="bottomRight" activeCell="O45" sqref="O45"/>
    </sheetView>
  </sheetViews>
  <sheetFormatPr defaultRowHeight="15" x14ac:dyDescent="0.25"/>
  <cols>
    <col min="1" max="1" width="3.42578125" customWidth="1"/>
    <col min="2" max="3" width="4" customWidth="1"/>
    <col min="4" max="4" width="39.7109375" style="4" customWidth="1"/>
    <col min="5" max="5" width="14" style="4" customWidth="1"/>
    <col min="6" max="6" width="9.7109375" customWidth="1"/>
    <col min="7" max="15" width="9.7109375" bestFit="1" customWidth="1"/>
  </cols>
  <sheetData>
    <row r="2" spans="2:15" ht="15.75" x14ac:dyDescent="0.25">
      <c r="B2" s="1" t="s">
        <v>200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5" ht="15.75" x14ac:dyDescent="0.25">
      <c r="B3" s="58" t="s">
        <v>351</v>
      </c>
      <c r="C3" s="58"/>
      <c r="D3" s="58"/>
      <c r="E3" s="58"/>
      <c r="F3" s="54"/>
      <c r="G3" s="54"/>
      <c r="H3" s="59"/>
      <c r="I3" s="59"/>
      <c r="J3" s="59"/>
      <c r="K3" s="59"/>
      <c r="L3" s="59"/>
      <c r="M3" s="54"/>
      <c r="N3" s="54"/>
      <c r="O3" s="54"/>
    </row>
    <row r="4" spans="2:15" x14ac:dyDescent="0.25">
      <c r="B4" s="56"/>
      <c r="C4" s="56"/>
      <c r="D4" s="56"/>
      <c r="E4" s="56"/>
      <c r="F4" s="339" t="s">
        <v>439</v>
      </c>
      <c r="G4" s="339" t="s">
        <v>439</v>
      </c>
      <c r="H4" s="339" t="s">
        <v>304</v>
      </c>
      <c r="I4" s="339" t="s">
        <v>304</v>
      </c>
      <c r="J4" s="339" t="s">
        <v>304</v>
      </c>
      <c r="K4" s="339" t="s">
        <v>304</v>
      </c>
      <c r="L4" s="339" t="s">
        <v>304</v>
      </c>
      <c r="M4" s="339" t="s">
        <v>304</v>
      </c>
      <c r="N4" s="339" t="s">
        <v>304</v>
      </c>
      <c r="O4" s="339" t="s">
        <v>304</v>
      </c>
    </row>
    <row r="5" spans="2:15" x14ac:dyDescent="0.25">
      <c r="B5" s="2" t="s">
        <v>0</v>
      </c>
      <c r="C5" s="2"/>
      <c r="D5" s="7"/>
      <c r="E5" s="7"/>
      <c r="F5" s="34">
        <f>DATE(2024,3,31)</f>
        <v>45382</v>
      </c>
      <c r="G5" s="34">
        <f>DATE(2025,3,31)</f>
        <v>45747</v>
      </c>
      <c r="H5" s="34">
        <f>EDATE(G5,12)</f>
        <v>46112</v>
      </c>
      <c r="I5" s="34">
        <f t="shared" ref="I5:O5" si="0">EDATE(H5,12)</f>
        <v>46477</v>
      </c>
      <c r="J5" s="34">
        <f t="shared" si="0"/>
        <v>46843</v>
      </c>
      <c r="K5" s="34">
        <f t="shared" si="0"/>
        <v>47208</v>
      </c>
      <c r="L5" s="34">
        <f t="shared" si="0"/>
        <v>47573</v>
      </c>
      <c r="M5" s="34">
        <f t="shared" si="0"/>
        <v>47938</v>
      </c>
      <c r="N5" s="34">
        <f t="shared" si="0"/>
        <v>48304</v>
      </c>
      <c r="O5" s="34">
        <f t="shared" si="0"/>
        <v>48669</v>
      </c>
    </row>
    <row r="6" spans="2:15" x14ac:dyDescent="0.25">
      <c r="F6" s="31"/>
      <c r="G6" s="31"/>
      <c r="H6" s="31"/>
      <c r="I6" s="31"/>
      <c r="J6" s="31"/>
      <c r="K6" s="31"/>
      <c r="L6" s="31"/>
      <c r="M6" s="31"/>
      <c r="N6" s="31"/>
      <c r="O6" s="31"/>
    </row>
    <row r="7" spans="2:15" x14ac:dyDescent="0.25">
      <c r="B7" s="81" t="s">
        <v>38</v>
      </c>
      <c r="C7" s="79"/>
      <c r="D7" s="9"/>
      <c r="E7" s="9"/>
      <c r="F7" s="33"/>
      <c r="G7" s="33"/>
      <c r="H7" s="33"/>
      <c r="I7" s="33"/>
      <c r="J7" s="33"/>
      <c r="K7" s="33"/>
      <c r="L7" s="33"/>
      <c r="M7" s="33"/>
      <c r="N7" s="33"/>
      <c r="O7" s="31"/>
    </row>
    <row r="8" spans="2:15" x14ac:dyDescent="0.25">
      <c r="C8" s="80" t="s">
        <v>39</v>
      </c>
      <c r="D8" s="8"/>
      <c r="E8" s="8"/>
      <c r="F8" s="38">
        <f>PL!K37</f>
        <v>-3232.7860940469477</v>
      </c>
      <c r="G8" s="38">
        <f ca="1">PL!L37</f>
        <v>-68.139071751335564</v>
      </c>
      <c r="H8" s="38">
        <f ca="1">PL!M37</f>
        <v>-38.920918470499828</v>
      </c>
      <c r="I8" s="38">
        <f ca="1">PL!N37</f>
        <v>26.723463486128715</v>
      </c>
      <c r="J8" s="38">
        <f ca="1">PL!O37</f>
        <v>52.39098365466009</v>
      </c>
      <c r="K8" s="38">
        <f ca="1">PL!P37</f>
        <v>67.54937784866506</v>
      </c>
      <c r="L8" s="38">
        <f ca="1">PL!Q37</f>
        <v>82.89909186637027</v>
      </c>
      <c r="M8" s="38">
        <f ca="1">PL!R37</f>
        <v>98.782446802464733</v>
      </c>
      <c r="N8" s="38">
        <f ca="1">PL!S37</f>
        <v>115.94272534395441</v>
      </c>
      <c r="O8" s="38">
        <f ca="1">PL!T37</f>
        <v>134.44628130422348</v>
      </c>
    </row>
    <row r="9" spans="2:15" x14ac:dyDescent="0.25">
      <c r="C9" s="80" t="s">
        <v>7</v>
      </c>
      <c r="D9" s="8"/>
      <c r="E9" s="8"/>
      <c r="F9" s="38">
        <f>PL!K16</f>
        <v>34.804298366170002</v>
      </c>
      <c r="G9" s="38">
        <f>PL!L16</f>
        <v>30.756265521953097</v>
      </c>
      <c r="H9" s="38">
        <f>PL!M16</f>
        <v>27.314236570983912</v>
      </c>
      <c r="I9" s="38">
        <f>PL!N16</f>
        <v>23.743170183366779</v>
      </c>
      <c r="J9" s="38">
        <f>PL!O16</f>
        <v>20.672167846071456</v>
      </c>
      <c r="K9" s="38">
        <f>PL!P16</f>
        <v>18.023034938602194</v>
      </c>
      <c r="L9" s="38">
        <f>PL!Q16</f>
        <v>15.732252724451167</v>
      </c>
      <c r="M9" s="38">
        <f>PL!R16</f>
        <v>13.747476205339968</v>
      </c>
      <c r="N9" s="38">
        <f>PL!S16</f>
        <v>12.025073389774827</v>
      </c>
      <c r="O9" s="38">
        <f>PL!T16</f>
        <v>10.528348770863417</v>
      </c>
    </row>
    <row r="10" spans="2:15" x14ac:dyDescent="0.25">
      <c r="C10" s="80" t="s">
        <v>305</v>
      </c>
      <c r="D10" s="8"/>
      <c r="E10" s="8"/>
      <c r="F10" s="38">
        <f>PL!K23</f>
        <v>-7.8496831999999994</v>
      </c>
      <c r="G10" s="38">
        <f>PL!L23</f>
        <v>0</v>
      </c>
      <c r="H10" s="38">
        <f>PL!M23</f>
        <v>0</v>
      </c>
      <c r="I10" s="38">
        <f>PL!N23</f>
        <v>0</v>
      </c>
      <c r="J10" s="38">
        <f>PL!O23</f>
        <v>0</v>
      </c>
      <c r="K10" s="38">
        <f>PL!P23</f>
        <v>0</v>
      </c>
      <c r="L10" s="38">
        <f>PL!Q23</f>
        <v>0</v>
      </c>
      <c r="M10" s="38">
        <f>PL!R23</f>
        <v>0</v>
      </c>
      <c r="N10" s="38">
        <f>PL!S23</f>
        <v>0</v>
      </c>
      <c r="O10" s="38">
        <f>PL!T23</f>
        <v>0</v>
      </c>
    </row>
    <row r="11" spans="2:15" x14ac:dyDescent="0.25">
      <c r="C11" s="80" t="s">
        <v>341</v>
      </c>
      <c r="D11" s="8"/>
      <c r="E11" s="8"/>
      <c r="F11" s="38">
        <f>PL!K24</f>
        <v>1419.9262000000003</v>
      </c>
      <c r="G11" s="38">
        <f>PL!L24</f>
        <v>0</v>
      </c>
      <c r="H11" s="38">
        <f>PL!M24</f>
        <v>0</v>
      </c>
      <c r="I11" s="38">
        <f>PL!N24</f>
        <v>0</v>
      </c>
      <c r="J11" s="38">
        <f>PL!O24</f>
        <v>0</v>
      </c>
      <c r="K11" s="38">
        <f>PL!P24</f>
        <v>0</v>
      </c>
      <c r="L11" s="38">
        <f>PL!Q24</f>
        <v>0</v>
      </c>
      <c r="M11" s="38">
        <f>PL!R24</f>
        <v>0</v>
      </c>
      <c r="N11" s="38">
        <f>PL!S24</f>
        <v>0</v>
      </c>
      <c r="O11" s="38">
        <f>PL!T24</f>
        <v>0</v>
      </c>
    </row>
    <row r="12" spans="2:15" x14ac:dyDescent="0.25">
      <c r="C12" s="80" t="s">
        <v>321</v>
      </c>
      <c r="D12" s="8"/>
      <c r="E12" s="8"/>
      <c r="F12" s="52">
        <f>PL!K25</f>
        <v>1778.6202000000001</v>
      </c>
      <c r="G12" s="52">
        <f>PL!L25</f>
        <v>0</v>
      </c>
      <c r="H12" s="52">
        <f>PL!M25</f>
        <v>0</v>
      </c>
      <c r="I12" s="52">
        <f>PL!N25</f>
        <v>0</v>
      </c>
      <c r="J12" s="52">
        <f>PL!O25</f>
        <v>0</v>
      </c>
      <c r="K12" s="52">
        <f>PL!P25</f>
        <v>0</v>
      </c>
      <c r="L12" s="52">
        <f>PL!Q25</f>
        <v>0</v>
      </c>
      <c r="M12" s="52">
        <f>PL!R25</f>
        <v>0</v>
      </c>
      <c r="N12" s="52">
        <f>PL!S25</f>
        <v>0</v>
      </c>
      <c r="O12" s="52">
        <f>PL!T25</f>
        <v>0</v>
      </c>
    </row>
    <row r="13" spans="2:15" x14ac:dyDescent="0.25">
      <c r="C13" s="80" t="s">
        <v>40</v>
      </c>
      <c r="D13" s="8"/>
      <c r="E13" s="8"/>
      <c r="F13" s="38">
        <f>PL!K15</f>
        <v>0</v>
      </c>
      <c r="G13" s="38">
        <f ca="1">PL!L15</f>
        <v>17.543440587679402</v>
      </c>
      <c r="H13" s="38">
        <f ca="1">PL!M15</f>
        <v>56.441980562660198</v>
      </c>
      <c r="I13" s="38">
        <f ca="1">PL!N15</f>
        <v>35.375393881114093</v>
      </c>
      <c r="J13" s="38">
        <f ca="1">PL!O15</f>
        <v>30.399034822481156</v>
      </c>
      <c r="K13" s="38">
        <f ca="1">PL!P15</f>
        <v>25.837372352067632</v>
      </c>
      <c r="L13" s="38">
        <f ca="1">PL!Q15</f>
        <v>21.690406469873516</v>
      </c>
      <c r="M13" s="38">
        <f ca="1">PL!R15</f>
        <v>17.543440587679402</v>
      </c>
      <c r="N13" s="38">
        <f ca="1">PL!S15</f>
        <v>12.359733234936757</v>
      </c>
      <c r="O13" s="38">
        <f ca="1">PL!T15</f>
        <v>6.1392844116455851</v>
      </c>
    </row>
    <row r="14" spans="2:15" x14ac:dyDescent="0.25">
      <c r="C14" s="81" t="s">
        <v>41</v>
      </c>
      <c r="D14" s="3"/>
      <c r="E14" s="3"/>
      <c r="F14" s="50">
        <f t="shared" ref="F14:O14" si="1">SUM(F8:F13)</f>
        <v>-7.2850788807775189</v>
      </c>
      <c r="G14" s="50">
        <f t="shared" ca="1" si="1"/>
        <v>-19.839365641703065</v>
      </c>
      <c r="H14" s="50">
        <f t="shared" ca="1" si="1"/>
        <v>44.835298663144286</v>
      </c>
      <c r="I14" s="50">
        <f t="shared" ca="1" si="1"/>
        <v>85.842027550609586</v>
      </c>
      <c r="J14" s="50">
        <f t="shared" ca="1" si="1"/>
        <v>103.46218632321271</v>
      </c>
      <c r="K14" s="50">
        <f t="shared" ca="1" si="1"/>
        <v>111.40978513933489</v>
      </c>
      <c r="L14" s="50">
        <f t="shared" ca="1" si="1"/>
        <v>120.32175106069496</v>
      </c>
      <c r="M14" s="50">
        <f t="shared" ca="1" si="1"/>
        <v>130.0733635954841</v>
      </c>
      <c r="N14" s="50">
        <f t="shared" ca="1" si="1"/>
        <v>140.32753196866599</v>
      </c>
      <c r="O14" s="50">
        <f t="shared" ca="1" si="1"/>
        <v>151.11391448673248</v>
      </c>
    </row>
    <row r="15" spans="2:15" x14ac:dyDescent="0.25">
      <c r="C15" s="80"/>
      <c r="D15" s="8"/>
      <c r="E15" s="8"/>
      <c r="F15" s="38"/>
      <c r="G15" s="38"/>
      <c r="H15" s="38"/>
      <c r="I15" s="38"/>
      <c r="J15" s="38"/>
      <c r="K15" s="38"/>
      <c r="L15" s="38"/>
      <c r="M15" s="38"/>
      <c r="N15" s="38"/>
      <c r="O15" s="31"/>
    </row>
    <row r="16" spans="2:15" x14ac:dyDescent="0.25">
      <c r="C16" s="84" t="s">
        <v>349</v>
      </c>
      <c r="D16" s="85"/>
      <c r="E16" s="85"/>
      <c r="F16" s="38">
        <f>BS!K63+F11</f>
        <v>161.31506849315065</v>
      </c>
      <c r="G16" s="38">
        <f>BS!L63+G11</f>
        <v>-191.19746425610751</v>
      </c>
      <c r="H16" s="38">
        <f>BS!M63+H11</f>
        <v>162.42558398236812</v>
      </c>
      <c r="I16" s="38">
        <f>BS!N63+I11</f>
        <v>185.83969382805162</v>
      </c>
      <c r="J16" s="38">
        <f>BS!O63+J11</f>
        <v>111.89505775752161</v>
      </c>
      <c r="K16" s="38">
        <f>BS!P63+K11</f>
        <v>64.885570462058695</v>
      </c>
      <c r="L16" s="38">
        <f>BS!Q63+L11</f>
        <v>68.947971395335117</v>
      </c>
      <c r="M16" s="38">
        <f>BS!R63+M11</f>
        <v>73.231547490534922</v>
      </c>
      <c r="N16" s="38">
        <f>BS!S63+N11</f>
        <v>77.747492919117803</v>
      </c>
      <c r="O16" s="38">
        <f>BS!T63+O11</f>
        <v>82.507543506002776</v>
      </c>
    </row>
    <row r="17" spans="2:15" x14ac:dyDescent="0.25">
      <c r="C17" s="81" t="s">
        <v>42</v>
      </c>
      <c r="D17" s="3"/>
      <c r="E17" s="3"/>
      <c r="F17" s="51">
        <f t="shared" ref="F17:O17" si="2">F14-F16</f>
        <v>-168.60014737392817</v>
      </c>
      <c r="G17" s="51">
        <f t="shared" ca="1" si="2"/>
        <v>171.35809861440444</v>
      </c>
      <c r="H17" s="51">
        <f t="shared" ca="1" si="2"/>
        <v>-117.59028531922384</v>
      </c>
      <c r="I17" s="51">
        <f t="shared" ca="1" si="2"/>
        <v>-99.997666277442036</v>
      </c>
      <c r="J17" s="51">
        <f t="shared" ca="1" si="2"/>
        <v>-8.4328714343089075</v>
      </c>
      <c r="K17" s="51">
        <f t="shared" ca="1" si="2"/>
        <v>46.524214677276191</v>
      </c>
      <c r="L17" s="51">
        <f t="shared" ca="1" si="2"/>
        <v>51.373779665359848</v>
      </c>
      <c r="M17" s="51">
        <f t="shared" ca="1" si="2"/>
        <v>56.841816104949174</v>
      </c>
      <c r="N17" s="51">
        <f t="shared" ca="1" si="2"/>
        <v>62.580039049548191</v>
      </c>
      <c r="O17" s="51">
        <f t="shared" ca="1" si="2"/>
        <v>68.606370980729707</v>
      </c>
    </row>
    <row r="18" spans="2:15" x14ac:dyDescent="0.25">
      <c r="B18" s="80"/>
      <c r="C18" s="80"/>
      <c r="D18" s="8"/>
      <c r="E18" s="8"/>
      <c r="F18" s="33"/>
      <c r="G18" s="33"/>
      <c r="H18" s="33"/>
      <c r="I18" s="33"/>
      <c r="J18" s="33"/>
      <c r="K18" s="33"/>
      <c r="L18" s="33"/>
      <c r="M18" s="33"/>
      <c r="N18" s="33"/>
      <c r="O18" s="31"/>
    </row>
    <row r="19" spans="2:15" x14ac:dyDescent="0.25">
      <c r="B19" s="81" t="s">
        <v>391</v>
      </c>
      <c r="C19" s="79"/>
      <c r="D19" s="9"/>
      <c r="E19" s="9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2:15" x14ac:dyDescent="0.25">
      <c r="C20" s="80" t="s">
        <v>299</v>
      </c>
      <c r="D20" s="80"/>
      <c r="E20" s="8"/>
      <c r="F20" s="33"/>
      <c r="G20" s="33"/>
      <c r="H20" s="33"/>
      <c r="I20" s="33"/>
      <c r="J20" s="33"/>
      <c r="K20" s="33"/>
      <c r="L20" s="33"/>
      <c r="M20" s="33"/>
      <c r="N20" s="33"/>
      <c r="O20" s="31"/>
    </row>
    <row r="21" spans="2:15" x14ac:dyDescent="0.25">
      <c r="D21" s="82" t="str">
        <f>BS!C41</f>
        <v>Long Term Borrowings</v>
      </c>
      <c r="E21" s="5"/>
      <c r="F21" s="49">
        <f ca="1">BS!K41-BS!J41-Assumptions!E94</f>
        <v>1247.2443000000001</v>
      </c>
      <c r="G21" s="49">
        <f ca="1">BS!L41-BS!K41</f>
        <v>348.34513410430554</v>
      </c>
      <c r="H21" s="49">
        <f ca="1">BS!M41-BS!L41</f>
        <v>-49.763590586329428</v>
      </c>
      <c r="I21" s="49">
        <f ca="1">BS!N41-BS!M41</f>
        <v>-49.763590586329428</v>
      </c>
      <c r="J21" s="49">
        <f ca="1">BS!O41-BS!N41</f>
        <v>-41.469658821941266</v>
      </c>
      <c r="K21" s="49">
        <f ca="1">BS!P41-BS!O41</f>
        <v>-41.469658821940811</v>
      </c>
      <c r="L21" s="49">
        <f ca="1">BS!Q41-BS!P41</f>
        <v>-41.469658821941266</v>
      </c>
      <c r="M21" s="49">
        <f ca="1">BS!R41-BS!Q41</f>
        <v>-62.204488232911899</v>
      </c>
      <c r="N21" s="49">
        <f ca="1">BS!S41-BS!R41</f>
        <v>-62.204488232911444</v>
      </c>
      <c r="O21" s="49">
        <f ca="1">BS!T41-BS!S41</f>
        <v>0</v>
      </c>
    </row>
    <row r="22" spans="2:15" x14ac:dyDescent="0.25">
      <c r="D22" s="82" t="str">
        <f>BS!C42</f>
        <v>Deferred Tax Liabilities</v>
      </c>
      <c r="E22" s="5"/>
      <c r="F22" s="49">
        <f>BS!K42-BS!J42</f>
        <v>0</v>
      </c>
      <c r="G22" s="49">
        <f>BS!L42-BS!K42</f>
        <v>0</v>
      </c>
      <c r="H22" s="49">
        <f>BS!M42-BS!L42</f>
        <v>0</v>
      </c>
      <c r="I22" s="49">
        <f>BS!N42-BS!M42</f>
        <v>0</v>
      </c>
      <c r="J22" s="49">
        <f>BS!O42-BS!N42</f>
        <v>0</v>
      </c>
      <c r="K22" s="49">
        <f>BS!P42-BS!O42</f>
        <v>0</v>
      </c>
      <c r="L22" s="49">
        <f>BS!Q42-BS!P42</f>
        <v>0</v>
      </c>
      <c r="M22" s="49">
        <f>BS!R42-BS!Q42</f>
        <v>0</v>
      </c>
      <c r="N22" s="49">
        <f>BS!S42-BS!R42</f>
        <v>0</v>
      </c>
      <c r="O22" s="49">
        <f>BS!T42-BS!S42</f>
        <v>0</v>
      </c>
    </row>
    <row r="23" spans="2:15" x14ac:dyDescent="0.25">
      <c r="D23" s="82" t="str">
        <f>BS!C46</f>
        <v>Short Term Borrowings</v>
      </c>
      <c r="E23" s="5"/>
      <c r="F23" s="37">
        <f ca="1">BS!K46-BS!J46</f>
        <v>-1247.2442999999998</v>
      </c>
      <c r="G23" s="37">
        <f ca="1">BS!L46-BS!K46</f>
        <v>66.351454115105824</v>
      </c>
      <c r="H23" s="37">
        <f ca="1">BS!M46-BS!L46</f>
        <v>-16.58786352877646</v>
      </c>
      <c r="I23" s="37">
        <f ca="1">BS!N46-BS!M46</f>
        <v>0</v>
      </c>
      <c r="J23" s="37">
        <f ca="1">BS!O46-BS!N46</f>
        <v>-8.2939317643882191</v>
      </c>
      <c r="K23" s="37">
        <f ca="1">BS!P46-BS!O46</f>
        <v>0</v>
      </c>
      <c r="L23" s="37">
        <f ca="1">BS!Q46-BS!P46</f>
        <v>0</v>
      </c>
      <c r="M23" s="37">
        <f ca="1">BS!R46-BS!Q46</f>
        <v>20.734829410970562</v>
      </c>
      <c r="N23" s="37">
        <f ca="1">BS!S46-BS!R46</f>
        <v>0</v>
      </c>
      <c r="O23" s="37">
        <f ca="1">BS!T46-BS!S46</f>
        <v>-62.204488232911721</v>
      </c>
    </row>
    <row r="24" spans="2:15" x14ac:dyDescent="0.25">
      <c r="D24" s="82" t="str">
        <f>BS!C51</f>
        <v>Other Current Liabilities</v>
      </c>
      <c r="E24" s="5"/>
      <c r="F24" s="37">
        <f>BS!K51-BS!J51</f>
        <v>0</v>
      </c>
      <c r="G24" s="37">
        <f>BS!L51-BS!K51</f>
        <v>0</v>
      </c>
      <c r="H24" s="37">
        <f>BS!M51-BS!L51</f>
        <v>0</v>
      </c>
      <c r="I24" s="37">
        <f>BS!N51-BS!M51</f>
        <v>0</v>
      </c>
      <c r="J24" s="37">
        <f>BS!O51-BS!N51</f>
        <v>0</v>
      </c>
      <c r="K24" s="37">
        <f>BS!P51-BS!O51</f>
        <v>0</v>
      </c>
      <c r="L24" s="37">
        <f>BS!Q51-BS!P51</f>
        <v>0</v>
      </c>
      <c r="M24" s="37">
        <f>BS!R51-BS!Q51</f>
        <v>0</v>
      </c>
      <c r="N24" s="37">
        <f>BS!S51-BS!R51</f>
        <v>0</v>
      </c>
      <c r="O24" s="37">
        <f>BS!T51-BS!S51</f>
        <v>0</v>
      </c>
    </row>
    <row r="25" spans="2:15" x14ac:dyDescent="0.25">
      <c r="D25" s="82" t="str">
        <f>BS!C52</f>
        <v>Short Term Provisions</v>
      </c>
      <c r="E25" s="5"/>
      <c r="F25" s="37">
        <f>BS!K52-BS!J52</f>
        <v>0</v>
      </c>
      <c r="G25" s="37">
        <f>BS!L52-BS!K52</f>
        <v>0</v>
      </c>
      <c r="H25" s="37">
        <f>BS!M52-BS!L52</f>
        <v>0</v>
      </c>
      <c r="I25" s="37">
        <f>BS!N52-BS!M52</f>
        <v>0</v>
      </c>
      <c r="J25" s="37">
        <f>BS!O52-BS!N52</f>
        <v>0</v>
      </c>
      <c r="K25" s="37">
        <f>BS!P52-BS!O52</f>
        <v>0</v>
      </c>
      <c r="L25" s="37">
        <f>BS!Q52-BS!P52</f>
        <v>0</v>
      </c>
      <c r="M25" s="37">
        <f>BS!R52-BS!Q52</f>
        <v>0</v>
      </c>
      <c r="N25" s="37">
        <f>BS!S52-BS!R52</f>
        <v>0</v>
      </c>
      <c r="O25" s="37">
        <f>BS!T52-BS!S52</f>
        <v>0</v>
      </c>
    </row>
    <row r="26" spans="2:15" x14ac:dyDescent="0.25">
      <c r="C26" s="80" t="s">
        <v>40</v>
      </c>
      <c r="D26" s="80"/>
      <c r="E26" s="8"/>
      <c r="F26" s="38">
        <f>-PL!K15</f>
        <v>0</v>
      </c>
      <c r="G26" s="38">
        <f ca="1">-PL!L15</f>
        <v>-17.543440587679402</v>
      </c>
      <c r="H26" s="38">
        <f ca="1">-PL!M15</f>
        <v>-56.441980562660198</v>
      </c>
      <c r="I26" s="38">
        <f ca="1">-PL!N15</f>
        <v>-35.375393881114093</v>
      </c>
      <c r="J26" s="38">
        <f ca="1">-PL!O15</f>
        <v>-30.399034822481156</v>
      </c>
      <c r="K26" s="38">
        <f ca="1">-PL!P15</f>
        <v>-25.837372352067632</v>
      </c>
      <c r="L26" s="38">
        <f ca="1">-PL!Q15</f>
        <v>-21.690406469873516</v>
      </c>
      <c r="M26" s="38">
        <f ca="1">-PL!R15</f>
        <v>-17.543440587679402</v>
      </c>
      <c r="N26" s="38">
        <f ca="1">-PL!S15</f>
        <v>-12.359733234936757</v>
      </c>
      <c r="O26" s="38">
        <f ca="1">-PL!T15</f>
        <v>-6.1392844116455851</v>
      </c>
    </row>
    <row r="27" spans="2:15" x14ac:dyDescent="0.25">
      <c r="C27" s="83" t="s">
        <v>43</v>
      </c>
      <c r="D27" s="6"/>
      <c r="E27" s="6"/>
      <c r="F27" s="51">
        <f t="shared" ref="F27:O27" ca="1" si="3">SUM(F21:F26)</f>
        <v>2.2737367544323206E-13</v>
      </c>
      <c r="G27" s="51">
        <f t="shared" ca="1" si="3"/>
        <v>397.15314763173194</v>
      </c>
      <c r="H27" s="51">
        <f t="shared" ca="1" si="3"/>
        <v>-122.7934346777661</v>
      </c>
      <c r="I27" s="51">
        <f t="shared" ca="1" si="3"/>
        <v>-85.138984467443521</v>
      </c>
      <c r="J27" s="51">
        <f t="shared" ca="1" si="3"/>
        <v>-80.162625408810641</v>
      </c>
      <c r="K27" s="51">
        <f t="shared" ca="1" si="3"/>
        <v>-67.307031174008443</v>
      </c>
      <c r="L27" s="51">
        <f t="shared" ca="1" si="3"/>
        <v>-63.160065291814782</v>
      </c>
      <c r="M27" s="51">
        <f t="shared" ca="1" si="3"/>
        <v>-59.013099409620736</v>
      </c>
      <c r="N27" s="51">
        <f t="shared" ca="1" si="3"/>
        <v>-74.564221467848199</v>
      </c>
      <c r="O27" s="51">
        <f t="shared" ca="1" si="3"/>
        <v>-68.343772644557305</v>
      </c>
    </row>
    <row r="28" spans="2:15" x14ac:dyDescent="0.25">
      <c r="B28" s="80"/>
      <c r="C28" s="80"/>
      <c r="D28" s="8"/>
      <c r="E28" s="8"/>
      <c r="F28" s="33"/>
      <c r="G28" s="33"/>
      <c r="H28" s="33"/>
      <c r="I28" s="33"/>
      <c r="J28" s="33"/>
      <c r="K28" s="33"/>
      <c r="L28" s="33"/>
      <c r="M28" s="33"/>
      <c r="N28" s="33"/>
      <c r="O28" s="31"/>
    </row>
    <row r="29" spans="2:15" x14ac:dyDescent="0.25">
      <c r="B29" s="81" t="s">
        <v>44</v>
      </c>
      <c r="C29" s="79"/>
      <c r="D29" s="9"/>
      <c r="E29" s="9"/>
      <c r="F29" s="33"/>
      <c r="G29" s="33"/>
      <c r="H29" s="33"/>
      <c r="I29" s="33"/>
      <c r="J29" s="33"/>
      <c r="K29" s="33"/>
      <c r="L29" s="33"/>
      <c r="M29" s="33"/>
      <c r="N29" s="33"/>
      <c r="O29" s="31"/>
    </row>
    <row r="30" spans="2:15" x14ac:dyDescent="0.25">
      <c r="C30" s="80" t="s">
        <v>45</v>
      </c>
      <c r="D30" s="80"/>
      <c r="E30" s="8"/>
      <c r="F30" s="33"/>
      <c r="G30" s="38"/>
      <c r="H30" s="38"/>
      <c r="I30" s="38"/>
      <c r="J30" s="38"/>
      <c r="K30" s="38"/>
      <c r="L30" s="38"/>
      <c r="M30" s="38"/>
      <c r="N30" s="38"/>
      <c r="O30" s="31"/>
    </row>
    <row r="31" spans="2:15" x14ac:dyDescent="0.25">
      <c r="D31" s="82" t="str">
        <f>BS!C9</f>
        <v>Property, Plant &amp; Equipment</v>
      </c>
      <c r="E31" s="5"/>
      <c r="F31" s="38">
        <f>-('Dep Sch'!K198-'Dep Sch'!K199)/100</f>
        <v>0</v>
      </c>
      <c r="G31" s="38">
        <f>-('Dep Sch'!L198-'Dep Sch'!L199)/100</f>
        <v>-9</v>
      </c>
      <c r="H31" s="38">
        <f>-('Dep Sch'!M198-'Dep Sch'!M199)/100</f>
        <v>0</v>
      </c>
      <c r="I31" s="38">
        <f>-('Dep Sch'!N198-'Dep Sch'!N199)/100</f>
        <v>0</v>
      </c>
      <c r="J31" s="38">
        <f>-('Dep Sch'!O198-'Dep Sch'!O199)/100</f>
        <v>0</v>
      </c>
      <c r="K31" s="38">
        <f>-('Dep Sch'!P198-'Dep Sch'!P199)/100</f>
        <v>0</v>
      </c>
      <c r="L31" s="38">
        <f>-('Dep Sch'!Q198-'Dep Sch'!Q199)/100</f>
        <v>0</v>
      </c>
      <c r="M31" s="38">
        <f>-('Dep Sch'!R198-'Dep Sch'!R199)/100</f>
        <v>0</v>
      </c>
      <c r="N31" s="38">
        <f>-('Dep Sch'!S198-'Dep Sch'!S199)/100</f>
        <v>0</v>
      </c>
      <c r="O31" s="38">
        <f>-('Dep Sch'!T198-'Dep Sch'!T199)/100</f>
        <v>0</v>
      </c>
    </row>
    <row r="32" spans="2:15" x14ac:dyDescent="0.25">
      <c r="D32" s="82" t="str">
        <f>BS!C10</f>
        <v>Intangible Assets</v>
      </c>
      <c r="E32" s="5"/>
      <c r="F32" s="38">
        <f>BS!J10-BS!K10</f>
        <v>0</v>
      </c>
      <c r="G32" s="38">
        <f>BS!K10-BS!L10</f>
        <v>0</v>
      </c>
      <c r="H32" s="38">
        <f>BS!L10-BS!M10</f>
        <v>0</v>
      </c>
      <c r="I32" s="38">
        <f>BS!M10-BS!N10</f>
        <v>0</v>
      </c>
      <c r="J32" s="38">
        <f>BS!N10-BS!O10</f>
        <v>0</v>
      </c>
      <c r="K32" s="38">
        <f>BS!O10-BS!P10</f>
        <v>0</v>
      </c>
      <c r="L32" s="38">
        <f>BS!P10-BS!Q10</f>
        <v>0</v>
      </c>
      <c r="M32" s="38">
        <f>BS!Q10-BS!R10</f>
        <v>0</v>
      </c>
      <c r="N32" s="38">
        <f>BS!R10-BS!S10</f>
        <v>0</v>
      </c>
      <c r="O32" s="38">
        <f>BS!S10-BS!T10</f>
        <v>0</v>
      </c>
    </row>
    <row r="33" spans="2:15" x14ac:dyDescent="0.25">
      <c r="D33" s="82" t="str">
        <f>BS!C11</f>
        <v>Capital WIP</v>
      </c>
      <c r="E33" s="5"/>
      <c r="F33" s="38">
        <f>BS!J11-BS!K11</f>
        <v>0</v>
      </c>
      <c r="G33" s="38">
        <f>BS!K11-BS!L11</f>
        <v>0</v>
      </c>
      <c r="H33" s="38">
        <f>BS!L11-BS!M11</f>
        <v>0</v>
      </c>
      <c r="I33" s="38">
        <f>BS!M11-BS!N11</f>
        <v>0</v>
      </c>
      <c r="J33" s="38">
        <f>BS!N11-BS!O11</f>
        <v>0</v>
      </c>
      <c r="K33" s="38">
        <f>BS!O11-BS!P11</f>
        <v>0</v>
      </c>
      <c r="L33" s="38">
        <f>BS!P11-BS!Q11</f>
        <v>0</v>
      </c>
      <c r="M33" s="38">
        <f>BS!Q11-BS!R11</f>
        <v>0</v>
      </c>
      <c r="N33" s="38">
        <f>BS!R11-BS!S11</f>
        <v>0</v>
      </c>
      <c r="O33" s="38">
        <f>BS!S11-BS!T11</f>
        <v>0</v>
      </c>
    </row>
    <row r="34" spans="2:15" x14ac:dyDescent="0.25">
      <c r="D34" s="82" t="str">
        <f>BS!C14</f>
        <v>Long Term Loans &amp; Advances</v>
      </c>
      <c r="E34" s="5"/>
      <c r="F34" s="38">
        <f>BS!J14-BS!K14</f>
        <v>0</v>
      </c>
      <c r="G34" s="38">
        <f>BS!K14-BS!L14</f>
        <v>0</v>
      </c>
      <c r="H34" s="38">
        <f>BS!L14-BS!M14</f>
        <v>0</v>
      </c>
      <c r="I34" s="38">
        <f>BS!M14-BS!N14</f>
        <v>0</v>
      </c>
      <c r="J34" s="38">
        <f>BS!N14-BS!O14</f>
        <v>0</v>
      </c>
      <c r="K34" s="38">
        <f>BS!O14-BS!P14</f>
        <v>0</v>
      </c>
      <c r="L34" s="38">
        <f>BS!P14-BS!Q14</f>
        <v>0</v>
      </c>
      <c r="M34" s="38">
        <f>BS!Q14-BS!R14</f>
        <v>0</v>
      </c>
      <c r="N34" s="38">
        <f>BS!R14-BS!S14</f>
        <v>0</v>
      </c>
      <c r="O34" s="38">
        <f>BS!S14-BS!T14</f>
        <v>0</v>
      </c>
    </row>
    <row r="35" spans="2:15" x14ac:dyDescent="0.25">
      <c r="D35" s="82" t="str">
        <f>BS!C15</f>
        <v>Investments</v>
      </c>
      <c r="E35" s="5"/>
      <c r="F35" s="38">
        <f>BS!J15-BS!K15</f>
        <v>8.3999999999999631E-3</v>
      </c>
      <c r="G35" s="38">
        <f>BS!K15-BS!L15</f>
        <v>0</v>
      </c>
      <c r="H35" s="38">
        <f>BS!L15-BS!M15</f>
        <v>0</v>
      </c>
      <c r="I35" s="38">
        <f>BS!M15-BS!N15</f>
        <v>0</v>
      </c>
      <c r="J35" s="38">
        <f>BS!N15-BS!O15</f>
        <v>0</v>
      </c>
      <c r="K35" s="38">
        <f>BS!O15-BS!P15</f>
        <v>0</v>
      </c>
      <c r="L35" s="38">
        <f>BS!P15-BS!Q15</f>
        <v>0</v>
      </c>
      <c r="M35" s="38">
        <f>BS!Q15-BS!R15</f>
        <v>0</v>
      </c>
      <c r="N35" s="38">
        <f>BS!R15-BS!S15</f>
        <v>0</v>
      </c>
      <c r="O35" s="38">
        <f>BS!S15-BS!T15</f>
        <v>0</v>
      </c>
    </row>
    <row r="36" spans="2:15" x14ac:dyDescent="0.25">
      <c r="D36" s="82" t="str">
        <f>BS!C28</f>
        <v>Short Term Loans &amp; Advances</v>
      </c>
      <c r="E36" s="5"/>
      <c r="F36" s="38">
        <f>BS!J28-BS!K28</f>
        <v>0</v>
      </c>
      <c r="G36" s="38">
        <f>BS!K28-BS!L28</f>
        <v>0</v>
      </c>
      <c r="H36" s="38">
        <f>BS!L28-BS!M28</f>
        <v>0</v>
      </c>
      <c r="I36" s="38">
        <f>BS!M28-BS!N28</f>
        <v>0</v>
      </c>
      <c r="J36" s="38">
        <f>BS!N28-BS!O28</f>
        <v>0</v>
      </c>
      <c r="K36" s="38">
        <f>BS!O28-BS!P28</f>
        <v>0</v>
      </c>
      <c r="L36" s="38">
        <f>BS!P28-BS!Q28</f>
        <v>0</v>
      </c>
      <c r="M36" s="38">
        <f>BS!Q28-BS!R28</f>
        <v>0</v>
      </c>
      <c r="N36" s="38">
        <f>BS!R28-BS!S28</f>
        <v>0</v>
      </c>
      <c r="O36" s="38">
        <f>BS!S28-BS!T28</f>
        <v>0</v>
      </c>
    </row>
    <row r="37" spans="2:15" x14ac:dyDescent="0.25">
      <c r="D37" s="82" t="str">
        <f>BS!C29</f>
        <v>Other Current Assets</v>
      </c>
      <c r="E37" s="5"/>
      <c r="F37" s="38">
        <f>BS!J29-BS!K29</f>
        <v>0</v>
      </c>
      <c r="G37" s="38">
        <f>BS!K29-BS!L29</f>
        <v>0</v>
      </c>
      <c r="H37" s="38">
        <f>BS!L29-BS!M29</f>
        <v>0</v>
      </c>
      <c r="I37" s="38">
        <f>BS!M29-BS!N29</f>
        <v>0</v>
      </c>
      <c r="J37" s="38">
        <f>BS!N29-BS!O29</f>
        <v>0</v>
      </c>
      <c r="K37" s="38">
        <f>BS!O29-BS!P29</f>
        <v>0</v>
      </c>
      <c r="L37" s="38">
        <f>BS!P29-BS!Q29</f>
        <v>0</v>
      </c>
      <c r="M37" s="38">
        <f>BS!Q29-BS!R29</f>
        <v>0</v>
      </c>
      <c r="N37" s="38">
        <f>BS!R29-BS!S29</f>
        <v>0</v>
      </c>
      <c r="O37" s="38">
        <f>BS!S29-BS!T29</f>
        <v>0</v>
      </c>
    </row>
    <row r="38" spans="2:15" x14ac:dyDescent="0.25">
      <c r="C38" s="83" t="s">
        <v>46</v>
      </c>
      <c r="D38" s="83"/>
      <c r="E38" s="6"/>
      <c r="F38" s="51">
        <f t="shared" ref="F38:O38" si="4">SUM(F31:F37)</f>
        <v>8.3999999999999631E-3</v>
      </c>
      <c r="G38" s="51">
        <f t="shared" si="4"/>
        <v>-9</v>
      </c>
      <c r="H38" s="51">
        <f t="shared" si="4"/>
        <v>0</v>
      </c>
      <c r="I38" s="51">
        <f t="shared" si="4"/>
        <v>0</v>
      </c>
      <c r="J38" s="51">
        <f t="shared" si="4"/>
        <v>0</v>
      </c>
      <c r="K38" s="51">
        <f t="shared" si="4"/>
        <v>0</v>
      </c>
      <c r="L38" s="51">
        <f t="shared" si="4"/>
        <v>0</v>
      </c>
      <c r="M38" s="51">
        <f t="shared" si="4"/>
        <v>0</v>
      </c>
      <c r="N38" s="51">
        <f t="shared" si="4"/>
        <v>0</v>
      </c>
      <c r="O38" s="51">
        <f t="shared" si="4"/>
        <v>0</v>
      </c>
    </row>
    <row r="39" spans="2:15" x14ac:dyDescent="0.25">
      <c r="B39" s="80"/>
      <c r="C39" s="80"/>
      <c r="D39" s="8"/>
      <c r="E39" s="8"/>
      <c r="F39" s="33"/>
      <c r="G39" s="33"/>
      <c r="H39" s="33"/>
      <c r="I39" s="33"/>
      <c r="J39" s="33"/>
      <c r="K39" s="33"/>
      <c r="L39" s="33"/>
      <c r="M39" s="33"/>
      <c r="N39" s="33"/>
      <c r="O39" s="31"/>
    </row>
    <row r="40" spans="2:15" x14ac:dyDescent="0.25">
      <c r="B40" s="81"/>
      <c r="C40" s="241" t="s">
        <v>392</v>
      </c>
      <c r="D40" s="242"/>
      <c r="E40" s="242"/>
      <c r="F40" s="243">
        <f t="shared" ref="F40:O40" ca="1" si="5">F17+F27+F38</f>
        <v>-168.59174737392794</v>
      </c>
      <c r="G40" s="243">
        <f t="shared" ca="1" si="5"/>
        <v>559.51124624613635</v>
      </c>
      <c r="H40" s="243">
        <f t="shared" ca="1" si="5"/>
        <v>-240.38371999698995</v>
      </c>
      <c r="I40" s="243">
        <f t="shared" ca="1" si="5"/>
        <v>-185.13665074488557</v>
      </c>
      <c r="J40" s="243">
        <f t="shared" ca="1" si="5"/>
        <v>-88.595496843119548</v>
      </c>
      <c r="K40" s="243">
        <f t="shared" ca="1" si="5"/>
        <v>-20.782816496732252</v>
      </c>
      <c r="L40" s="243">
        <f t="shared" ca="1" si="5"/>
        <v>-11.786285626454934</v>
      </c>
      <c r="M40" s="243">
        <f t="shared" ca="1" si="5"/>
        <v>-2.1712833046715616</v>
      </c>
      <c r="N40" s="243">
        <f t="shared" ca="1" si="5"/>
        <v>-11.984182418300009</v>
      </c>
      <c r="O40" s="243">
        <f t="shared" ca="1" si="5"/>
        <v>0.26259833617240247</v>
      </c>
    </row>
    <row r="41" spans="2:15" x14ac:dyDescent="0.25">
      <c r="B41" s="81"/>
      <c r="C41" s="81"/>
      <c r="D41" s="3"/>
      <c r="E41" s="3"/>
      <c r="F41" s="50"/>
      <c r="G41" s="50"/>
      <c r="H41" s="50"/>
      <c r="I41" s="50"/>
      <c r="J41" s="50"/>
      <c r="K41" s="50"/>
      <c r="L41" s="50"/>
      <c r="M41" s="50"/>
      <c r="N41" s="50"/>
      <c r="O41" s="50"/>
    </row>
    <row r="42" spans="2:15" x14ac:dyDescent="0.25">
      <c r="B42" s="81" t="s">
        <v>393</v>
      </c>
      <c r="D42" s="3"/>
      <c r="E42" s="3"/>
      <c r="F42" s="50"/>
      <c r="G42" s="50"/>
      <c r="H42" s="50"/>
      <c r="I42" s="50"/>
      <c r="J42" s="50"/>
      <c r="K42" s="50"/>
      <c r="L42" s="50"/>
      <c r="M42" s="50"/>
      <c r="N42" s="50"/>
      <c r="O42" s="50"/>
    </row>
    <row r="43" spans="2:15" x14ac:dyDescent="0.25">
      <c r="C43" s="80" t="s">
        <v>394</v>
      </c>
      <c r="D43" s="8"/>
      <c r="E43" s="8"/>
      <c r="F43" s="38">
        <f>BS!J27</f>
        <v>171.91370000000003</v>
      </c>
      <c r="G43" s="38">
        <f ca="1">F45</f>
        <v>3.3219526260720897</v>
      </c>
      <c r="H43" s="38">
        <f t="shared" ref="H43:O43" ca="1" si="6">G45</f>
        <v>562.83319887220841</v>
      </c>
      <c r="I43" s="38">
        <f t="shared" ca="1" si="6"/>
        <v>322.44947887521846</v>
      </c>
      <c r="J43" s="38">
        <f t="shared" ca="1" si="6"/>
        <v>137.31282813033289</v>
      </c>
      <c r="K43" s="38">
        <f t="shared" ca="1" si="6"/>
        <v>48.717331287213341</v>
      </c>
      <c r="L43" s="38">
        <f t="shared" ca="1" si="6"/>
        <v>27.934514790481089</v>
      </c>
      <c r="M43" s="38">
        <f t="shared" ca="1" si="6"/>
        <v>16.148229164026155</v>
      </c>
      <c r="N43" s="38">
        <f t="shared" ca="1" si="6"/>
        <v>13.976945859354593</v>
      </c>
      <c r="O43" s="38">
        <f t="shared" ca="1" si="6"/>
        <v>1.9927634410545849</v>
      </c>
    </row>
    <row r="44" spans="2:15" x14ac:dyDescent="0.25">
      <c r="C44" s="80" t="str">
        <f>C40</f>
        <v>Net Cashflow</v>
      </c>
      <c r="D44" s="8"/>
      <c r="E44" s="8"/>
      <c r="F44" s="38">
        <f ca="1">F40</f>
        <v>-168.59174737392794</v>
      </c>
      <c r="G44" s="38">
        <f t="shared" ref="G44:O44" ca="1" si="7">G40</f>
        <v>559.51124624613635</v>
      </c>
      <c r="H44" s="38">
        <f t="shared" ca="1" si="7"/>
        <v>-240.38371999698995</v>
      </c>
      <c r="I44" s="38">
        <f t="shared" ca="1" si="7"/>
        <v>-185.13665074488557</v>
      </c>
      <c r="J44" s="38">
        <f t="shared" ca="1" si="7"/>
        <v>-88.595496843119548</v>
      </c>
      <c r="K44" s="38">
        <f t="shared" ca="1" si="7"/>
        <v>-20.782816496732252</v>
      </c>
      <c r="L44" s="38">
        <f t="shared" ca="1" si="7"/>
        <v>-11.786285626454934</v>
      </c>
      <c r="M44" s="38">
        <f t="shared" ca="1" si="7"/>
        <v>-2.1712833046715616</v>
      </c>
      <c r="N44" s="38">
        <f t="shared" ca="1" si="7"/>
        <v>-11.984182418300009</v>
      </c>
      <c r="O44" s="38">
        <f t="shared" ca="1" si="7"/>
        <v>0.26259833617240247</v>
      </c>
    </row>
    <row r="45" spans="2:15" ht="15.75" thickBot="1" x14ac:dyDescent="0.3">
      <c r="B45" s="244"/>
      <c r="C45" s="244" t="s">
        <v>47</v>
      </c>
      <c r="D45" s="245"/>
      <c r="E45" s="245"/>
      <c r="F45" s="246">
        <f t="shared" ref="F45:O45" ca="1" si="8">F43+F44</f>
        <v>3.3219526260720897</v>
      </c>
      <c r="G45" s="246">
        <f t="shared" ca="1" si="8"/>
        <v>562.83319887220841</v>
      </c>
      <c r="H45" s="246">
        <f t="shared" ca="1" si="8"/>
        <v>322.44947887521846</v>
      </c>
      <c r="I45" s="246">
        <f t="shared" ca="1" si="8"/>
        <v>137.31282813033289</v>
      </c>
      <c r="J45" s="246">
        <f t="shared" ca="1" si="8"/>
        <v>48.717331287213341</v>
      </c>
      <c r="K45" s="246">
        <f t="shared" ca="1" si="8"/>
        <v>27.934514790481089</v>
      </c>
      <c r="L45" s="246">
        <f t="shared" ca="1" si="8"/>
        <v>16.148229164026155</v>
      </c>
      <c r="M45" s="246">
        <f t="shared" ca="1" si="8"/>
        <v>13.976945859354593</v>
      </c>
      <c r="N45" s="246">
        <f t="shared" ca="1" si="8"/>
        <v>1.9927634410545849</v>
      </c>
      <c r="O45" s="246">
        <f t="shared" ca="1" si="8"/>
        <v>2.2553617772269874</v>
      </c>
    </row>
    <row r="46" spans="2:15" ht="15.75" thickTop="1" x14ac:dyDescent="0.25">
      <c r="G46" s="36"/>
      <c r="H46" s="36"/>
      <c r="I46" s="36"/>
      <c r="J46" s="36"/>
      <c r="K46" s="36"/>
      <c r="L46" s="36"/>
      <c r="M46" s="36"/>
      <c r="N46" s="36"/>
      <c r="O46" s="36"/>
    </row>
    <row r="47" spans="2:15" x14ac:dyDescent="0.25">
      <c r="F47" s="36"/>
    </row>
  </sheetData>
  <pageMargins left="0.7" right="0.7" top="0.75" bottom="0.75" header="0.3" footer="0.3"/>
  <pageSetup paperSize="9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6B9F6-BB9B-44D5-8EF9-BDE36B8E20F6}">
  <dimension ref="B2:AB218"/>
  <sheetViews>
    <sheetView zoomScaleNormal="100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E1" sqref="E1:F1048576"/>
    </sheetView>
  </sheetViews>
  <sheetFormatPr defaultColWidth="8.85546875" defaultRowHeight="12.75" x14ac:dyDescent="0.2"/>
  <cols>
    <col min="1" max="1" width="4.5703125" style="90" customWidth="1"/>
    <col min="2" max="3" width="3.7109375" style="90" customWidth="1"/>
    <col min="4" max="4" width="34.7109375" style="90" customWidth="1"/>
    <col min="5" max="5" width="8.85546875" style="264"/>
    <col min="6" max="6" width="10.140625" style="90" bestFit="1" customWidth="1"/>
    <col min="7" max="7" width="12.28515625" style="90" bestFit="1" customWidth="1"/>
    <col min="8" max="8" width="10.140625" style="90" bestFit="1" customWidth="1"/>
    <col min="9" max="11" width="10.28515625" style="90" bestFit="1" customWidth="1"/>
    <col min="12" max="12" width="12.7109375" style="90" customWidth="1"/>
    <col min="13" max="22" width="10.7109375" style="90" customWidth="1"/>
    <col min="23" max="23" width="27.5703125" style="90" bestFit="1" customWidth="1"/>
    <col min="24" max="24" width="12.7109375" style="90" customWidth="1"/>
    <col min="25" max="25" width="10.85546875" style="90" bestFit="1" customWidth="1"/>
    <col min="26" max="16384" width="8.85546875" style="90"/>
  </cols>
  <sheetData>
    <row r="2" spans="2:28" ht="15.75" x14ac:dyDescent="0.2">
      <c r="B2" s="1" t="s">
        <v>200</v>
      </c>
      <c r="C2" s="337"/>
      <c r="D2" s="337"/>
      <c r="E2" s="341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</row>
    <row r="3" spans="2:28" x14ac:dyDescent="0.2">
      <c r="B3" s="58" t="s">
        <v>395</v>
      </c>
      <c r="C3" s="58"/>
      <c r="D3" s="58"/>
      <c r="E3" s="248"/>
      <c r="F3" s="58"/>
      <c r="G3" s="58"/>
      <c r="H3" s="59"/>
      <c r="I3" s="59"/>
      <c r="J3" s="59"/>
      <c r="K3" s="59"/>
      <c r="L3" s="59"/>
      <c r="M3" s="59"/>
      <c r="N3" s="59"/>
      <c r="O3" s="59"/>
      <c r="P3" s="59"/>
      <c r="Q3" s="59"/>
    </row>
    <row r="4" spans="2:28" x14ac:dyDescent="0.2">
      <c r="E4" s="249"/>
      <c r="F4" s="55" t="s">
        <v>231</v>
      </c>
      <c r="G4" s="55" t="s">
        <v>231</v>
      </c>
      <c r="H4" s="55" t="s">
        <v>231</v>
      </c>
      <c r="I4" s="55" t="s">
        <v>231</v>
      </c>
      <c r="J4" s="55" t="s">
        <v>232</v>
      </c>
      <c r="K4" s="338" t="s">
        <v>439</v>
      </c>
      <c r="L4" s="338" t="s">
        <v>439</v>
      </c>
      <c r="M4" s="338" t="s">
        <v>304</v>
      </c>
      <c r="N4" s="338" t="s">
        <v>304</v>
      </c>
      <c r="O4" s="338" t="s">
        <v>304</v>
      </c>
      <c r="P4" s="338" t="s">
        <v>304</v>
      </c>
      <c r="Q4" s="338" t="s">
        <v>304</v>
      </c>
      <c r="R4" s="338" t="s">
        <v>304</v>
      </c>
      <c r="S4" s="338" t="s">
        <v>304</v>
      </c>
      <c r="T4" s="338" t="s">
        <v>304</v>
      </c>
    </row>
    <row r="5" spans="2:28" x14ac:dyDescent="0.2">
      <c r="B5" s="250" t="s">
        <v>0</v>
      </c>
      <c r="C5" s="250"/>
      <c r="D5" s="250"/>
      <c r="E5" s="251" t="s">
        <v>93</v>
      </c>
      <c r="F5" s="60">
        <f>DATE(2019,3,31)</f>
        <v>43555</v>
      </c>
      <c r="G5" s="60">
        <f>EDATE(F5,12)</f>
        <v>43921</v>
      </c>
      <c r="H5" s="60">
        <f t="shared" ref="H5:T5" si="0">EDATE(G5,12)</f>
        <v>44286</v>
      </c>
      <c r="I5" s="60">
        <f t="shared" si="0"/>
        <v>44651</v>
      </c>
      <c r="J5" s="60">
        <f t="shared" si="0"/>
        <v>45016</v>
      </c>
      <c r="K5" s="60">
        <f t="shared" si="0"/>
        <v>45382</v>
      </c>
      <c r="L5" s="60">
        <f t="shared" si="0"/>
        <v>45747</v>
      </c>
      <c r="M5" s="60">
        <f t="shared" si="0"/>
        <v>46112</v>
      </c>
      <c r="N5" s="60">
        <f t="shared" si="0"/>
        <v>46477</v>
      </c>
      <c r="O5" s="60">
        <f t="shared" si="0"/>
        <v>46843</v>
      </c>
      <c r="P5" s="60">
        <f t="shared" si="0"/>
        <v>47208</v>
      </c>
      <c r="Q5" s="60">
        <f t="shared" si="0"/>
        <v>47573</v>
      </c>
      <c r="R5" s="60">
        <f t="shared" si="0"/>
        <v>47938</v>
      </c>
      <c r="S5" s="60">
        <f t="shared" si="0"/>
        <v>48304</v>
      </c>
      <c r="T5" s="60">
        <f t="shared" si="0"/>
        <v>48669</v>
      </c>
      <c r="U5" s="252"/>
    </row>
    <row r="6" spans="2:28" x14ac:dyDescent="0.2">
      <c r="B6" s="21"/>
      <c r="C6" s="21"/>
      <c r="D6" s="21"/>
      <c r="E6" s="253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</row>
    <row r="7" spans="2:28" x14ac:dyDescent="0.2">
      <c r="B7" s="22" t="s">
        <v>398</v>
      </c>
      <c r="C7" s="21"/>
      <c r="D7" s="21"/>
      <c r="E7" s="253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</row>
    <row r="8" spans="2:28" x14ac:dyDescent="0.2">
      <c r="B8" s="254" t="s">
        <v>103</v>
      </c>
      <c r="C8" s="254"/>
      <c r="D8" s="254"/>
      <c r="E8" s="253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W8" s="162" t="s">
        <v>256</v>
      </c>
      <c r="X8" s="255">
        <f>F5</f>
        <v>43555</v>
      </c>
      <c r="Y8" s="255">
        <f>G5</f>
        <v>43921</v>
      </c>
      <c r="Z8" s="255">
        <f>H5</f>
        <v>44286</v>
      </c>
      <c r="AA8" s="255">
        <f>I5</f>
        <v>44651</v>
      </c>
      <c r="AB8" s="255" t="s">
        <v>258</v>
      </c>
    </row>
    <row r="9" spans="2:28" x14ac:dyDescent="0.2">
      <c r="C9" s="21" t="s">
        <v>83</v>
      </c>
      <c r="D9" s="21"/>
      <c r="E9" s="253"/>
      <c r="F9" s="86">
        <v>5219.16</v>
      </c>
      <c r="G9" s="86">
        <f>F12</f>
        <v>5221.1399999999994</v>
      </c>
      <c r="H9" s="86">
        <f t="shared" ref="H9:I9" si="1">G12</f>
        <v>5335.82</v>
      </c>
      <c r="I9" s="86">
        <f t="shared" si="1"/>
        <v>5358.45</v>
      </c>
      <c r="J9" s="86">
        <f>I12+I13</f>
        <v>17502.09</v>
      </c>
      <c r="K9" s="86">
        <f t="shared" ref="K9" si="2">J12</f>
        <v>17502.09</v>
      </c>
      <c r="L9" s="86">
        <f t="shared" ref="L9" si="3">K12</f>
        <v>17502.09</v>
      </c>
      <c r="M9" s="86">
        <f t="shared" ref="M9" si="4">L12</f>
        <v>17502.09</v>
      </c>
      <c r="N9" s="86">
        <f t="shared" ref="N9" si="5">M12</f>
        <v>17502.09</v>
      </c>
      <c r="O9" s="86">
        <f t="shared" ref="O9" si="6">N12</f>
        <v>17502.09</v>
      </c>
      <c r="P9" s="86">
        <f t="shared" ref="P9" si="7">O12</f>
        <v>17502.09</v>
      </c>
      <c r="Q9" s="86">
        <f t="shared" ref="Q9" si="8">P12</f>
        <v>17502.09</v>
      </c>
      <c r="R9" s="86">
        <f t="shared" ref="R9" si="9">Q12</f>
        <v>17502.09</v>
      </c>
      <c r="S9" s="86">
        <f t="shared" ref="S9" si="10">R12</f>
        <v>17502.09</v>
      </c>
      <c r="T9" s="86">
        <f t="shared" ref="T9" si="11">S12</f>
        <v>17502.09</v>
      </c>
      <c r="W9" s="256" t="str">
        <f>B8</f>
        <v>Freehold Land</v>
      </c>
      <c r="X9" s="86">
        <f>(F16)/(10^2)</f>
        <v>52.211399999999998</v>
      </c>
      <c r="Y9" s="86">
        <f>(G16)/(10^2)</f>
        <v>53.358199999999997</v>
      </c>
      <c r="Z9" s="86">
        <f>(H16)/(10^2)</f>
        <v>53.584499999999998</v>
      </c>
      <c r="AA9" s="86">
        <f>(I16)/(10^2)</f>
        <v>175.02090000000001</v>
      </c>
      <c r="AB9" s="257">
        <f>AA9-Z9</f>
        <v>121.43640000000002</v>
      </c>
    </row>
    <row r="10" spans="2:28" x14ac:dyDescent="0.2">
      <c r="C10" s="21" t="s">
        <v>84</v>
      </c>
      <c r="D10" s="21"/>
      <c r="E10" s="253"/>
      <c r="F10" s="86">
        <v>1.98</v>
      </c>
      <c r="G10" s="86">
        <v>114.68</v>
      </c>
      <c r="H10" s="86">
        <v>22.63</v>
      </c>
      <c r="I10" s="86">
        <v>369.43</v>
      </c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W10" s="258" t="str">
        <f>B18</f>
        <v>Leasehold Land</v>
      </c>
      <c r="X10" s="86">
        <f>(F25)/(10^2)</f>
        <v>1.1982000000000002</v>
      </c>
      <c r="Y10" s="86">
        <f>(G25)/(10^2)</f>
        <v>1.1757</v>
      </c>
      <c r="Z10" s="86">
        <f>(H25)/(10^2)</f>
        <v>1.1532</v>
      </c>
      <c r="AA10" s="86">
        <f>(I25)/(10^2)</f>
        <v>1.1307</v>
      </c>
      <c r="AB10" s="257"/>
    </row>
    <row r="11" spans="2:28" x14ac:dyDescent="0.2">
      <c r="C11" s="21" t="s">
        <v>102</v>
      </c>
      <c r="D11" s="21"/>
      <c r="E11" s="253"/>
      <c r="F11" s="87"/>
      <c r="G11" s="87"/>
      <c r="H11" s="87"/>
      <c r="I11" s="87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259"/>
      <c r="V11" s="259"/>
      <c r="W11" s="256" t="str">
        <f>B27</f>
        <v>Plant &amp; Machinery</v>
      </c>
      <c r="X11" s="86">
        <f>(F35)/(10^2)</f>
        <v>26.831099999999996</v>
      </c>
      <c r="Y11" s="86">
        <f>(G35)/(10^2)</f>
        <v>22.410699999999999</v>
      </c>
      <c r="Z11" s="86">
        <f>(H35)/(10^2)</f>
        <v>35.825400000000002</v>
      </c>
      <c r="AA11" s="86">
        <f>(I35)/(10^2)</f>
        <v>99.506299999999996</v>
      </c>
      <c r="AB11" s="257">
        <f t="shared" ref="AB11:AB20" si="12">AA11-Z11</f>
        <v>63.680899999999994</v>
      </c>
    </row>
    <row r="12" spans="2:28" x14ac:dyDescent="0.2">
      <c r="C12" s="21" t="s">
        <v>85</v>
      </c>
      <c r="D12" s="21"/>
      <c r="E12" s="253"/>
      <c r="F12" s="86">
        <f>F9+F10-F11</f>
        <v>5221.1399999999994</v>
      </c>
      <c r="G12" s="86">
        <f>G9+G10-G11</f>
        <v>5335.82</v>
      </c>
      <c r="H12" s="86">
        <f t="shared" ref="H12:T12" si="13">H9+H10-H11</f>
        <v>5358.45</v>
      </c>
      <c r="I12" s="86">
        <f t="shared" si="13"/>
        <v>5727.88</v>
      </c>
      <c r="J12" s="86">
        <f t="shared" si="13"/>
        <v>17502.09</v>
      </c>
      <c r="K12" s="86">
        <f t="shared" si="13"/>
        <v>17502.09</v>
      </c>
      <c r="L12" s="86">
        <f t="shared" si="13"/>
        <v>17502.09</v>
      </c>
      <c r="M12" s="86">
        <f t="shared" si="13"/>
        <v>17502.09</v>
      </c>
      <c r="N12" s="86">
        <f t="shared" si="13"/>
        <v>17502.09</v>
      </c>
      <c r="O12" s="86">
        <f t="shared" si="13"/>
        <v>17502.09</v>
      </c>
      <c r="P12" s="86">
        <f t="shared" si="13"/>
        <v>17502.09</v>
      </c>
      <c r="Q12" s="86">
        <f t="shared" si="13"/>
        <v>17502.09</v>
      </c>
      <c r="R12" s="86">
        <f t="shared" si="13"/>
        <v>17502.09</v>
      </c>
      <c r="S12" s="86">
        <f t="shared" si="13"/>
        <v>17502.09</v>
      </c>
      <c r="T12" s="86">
        <f t="shared" si="13"/>
        <v>17502.09</v>
      </c>
      <c r="W12" s="260" t="str">
        <f>B37</f>
        <v>Other Auxilliary Equipment</v>
      </c>
      <c r="X12" s="86">
        <f>(F45)/(10^2)</f>
        <v>13.307100000000005</v>
      </c>
      <c r="Y12" s="86">
        <f>(G45)/(10^2)</f>
        <v>21.750700000000002</v>
      </c>
      <c r="Z12" s="86">
        <f>(H45)/(10^2)</f>
        <v>23.532899999999998</v>
      </c>
      <c r="AA12" s="86">
        <f>(I45)/(10^2)</f>
        <v>64.138799999999989</v>
      </c>
      <c r="AB12" s="257">
        <f t="shared" si="12"/>
        <v>40.605899999999991</v>
      </c>
    </row>
    <row r="13" spans="2:28" x14ac:dyDescent="0.2">
      <c r="C13" s="21" t="s">
        <v>212</v>
      </c>
      <c r="D13" s="21"/>
      <c r="E13" s="253"/>
      <c r="F13" s="86"/>
      <c r="G13" s="86"/>
      <c r="H13" s="86"/>
      <c r="I13" s="86">
        <v>11774.21</v>
      </c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W13" s="260" t="str">
        <f>B47</f>
        <v>Fork Lift</v>
      </c>
      <c r="X13" s="86">
        <f>(F55)/(10^2)</f>
        <v>1.9229000000000007</v>
      </c>
      <c r="Y13" s="86">
        <f>(G55)/(10^2)</f>
        <v>1.5749000000000006</v>
      </c>
      <c r="Z13" s="86">
        <f>(H55)/(10^2)</f>
        <v>1.6935000000000002</v>
      </c>
      <c r="AA13" s="86">
        <f>(I55)/(10^2)</f>
        <v>2.3859000000000004</v>
      </c>
      <c r="AB13" s="257"/>
    </row>
    <row r="14" spans="2:28" x14ac:dyDescent="0.2">
      <c r="C14" s="21" t="s">
        <v>7</v>
      </c>
      <c r="D14" s="21"/>
      <c r="E14" s="253"/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6">
        <v>0</v>
      </c>
      <c r="Q14" s="86">
        <v>0</v>
      </c>
      <c r="R14" s="86">
        <v>0</v>
      </c>
      <c r="S14" s="86">
        <v>0</v>
      </c>
      <c r="T14" s="86">
        <v>0</v>
      </c>
      <c r="W14" s="258" t="str">
        <f>B57</f>
        <v>AC</v>
      </c>
      <c r="X14" s="86">
        <f>(F64)/(10^2)</f>
        <v>0.37469999999999998</v>
      </c>
      <c r="Y14" s="86">
        <f>(G64)/(10^2)</f>
        <v>0.29949999999999988</v>
      </c>
      <c r="Z14" s="86">
        <f>(H64)/(10^2)</f>
        <v>0.18689999999999998</v>
      </c>
      <c r="AA14" s="86">
        <f>(I64)/(10^2)</f>
        <v>0.11560000000000002</v>
      </c>
      <c r="AB14" s="257"/>
    </row>
    <row r="15" spans="2:28" x14ac:dyDescent="0.2">
      <c r="C15" s="21" t="s">
        <v>86</v>
      </c>
      <c r="D15" s="21"/>
      <c r="E15" s="253"/>
      <c r="F15" s="86">
        <v>0</v>
      </c>
      <c r="G15" s="86">
        <f>F15+G14</f>
        <v>0</v>
      </c>
      <c r="H15" s="86">
        <f t="shared" ref="H15:I15" si="14">G15+H14</f>
        <v>0</v>
      </c>
      <c r="I15" s="86">
        <f t="shared" si="14"/>
        <v>0</v>
      </c>
      <c r="J15" s="86">
        <f t="shared" ref="J15" si="15">I15+J14</f>
        <v>0</v>
      </c>
      <c r="K15" s="86">
        <f t="shared" ref="K15" si="16">J15+K14</f>
        <v>0</v>
      </c>
      <c r="L15" s="86">
        <f t="shared" ref="L15" si="17">K15+L14</f>
        <v>0</v>
      </c>
      <c r="M15" s="86">
        <f t="shared" ref="M15" si="18">L15+M14</f>
        <v>0</v>
      </c>
      <c r="N15" s="86">
        <f t="shared" ref="N15" si="19">M15+N14</f>
        <v>0</v>
      </c>
      <c r="O15" s="86">
        <f t="shared" ref="O15" si="20">N15+O14</f>
        <v>0</v>
      </c>
      <c r="P15" s="86">
        <f t="shared" ref="P15" si="21">O15+P14</f>
        <v>0</v>
      </c>
      <c r="Q15" s="86">
        <f t="shared" ref="Q15" si="22">P15+Q14</f>
        <v>0</v>
      </c>
      <c r="R15" s="86">
        <f t="shared" ref="R15" si="23">Q15+R14</f>
        <v>0</v>
      </c>
      <c r="S15" s="86">
        <f t="shared" ref="S15" si="24">R15+S14</f>
        <v>0</v>
      </c>
      <c r="T15" s="86">
        <f t="shared" ref="T15" si="25">S15+T14</f>
        <v>0</v>
      </c>
      <c r="U15" s="259"/>
      <c r="V15" s="259"/>
      <c r="W15" s="258" t="str">
        <f>B66</f>
        <v>Computer</v>
      </c>
      <c r="X15" s="86">
        <f>(F73)/(10^2)</f>
        <v>1.9196999999999997</v>
      </c>
      <c r="Y15" s="86">
        <f>(G73)/(10^2)</f>
        <v>1.9000999999999999</v>
      </c>
      <c r="Z15" s="86">
        <f>(H73)/(10^2)</f>
        <v>1.9476</v>
      </c>
      <c r="AA15" s="86">
        <f>(I73)/(10^2)</f>
        <v>2.0778000000000003</v>
      </c>
      <c r="AB15" s="257"/>
    </row>
    <row r="16" spans="2:28" s="162" customFormat="1" x14ac:dyDescent="0.2">
      <c r="C16" s="22" t="s">
        <v>87</v>
      </c>
      <c r="D16" s="22"/>
      <c r="E16" s="253"/>
      <c r="F16" s="247">
        <f>F12-F15</f>
        <v>5221.1399999999994</v>
      </c>
      <c r="G16" s="247">
        <f>G12-G15</f>
        <v>5335.82</v>
      </c>
      <c r="H16" s="247">
        <f t="shared" ref="H16" si="26">H12-H15</f>
        <v>5358.45</v>
      </c>
      <c r="I16" s="247">
        <f>I12+I13-I15</f>
        <v>17502.09</v>
      </c>
      <c r="J16" s="247">
        <f t="shared" ref="J16:T16" si="27">J12+J13-J15</f>
        <v>17502.09</v>
      </c>
      <c r="K16" s="247">
        <f t="shared" si="27"/>
        <v>17502.09</v>
      </c>
      <c r="L16" s="247">
        <f t="shared" si="27"/>
        <v>17502.09</v>
      </c>
      <c r="M16" s="247">
        <f t="shared" si="27"/>
        <v>17502.09</v>
      </c>
      <c r="N16" s="247">
        <f t="shared" si="27"/>
        <v>17502.09</v>
      </c>
      <c r="O16" s="247">
        <f t="shared" si="27"/>
        <v>17502.09</v>
      </c>
      <c r="P16" s="247">
        <f t="shared" si="27"/>
        <v>17502.09</v>
      </c>
      <c r="Q16" s="247">
        <f t="shared" si="27"/>
        <v>17502.09</v>
      </c>
      <c r="R16" s="247">
        <f t="shared" si="27"/>
        <v>17502.09</v>
      </c>
      <c r="S16" s="247">
        <f t="shared" si="27"/>
        <v>17502.09</v>
      </c>
      <c r="T16" s="247">
        <f t="shared" si="27"/>
        <v>17502.09</v>
      </c>
      <c r="W16" s="261" t="str">
        <f>B75</f>
        <v>Office Building &amp; Stores</v>
      </c>
      <c r="X16" s="247">
        <f>(F83)/(10^2)</f>
        <v>6.3622000000000005</v>
      </c>
      <c r="Y16" s="247">
        <f>(G83)/(10^2)</f>
        <v>6.6951000000000001</v>
      </c>
      <c r="Z16" s="247">
        <f>(H83)/(10^2)</f>
        <v>6.4457000000000013</v>
      </c>
      <c r="AA16" s="247">
        <f>(I83)/(10^2)</f>
        <v>10.046900000000001</v>
      </c>
      <c r="AB16" s="180">
        <f t="shared" si="12"/>
        <v>3.6011999999999995</v>
      </c>
    </row>
    <row r="17" spans="2:28" x14ac:dyDescent="0.2">
      <c r="B17" s="23"/>
      <c r="C17" s="23"/>
      <c r="D17" s="23"/>
      <c r="E17" s="253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W17" s="262" t="str">
        <f>B85</f>
        <v>Electrical Installation</v>
      </c>
      <c r="X17" s="86">
        <f>(F93)/(10^2)</f>
        <v>15.209399999999999</v>
      </c>
      <c r="Y17" s="86">
        <f>(G93)/(10^2)</f>
        <v>13.516499999999999</v>
      </c>
      <c r="Z17" s="86">
        <f>(H93)/(10^2)</f>
        <v>11.7575</v>
      </c>
      <c r="AA17" s="86">
        <f>(I93)/(10^2)</f>
        <v>23.525700000000008</v>
      </c>
      <c r="AB17" s="257">
        <f t="shared" si="12"/>
        <v>11.768200000000007</v>
      </c>
    </row>
    <row r="18" spans="2:28" x14ac:dyDescent="0.2">
      <c r="B18" s="263" t="s">
        <v>104</v>
      </c>
      <c r="C18" s="263"/>
      <c r="D18" s="263"/>
      <c r="E18" s="264" t="s">
        <v>210</v>
      </c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W18" s="262" t="str">
        <f>B95</f>
        <v>Building &amp; Factory Shed</v>
      </c>
      <c r="X18" s="86">
        <f>(F103)/(10^2)</f>
        <v>79.815299999999993</v>
      </c>
      <c r="Y18" s="86">
        <f>(G103)/(10^2)</f>
        <v>74.86569999999999</v>
      </c>
      <c r="Z18" s="86">
        <f>(H103)/(10^2)</f>
        <v>67.736299999999986</v>
      </c>
      <c r="AA18" s="86">
        <f>(I103)/(10^2)</f>
        <v>104.06579999999998</v>
      </c>
      <c r="AB18" s="257">
        <f t="shared" si="12"/>
        <v>36.329499999999996</v>
      </c>
    </row>
    <row r="19" spans="2:28" x14ac:dyDescent="0.2">
      <c r="C19" s="21" t="s">
        <v>83</v>
      </c>
      <c r="D19" s="21"/>
      <c r="E19" s="253"/>
      <c r="F19" s="86">
        <v>134.55000000000001</v>
      </c>
      <c r="G19" s="86">
        <f>F22</f>
        <v>134.55000000000001</v>
      </c>
      <c r="H19" s="86">
        <f t="shared" ref="H19:I19" si="28">G22</f>
        <v>134.55000000000001</v>
      </c>
      <c r="I19" s="86">
        <f t="shared" si="28"/>
        <v>134.55000000000001</v>
      </c>
      <c r="J19" s="86">
        <f t="shared" ref="J19" si="29">I22</f>
        <v>134.55000000000001</v>
      </c>
      <c r="K19" s="86">
        <f t="shared" ref="K19" si="30">J22</f>
        <v>134.55000000000001</v>
      </c>
      <c r="L19" s="86">
        <f t="shared" ref="L19" si="31">K22</f>
        <v>134.55000000000001</v>
      </c>
      <c r="M19" s="86">
        <f t="shared" ref="M19" si="32">L22</f>
        <v>134.55000000000001</v>
      </c>
      <c r="N19" s="86">
        <f t="shared" ref="N19" si="33">M22</f>
        <v>134.55000000000001</v>
      </c>
      <c r="O19" s="86">
        <f t="shared" ref="O19" si="34">N22</f>
        <v>134.55000000000001</v>
      </c>
      <c r="P19" s="86">
        <f t="shared" ref="P19" si="35">O22</f>
        <v>134.55000000000001</v>
      </c>
      <c r="Q19" s="86">
        <f t="shared" ref="Q19" si="36">P22</f>
        <v>134.55000000000001</v>
      </c>
      <c r="R19" s="86">
        <f t="shared" ref="R19" si="37">Q22</f>
        <v>134.55000000000001</v>
      </c>
      <c r="S19" s="86">
        <f t="shared" ref="S19" si="38">R22</f>
        <v>134.55000000000001</v>
      </c>
      <c r="T19" s="86">
        <f t="shared" ref="T19" si="39">S22</f>
        <v>134.55000000000001</v>
      </c>
      <c r="W19" s="258" t="str">
        <f>B105</f>
        <v>Furniture &amp; Fixture</v>
      </c>
      <c r="X19" s="86">
        <f>(F112)/(10^2)</f>
        <v>2.6554000000000002</v>
      </c>
      <c r="Y19" s="86">
        <f>(G112)/(10^2)</f>
        <v>2.3106000000000004</v>
      </c>
      <c r="Z19" s="86">
        <f>(H112)/(10^2)</f>
        <v>1.8058000000000005</v>
      </c>
      <c r="AA19" s="86">
        <f>(I112)/(10^2)</f>
        <v>1.3728000000000009</v>
      </c>
      <c r="AB19" s="257"/>
    </row>
    <row r="20" spans="2:28" x14ac:dyDescent="0.2">
      <c r="C20" s="21" t="s">
        <v>84</v>
      </c>
      <c r="D20" s="21"/>
      <c r="E20" s="253"/>
      <c r="F20" s="86">
        <v>0</v>
      </c>
      <c r="G20" s="86">
        <v>0</v>
      </c>
      <c r="H20" s="86">
        <v>0</v>
      </c>
      <c r="I20" s="86">
        <v>0</v>
      </c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W20" s="262" t="str">
        <f>B114</f>
        <v>Laboratory Equipment</v>
      </c>
      <c r="X20" s="86">
        <f>(F122)/(10^2)</f>
        <v>3.54</v>
      </c>
      <c r="Y20" s="86">
        <f>(G122)/(10^2)</f>
        <v>2.9138000000000006</v>
      </c>
      <c r="Z20" s="86">
        <f>(H122)/(10^2)</f>
        <v>2.5000000000000004</v>
      </c>
      <c r="AA20" s="86">
        <f>(I122)/(10^2)</f>
        <v>7.113100000000002</v>
      </c>
      <c r="AB20" s="257">
        <f t="shared" si="12"/>
        <v>4.6131000000000011</v>
      </c>
    </row>
    <row r="21" spans="2:28" x14ac:dyDescent="0.2">
      <c r="C21" s="21" t="s">
        <v>102</v>
      </c>
      <c r="D21" s="21"/>
      <c r="E21" s="253"/>
      <c r="F21" s="86">
        <v>0</v>
      </c>
      <c r="G21" s="86">
        <v>0</v>
      </c>
      <c r="H21" s="86">
        <v>0</v>
      </c>
      <c r="I21" s="86">
        <v>0</v>
      </c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W21" s="258" t="str">
        <f>B124</f>
        <v>Motor Cycle</v>
      </c>
      <c r="X21" s="86">
        <f>(F131)/(10^2)</f>
        <v>0.17339999999999997</v>
      </c>
      <c r="Y21" s="86">
        <f>(G131)/(10^2)</f>
        <v>0.17429999999999993</v>
      </c>
      <c r="Z21" s="86">
        <f>(H131)/(10^2)</f>
        <v>0.19170000000000001</v>
      </c>
      <c r="AA21" s="86">
        <f>(I131)/(10^2)</f>
        <v>0.16400000000000006</v>
      </c>
      <c r="AB21" s="257"/>
    </row>
    <row r="22" spans="2:28" x14ac:dyDescent="0.2">
      <c r="C22" s="21" t="s">
        <v>85</v>
      </c>
      <c r="D22" s="21"/>
      <c r="E22" s="253"/>
      <c r="F22" s="86">
        <f>F19+F20-F21</f>
        <v>134.55000000000001</v>
      </c>
      <c r="G22" s="86">
        <f t="shared" ref="G22:T22" si="40">G19+G20-G21</f>
        <v>134.55000000000001</v>
      </c>
      <c r="H22" s="86">
        <f t="shared" si="40"/>
        <v>134.55000000000001</v>
      </c>
      <c r="I22" s="86">
        <f t="shared" si="40"/>
        <v>134.55000000000001</v>
      </c>
      <c r="J22" s="86">
        <f t="shared" si="40"/>
        <v>134.55000000000001</v>
      </c>
      <c r="K22" s="86">
        <f t="shared" si="40"/>
        <v>134.55000000000001</v>
      </c>
      <c r="L22" s="86">
        <f t="shared" si="40"/>
        <v>134.55000000000001</v>
      </c>
      <c r="M22" s="86">
        <f t="shared" si="40"/>
        <v>134.55000000000001</v>
      </c>
      <c r="N22" s="86">
        <f t="shared" si="40"/>
        <v>134.55000000000001</v>
      </c>
      <c r="O22" s="86">
        <f t="shared" si="40"/>
        <v>134.55000000000001</v>
      </c>
      <c r="P22" s="86">
        <f t="shared" si="40"/>
        <v>134.55000000000001</v>
      </c>
      <c r="Q22" s="86">
        <f t="shared" si="40"/>
        <v>134.55000000000001</v>
      </c>
      <c r="R22" s="86">
        <f t="shared" si="40"/>
        <v>134.55000000000001</v>
      </c>
      <c r="S22" s="86">
        <f t="shared" si="40"/>
        <v>134.55000000000001</v>
      </c>
      <c r="T22" s="86">
        <f t="shared" si="40"/>
        <v>134.55000000000001</v>
      </c>
      <c r="U22" s="259"/>
      <c r="V22" s="259"/>
      <c r="W22" s="258" t="str">
        <f>B133</f>
        <v>Motor Car</v>
      </c>
      <c r="X22" s="86">
        <f>(F140)/(10^2)</f>
        <v>2.4246000000000016</v>
      </c>
      <c r="Y22" s="86">
        <f>(G140)/(10^2)</f>
        <v>2.0514000000000023</v>
      </c>
      <c r="Z22" s="86">
        <f>(H140)/(10^2)</f>
        <v>1.3601000000000021</v>
      </c>
      <c r="AA22" s="86">
        <f>(I140)/(10^2)</f>
        <v>0.94600000000000251</v>
      </c>
      <c r="AB22" s="257"/>
    </row>
    <row r="23" spans="2:28" x14ac:dyDescent="0.2">
      <c r="C23" s="21" t="s">
        <v>7</v>
      </c>
      <c r="D23" s="21"/>
      <c r="E23" s="265">
        <f>F23/F22</f>
        <v>1.6722408026755852E-2</v>
      </c>
      <c r="F23" s="86">
        <v>2.25</v>
      </c>
      <c r="G23" s="86">
        <v>2.25</v>
      </c>
      <c r="H23" s="86">
        <v>2.25</v>
      </c>
      <c r="I23" s="86">
        <v>2.25</v>
      </c>
      <c r="J23" s="86">
        <f t="shared" ref="J23:T23" si="41">J22*$E$23</f>
        <v>2.25</v>
      </c>
      <c r="K23" s="86">
        <f t="shared" si="41"/>
        <v>2.25</v>
      </c>
      <c r="L23" s="86">
        <f t="shared" si="41"/>
        <v>2.25</v>
      </c>
      <c r="M23" s="86">
        <f t="shared" si="41"/>
        <v>2.25</v>
      </c>
      <c r="N23" s="86">
        <f t="shared" si="41"/>
        <v>2.25</v>
      </c>
      <c r="O23" s="86">
        <f t="shared" si="41"/>
        <v>2.25</v>
      </c>
      <c r="P23" s="86">
        <f t="shared" si="41"/>
        <v>2.25</v>
      </c>
      <c r="Q23" s="86">
        <f t="shared" si="41"/>
        <v>2.25</v>
      </c>
      <c r="R23" s="86">
        <f t="shared" si="41"/>
        <v>2.25</v>
      </c>
      <c r="S23" s="86">
        <f t="shared" si="41"/>
        <v>2.25</v>
      </c>
      <c r="T23" s="86">
        <f t="shared" si="41"/>
        <v>2.25</v>
      </c>
      <c r="W23" s="258" t="str">
        <f>B142</f>
        <v>Telephone EPABX</v>
      </c>
      <c r="X23" s="86">
        <f>(F149)/(10^2)</f>
        <v>0.63390000000000046</v>
      </c>
      <c r="Y23" s="86">
        <f>(G149)/(10^2)</f>
        <v>0.52740000000000065</v>
      </c>
      <c r="Z23" s="86">
        <f>(H149)/(10^2)</f>
        <v>0.53360000000000074</v>
      </c>
      <c r="AA23" s="86">
        <f>(I149)/(10^2)</f>
        <v>0.50510000000000044</v>
      </c>
      <c r="AB23" s="257"/>
    </row>
    <row r="24" spans="2:28" x14ac:dyDescent="0.2">
      <c r="C24" s="21" t="s">
        <v>86</v>
      </c>
      <c r="D24" s="21"/>
      <c r="E24" s="253"/>
      <c r="F24" s="86">
        <f>12.48+2.25</f>
        <v>14.73</v>
      </c>
      <c r="G24" s="86">
        <f>F24+G23</f>
        <v>16.98</v>
      </c>
      <c r="H24" s="86">
        <f t="shared" ref="H24:J24" si="42">G24+H23</f>
        <v>19.23</v>
      </c>
      <c r="I24" s="86">
        <f t="shared" si="42"/>
        <v>21.48</v>
      </c>
      <c r="J24" s="86">
        <f t="shared" si="42"/>
        <v>23.73</v>
      </c>
      <c r="K24" s="86">
        <f t="shared" ref="K24" si="43">J24+K23</f>
        <v>25.98</v>
      </c>
      <c r="L24" s="86">
        <f t="shared" ref="L24" si="44">K24+L23</f>
        <v>28.23</v>
      </c>
      <c r="M24" s="86">
        <f t="shared" ref="M24" si="45">L24+M23</f>
        <v>30.48</v>
      </c>
      <c r="N24" s="86">
        <f t="shared" ref="N24" si="46">M24+N23</f>
        <v>32.730000000000004</v>
      </c>
      <c r="O24" s="86">
        <f t="shared" ref="O24" si="47">N24+O23</f>
        <v>34.980000000000004</v>
      </c>
      <c r="P24" s="86">
        <f t="shared" ref="P24" si="48">O24+P23</f>
        <v>37.230000000000004</v>
      </c>
      <c r="Q24" s="86">
        <f t="shared" ref="Q24" si="49">P24+Q23</f>
        <v>39.480000000000004</v>
      </c>
      <c r="R24" s="86">
        <f t="shared" ref="R24" si="50">Q24+R23</f>
        <v>41.730000000000004</v>
      </c>
      <c r="S24" s="86">
        <f t="shared" ref="S24" si="51">R24+S23</f>
        <v>43.980000000000004</v>
      </c>
      <c r="T24" s="86">
        <f t="shared" ref="T24" si="52">S24+T23</f>
        <v>46.230000000000004</v>
      </c>
      <c r="W24" s="258" t="str">
        <f>B151</f>
        <v>Type writer &amp; Office equipment</v>
      </c>
      <c r="X24" s="86">
        <f>(F158)/(10^2)</f>
        <v>0.49419999999999986</v>
      </c>
      <c r="Y24" s="86">
        <f>(G158)/(10^2)</f>
        <v>0.52349999999999997</v>
      </c>
      <c r="Z24" s="86">
        <f>(H158)/(10^2)</f>
        <v>0.32719999999999971</v>
      </c>
      <c r="AA24" s="86">
        <f>(I158)/(10^2)</f>
        <v>0.27319999999999994</v>
      </c>
      <c r="AB24" s="257"/>
    </row>
    <row r="25" spans="2:28" s="162" customFormat="1" x14ac:dyDescent="0.2">
      <c r="C25" s="22" t="s">
        <v>87</v>
      </c>
      <c r="D25" s="22"/>
      <c r="E25" s="253"/>
      <c r="F25" s="247">
        <f>F22-F24</f>
        <v>119.82000000000001</v>
      </c>
      <c r="G25" s="247">
        <f t="shared" ref="G25:T25" si="53">G22-G24</f>
        <v>117.57000000000001</v>
      </c>
      <c r="H25" s="247">
        <f t="shared" si="53"/>
        <v>115.32000000000001</v>
      </c>
      <c r="I25" s="247">
        <f t="shared" si="53"/>
        <v>113.07000000000001</v>
      </c>
      <c r="J25" s="247">
        <f t="shared" si="53"/>
        <v>110.82000000000001</v>
      </c>
      <c r="K25" s="247">
        <f t="shared" si="53"/>
        <v>108.57000000000001</v>
      </c>
      <c r="L25" s="247">
        <f t="shared" si="53"/>
        <v>106.32000000000001</v>
      </c>
      <c r="M25" s="247">
        <f t="shared" si="53"/>
        <v>104.07000000000001</v>
      </c>
      <c r="N25" s="247">
        <f t="shared" si="53"/>
        <v>101.82000000000001</v>
      </c>
      <c r="O25" s="247">
        <f t="shared" si="53"/>
        <v>99.570000000000007</v>
      </c>
      <c r="P25" s="247">
        <f t="shared" si="53"/>
        <v>97.320000000000007</v>
      </c>
      <c r="Q25" s="247">
        <f t="shared" si="53"/>
        <v>95.070000000000007</v>
      </c>
      <c r="R25" s="247">
        <f t="shared" si="53"/>
        <v>92.820000000000007</v>
      </c>
      <c r="S25" s="247">
        <f t="shared" si="53"/>
        <v>90.570000000000007</v>
      </c>
      <c r="T25" s="247">
        <f t="shared" si="53"/>
        <v>88.320000000000007</v>
      </c>
      <c r="W25" s="261" t="str">
        <f>B160</f>
        <v>Generator</v>
      </c>
      <c r="X25" s="247">
        <f>(F168)/(10^2)</f>
        <v>0.43560000000000004</v>
      </c>
      <c r="Y25" s="247">
        <f>(G168)/(10^2)</f>
        <v>0.35680000000000006</v>
      </c>
      <c r="Z25" s="247">
        <f>(H168)/(10^2)</f>
        <v>0.29220000000000013</v>
      </c>
      <c r="AA25" s="247">
        <f>(I168)/(10^2)</f>
        <v>0.41560000000000019</v>
      </c>
      <c r="AB25" s="180"/>
    </row>
    <row r="26" spans="2:28" x14ac:dyDescent="0.2">
      <c r="B26" s="23"/>
      <c r="C26" s="23"/>
      <c r="D26" s="23"/>
      <c r="E26" s="253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W26" s="258" t="str">
        <f>B170</f>
        <v>Truck</v>
      </c>
      <c r="X26" s="86">
        <f>(F177)/(10^2)</f>
        <v>0.67089999999999972</v>
      </c>
      <c r="Y26" s="86">
        <f>(G177)/(10^2)</f>
        <v>0.46250000000000002</v>
      </c>
      <c r="Z26" s="86">
        <f>(H177)/(10^2)</f>
        <v>0.31810000000000005</v>
      </c>
      <c r="AA26" s="86">
        <f>(I177)/(10^2)</f>
        <v>0.45460000000000034</v>
      </c>
      <c r="AB26" s="257"/>
    </row>
    <row r="27" spans="2:28" x14ac:dyDescent="0.2">
      <c r="B27" s="254" t="s">
        <v>88</v>
      </c>
      <c r="C27" s="254"/>
      <c r="D27" s="254"/>
      <c r="E27" s="265">
        <v>0.1391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W27" s="258" t="str">
        <f>B179</f>
        <v>Tractor</v>
      </c>
      <c r="X27" s="86">
        <f>(F186)/(10^2)</f>
        <v>6.0399999999999988E-2</v>
      </c>
      <c r="Y27" s="86">
        <f>(G186)/(10^2)</f>
        <v>4.1499999999999988E-2</v>
      </c>
      <c r="Z27" s="86">
        <f>(H186)/(10^2)</f>
        <v>2.8500000000000015E-2</v>
      </c>
      <c r="AA27" s="86">
        <f>(I186)/(10^2)</f>
        <v>1.960000000000001E-2</v>
      </c>
      <c r="AB27" s="257"/>
    </row>
    <row r="28" spans="2:28" x14ac:dyDescent="0.2">
      <c r="C28" s="21" t="s">
        <v>83</v>
      </c>
      <c r="D28" s="21"/>
      <c r="E28" s="253"/>
      <c r="F28" s="86">
        <v>3063.46</v>
      </c>
      <c r="G28" s="86">
        <f>F31</f>
        <v>4804.03</v>
      </c>
      <c r="H28" s="86">
        <f t="shared" ref="H28:I28" si="54">G31</f>
        <v>4844.83</v>
      </c>
      <c r="I28" s="86">
        <f t="shared" si="54"/>
        <v>6678.63</v>
      </c>
      <c r="J28" s="86">
        <f>I31+I32</f>
        <v>13691.05</v>
      </c>
      <c r="K28" s="86">
        <f t="shared" ref="K28:T28" si="55">J31+J32</f>
        <v>13691.05</v>
      </c>
      <c r="L28" s="86">
        <f t="shared" si="55"/>
        <v>13691.05</v>
      </c>
      <c r="M28" s="86">
        <f t="shared" si="55"/>
        <v>14591.05</v>
      </c>
      <c r="N28" s="86">
        <f t="shared" si="55"/>
        <v>14591.05</v>
      </c>
      <c r="O28" s="86">
        <f t="shared" si="55"/>
        <v>14591.05</v>
      </c>
      <c r="P28" s="86">
        <f t="shared" si="55"/>
        <v>14591.05</v>
      </c>
      <c r="Q28" s="86">
        <f t="shared" si="55"/>
        <v>14591.05</v>
      </c>
      <c r="R28" s="86">
        <f t="shared" si="55"/>
        <v>14591.05</v>
      </c>
      <c r="S28" s="86">
        <f t="shared" si="55"/>
        <v>14591.05</v>
      </c>
      <c r="T28" s="86">
        <f t="shared" si="55"/>
        <v>14591.05</v>
      </c>
      <c r="W28" s="258" t="str">
        <f>B188</f>
        <v>Weigh Bridge</v>
      </c>
      <c r="X28" s="86">
        <f>(F195)/(10^2)</f>
        <v>0.21760000000000004</v>
      </c>
      <c r="Y28" s="86">
        <f>(G195)/(10^2)</f>
        <v>0.17480000000000004</v>
      </c>
      <c r="Z28" s="86">
        <f>(H195)/(10^2)</f>
        <v>0.13900000000000007</v>
      </c>
      <c r="AA28" s="86">
        <f>(I195)/(10^2)</f>
        <v>0.11370000000000012</v>
      </c>
      <c r="AB28" s="257"/>
    </row>
    <row r="29" spans="2:28" x14ac:dyDescent="0.2">
      <c r="C29" s="21" t="s">
        <v>84</v>
      </c>
      <c r="D29" s="21"/>
      <c r="E29" s="253"/>
      <c r="F29" s="86">
        <v>1741.52</v>
      </c>
      <c r="G29" s="86">
        <v>40.799999999999997</v>
      </c>
      <c r="H29" s="86">
        <v>1833.8</v>
      </c>
      <c r="I29" s="86">
        <v>50.19</v>
      </c>
      <c r="J29" s="86">
        <f>Assumptions!J55</f>
        <v>0</v>
      </c>
      <c r="K29" s="86">
        <f>Assumptions!K55</f>
        <v>0</v>
      </c>
      <c r="L29" s="86">
        <f>Assumptions!L55*100</f>
        <v>900</v>
      </c>
      <c r="M29" s="86">
        <f>Assumptions!M55</f>
        <v>0</v>
      </c>
      <c r="N29" s="86">
        <f>Assumptions!N55</f>
        <v>0</v>
      </c>
      <c r="O29" s="86">
        <f>Assumptions!O55</f>
        <v>0</v>
      </c>
      <c r="P29" s="86">
        <f>Assumptions!P55</f>
        <v>0</v>
      </c>
      <c r="Q29" s="86">
        <f>Assumptions!Q55</f>
        <v>0</v>
      </c>
      <c r="R29" s="86">
        <f>Assumptions!R55</f>
        <v>0</v>
      </c>
      <c r="S29" s="86">
        <f>Assumptions!S55</f>
        <v>0</v>
      </c>
      <c r="T29" s="86">
        <f>Assumptions!T55</f>
        <v>0</v>
      </c>
      <c r="W29" s="162" t="s">
        <v>176</v>
      </c>
      <c r="X29" s="180">
        <f>SUM(X9:X28)</f>
        <v>210.45799999999994</v>
      </c>
      <c r="Y29" s="180">
        <f t="shared" ref="Y29:AB29" si="56">SUM(Y9:Y28)</f>
        <v>207.08369999999999</v>
      </c>
      <c r="Z29" s="180">
        <f t="shared" si="56"/>
        <v>211.3597</v>
      </c>
      <c r="AA29" s="180">
        <f t="shared" si="56"/>
        <v>493.39209999999997</v>
      </c>
      <c r="AB29" s="180">
        <f t="shared" si="56"/>
        <v>282.03519999999997</v>
      </c>
    </row>
    <row r="30" spans="2:28" x14ac:dyDescent="0.2">
      <c r="C30" s="21" t="s">
        <v>102</v>
      </c>
      <c r="D30" s="21"/>
      <c r="E30" s="253"/>
      <c r="F30" s="86">
        <v>0.95</v>
      </c>
      <c r="G30" s="86"/>
      <c r="H30" s="86"/>
      <c r="I30" s="86">
        <v>34.18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AB30" s="257">
        <f>AA29-Z29</f>
        <v>282.03239999999994</v>
      </c>
    </row>
    <row r="31" spans="2:28" x14ac:dyDescent="0.2">
      <c r="C31" s="21" t="s">
        <v>85</v>
      </c>
      <c r="D31" s="21"/>
      <c r="E31" s="253"/>
      <c r="F31" s="86">
        <f>F28+F29-F30</f>
        <v>4804.03</v>
      </c>
      <c r="G31" s="86">
        <f t="shared" ref="G31:J31" si="57">G28+G29-G30</f>
        <v>4844.83</v>
      </c>
      <c r="H31" s="86">
        <f t="shared" si="57"/>
        <v>6678.63</v>
      </c>
      <c r="I31" s="86">
        <f t="shared" si="57"/>
        <v>6694.6399999999994</v>
      </c>
      <c r="J31" s="86">
        <f t="shared" si="57"/>
        <v>13691.05</v>
      </c>
      <c r="K31" s="86">
        <f t="shared" ref="K31:T31" si="58">K28+K29-K30</f>
        <v>13691.05</v>
      </c>
      <c r="L31" s="86">
        <f t="shared" si="58"/>
        <v>14591.05</v>
      </c>
      <c r="M31" s="86">
        <f t="shared" si="58"/>
        <v>14591.05</v>
      </c>
      <c r="N31" s="86">
        <f t="shared" si="58"/>
        <v>14591.05</v>
      </c>
      <c r="O31" s="86">
        <f t="shared" si="58"/>
        <v>14591.05</v>
      </c>
      <c r="P31" s="86">
        <f t="shared" si="58"/>
        <v>14591.05</v>
      </c>
      <c r="Q31" s="86">
        <f t="shared" si="58"/>
        <v>14591.05</v>
      </c>
      <c r="R31" s="86">
        <f t="shared" si="58"/>
        <v>14591.05</v>
      </c>
      <c r="S31" s="86">
        <f t="shared" si="58"/>
        <v>14591.05</v>
      </c>
      <c r="T31" s="86">
        <f t="shared" si="58"/>
        <v>14591.05</v>
      </c>
    </row>
    <row r="32" spans="2:28" x14ac:dyDescent="0.2">
      <c r="C32" s="21" t="s">
        <v>213</v>
      </c>
      <c r="D32" s="21"/>
      <c r="E32" s="253"/>
      <c r="F32" s="86"/>
      <c r="G32" s="86"/>
      <c r="H32" s="86"/>
      <c r="I32" s="86">
        <v>6996.41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W32" s="90" t="s">
        <v>257</v>
      </c>
    </row>
    <row r="33" spans="2:28" x14ac:dyDescent="0.2">
      <c r="C33" s="21" t="s">
        <v>7</v>
      </c>
      <c r="D33" s="21"/>
      <c r="E33" s="253"/>
      <c r="F33" s="86">
        <f>265.83-0.26</f>
        <v>265.57</v>
      </c>
      <c r="G33" s="86">
        <v>482.84</v>
      </c>
      <c r="H33" s="86">
        <v>492.33</v>
      </c>
      <c r="I33" s="86">
        <v>644.33000000000004</v>
      </c>
      <c r="J33" s="86">
        <f>(I35+J29/2)*$E$27</f>
        <v>1384.1326329999999</v>
      </c>
      <c r="K33" s="86">
        <f t="shared" ref="K33:T33" si="59">(J35+K29/2)*$E$27</f>
        <v>1191.5997837497</v>
      </c>
      <c r="L33" s="86">
        <f t="shared" si="59"/>
        <v>1088.4432538301166</v>
      </c>
      <c r="M33" s="86">
        <f t="shared" si="59"/>
        <v>999.63579722234749</v>
      </c>
      <c r="N33" s="86">
        <f t="shared" si="59"/>
        <v>860.58645782871906</v>
      </c>
      <c r="O33" s="86">
        <f t="shared" si="59"/>
        <v>740.87888154474433</v>
      </c>
      <c r="P33" s="86">
        <f t="shared" si="59"/>
        <v>637.82262912187036</v>
      </c>
      <c r="Q33" s="86">
        <f t="shared" si="59"/>
        <v>549.10150141101815</v>
      </c>
      <c r="R33" s="86">
        <f t="shared" si="59"/>
        <v>472.7214825647456</v>
      </c>
      <c r="S33" s="86">
        <f t="shared" si="59"/>
        <v>406.96592433998939</v>
      </c>
      <c r="T33" s="86">
        <f t="shared" si="59"/>
        <v>350.35696426429689</v>
      </c>
      <c r="W33" s="90" t="str">
        <f>B210</f>
        <v>Computer Software</v>
      </c>
      <c r="X33" s="86">
        <f>(F216)/(10^2)</f>
        <v>0.3055000000000001</v>
      </c>
      <c r="Y33" s="86">
        <f>(G216)/(10^2)</f>
        <v>0.16970000000000027</v>
      </c>
      <c r="Z33" s="86">
        <f>(H216)/(10^2)</f>
        <v>7.3800000000000518E-2</v>
      </c>
      <c r="AA33" s="86">
        <f>(I216)/(10^2)</f>
        <v>1.3600000000000705E-2</v>
      </c>
      <c r="AB33" s="86">
        <f>(J216)/(10^2)</f>
        <v>1.3600000000000705E-2</v>
      </c>
    </row>
    <row r="34" spans="2:28" x14ac:dyDescent="0.2">
      <c r="C34" s="21" t="s">
        <v>86</v>
      </c>
      <c r="D34" s="21"/>
      <c r="E34" s="253"/>
      <c r="F34" s="86">
        <f>1855.35+265.57</f>
        <v>2120.92</v>
      </c>
      <c r="G34" s="86">
        <f>F34+G33</f>
        <v>2603.7600000000002</v>
      </c>
      <c r="H34" s="86">
        <f t="shared" ref="H34:J34" si="60">G34+H33</f>
        <v>3096.09</v>
      </c>
      <c r="I34" s="86">
        <f t="shared" si="60"/>
        <v>3740.42</v>
      </c>
      <c r="J34" s="86">
        <f t="shared" si="60"/>
        <v>5124.5526330000002</v>
      </c>
      <c r="K34" s="86">
        <f t="shared" ref="K34" si="61">J34+K33</f>
        <v>6316.1524167497</v>
      </c>
      <c r="L34" s="86">
        <f t="shared" ref="L34" si="62">K34+L33</f>
        <v>7404.5956705798162</v>
      </c>
      <c r="M34" s="86">
        <f t="shared" ref="M34" si="63">L34+M33</f>
        <v>8404.231467802163</v>
      </c>
      <c r="N34" s="86">
        <f t="shared" ref="N34" si="64">M34+N33</f>
        <v>9264.8179256308813</v>
      </c>
      <c r="O34" s="86">
        <f t="shared" ref="O34" si="65">N34+O33</f>
        <v>10005.696807175626</v>
      </c>
      <c r="P34" s="86">
        <f t="shared" ref="P34" si="66">O34+P33</f>
        <v>10643.519436297496</v>
      </c>
      <c r="Q34" s="86">
        <f t="shared" ref="Q34" si="67">P34+Q33</f>
        <v>11192.620937708514</v>
      </c>
      <c r="R34" s="86">
        <f t="shared" ref="R34" si="68">Q34+R33</f>
        <v>11665.34242027326</v>
      </c>
      <c r="S34" s="86">
        <f t="shared" ref="S34" si="69">R34+S33</f>
        <v>12072.30834461325</v>
      </c>
      <c r="T34" s="86">
        <f t="shared" ref="T34" si="70">S34+T33</f>
        <v>12422.665308877546</v>
      </c>
    </row>
    <row r="35" spans="2:28" s="162" customFormat="1" x14ac:dyDescent="0.2">
      <c r="C35" s="22" t="s">
        <v>87</v>
      </c>
      <c r="D35" s="22"/>
      <c r="E35" s="253"/>
      <c r="F35" s="247">
        <f>F31-F34</f>
        <v>2683.1099999999997</v>
      </c>
      <c r="G35" s="247">
        <f t="shared" ref="G35:H35" si="71">G31-G34</f>
        <v>2241.0699999999997</v>
      </c>
      <c r="H35" s="247">
        <f t="shared" si="71"/>
        <v>3582.54</v>
      </c>
      <c r="I35" s="247">
        <f>I31+I32-I34</f>
        <v>9950.6299999999992</v>
      </c>
      <c r="J35" s="247">
        <f>J31+J32-J34</f>
        <v>8566.4973669999999</v>
      </c>
      <c r="K35" s="247">
        <f t="shared" ref="K35:T35" si="72">K31+K32-K34</f>
        <v>7374.8975832502992</v>
      </c>
      <c r="L35" s="247">
        <f t="shared" si="72"/>
        <v>7186.4543294201831</v>
      </c>
      <c r="M35" s="247">
        <f t="shared" si="72"/>
        <v>6186.8185321978362</v>
      </c>
      <c r="N35" s="247">
        <f t="shared" si="72"/>
        <v>5326.232074369118</v>
      </c>
      <c r="O35" s="247">
        <f t="shared" si="72"/>
        <v>4585.3531928243738</v>
      </c>
      <c r="P35" s="247">
        <f t="shared" si="72"/>
        <v>3947.5305637025031</v>
      </c>
      <c r="Q35" s="247">
        <f t="shared" si="72"/>
        <v>3398.429062291485</v>
      </c>
      <c r="R35" s="247">
        <f t="shared" si="72"/>
        <v>2925.7075797267389</v>
      </c>
      <c r="S35" s="247">
        <f t="shared" si="72"/>
        <v>2518.7416553867497</v>
      </c>
      <c r="T35" s="247">
        <f t="shared" si="72"/>
        <v>2168.3846911224537</v>
      </c>
      <c r="W35" s="261"/>
      <c r="X35" s="247"/>
      <c r="Y35" s="247"/>
      <c r="Z35" s="247"/>
      <c r="AA35" s="247"/>
      <c r="AB35" s="180"/>
    </row>
    <row r="36" spans="2:28" x14ac:dyDescent="0.2">
      <c r="B36" s="21"/>
      <c r="C36" s="21"/>
      <c r="D36" s="21"/>
      <c r="E36" s="253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</row>
    <row r="37" spans="2:28" x14ac:dyDescent="0.2">
      <c r="B37" s="254" t="s">
        <v>177</v>
      </c>
      <c r="C37" s="254"/>
      <c r="D37" s="254"/>
      <c r="E37" s="265">
        <v>0.1391</v>
      </c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</row>
    <row r="38" spans="2:28" x14ac:dyDescent="0.2">
      <c r="C38" s="21" t="s">
        <v>83</v>
      </c>
      <c r="D38" s="21"/>
      <c r="E38" s="253"/>
      <c r="F38" s="86">
        <v>2815.26</v>
      </c>
      <c r="G38" s="86">
        <f>F41</f>
        <v>3162.4800000000005</v>
      </c>
      <c r="H38" s="86">
        <f t="shared" ref="H38:I38" si="73">G41</f>
        <v>4271.93</v>
      </c>
      <c r="I38" s="86">
        <f t="shared" si="73"/>
        <v>4855.29</v>
      </c>
      <c r="J38" s="86">
        <f>I41+I42</f>
        <v>9340.64</v>
      </c>
      <c r="K38" s="86">
        <f t="shared" ref="K38:T38" si="74">J41+J42</f>
        <v>9340.64</v>
      </c>
      <c r="L38" s="86">
        <f t="shared" si="74"/>
        <v>9340.64</v>
      </c>
      <c r="M38" s="86">
        <f t="shared" si="74"/>
        <v>9340.64</v>
      </c>
      <c r="N38" s="86">
        <f t="shared" si="74"/>
        <v>9340.64</v>
      </c>
      <c r="O38" s="86">
        <f t="shared" si="74"/>
        <v>9340.64</v>
      </c>
      <c r="P38" s="86">
        <f t="shared" si="74"/>
        <v>9340.64</v>
      </c>
      <c r="Q38" s="86">
        <f t="shared" si="74"/>
        <v>9340.64</v>
      </c>
      <c r="R38" s="86">
        <f t="shared" si="74"/>
        <v>9340.64</v>
      </c>
      <c r="S38" s="86">
        <f t="shared" si="74"/>
        <v>9340.64</v>
      </c>
      <c r="T38" s="86">
        <f t="shared" si="74"/>
        <v>9340.64</v>
      </c>
    </row>
    <row r="39" spans="2:28" x14ac:dyDescent="0.2">
      <c r="C39" s="21" t="s">
        <v>84</v>
      </c>
      <c r="D39" s="21"/>
      <c r="E39" s="253"/>
      <c r="F39" s="86">
        <f>64.1+283.12</f>
        <v>347.22</v>
      </c>
      <c r="G39" s="86">
        <v>1109.45</v>
      </c>
      <c r="H39" s="86">
        <v>593.38</v>
      </c>
      <c r="I39" s="86">
        <f>18.29</f>
        <v>18.29</v>
      </c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</row>
    <row r="40" spans="2:28" x14ac:dyDescent="0.2">
      <c r="C40" s="21" t="s">
        <v>179</v>
      </c>
      <c r="D40" s="21"/>
      <c r="E40" s="253"/>
      <c r="F40" s="86">
        <v>0</v>
      </c>
      <c r="G40" s="86">
        <v>0</v>
      </c>
      <c r="H40" s="86">
        <v>10.02</v>
      </c>
      <c r="I40" s="86">
        <v>2.2799999999999998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</row>
    <row r="41" spans="2:28" x14ac:dyDescent="0.2">
      <c r="C41" s="21" t="s">
        <v>85</v>
      </c>
      <c r="D41" s="21"/>
      <c r="E41" s="253"/>
      <c r="F41" s="86">
        <f>F38+F39-F40</f>
        <v>3162.4800000000005</v>
      </c>
      <c r="G41" s="86">
        <f>G38+G39-G40</f>
        <v>4271.93</v>
      </c>
      <c r="H41" s="86">
        <f t="shared" ref="H41:J41" si="75">H38+H39-H40</f>
        <v>4855.29</v>
      </c>
      <c r="I41" s="86">
        <f t="shared" si="75"/>
        <v>4871.3</v>
      </c>
      <c r="J41" s="86">
        <f t="shared" si="75"/>
        <v>9340.64</v>
      </c>
      <c r="K41" s="86">
        <f t="shared" ref="K41:T41" si="76">K38+K39-K40</f>
        <v>9340.64</v>
      </c>
      <c r="L41" s="86">
        <f t="shared" si="76"/>
        <v>9340.64</v>
      </c>
      <c r="M41" s="86">
        <f t="shared" si="76"/>
        <v>9340.64</v>
      </c>
      <c r="N41" s="86">
        <f t="shared" si="76"/>
        <v>9340.64</v>
      </c>
      <c r="O41" s="86">
        <f t="shared" si="76"/>
        <v>9340.64</v>
      </c>
      <c r="P41" s="86">
        <f t="shared" si="76"/>
        <v>9340.64</v>
      </c>
      <c r="Q41" s="86">
        <f t="shared" si="76"/>
        <v>9340.64</v>
      </c>
      <c r="R41" s="86">
        <f t="shared" si="76"/>
        <v>9340.64</v>
      </c>
      <c r="S41" s="86">
        <f t="shared" si="76"/>
        <v>9340.64</v>
      </c>
      <c r="T41" s="86">
        <f t="shared" si="76"/>
        <v>9340.64</v>
      </c>
    </row>
    <row r="42" spans="2:28" x14ac:dyDescent="0.2">
      <c r="C42" s="21" t="s">
        <v>213</v>
      </c>
      <c r="D42" s="21"/>
      <c r="E42" s="253"/>
      <c r="F42" s="86"/>
      <c r="G42" s="86"/>
      <c r="H42" s="86"/>
      <c r="I42" s="86">
        <v>4469.34</v>
      </c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</row>
    <row r="43" spans="2:28" x14ac:dyDescent="0.2">
      <c r="C43" s="21" t="s">
        <v>7</v>
      </c>
      <c r="D43" s="21"/>
      <c r="E43" s="253"/>
      <c r="F43" s="86">
        <v>240.82</v>
      </c>
      <c r="G43" s="86">
        <v>265.08999999999997</v>
      </c>
      <c r="H43" s="88">
        <f>410.98+5.84-11.68</f>
        <v>405.14</v>
      </c>
      <c r="I43" s="86">
        <f>426.28-1.52</f>
        <v>424.76</v>
      </c>
      <c r="J43" s="86">
        <f>(I45+J39/2)*$E$37</f>
        <v>892.17070799999988</v>
      </c>
      <c r="K43" s="86">
        <f t="shared" ref="K43:T43" si="77">(J45+K39/2)*$E$37</f>
        <v>768.06976251719993</v>
      </c>
      <c r="L43" s="86">
        <f t="shared" si="77"/>
        <v>661.23125855105752</v>
      </c>
      <c r="M43" s="86">
        <f t="shared" si="77"/>
        <v>569.2539904866054</v>
      </c>
      <c r="N43" s="86">
        <f t="shared" si="77"/>
        <v>490.07076040991859</v>
      </c>
      <c r="O43" s="86">
        <f t="shared" si="77"/>
        <v>421.90191763689887</v>
      </c>
      <c r="P43" s="86">
        <f t="shared" si="77"/>
        <v>363.2153608936062</v>
      </c>
      <c r="Q43" s="86">
        <f t="shared" si="77"/>
        <v>312.69210419330562</v>
      </c>
      <c r="R43" s="86">
        <f t="shared" si="77"/>
        <v>269.19663250001679</v>
      </c>
      <c r="S43" s="86">
        <f t="shared" si="77"/>
        <v>231.75138091926451</v>
      </c>
      <c r="T43" s="86">
        <f t="shared" si="77"/>
        <v>199.51476383339485</v>
      </c>
    </row>
    <row r="44" spans="2:28" x14ac:dyDescent="0.2">
      <c r="C44" s="21" t="s">
        <v>86</v>
      </c>
      <c r="D44" s="21"/>
      <c r="E44" s="253"/>
      <c r="F44" s="86">
        <f>1590.95+240.82</f>
        <v>1831.77</v>
      </c>
      <c r="G44" s="86">
        <f>F44+G43</f>
        <v>2096.86</v>
      </c>
      <c r="H44" s="86">
        <f>G44+H43</f>
        <v>2502</v>
      </c>
      <c r="I44" s="86">
        <f>H44+I43</f>
        <v>2926.76</v>
      </c>
      <c r="J44" s="86">
        <f>I44+J43</f>
        <v>3818.9307079999999</v>
      </c>
      <c r="K44" s="86">
        <f t="shared" ref="K44:T44" si="78">J44+K43</f>
        <v>4587.0004705171996</v>
      </c>
      <c r="L44" s="86">
        <f t="shared" si="78"/>
        <v>5248.2317290682568</v>
      </c>
      <c r="M44" s="86">
        <f t="shared" si="78"/>
        <v>5817.485719554862</v>
      </c>
      <c r="N44" s="86">
        <f t="shared" si="78"/>
        <v>6307.5564799647809</v>
      </c>
      <c r="O44" s="86">
        <f t="shared" si="78"/>
        <v>6729.4583976016802</v>
      </c>
      <c r="P44" s="86">
        <f t="shared" si="78"/>
        <v>7092.6737584952862</v>
      </c>
      <c r="Q44" s="86">
        <f t="shared" si="78"/>
        <v>7405.3658626885917</v>
      </c>
      <c r="R44" s="86">
        <f t="shared" si="78"/>
        <v>7674.5624951886084</v>
      </c>
      <c r="S44" s="86">
        <f t="shared" si="78"/>
        <v>7906.3138761078726</v>
      </c>
      <c r="T44" s="86">
        <f t="shared" si="78"/>
        <v>8105.8286399412673</v>
      </c>
    </row>
    <row r="45" spans="2:28" s="162" customFormat="1" x14ac:dyDescent="0.2">
      <c r="C45" s="22" t="s">
        <v>87</v>
      </c>
      <c r="D45" s="22"/>
      <c r="E45" s="253"/>
      <c r="F45" s="247">
        <f>F41-F44</f>
        <v>1330.7100000000005</v>
      </c>
      <c r="G45" s="247">
        <f>(G41-G44)</f>
        <v>2175.0700000000002</v>
      </c>
      <c r="H45" s="247">
        <f>(H41-H44)</f>
        <v>2353.29</v>
      </c>
      <c r="I45" s="247">
        <f>I41+I42-I44</f>
        <v>6413.8799999999992</v>
      </c>
      <c r="J45" s="247">
        <f>J41+J42-J44</f>
        <v>5521.7092919999996</v>
      </c>
      <c r="K45" s="247">
        <f t="shared" ref="K45:T45" si="79">K41+K42-K44</f>
        <v>4753.6395294827998</v>
      </c>
      <c r="L45" s="247">
        <f t="shared" si="79"/>
        <v>4092.4082709317427</v>
      </c>
      <c r="M45" s="247">
        <f t="shared" si="79"/>
        <v>3523.1542804451374</v>
      </c>
      <c r="N45" s="247">
        <f t="shared" si="79"/>
        <v>3033.0835200352185</v>
      </c>
      <c r="O45" s="247">
        <f t="shared" si="79"/>
        <v>2611.1816023983192</v>
      </c>
      <c r="P45" s="247">
        <f t="shared" si="79"/>
        <v>2247.9662415047133</v>
      </c>
      <c r="Q45" s="247">
        <f t="shared" si="79"/>
        <v>1935.2741373114077</v>
      </c>
      <c r="R45" s="247">
        <f t="shared" si="79"/>
        <v>1666.077504811391</v>
      </c>
      <c r="S45" s="247">
        <f t="shared" si="79"/>
        <v>1434.3261238921268</v>
      </c>
      <c r="T45" s="247">
        <f t="shared" si="79"/>
        <v>1234.8113600587321</v>
      </c>
      <c r="W45" s="261"/>
      <c r="X45" s="247"/>
      <c r="Y45" s="247"/>
      <c r="Z45" s="247"/>
      <c r="AA45" s="247"/>
      <c r="AB45" s="180"/>
    </row>
    <row r="46" spans="2:28" x14ac:dyDescent="0.2">
      <c r="B46" s="21"/>
      <c r="C46" s="21"/>
      <c r="D46" s="21"/>
      <c r="E46" s="253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</row>
    <row r="47" spans="2:28" x14ac:dyDescent="0.2">
      <c r="B47" s="22" t="s">
        <v>96</v>
      </c>
      <c r="C47" s="22"/>
      <c r="D47" s="22"/>
      <c r="E47" s="265">
        <v>0.25890000000000002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</row>
    <row r="48" spans="2:28" x14ac:dyDescent="0.2">
      <c r="C48" s="21" t="s">
        <v>83</v>
      </c>
      <c r="D48" s="21"/>
      <c r="E48" s="253"/>
      <c r="F48" s="86">
        <v>565.72</v>
      </c>
      <c r="G48" s="86">
        <f>F51</f>
        <v>576.5</v>
      </c>
      <c r="H48" s="86">
        <f>G51</f>
        <v>576.5</v>
      </c>
      <c r="I48" s="86">
        <f>H51</f>
        <v>624.79</v>
      </c>
      <c r="J48" s="86">
        <f>I51+I52</f>
        <v>724.68</v>
      </c>
      <c r="K48" s="86">
        <f t="shared" ref="K48:T48" si="80">J51+J52</f>
        <v>724.68</v>
      </c>
      <c r="L48" s="86">
        <f t="shared" si="80"/>
        <v>724.68</v>
      </c>
      <c r="M48" s="86">
        <f t="shared" si="80"/>
        <v>724.68</v>
      </c>
      <c r="N48" s="86">
        <f t="shared" si="80"/>
        <v>724.68</v>
      </c>
      <c r="O48" s="86">
        <f t="shared" si="80"/>
        <v>724.68</v>
      </c>
      <c r="P48" s="86">
        <f t="shared" si="80"/>
        <v>724.68</v>
      </c>
      <c r="Q48" s="86">
        <f t="shared" si="80"/>
        <v>724.68</v>
      </c>
      <c r="R48" s="86">
        <f t="shared" si="80"/>
        <v>724.68</v>
      </c>
      <c r="S48" s="86">
        <f t="shared" si="80"/>
        <v>724.68</v>
      </c>
      <c r="T48" s="86">
        <f t="shared" si="80"/>
        <v>724.68</v>
      </c>
    </row>
    <row r="49" spans="2:28" x14ac:dyDescent="0.2">
      <c r="C49" s="21" t="s">
        <v>84</v>
      </c>
      <c r="D49" s="21"/>
      <c r="E49" s="253"/>
      <c r="F49" s="86">
        <f>0.09+10.69</f>
        <v>10.78</v>
      </c>
      <c r="G49" s="86"/>
      <c r="H49" s="86">
        <v>48.29</v>
      </c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</row>
    <row r="50" spans="2:28" x14ac:dyDescent="0.2">
      <c r="C50" s="21" t="s">
        <v>102</v>
      </c>
      <c r="D50" s="21"/>
      <c r="E50" s="253"/>
      <c r="F50" s="86">
        <v>0</v>
      </c>
      <c r="G50" s="86">
        <v>0</v>
      </c>
      <c r="H50" s="86">
        <v>0</v>
      </c>
      <c r="I50" s="86"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</row>
    <row r="51" spans="2:28" x14ac:dyDescent="0.2">
      <c r="C51" s="21" t="s">
        <v>85</v>
      </c>
      <c r="D51" s="21"/>
      <c r="E51" s="253"/>
      <c r="F51" s="86">
        <f>F48+F49-F50</f>
        <v>576.5</v>
      </c>
      <c r="G51" s="86">
        <f t="shared" ref="G51:J51" si="81">G48+G49-G50</f>
        <v>576.5</v>
      </c>
      <c r="H51" s="86">
        <f t="shared" si="81"/>
        <v>624.79</v>
      </c>
      <c r="I51" s="86">
        <f t="shared" si="81"/>
        <v>624.79</v>
      </c>
      <c r="J51" s="86">
        <f t="shared" si="81"/>
        <v>724.68</v>
      </c>
      <c r="K51" s="86">
        <f t="shared" ref="K51:T51" si="82">K48+K49-K50</f>
        <v>724.68</v>
      </c>
      <c r="L51" s="86">
        <f t="shared" si="82"/>
        <v>724.68</v>
      </c>
      <c r="M51" s="86">
        <f t="shared" si="82"/>
        <v>724.68</v>
      </c>
      <c r="N51" s="86">
        <f t="shared" si="82"/>
        <v>724.68</v>
      </c>
      <c r="O51" s="86">
        <f t="shared" si="82"/>
        <v>724.68</v>
      </c>
      <c r="P51" s="86">
        <f t="shared" si="82"/>
        <v>724.68</v>
      </c>
      <c r="Q51" s="86">
        <f t="shared" si="82"/>
        <v>724.68</v>
      </c>
      <c r="R51" s="86">
        <f t="shared" si="82"/>
        <v>724.68</v>
      </c>
      <c r="S51" s="86">
        <f t="shared" si="82"/>
        <v>724.68</v>
      </c>
      <c r="T51" s="86">
        <f t="shared" si="82"/>
        <v>724.68</v>
      </c>
    </row>
    <row r="52" spans="2:28" x14ac:dyDescent="0.2">
      <c r="C52" s="21" t="s">
        <v>213</v>
      </c>
      <c r="D52" s="21"/>
      <c r="E52" s="253"/>
      <c r="F52" s="86"/>
      <c r="G52" s="86"/>
      <c r="H52" s="86"/>
      <c r="I52" s="86">
        <v>99.89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</row>
    <row r="53" spans="2:28" x14ac:dyDescent="0.2">
      <c r="C53" s="21" t="s">
        <v>7</v>
      </c>
      <c r="D53" s="21"/>
      <c r="E53" s="253"/>
      <c r="F53" s="86">
        <v>40.78</v>
      </c>
      <c r="G53" s="86">
        <v>34.799999999999997</v>
      </c>
      <c r="H53" s="86">
        <v>36.43</v>
      </c>
      <c r="I53" s="86">
        <v>30.65</v>
      </c>
      <c r="J53" s="86">
        <f>(I55+J49/2)*$E$47</f>
        <v>61.770951000000011</v>
      </c>
      <c r="K53" s="86">
        <f t="shared" ref="K53:T53" si="83">(J55+K49/2)*$E$47</f>
        <v>45.778451786100021</v>
      </c>
      <c r="L53" s="86">
        <f t="shared" si="83"/>
        <v>33.926410618678716</v>
      </c>
      <c r="M53" s="86">
        <f t="shared" si="83"/>
        <v>25.142862909502803</v>
      </c>
      <c r="N53" s="86">
        <f t="shared" si="83"/>
        <v>18.633375702232524</v>
      </c>
      <c r="O53" s="86">
        <f t="shared" si="83"/>
        <v>13.809194732924512</v>
      </c>
      <c r="P53" s="86">
        <f t="shared" si="83"/>
        <v>10.23399421657035</v>
      </c>
      <c r="Q53" s="86">
        <f t="shared" si="83"/>
        <v>7.5844131139002995</v>
      </c>
      <c r="R53" s="86">
        <f t="shared" si="83"/>
        <v>5.62080855871152</v>
      </c>
      <c r="S53" s="86">
        <f t="shared" si="83"/>
        <v>4.1655812228611193</v>
      </c>
      <c r="T53" s="86">
        <f t="shared" si="83"/>
        <v>3.0871122442623862</v>
      </c>
    </row>
    <row r="54" spans="2:28" x14ac:dyDescent="0.2">
      <c r="C54" s="21" t="s">
        <v>86</v>
      </c>
      <c r="D54" s="21"/>
      <c r="E54" s="253"/>
      <c r="F54" s="86">
        <v>384.20999999999992</v>
      </c>
      <c r="G54" s="86">
        <f>F54+G53</f>
        <v>419.00999999999993</v>
      </c>
      <c r="H54" s="86">
        <f>G54+H53</f>
        <v>455.43999999999994</v>
      </c>
      <c r="I54" s="86">
        <f>H54+I53</f>
        <v>486.08999999999992</v>
      </c>
      <c r="J54" s="86">
        <f>I54+J53</f>
        <v>547.86095099999989</v>
      </c>
      <c r="K54" s="86">
        <f t="shared" ref="K54:T54" si="84">J54+K53</f>
        <v>593.63940278609994</v>
      </c>
      <c r="L54" s="86">
        <f t="shared" si="84"/>
        <v>627.56581340477862</v>
      </c>
      <c r="M54" s="86">
        <f t="shared" si="84"/>
        <v>652.70867631428143</v>
      </c>
      <c r="N54" s="86">
        <f t="shared" si="84"/>
        <v>671.342052016514</v>
      </c>
      <c r="O54" s="86">
        <f t="shared" si="84"/>
        <v>685.15124674943854</v>
      </c>
      <c r="P54" s="86">
        <f t="shared" si="84"/>
        <v>695.38524096600884</v>
      </c>
      <c r="Q54" s="86">
        <f t="shared" si="84"/>
        <v>702.96965407990911</v>
      </c>
      <c r="R54" s="86">
        <f t="shared" si="84"/>
        <v>708.59046263862058</v>
      </c>
      <c r="S54" s="86">
        <f t="shared" si="84"/>
        <v>712.75604386148166</v>
      </c>
      <c r="T54" s="86">
        <f t="shared" si="84"/>
        <v>715.84315610574401</v>
      </c>
    </row>
    <row r="55" spans="2:28" s="162" customFormat="1" x14ac:dyDescent="0.2">
      <c r="C55" s="22" t="s">
        <v>87</v>
      </c>
      <c r="D55" s="22"/>
      <c r="E55" s="253"/>
      <c r="F55" s="247">
        <f>F51-F54</f>
        <v>192.29000000000008</v>
      </c>
      <c r="G55" s="247">
        <f t="shared" ref="G55:H55" si="85">G51-G54</f>
        <v>157.49000000000007</v>
      </c>
      <c r="H55" s="247">
        <f t="shared" si="85"/>
        <v>169.35000000000002</v>
      </c>
      <c r="I55" s="247">
        <f>I51+I52-I54</f>
        <v>238.59000000000003</v>
      </c>
      <c r="J55" s="247">
        <f>J51+J52-J54</f>
        <v>176.81904900000006</v>
      </c>
      <c r="K55" s="247">
        <f t="shared" ref="K55:T55" si="86">K51+K52-K54</f>
        <v>131.04059721390001</v>
      </c>
      <c r="L55" s="247">
        <f t="shared" si="86"/>
        <v>97.114186595221327</v>
      </c>
      <c r="M55" s="247">
        <f t="shared" si="86"/>
        <v>71.971323685718517</v>
      </c>
      <c r="N55" s="247">
        <f t="shared" si="86"/>
        <v>53.337947983485947</v>
      </c>
      <c r="O55" s="247">
        <f t="shared" si="86"/>
        <v>39.528753250561408</v>
      </c>
      <c r="P55" s="247">
        <f t="shared" si="86"/>
        <v>29.294759033991113</v>
      </c>
      <c r="Q55" s="247">
        <f t="shared" si="86"/>
        <v>21.710345920090845</v>
      </c>
      <c r="R55" s="247">
        <f t="shared" si="86"/>
        <v>16.089537361379371</v>
      </c>
      <c r="S55" s="247">
        <f t="shared" si="86"/>
        <v>11.923956138518292</v>
      </c>
      <c r="T55" s="247">
        <f t="shared" si="86"/>
        <v>8.8368438942559351</v>
      </c>
      <c r="W55" s="261"/>
      <c r="X55" s="247"/>
      <c r="Y55" s="247"/>
      <c r="Z55" s="247"/>
      <c r="AA55" s="247"/>
      <c r="AB55" s="180"/>
    </row>
    <row r="56" spans="2:28" x14ac:dyDescent="0.2">
      <c r="B56" s="23"/>
      <c r="C56" s="23"/>
      <c r="D56" s="23"/>
      <c r="E56" s="253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</row>
    <row r="57" spans="2:28" x14ac:dyDescent="0.2">
      <c r="B57" s="263" t="s">
        <v>97</v>
      </c>
      <c r="C57" s="263"/>
      <c r="D57" s="263"/>
      <c r="E57" s="265">
        <v>0.1391</v>
      </c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</row>
    <row r="58" spans="2:28" x14ac:dyDescent="0.2">
      <c r="C58" s="21" t="s">
        <v>83</v>
      </c>
      <c r="D58" s="21"/>
      <c r="E58" s="253"/>
      <c r="F58" s="86">
        <v>165.41</v>
      </c>
      <c r="G58" s="86">
        <f>F61</f>
        <v>178.79</v>
      </c>
      <c r="H58" s="86">
        <f t="shared" ref="H58:J58" si="87">G61</f>
        <v>190.54</v>
      </c>
      <c r="I58" s="86">
        <f t="shared" si="87"/>
        <v>193.65</v>
      </c>
      <c r="J58" s="86">
        <f t="shared" si="87"/>
        <v>195.28</v>
      </c>
      <c r="K58" s="86">
        <f t="shared" ref="K58" si="88">J61</f>
        <v>195.28</v>
      </c>
      <c r="L58" s="86">
        <f t="shared" ref="L58" si="89">K61</f>
        <v>195.28</v>
      </c>
      <c r="M58" s="86">
        <f t="shared" ref="M58" si="90">L61</f>
        <v>195.28</v>
      </c>
      <c r="N58" s="86">
        <f t="shared" ref="N58" si="91">M61</f>
        <v>195.28</v>
      </c>
      <c r="O58" s="86">
        <f t="shared" ref="O58" si="92">N61</f>
        <v>195.28</v>
      </c>
      <c r="P58" s="86">
        <f t="shared" ref="P58" si="93">O61</f>
        <v>195.28</v>
      </c>
      <c r="Q58" s="86">
        <f t="shared" ref="Q58" si="94">P61</f>
        <v>195.28</v>
      </c>
      <c r="R58" s="86">
        <f t="shared" ref="R58" si="95">Q61</f>
        <v>195.28</v>
      </c>
      <c r="S58" s="86">
        <f t="shared" ref="S58" si="96">R61</f>
        <v>195.28</v>
      </c>
      <c r="T58" s="86">
        <f t="shared" ref="T58" si="97">S61</f>
        <v>195.28</v>
      </c>
    </row>
    <row r="59" spans="2:28" x14ac:dyDescent="0.2">
      <c r="C59" s="21" t="s">
        <v>84</v>
      </c>
      <c r="D59" s="21"/>
      <c r="E59" s="253"/>
      <c r="F59" s="86">
        <f>10.53+2.85</f>
        <v>13.379999999999999</v>
      </c>
      <c r="G59" s="86">
        <v>11.75</v>
      </c>
      <c r="H59" s="86">
        <v>3.11</v>
      </c>
      <c r="I59" s="86">
        <v>1.63</v>
      </c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</row>
    <row r="60" spans="2:28" x14ac:dyDescent="0.2">
      <c r="C60" s="21" t="s">
        <v>102</v>
      </c>
      <c r="D60" s="21"/>
      <c r="E60" s="253"/>
      <c r="F60" s="86">
        <v>0</v>
      </c>
      <c r="G60" s="86">
        <v>0</v>
      </c>
      <c r="H60" s="86">
        <v>0</v>
      </c>
      <c r="I60" s="86">
        <v>0</v>
      </c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</row>
    <row r="61" spans="2:28" x14ac:dyDescent="0.2">
      <c r="C61" s="21" t="s">
        <v>85</v>
      </c>
      <c r="D61" s="21"/>
      <c r="E61" s="253"/>
      <c r="F61" s="86">
        <f>F58+F59-F60</f>
        <v>178.79</v>
      </c>
      <c r="G61" s="86">
        <f t="shared" ref="G61:J61" si="98">G58+G59-G60</f>
        <v>190.54</v>
      </c>
      <c r="H61" s="86">
        <f t="shared" si="98"/>
        <v>193.65</v>
      </c>
      <c r="I61" s="86">
        <f t="shared" si="98"/>
        <v>195.28</v>
      </c>
      <c r="J61" s="86">
        <f t="shared" si="98"/>
        <v>195.28</v>
      </c>
      <c r="K61" s="86">
        <f t="shared" ref="K61:T61" si="99">K58+K59-K60</f>
        <v>195.28</v>
      </c>
      <c r="L61" s="86">
        <f t="shared" si="99"/>
        <v>195.28</v>
      </c>
      <c r="M61" s="86">
        <f t="shared" si="99"/>
        <v>195.28</v>
      </c>
      <c r="N61" s="86">
        <f t="shared" si="99"/>
        <v>195.28</v>
      </c>
      <c r="O61" s="86">
        <f t="shared" si="99"/>
        <v>195.28</v>
      </c>
      <c r="P61" s="86">
        <f t="shared" si="99"/>
        <v>195.28</v>
      </c>
      <c r="Q61" s="86">
        <f t="shared" si="99"/>
        <v>195.28</v>
      </c>
      <c r="R61" s="86">
        <f t="shared" si="99"/>
        <v>195.28</v>
      </c>
      <c r="S61" s="86">
        <f t="shared" si="99"/>
        <v>195.28</v>
      </c>
      <c r="T61" s="86">
        <f t="shared" si="99"/>
        <v>195.28</v>
      </c>
    </row>
    <row r="62" spans="2:28" x14ac:dyDescent="0.2">
      <c r="C62" s="21" t="s">
        <v>7</v>
      </c>
      <c r="D62" s="21"/>
      <c r="E62" s="253"/>
      <c r="F62" s="86">
        <v>26.22</v>
      </c>
      <c r="G62" s="86">
        <v>19.27</v>
      </c>
      <c r="H62" s="86">
        <v>14.37</v>
      </c>
      <c r="I62" s="86">
        <v>8.76</v>
      </c>
      <c r="J62" s="86">
        <f>(I64+J59/2)*$E$57</f>
        <v>1.6079960000000004</v>
      </c>
      <c r="K62" s="86">
        <f t="shared" ref="K62:T62" si="100">(J64+K59/2)*$E$57</f>
        <v>1.3843237563999984</v>
      </c>
      <c r="L62" s="86">
        <f t="shared" si="100"/>
        <v>1.1917643218847593</v>
      </c>
      <c r="M62" s="86">
        <f t="shared" si="100"/>
        <v>1.0259899047105889</v>
      </c>
      <c r="N62" s="86">
        <f t="shared" si="100"/>
        <v>0.88327470896534466</v>
      </c>
      <c r="O62" s="86">
        <f t="shared" si="100"/>
        <v>0.76041119694826709</v>
      </c>
      <c r="P62" s="86">
        <f t="shared" si="100"/>
        <v>0.65463799945276291</v>
      </c>
      <c r="Q62" s="86">
        <f t="shared" si="100"/>
        <v>0.56357785372888203</v>
      </c>
      <c r="R62" s="86">
        <f t="shared" si="100"/>
        <v>0.48518417427519578</v>
      </c>
      <c r="S62" s="86">
        <f t="shared" si="100"/>
        <v>0.41769505563351683</v>
      </c>
      <c r="T62" s="86">
        <f t="shared" si="100"/>
        <v>0.35959367339489479</v>
      </c>
    </row>
    <row r="63" spans="2:28" x14ac:dyDescent="0.2">
      <c r="C63" s="21" t="s">
        <v>86</v>
      </c>
      <c r="D63" s="21"/>
      <c r="E63" s="253"/>
      <c r="F63" s="86">
        <v>141.32</v>
      </c>
      <c r="G63" s="86">
        <f>F63+G62</f>
        <v>160.59</v>
      </c>
      <c r="H63" s="86">
        <f t="shared" ref="H63:J63" si="101">G63+H62</f>
        <v>174.96</v>
      </c>
      <c r="I63" s="86">
        <f t="shared" si="101"/>
        <v>183.72</v>
      </c>
      <c r="J63" s="86">
        <f t="shared" si="101"/>
        <v>185.32799600000001</v>
      </c>
      <c r="K63" s="86">
        <f t="shared" ref="K63" si="102">J63+K62</f>
        <v>186.71231975640001</v>
      </c>
      <c r="L63" s="86">
        <f t="shared" ref="L63" si="103">K63+L62</f>
        <v>187.90408407828477</v>
      </c>
      <c r="M63" s="86">
        <f t="shared" ref="M63" si="104">L63+M62</f>
        <v>188.93007398299537</v>
      </c>
      <c r="N63" s="86">
        <f t="shared" ref="N63" si="105">M63+N62</f>
        <v>189.8133486919607</v>
      </c>
      <c r="O63" s="86">
        <f t="shared" ref="O63" si="106">N63+O62</f>
        <v>190.57375988890897</v>
      </c>
      <c r="P63" s="86">
        <f t="shared" ref="P63" si="107">O63+P62</f>
        <v>191.22839788836174</v>
      </c>
      <c r="Q63" s="86">
        <f t="shared" ref="Q63" si="108">P63+Q62</f>
        <v>191.79197574209061</v>
      </c>
      <c r="R63" s="86">
        <f t="shared" ref="R63" si="109">Q63+R62</f>
        <v>192.2771599163658</v>
      </c>
      <c r="S63" s="86">
        <f t="shared" ref="S63" si="110">R63+S62</f>
        <v>192.69485497199932</v>
      </c>
      <c r="T63" s="86">
        <f t="shared" ref="T63" si="111">S63+T62</f>
        <v>193.05444864539422</v>
      </c>
    </row>
    <row r="64" spans="2:28" s="162" customFormat="1" x14ac:dyDescent="0.2">
      <c r="C64" s="22" t="s">
        <v>87</v>
      </c>
      <c r="D64" s="22"/>
      <c r="E64" s="253"/>
      <c r="F64" s="247">
        <f>F61-F63</f>
        <v>37.47</v>
      </c>
      <c r="G64" s="247">
        <f>G61-G63</f>
        <v>29.949999999999989</v>
      </c>
      <c r="H64" s="247">
        <f t="shared" ref="H64:J64" si="112">H61-H63</f>
        <v>18.689999999999998</v>
      </c>
      <c r="I64" s="247">
        <f t="shared" si="112"/>
        <v>11.560000000000002</v>
      </c>
      <c r="J64" s="247">
        <f t="shared" si="112"/>
        <v>9.9520039999999881</v>
      </c>
      <c r="K64" s="247">
        <f t="shared" ref="K64:T64" si="113">K61-K63</f>
        <v>8.5676802435999946</v>
      </c>
      <c r="L64" s="247">
        <f t="shared" si="113"/>
        <v>7.375915921715233</v>
      </c>
      <c r="M64" s="247">
        <f t="shared" si="113"/>
        <v>6.3499260170046341</v>
      </c>
      <c r="N64" s="247">
        <f t="shared" si="113"/>
        <v>5.4666513080393031</v>
      </c>
      <c r="O64" s="247">
        <f t="shared" si="113"/>
        <v>4.7062401110910344</v>
      </c>
      <c r="P64" s="247">
        <f t="shared" si="113"/>
        <v>4.0516021116382603</v>
      </c>
      <c r="Q64" s="247">
        <f t="shared" si="113"/>
        <v>3.4880242579093874</v>
      </c>
      <c r="R64" s="247">
        <f t="shared" si="113"/>
        <v>3.0028400836341973</v>
      </c>
      <c r="S64" s="247">
        <f t="shared" si="113"/>
        <v>2.5851450280006816</v>
      </c>
      <c r="T64" s="247">
        <f t="shared" si="113"/>
        <v>2.2255513546057841</v>
      </c>
      <c r="W64" s="261"/>
      <c r="X64" s="247"/>
      <c r="Y64" s="247"/>
      <c r="Z64" s="247"/>
      <c r="AA64" s="247"/>
      <c r="AB64" s="180"/>
    </row>
    <row r="65" spans="2:28" x14ac:dyDescent="0.2">
      <c r="B65" s="23"/>
      <c r="C65" s="23"/>
      <c r="D65" s="23"/>
      <c r="E65" s="253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</row>
    <row r="66" spans="2:28" x14ac:dyDescent="0.2">
      <c r="B66" s="263" t="s">
        <v>98</v>
      </c>
      <c r="C66" s="263"/>
      <c r="D66" s="263"/>
      <c r="E66" s="265">
        <v>0.4</v>
      </c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</row>
    <row r="67" spans="2:28" x14ac:dyDescent="0.2">
      <c r="C67" s="21" t="s">
        <v>83</v>
      </c>
      <c r="D67" s="21"/>
      <c r="E67" s="253"/>
      <c r="F67" s="86">
        <v>429.64</v>
      </c>
      <c r="G67" s="86">
        <f>F70</f>
        <v>479.88</v>
      </c>
      <c r="H67" s="86">
        <f t="shared" ref="H67:J67" si="114">G70</f>
        <v>518.01</v>
      </c>
      <c r="I67" s="86">
        <f t="shared" si="114"/>
        <v>560.77</v>
      </c>
      <c r="J67" s="86">
        <f t="shared" si="114"/>
        <v>612.97</v>
      </c>
      <c r="K67" s="86">
        <f t="shared" ref="K67" si="115">J70</f>
        <v>612.97</v>
      </c>
      <c r="L67" s="86">
        <f t="shared" ref="L67" si="116">K70</f>
        <v>612.97</v>
      </c>
      <c r="M67" s="86">
        <f t="shared" ref="M67" si="117">L70</f>
        <v>612.97</v>
      </c>
      <c r="N67" s="86">
        <f t="shared" ref="N67" si="118">M70</f>
        <v>612.97</v>
      </c>
      <c r="O67" s="86">
        <f t="shared" ref="O67" si="119">N70</f>
        <v>612.97</v>
      </c>
      <c r="P67" s="86">
        <f t="shared" ref="P67" si="120">O70</f>
        <v>612.97</v>
      </c>
      <c r="Q67" s="86">
        <f t="shared" ref="Q67" si="121">P70</f>
        <v>612.97</v>
      </c>
      <c r="R67" s="86">
        <f t="shared" ref="R67" si="122">Q70</f>
        <v>612.97</v>
      </c>
      <c r="S67" s="86">
        <f t="shared" ref="S67" si="123">R70</f>
        <v>612.97</v>
      </c>
      <c r="T67" s="86">
        <f t="shared" ref="T67" si="124">S70</f>
        <v>612.97</v>
      </c>
    </row>
    <row r="68" spans="2:28" x14ac:dyDescent="0.2">
      <c r="C68" s="21" t="s">
        <v>84</v>
      </c>
      <c r="D68" s="21"/>
      <c r="E68" s="253"/>
      <c r="F68" s="86">
        <f>19.61+30.63</f>
        <v>50.239999999999995</v>
      </c>
      <c r="G68" s="86">
        <v>38.130000000000003</v>
      </c>
      <c r="H68" s="86">
        <v>42.76</v>
      </c>
      <c r="I68" s="86">
        <v>52.2</v>
      </c>
      <c r="J68" s="86">
        <v>0</v>
      </c>
      <c r="K68" s="86">
        <v>0</v>
      </c>
      <c r="L68" s="86">
        <v>0</v>
      </c>
      <c r="M68" s="86">
        <v>0</v>
      </c>
      <c r="N68" s="86">
        <v>0</v>
      </c>
      <c r="O68" s="86">
        <v>0</v>
      </c>
      <c r="P68" s="86">
        <v>0</v>
      </c>
      <c r="Q68" s="86">
        <v>0</v>
      </c>
      <c r="R68" s="86">
        <v>0</v>
      </c>
      <c r="S68" s="86">
        <v>0</v>
      </c>
      <c r="T68" s="86">
        <v>0</v>
      </c>
    </row>
    <row r="69" spans="2:28" x14ac:dyDescent="0.2">
      <c r="C69" s="21" t="s">
        <v>102</v>
      </c>
      <c r="D69" s="21"/>
      <c r="E69" s="253"/>
      <c r="F69" s="86">
        <v>0</v>
      </c>
      <c r="G69" s="86">
        <v>0</v>
      </c>
      <c r="H69" s="86">
        <v>0</v>
      </c>
      <c r="I69" s="86">
        <v>0</v>
      </c>
      <c r="J69" s="86"/>
      <c r="K69" s="86"/>
      <c r="L69" s="86"/>
      <c r="M69" s="86"/>
      <c r="N69" s="86"/>
      <c r="O69" s="86"/>
      <c r="P69" s="86"/>
      <c r="Q69" s="86"/>
      <c r="R69" s="86"/>
      <c r="S69" s="86"/>
      <c r="T69" s="86"/>
    </row>
    <row r="70" spans="2:28" x14ac:dyDescent="0.2">
      <c r="C70" s="21" t="s">
        <v>85</v>
      </c>
      <c r="D70" s="21"/>
      <c r="E70" s="253"/>
      <c r="F70" s="86">
        <f>F67+F68-F69</f>
        <v>479.88</v>
      </c>
      <c r="G70" s="86">
        <f t="shared" ref="G70:J70" si="125">G67+G68-G69</f>
        <v>518.01</v>
      </c>
      <c r="H70" s="86">
        <f t="shared" si="125"/>
        <v>560.77</v>
      </c>
      <c r="I70" s="86">
        <f t="shared" si="125"/>
        <v>612.97</v>
      </c>
      <c r="J70" s="86">
        <f t="shared" si="125"/>
        <v>612.97</v>
      </c>
      <c r="K70" s="86">
        <f t="shared" ref="K70:T70" si="126">K67+K68-K69</f>
        <v>612.97</v>
      </c>
      <c r="L70" s="86">
        <f t="shared" si="126"/>
        <v>612.97</v>
      </c>
      <c r="M70" s="86">
        <f t="shared" si="126"/>
        <v>612.97</v>
      </c>
      <c r="N70" s="86">
        <f t="shared" si="126"/>
        <v>612.97</v>
      </c>
      <c r="O70" s="86">
        <f t="shared" si="126"/>
        <v>612.97</v>
      </c>
      <c r="P70" s="86">
        <f t="shared" si="126"/>
        <v>612.97</v>
      </c>
      <c r="Q70" s="86">
        <f t="shared" si="126"/>
        <v>612.97</v>
      </c>
      <c r="R70" s="86">
        <f t="shared" si="126"/>
        <v>612.97</v>
      </c>
      <c r="S70" s="86">
        <f t="shared" si="126"/>
        <v>612.97</v>
      </c>
      <c r="T70" s="86">
        <f t="shared" si="126"/>
        <v>612.97</v>
      </c>
    </row>
    <row r="71" spans="2:28" x14ac:dyDescent="0.2">
      <c r="C71" s="21" t="s">
        <v>7</v>
      </c>
      <c r="D71" s="21"/>
      <c r="E71" s="253"/>
      <c r="F71" s="86">
        <v>39.700000000000003</v>
      </c>
      <c r="G71" s="86">
        <v>40.090000000000003</v>
      </c>
      <c r="H71" s="86">
        <v>38.01</v>
      </c>
      <c r="I71" s="86">
        <v>39.18</v>
      </c>
      <c r="J71" s="86">
        <f>(I73+J68/2)*$E$66</f>
        <v>83.112000000000023</v>
      </c>
      <c r="K71" s="86">
        <f t="shared" ref="K71:T71" si="127">(J73+K68/2)*$E$66</f>
        <v>49.867200000000004</v>
      </c>
      <c r="L71" s="86">
        <f t="shared" si="127"/>
        <v>29.920319999999993</v>
      </c>
      <c r="M71" s="86">
        <f t="shared" si="127"/>
        <v>17.952192000000014</v>
      </c>
      <c r="N71" s="86">
        <f t="shared" si="127"/>
        <v>10.771315200000027</v>
      </c>
      <c r="O71" s="86">
        <f t="shared" si="127"/>
        <v>6.4627891200000249</v>
      </c>
      <c r="P71" s="86">
        <f t="shared" si="127"/>
        <v>3.8776734720000152</v>
      </c>
      <c r="Q71" s="86">
        <f t="shared" si="127"/>
        <v>2.3266040832000274</v>
      </c>
      <c r="R71" s="86">
        <f t="shared" si="127"/>
        <v>1.3959624499200345</v>
      </c>
      <c r="S71" s="86">
        <f t="shared" si="127"/>
        <v>0.83757746995202076</v>
      </c>
      <c r="T71" s="86">
        <f t="shared" si="127"/>
        <v>0.50254648197119423</v>
      </c>
    </row>
    <row r="72" spans="2:28" x14ac:dyDescent="0.2">
      <c r="C72" s="21" t="s">
        <v>86</v>
      </c>
      <c r="D72" s="21"/>
      <c r="E72" s="253"/>
      <c r="F72" s="86">
        <v>287.91000000000003</v>
      </c>
      <c r="G72" s="86">
        <f>F72+G71</f>
        <v>328</v>
      </c>
      <c r="H72" s="86">
        <f t="shared" ref="H72:J72" si="128">G72+H71</f>
        <v>366.01</v>
      </c>
      <c r="I72" s="86">
        <f t="shared" si="128"/>
        <v>405.19</v>
      </c>
      <c r="J72" s="86">
        <f t="shared" si="128"/>
        <v>488.30200000000002</v>
      </c>
      <c r="K72" s="86">
        <f t="shared" ref="K72" si="129">J72+K71</f>
        <v>538.16920000000005</v>
      </c>
      <c r="L72" s="86">
        <f t="shared" ref="L72" si="130">K72+L71</f>
        <v>568.08951999999999</v>
      </c>
      <c r="M72" s="86">
        <f t="shared" ref="M72" si="131">L72+M71</f>
        <v>586.04171199999996</v>
      </c>
      <c r="N72" s="86">
        <f t="shared" ref="N72" si="132">M72+N71</f>
        <v>596.81302719999996</v>
      </c>
      <c r="O72" s="86">
        <f t="shared" ref="O72" si="133">N72+O71</f>
        <v>603.27581631999999</v>
      </c>
      <c r="P72" s="86">
        <f t="shared" ref="P72" si="134">O72+P71</f>
        <v>607.15348979199996</v>
      </c>
      <c r="Q72" s="86">
        <f t="shared" ref="Q72" si="135">P72+Q71</f>
        <v>609.48009387519994</v>
      </c>
      <c r="R72" s="86">
        <f t="shared" ref="R72" si="136">Q72+R71</f>
        <v>610.87605632511998</v>
      </c>
      <c r="S72" s="86">
        <f t="shared" ref="S72" si="137">R72+S71</f>
        <v>611.71363379507204</v>
      </c>
      <c r="T72" s="86">
        <f t="shared" ref="T72" si="138">S72+T71</f>
        <v>612.21618027704324</v>
      </c>
    </row>
    <row r="73" spans="2:28" s="162" customFormat="1" x14ac:dyDescent="0.2">
      <c r="C73" s="22" t="s">
        <v>87</v>
      </c>
      <c r="D73" s="22"/>
      <c r="E73" s="253"/>
      <c r="F73" s="247">
        <f>F70-F72</f>
        <v>191.96999999999997</v>
      </c>
      <c r="G73" s="247">
        <f>G70-G72</f>
        <v>190.01</v>
      </c>
      <c r="H73" s="247">
        <f t="shared" ref="H73:J73" si="139">H70-H72</f>
        <v>194.76</v>
      </c>
      <c r="I73" s="247">
        <f t="shared" si="139"/>
        <v>207.78000000000003</v>
      </c>
      <c r="J73" s="247">
        <f t="shared" si="139"/>
        <v>124.66800000000001</v>
      </c>
      <c r="K73" s="247">
        <f t="shared" ref="K73:T73" si="140">K70-K72</f>
        <v>74.800799999999981</v>
      </c>
      <c r="L73" s="247">
        <f t="shared" si="140"/>
        <v>44.880480000000034</v>
      </c>
      <c r="M73" s="247">
        <f t="shared" si="140"/>
        <v>26.928288000000066</v>
      </c>
      <c r="N73" s="247">
        <f t="shared" si="140"/>
        <v>16.156972800000062</v>
      </c>
      <c r="O73" s="247">
        <f t="shared" si="140"/>
        <v>9.6941836800000374</v>
      </c>
      <c r="P73" s="247">
        <f t="shared" si="140"/>
        <v>5.8165102080000679</v>
      </c>
      <c r="Q73" s="247">
        <f t="shared" si="140"/>
        <v>3.4899061248000862</v>
      </c>
      <c r="R73" s="247">
        <f t="shared" si="140"/>
        <v>2.0939436748800517</v>
      </c>
      <c r="S73" s="247">
        <f t="shared" si="140"/>
        <v>1.2563662049279856</v>
      </c>
      <c r="T73" s="247">
        <f t="shared" si="140"/>
        <v>0.75381972295679134</v>
      </c>
      <c r="W73" s="261"/>
      <c r="X73" s="247"/>
      <c r="Y73" s="247"/>
      <c r="Z73" s="247"/>
      <c r="AA73" s="247"/>
      <c r="AB73" s="180"/>
    </row>
    <row r="74" spans="2:28" x14ac:dyDescent="0.2">
      <c r="B74" s="23"/>
      <c r="C74" s="23"/>
      <c r="D74" s="23"/>
      <c r="E74" s="253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</row>
    <row r="75" spans="2:28" x14ac:dyDescent="0.2">
      <c r="B75" s="24" t="s">
        <v>99</v>
      </c>
      <c r="C75" s="24"/>
      <c r="D75" s="24"/>
      <c r="E75" s="265">
        <v>0.05</v>
      </c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</row>
    <row r="76" spans="2:28" x14ac:dyDescent="0.2">
      <c r="C76" s="21" t="s">
        <v>83</v>
      </c>
      <c r="D76" s="21"/>
      <c r="E76" s="253"/>
      <c r="F76" s="86">
        <v>615.13</v>
      </c>
      <c r="G76" s="86">
        <f>F79</f>
        <v>805.12</v>
      </c>
      <c r="H76" s="88">
        <f>G79+4.57</f>
        <v>875.0200000000001</v>
      </c>
      <c r="I76" s="86">
        <f>H79</f>
        <v>878.38000000000011</v>
      </c>
      <c r="J76" s="86">
        <f>I79+I80</f>
        <v>1269.8700000000001</v>
      </c>
      <c r="K76" s="86">
        <f t="shared" ref="K76:T76" si="141">J79+J80</f>
        <v>1269.8700000000001</v>
      </c>
      <c r="L76" s="86">
        <f t="shared" si="141"/>
        <v>1269.8700000000001</v>
      </c>
      <c r="M76" s="86">
        <f t="shared" si="141"/>
        <v>1269.8700000000001</v>
      </c>
      <c r="N76" s="86">
        <f t="shared" si="141"/>
        <v>1269.8700000000001</v>
      </c>
      <c r="O76" s="86">
        <f t="shared" si="141"/>
        <v>1269.8700000000001</v>
      </c>
      <c r="P76" s="86">
        <f t="shared" si="141"/>
        <v>1269.8700000000001</v>
      </c>
      <c r="Q76" s="86">
        <f t="shared" si="141"/>
        <v>1269.8700000000001</v>
      </c>
      <c r="R76" s="86">
        <f t="shared" si="141"/>
        <v>1269.8700000000001</v>
      </c>
      <c r="S76" s="86">
        <f t="shared" si="141"/>
        <v>1269.8700000000001</v>
      </c>
      <c r="T76" s="86">
        <f t="shared" si="141"/>
        <v>1269.8700000000001</v>
      </c>
    </row>
    <row r="77" spans="2:28" x14ac:dyDescent="0.2">
      <c r="C77" s="21" t="s">
        <v>84</v>
      </c>
      <c r="D77" s="21"/>
      <c r="E77" s="253"/>
      <c r="F77" s="86">
        <f>0.29+189.7</f>
        <v>189.98999999999998</v>
      </c>
      <c r="G77" s="86">
        <f>65.33</f>
        <v>65.33</v>
      </c>
      <c r="H77" s="86">
        <v>3.36</v>
      </c>
      <c r="I77" s="86">
        <v>0.21</v>
      </c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</row>
    <row r="78" spans="2:28" x14ac:dyDescent="0.2">
      <c r="C78" s="21" t="s">
        <v>102</v>
      </c>
      <c r="D78" s="21"/>
      <c r="E78" s="253"/>
      <c r="F78" s="86">
        <v>0</v>
      </c>
      <c r="G78" s="86">
        <v>0</v>
      </c>
      <c r="H78" s="86">
        <v>0</v>
      </c>
      <c r="I78" s="86">
        <v>0</v>
      </c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</row>
    <row r="79" spans="2:28" x14ac:dyDescent="0.2">
      <c r="C79" s="21" t="s">
        <v>85</v>
      </c>
      <c r="D79" s="21"/>
      <c r="E79" s="253"/>
      <c r="F79" s="86">
        <f>F76+F77-F78</f>
        <v>805.12</v>
      </c>
      <c r="G79" s="86">
        <f t="shared" ref="G79:J79" si="142">G76+G77-G78</f>
        <v>870.45</v>
      </c>
      <c r="H79" s="86">
        <f t="shared" si="142"/>
        <v>878.38000000000011</v>
      </c>
      <c r="I79" s="86">
        <f t="shared" si="142"/>
        <v>878.59000000000015</v>
      </c>
      <c r="J79" s="86">
        <f t="shared" si="142"/>
        <v>1269.8700000000001</v>
      </c>
      <c r="K79" s="86">
        <f t="shared" ref="K79:T79" si="143">K76+K77-K78</f>
        <v>1269.8700000000001</v>
      </c>
      <c r="L79" s="86">
        <f t="shared" si="143"/>
        <v>1269.8700000000001</v>
      </c>
      <c r="M79" s="86">
        <f t="shared" si="143"/>
        <v>1269.8700000000001</v>
      </c>
      <c r="N79" s="86">
        <f t="shared" si="143"/>
        <v>1269.8700000000001</v>
      </c>
      <c r="O79" s="86">
        <f t="shared" si="143"/>
        <v>1269.8700000000001</v>
      </c>
      <c r="P79" s="86">
        <f t="shared" si="143"/>
        <v>1269.8700000000001</v>
      </c>
      <c r="Q79" s="86">
        <f t="shared" si="143"/>
        <v>1269.8700000000001</v>
      </c>
      <c r="R79" s="86">
        <f t="shared" si="143"/>
        <v>1269.8700000000001</v>
      </c>
      <c r="S79" s="86">
        <f t="shared" si="143"/>
        <v>1269.8700000000001</v>
      </c>
      <c r="T79" s="86">
        <f t="shared" si="143"/>
        <v>1269.8700000000001</v>
      </c>
    </row>
    <row r="80" spans="2:28" x14ac:dyDescent="0.2">
      <c r="C80" s="21" t="s">
        <v>213</v>
      </c>
      <c r="D80" s="21"/>
      <c r="E80" s="253"/>
      <c r="F80" s="86">
        <v>0</v>
      </c>
      <c r="G80" s="86">
        <v>0</v>
      </c>
      <c r="H80" s="86">
        <v>0</v>
      </c>
      <c r="I80" s="86">
        <v>391.28</v>
      </c>
      <c r="J80" s="86"/>
      <c r="K80" s="86"/>
      <c r="L80" s="86"/>
      <c r="M80" s="86"/>
      <c r="N80" s="86"/>
      <c r="O80" s="86"/>
      <c r="P80" s="86"/>
      <c r="Q80" s="86"/>
      <c r="R80" s="86"/>
      <c r="S80" s="86"/>
      <c r="T80" s="86"/>
    </row>
    <row r="81" spans="2:28" x14ac:dyDescent="0.2">
      <c r="C81" s="21" t="s">
        <v>7</v>
      </c>
      <c r="D81" s="21"/>
      <c r="E81" s="253"/>
      <c r="F81" s="86">
        <v>25.25</v>
      </c>
      <c r="G81" s="86">
        <v>32.04</v>
      </c>
      <c r="H81" s="86">
        <v>32.869999999999997</v>
      </c>
      <c r="I81" s="86">
        <v>31.37</v>
      </c>
      <c r="J81" s="86">
        <f>(I83+J77/2)*$E$75</f>
        <v>50.234500000000004</v>
      </c>
      <c r="K81" s="86">
        <f t="shared" ref="K81:T81" si="144">(J83+K77/2)*$E$75</f>
        <v>47.722775000000006</v>
      </c>
      <c r="L81" s="86">
        <f t="shared" si="144"/>
        <v>45.336636250000005</v>
      </c>
      <c r="M81" s="86">
        <f t="shared" si="144"/>
        <v>43.069804437500004</v>
      </c>
      <c r="N81" s="86">
        <f t="shared" si="144"/>
        <v>40.916314215625007</v>
      </c>
      <c r="O81" s="86">
        <f t="shared" si="144"/>
        <v>38.870498504843752</v>
      </c>
      <c r="P81" s="86">
        <f t="shared" si="144"/>
        <v>36.926973579601565</v>
      </c>
      <c r="Q81" s="86">
        <f t="shared" si="144"/>
        <v>35.080624900621494</v>
      </c>
      <c r="R81" s="86">
        <f t="shared" si="144"/>
        <v>33.326593655590415</v>
      </c>
      <c r="S81" s="86">
        <f t="shared" si="144"/>
        <v>31.660263972810895</v>
      </c>
      <c r="T81" s="86">
        <f t="shared" si="144"/>
        <v>30.077250774170352</v>
      </c>
    </row>
    <row r="82" spans="2:28" x14ac:dyDescent="0.2">
      <c r="C82" s="21" t="s">
        <v>86</v>
      </c>
      <c r="D82" s="21"/>
      <c r="E82" s="253"/>
      <c r="F82" s="86">
        <v>168.9</v>
      </c>
      <c r="G82" s="86">
        <f>F82+G81</f>
        <v>200.94</v>
      </c>
      <c r="H82" s="86">
        <f t="shared" ref="H82:J82" si="145">G82+H81</f>
        <v>233.81</v>
      </c>
      <c r="I82" s="86">
        <f t="shared" si="145"/>
        <v>265.18</v>
      </c>
      <c r="J82" s="86">
        <f t="shared" si="145"/>
        <v>315.41450000000003</v>
      </c>
      <c r="K82" s="86">
        <f t="shared" ref="K82" si="146">J82+K81</f>
        <v>363.13727500000005</v>
      </c>
      <c r="L82" s="86">
        <f t="shared" ref="L82" si="147">K82+L81</f>
        <v>408.47391125000007</v>
      </c>
      <c r="M82" s="86">
        <f t="shared" ref="M82" si="148">L82+M81</f>
        <v>451.54371568750008</v>
      </c>
      <c r="N82" s="86">
        <f t="shared" ref="N82" si="149">M82+N81</f>
        <v>492.46002990312508</v>
      </c>
      <c r="O82" s="86">
        <f t="shared" ref="O82" si="150">N82+O81</f>
        <v>531.33052840796881</v>
      </c>
      <c r="P82" s="86">
        <f t="shared" ref="P82" si="151">O82+P81</f>
        <v>568.25750198757032</v>
      </c>
      <c r="Q82" s="86">
        <f t="shared" ref="Q82" si="152">P82+Q81</f>
        <v>603.33812688819182</v>
      </c>
      <c r="R82" s="86">
        <f t="shared" ref="R82" si="153">Q82+R81</f>
        <v>636.66472054378221</v>
      </c>
      <c r="S82" s="86">
        <f t="shared" ref="S82" si="154">R82+S81</f>
        <v>668.32498451659308</v>
      </c>
      <c r="T82" s="86">
        <f t="shared" ref="T82" si="155">S82+T81</f>
        <v>698.40223529076343</v>
      </c>
    </row>
    <row r="83" spans="2:28" s="162" customFormat="1" x14ac:dyDescent="0.2">
      <c r="C83" s="22" t="s">
        <v>87</v>
      </c>
      <c r="D83" s="22"/>
      <c r="E83" s="253"/>
      <c r="F83" s="247">
        <f>F79-F82</f>
        <v>636.22</v>
      </c>
      <c r="G83" s="247">
        <f t="shared" ref="G83" si="156">G79-G82</f>
        <v>669.51</v>
      </c>
      <c r="H83" s="247">
        <f t="shared" ref="H83" si="157">H79-H82</f>
        <v>644.57000000000016</v>
      </c>
      <c r="I83" s="247">
        <f>I79+I80-I82</f>
        <v>1004.69</v>
      </c>
      <c r="J83" s="247">
        <f>J79+J80-J82</f>
        <v>954.45550000000003</v>
      </c>
      <c r="K83" s="247">
        <f t="shared" ref="K83:T83" si="158">K79+K80-K82</f>
        <v>906.73272500000007</v>
      </c>
      <c r="L83" s="247">
        <f t="shared" si="158"/>
        <v>861.39608874999999</v>
      </c>
      <c r="M83" s="247">
        <f t="shared" si="158"/>
        <v>818.32628431250009</v>
      </c>
      <c r="N83" s="247">
        <f t="shared" si="158"/>
        <v>777.40997009687499</v>
      </c>
      <c r="O83" s="247">
        <f t="shared" si="158"/>
        <v>738.5394715920313</v>
      </c>
      <c r="P83" s="247">
        <f t="shared" si="158"/>
        <v>701.6124980124298</v>
      </c>
      <c r="Q83" s="247">
        <f t="shared" si="158"/>
        <v>666.5318731118083</v>
      </c>
      <c r="R83" s="247">
        <f t="shared" si="158"/>
        <v>633.20527945621791</v>
      </c>
      <c r="S83" s="247">
        <f t="shared" si="158"/>
        <v>601.54501548340704</v>
      </c>
      <c r="T83" s="247">
        <f t="shared" si="158"/>
        <v>571.46776470923669</v>
      </c>
      <c r="W83" s="261"/>
      <c r="X83" s="247"/>
      <c r="Y83" s="247"/>
      <c r="Z83" s="247"/>
      <c r="AA83" s="247"/>
      <c r="AB83" s="180"/>
    </row>
    <row r="84" spans="2:28" x14ac:dyDescent="0.2">
      <c r="B84" s="23"/>
      <c r="C84" s="23"/>
      <c r="D84" s="23"/>
      <c r="E84" s="253"/>
      <c r="F84" s="86"/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</row>
    <row r="85" spans="2:28" x14ac:dyDescent="0.2">
      <c r="B85" s="24" t="s">
        <v>114</v>
      </c>
      <c r="C85" s="24"/>
      <c r="D85" s="24"/>
      <c r="E85" s="265">
        <v>0.1391</v>
      </c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</row>
    <row r="86" spans="2:28" x14ac:dyDescent="0.2">
      <c r="C86" s="21" t="s">
        <v>83</v>
      </c>
      <c r="D86" s="21"/>
      <c r="E86" s="253"/>
      <c r="F86" s="86">
        <v>1119.02</v>
      </c>
      <c r="G86" s="86">
        <f>F89</f>
        <v>2498.89</v>
      </c>
      <c r="H86" s="86">
        <f t="shared" ref="H86:I86" si="159">G89</f>
        <v>2630.93</v>
      </c>
      <c r="I86" s="86">
        <f t="shared" si="159"/>
        <v>2730.04</v>
      </c>
      <c r="J86" s="86">
        <f>I89+I90</f>
        <v>4129.3900000000003</v>
      </c>
      <c r="K86" s="86">
        <f t="shared" ref="K86:T86" si="160">J89+J90</f>
        <v>4129.3900000000003</v>
      </c>
      <c r="L86" s="86">
        <f t="shared" si="160"/>
        <v>4129.3900000000003</v>
      </c>
      <c r="M86" s="86">
        <f t="shared" si="160"/>
        <v>4129.3900000000003</v>
      </c>
      <c r="N86" s="86">
        <f t="shared" si="160"/>
        <v>4129.3900000000003</v>
      </c>
      <c r="O86" s="86">
        <f t="shared" si="160"/>
        <v>4129.3900000000003</v>
      </c>
      <c r="P86" s="86">
        <f t="shared" si="160"/>
        <v>4129.3900000000003</v>
      </c>
      <c r="Q86" s="86">
        <f t="shared" si="160"/>
        <v>4129.3900000000003</v>
      </c>
      <c r="R86" s="86">
        <f t="shared" si="160"/>
        <v>4129.3900000000003</v>
      </c>
      <c r="S86" s="86">
        <f t="shared" si="160"/>
        <v>4129.3900000000003</v>
      </c>
      <c r="T86" s="86">
        <f t="shared" si="160"/>
        <v>4129.3900000000003</v>
      </c>
    </row>
    <row r="87" spans="2:28" x14ac:dyDescent="0.2">
      <c r="C87" s="21" t="s">
        <v>84</v>
      </c>
      <c r="D87" s="21"/>
      <c r="E87" s="253"/>
      <c r="F87" s="86">
        <f>39.79+1340.08</f>
        <v>1379.87</v>
      </c>
      <c r="G87" s="86">
        <v>132.04</v>
      </c>
      <c r="H87" s="86">
        <v>99.11</v>
      </c>
      <c r="I87" s="86">
        <v>11.9</v>
      </c>
      <c r="J87" s="86">
        <v>0</v>
      </c>
      <c r="K87" s="86">
        <v>0</v>
      </c>
      <c r="L87" s="86">
        <v>0</v>
      </c>
      <c r="M87" s="86">
        <v>0</v>
      </c>
      <c r="N87" s="86">
        <v>0</v>
      </c>
      <c r="O87" s="86">
        <v>0</v>
      </c>
      <c r="P87" s="86">
        <v>0</v>
      </c>
      <c r="Q87" s="86">
        <v>0</v>
      </c>
      <c r="R87" s="86">
        <v>0</v>
      </c>
      <c r="S87" s="86">
        <v>0</v>
      </c>
      <c r="T87" s="86">
        <v>0</v>
      </c>
    </row>
    <row r="88" spans="2:28" x14ac:dyDescent="0.2">
      <c r="C88" s="21" t="s">
        <v>102</v>
      </c>
      <c r="D88" s="21"/>
      <c r="E88" s="253"/>
      <c r="F88" s="86">
        <v>0</v>
      </c>
      <c r="G88" s="86">
        <v>0</v>
      </c>
      <c r="H88" s="86">
        <v>0</v>
      </c>
      <c r="I88" s="86">
        <v>0</v>
      </c>
      <c r="J88" s="86">
        <v>0</v>
      </c>
      <c r="K88" s="86">
        <v>0</v>
      </c>
      <c r="L88" s="86">
        <v>0</v>
      </c>
      <c r="M88" s="86">
        <v>0</v>
      </c>
      <c r="N88" s="86">
        <v>0</v>
      </c>
      <c r="O88" s="86">
        <v>0</v>
      </c>
      <c r="P88" s="86">
        <v>0</v>
      </c>
      <c r="Q88" s="86">
        <v>0</v>
      </c>
      <c r="R88" s="86">
        <v>0</v>
      </c>
      <c r="S88" s="86">
        <v>0</v>
      </c>
      <c r="T88" s="86">
        <v>0</v>
      </c>
    </row>
    <row r="89" spans="2:28" x14ac:dyDescent="0.2">
      <c r="C89" s="21" t="s">
        <v>85</v>
      </c>
      <c r="D89" s="21"/>
      <c r="E89" s="253"/>
      <c r="F89" s="86">
        <f>F86+F87-F88</f>
        <v>2498.89</v>
      </c>
      <c r="G89" s="86">
        <f t="shared" ref="G89:J89" si="161">G86+G87-G88</f>
        <v>2630.93</v>
      </c>
      <c r="H89" s="86">
        <f t="shared" si="161"/>
        <v>2730.04</v>
      </c>
      <c r="I89" s="86">
        <f t="shared" si="161"/>
        <v>2741.94</v>
      </c>
      <c r="J89" s="86">
        <f t="shared" si="161"/>
        <v>4129.3900000000003</v>
      </c>
      <c r="K89" s="86">
        <f t="shared" ref="K89:T89" si="162">K86+K87-K88</f>
        <v>4129.3900000000003</v>
      </c>
      <c r="L89" s="86">
        <f t="shared" si="162"/>
        <v>4129.3900000000003</v>
      </c>
      <c r="M89" s="86">
        <f t="shared" si="162"/>
        <v>4129.3900000000003</v>
      </c>
      <c r="N89" s="86">
        <f t="shared" si="162"/>
        <v>4129.3900000000003</v>
      </c>
      <c r="O89" s="86">
        <f t="shared" si="162"/>
        <v>4129.3900000000003</v>
      </c>
      <c r="P89" s="86">
        <f t="shared" si="162"/>
        <v>4129.3900000000003</v>
      </c>
      <c r="Q89" s="86">
        <f t="shared" si="162"/>
        <v>4129.3900000000003</v>
      </c>
      <c r="R89" s="86">
        <f t="shared" si="162"/>
        <v>4129.3900000000003</v>
      </c>
      <c r="S89" s="86">
        <f t="shared" si="162"/>
        <v>4129.3900000000003</v>
      </c>
      <c r="T89" s="86">
        <f t="shared" si="162"/>
        <v>4129.3900000000003</v>
      </c>
    </row>
    <row r="90" spans="2:28" x14ac:dyDescent="0.2">
      <c r="C90" s="21" t="s">
        <v>213</v>
      </c>
      <c r="D90" s="21"/>
      <c r="E90" s="253"/>
      <c r="F90" s="86"/>
      <c r="G90" s="86"/>
      <c r="H90" s="86"/>
      <c r="I90" s="86">
        <v>1387.45</v>
      </c>
      <c r="J90" s="86">
        <v>0</v>
      </c>
      <c r="K90" s="86">
        <v>0</v>
      </c>
      <c r="L90" s="86">
        <v>0</v>
      </c>
      <c r="M90" s="86">
        <v>0</v>
      </c>
      <c r="N90" s="86">
        <v>0</v>
      </c>
      <c r="O90" s="86">
        <v>0</v>
      </c>
      <c r="P90" s="86">
        <v>0</v>
      </c>
      <c r="Q90" s="86">
        <v>0</v>
      </c>
      <c r="R90" s="86">
        <v>0</v>
      </c>
      <c r="S90" s="86">
        <v>0</v>
      </c>
      <c r="T90" s="86">
        <v>0</v>
      </c>
    </row>
    <row r="91" spans="2:28" x14ac:dyDescent="0.2">
      <c r="C91" s="21" t="s">
        <v>7</v>
      </c>
      <c r="D91" s="21"/>
      <c r="E91" s="253"/>
      <c r="F91" s="86">
        <v>120.02</v>
      </c>
      <c r="G91" s="86">
        <v>301.33</v>
      </c>
      <c r="H91" s="86">
        <v>275.01</v>
      </c>
      <c r="I91" s="86">
        <v>222.53</v>
      </c>
      <c r="J91" s="86">
        <f>(I93+J87/2)*$E$85</f>
        <v>327.2424870000001</v>
      </c>
      <c r="K91" s="86">
        <f t="shared" ref="K91:T91" si="163">(J93+K87/2)*$E$85</f>
        <v>281.72305705830001</v>
      </c>
      <c r="L91" s="86">
        <f t="shared" si="163"/>
        <v>242.53537982149047</v>
      </c>
      <c r="M91" s="86">
        <f t="shared" si="163"/>
        <v>208.79870848832115</v>
      </c>
      <c r="N91" s="86">
        <f t="shared" si="163"/>
        <v>179.75480813759566</v>
      </c>
      <c r="O91" s="86">
        <f t="shared" si="163"/>
        <v>154.75091432565611</v>
      </c>
      <c r="P91" s="86">
        <f t="shared" si="163"/>
        <v>133.22506214295734</v>
      </c>
      <c r="Q91" s="86">
        <f t="shared" si="163"/>
        <v>114.69345599887194</v>
      </c>
      <c r="R91" s="86">
        <f t="shared" si="163"/>
        <v>98.739596269428873</v>
      </c>
      <c r="S91" s="86">
        <f t="shared" si="163"/>
        <v>85.004918428351289</v>
      </c>
      <c r="T91" s="86">
        <f t="shared" si="163"/>
        <v>73.180734274967648</v>
      </c>
    </row>
    <row r="92" spans="2:28" x14ac:dyDescent="0.2">
      <c r="C92" s="21" t="s">
        <v>86</v>
      </c>
      <c r="D92" s="21"/>
      <c r="E92" s="253"/>
      <c r="F92" s="86">
        <v>977.95</v>
      </c>
      <c r="G92" s="86">
        <f>F92+G91</f>
        <v>1279.28</v>
      </c>
      <c r="H92" s="86">
        <f t="shared" ref="H92:J92" si="164">G92+H91</f>
        <v>1554.29</v>
      </c>
      <c r="I92" s="86">
        <f t="shared" si="164"/>
        <v>1776.82</v>
      </c>
      <c r="J92" s="86">
        <f t="shared" si="164"/>
        <v>2104.0624870000001</v>
      </c>
      <c r="K92" s="86">
        <f t="shared" ref="K92" si="165">J92+K91</f>
        <v>2385.7855440583003</v>
      </c>
      <c r="L92" s="86">
        <f t="shared" ref="L92" si="166">K92+L91</f>
        <v>2628.3209238797908</v>
      </c>
      <c r="M92" s="86">
        <f t="shared" ref="M92" si="167">L92+M91</f>
        <v>2837.119632368112</v>
      </c>
      <c r="N92" s="86">
        <f t="shared" ref="N92" si="168">M92+N91</f>
        <v>3016.8744405057078</v>
      </c>
      <c r="O92" s="86">
        <f t="shared" ref="O92" si="169">N92+O91</f>
        <v>3171.6253548313639</v>
      </c>
      <c r="P92" s="86">
        <f t="shared" ref="P92" si="170">O92+P91</f>
        <v>3304.8504169743214</v>
      </c>
      <c r="Q92" s="86">
        <f t="shared" ref="Q92" si="171">P92+Q91</f>
        <v>3419.5438729731932</v>
      </c>
      <c r="R92" s="86">
        <f t="shared" ref="R92" si="172">Q92+R91</f>
        <v>3518.2834692426222</v>
      </c>
      <c r="S92" s="86">
        <f t="shared" ref="S92" si="173">R92+S91</f>
        <v>3603.2883876709734</v>
      </c>
      <c r="T92" s="86">
        <f t="shared" ref="T92" si="174">S92+T91</f>
        <v>3676.469121945941</v>
      </c>
    </row>
    <row r="93" spans="2:28" s="162" customFormat="1" x14ac:dyDescent="0.2">
      <c r="C93" s="22" t="s">
        <v>87</v>
      </c>
      <c r="D93" s="22"/>
      <c r="E93" s="253"/>
      <c r="F93" s="247">
        <f>F89-F92</f>
        <v>1520.9399999999998</v>
      </c>
      <c r="G93" s="247">
        <f t="shared" ref="G93" si="175">G89-G92</f>
        <v>1351.6499999999999</v>
      </c>
      <c r="H93" s="247">
        <f t="shared" ref="H93" si="176">H89-H92</f>
        <v>1175.75</v>
      </c>
      <c r="I93" s="247">
        <f>I89+I90-I92</f>
        <v>2352.5700000000006</v>
      </c>
      <c r="J93" s="247">
        <f>J89+J90-J92</f>
        <v>2025.3275130000002</v>
      </c>
      <c r="K93" s="247">
        <f t="shared" ref="K93:T93" si="177">K89+K90-K92</f>
        <v>1743.6044559417001</v>
      </c>
      <c r="L93" s="247">
        <f t="shared" si="177"/>
        <v>1501.0690761202095</v>
      </c>
      <c r="M93" s="247">
        <f t="shared" si="177"/>
        <v>1292.2703676318883</v>
      </c>
      <c r="N93" s="247">
        <f t="shared" si="177"/>
        <v>1112.5155594942926</v>
      </c>
      <c r="O93" s="247">
        <f t="shared" si="177"/>
        <v>957.76464516863643</v>
      </c>
      <c r="P93" s="247">
        <f t="shared" si="177"/>
        <v>824.53958302567889</v>
      </c>
      <c r="Q93" s="247">
        <f t="shared" si="177"/>
        <v>709.84612702680715</v>
      </c>
      <c r="R93" s="247">
        <f t="shared" si="177"/>
        <v>611.1065307573781</v>
      </c>
      <c r="S93" s="247">
        <f t="shared" si="177"/>
        <v>526.10161232902692</v>
      </c>
      <c r="T93" s="247">
        <f t="shared" si="177"/>
        <v>452.92087805405936</v>
      </c>
      <c r="W93" s="261"/>
      <c r="X93" s="247"/>
      <c r="Y93" s="247"/>
      <c r="Z93" s="247"/>
      <c r="AA93" s="247"/>
      <c r="AB93" s="180"/>
    </row>
    <row r="94" spans="2:28" x14ac:dyDescent="0.2">
      <c r="B94" s="23"/>
      <c r="C94" s="23"/>
      <c r="D94" s="23"/>
      <c r="E94" s="253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</row>
    <row r="95" spans="2:28" x14ac:dyDescent="0.2">
      <c r="B95" s="263" t="s">
        <v>105</v>
      </c>
      <c r="C95" s="263"/>
      <c r="D95" s="263"/>
      <c r="E95" s="265">
        <v>0.1</v>
      </c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</row>
    <row r="96" spans="2:28" x14ac:dyDescent="0.2">
      <c r="C96" s="21" t="s">
        <v>83</v>
      </c>
      <c r="D96" s="21"/>
      <c r="E96" s="253"/>
      <c r="F96" s="86">
        <v>6100.78</v>
      </c>
      <c r="G96" s="86">
        <f>F99</f>
        <v>10977.8</v>
      </c>
      <c r="H96" s="88">
        <f>G99*0+11238.05</f>
        <v>11238.05</v>
      </c>
      <c r="I96" s="86">
        <f>H99</f>
        <v>11240.539999999999</v>
      </c>
      <c r="J96" s="86">
        <f>I99+I100</f>
        <v>15517.029999999999</v>
      </c>
      <c r="K96" s="86">
        <f t="shared" ref="K96:T96" si="178">J99+J100</f>
        <v>15517.029999999999</v>
      </c>
      <c r="L96" s="86">
        <f t="shared" si="178"/>
        <v>15517.029999999999</v>
      </c>
      <c r="M96" s="86">
        <f t="shared" si="178"/>
        <v>15517.029999999999</v>
      </c>
      <c r="N96" s="86">
        <f t="shared" si="178"/>
        <v>15517.029999999999</v>
      </c>
      <c r="O96" s="86">
        <f t="shared" si="178"/>
        <v>15517.029999999999</v>
      </c>
      <c r="P96" s="86">
        <f t="shared" si="178"/>
        <v>15517.029999999999</v>
      </c>
      <c r="Q96" s="86">
        <f t="shared" si="178"/>
        <v>15517.029999999999</v>
      </c>
      <c r="R96" s="86">
        <f t="shared" si="178"/>
        <v>15517.029999999999</v>
      </c>
      <c r="S96" s="86">
        <f t="shared" si="178"/>
        <v>15517.029999999999</v>
      </c>
      <c r="T96" s="86">
        <f t="shared" si="178"/>
        <v>15517.029999999999</v>
      </c>
    </row>
    <row r="97" spans="2:28" x14ac:dyDescent="0.2">
      <c r="C97" s="21" t="s">
        <v>84</v>
      </c>
      <c r="D97" s="21"/>
      <c r="E97" s="253"/>
      <c r="F97" s="86">
        <f>3.03+4873.99</f>
        <v>4877.0199999999995</v>
      </c>
      <c r="G97" s="86">
        <v>264.82</v>
      </c>
      <c r="H97" s="86">
        <v>2.4900000000000002</v>
      </c>
      <c r="I97" s="86">
        <v>0.65</v>
      </c>
      <c r="J97" s="86">
        <v>0</v>
      </c>
      <c r="K97" s="86">
        <v>0</v>
      </c>
      <c r="L97" s="86">
        <v>0</v>
      </c>
      <c r="M97" s="86">
        <v>0</v>
      </c>
      <c r="N97" s="86">
        <v>0</v>
      </c>
      <c r="O97" s="86">
        <v>0</v>
      </c>
      <c r="P97" s="86">
        <v>0</v>
      </c>
      <c r="Q97" s="86">
        <v>0</v>
      </c>
      <c r="R97" s="86">
        <v>0</v>
      </c>
      <c r="S97" s="86">
        <v>0</v>
      </c>
      <c r="T97" s="86">
        <v>0</v>
      </c>
    </row>
    <row r="98" spans="2:28" x14ac:dyDescent="0.2">
      <c r="C98" s="21" t="s">
        <v>102</v>
      </c>
      <c r="D98" s="21"/>
      <c r="E98" s="253"/>
      <c r="F98" s="86"/>
      <c r="G98" s="86"/>
      <c r="H98" s="86"/>
      <c r="I98" s="86"/>
      <c r="J98" s="86">
        <v>0</v>
      </c>
      <c r="K98" s="86">
        <v>0</v>
      </c>
      <c r="L98" s="86">
        <v>0</v>
      </c>
      <c r="M98" s="86">
        <v>0</v>
      </c>
      <c r="N98" s="86">
        <v>0</v>
      </c>
      <c r="O98" s="86">
        <v>0</v>
      </c>
      <c r="P98" s="86">
        <v>0</v>
      </c>
      <c r="Q98" s="86">
        <v>0</v>
      </c>
      <c r="R98" s="86">
        <v>0</v>
      </c>
      <c r="S98" s="86">
        <v>0</v>
      </c>
      <c r="T98" s="86">
        <v>0</v>
      </c>
    </row>
    <row r="99" spans="2:28" x14ac:dyDescent="0.2">
      <c r="C99" s="21" t="s">
        <v>85</v>
      </c>
      <c r="D99" s="21"/>
      <c r="E99" s="253"/>
      <c r="F99" s="86">
        <f>F96+F97-F98</f>
        <v>10977.8</v>
      </c>
      <c r="G99" s="86">
        <f t="shared" ref="G99:J99" si="179">G96+G97-G98</f>
        <v>11242.619999999999</v>
      </c>
      <c r="H99" s="86">
        <f t="shared" si="179"/>
        <v>11240.539999999999</v>
      </c>
      <c r="I99" s="86">
        <f t="shared" si="179"/>
        <v>11241.189999999999</v>
      </c>
      <c r="J99" s="86">
        <f t="shared" si="179"/>
        <v>15517.029999999999</v>
      </c>
      <c r="K99" s="86">
        <f t="shared" ref="K99:T99" si="180">K96+K97-K98</f>
        <v>15517.029999999999</v>
      </c>
      <c r="L99" s="86">
        <f t="shared" si="180"/>
        <v>15517.029999999999</v>
      </c>
      <c r="M99" s="86">
        <f t="shared" si="180"/>
        <v>15517.029999999999</v>
      </c>
      <c r="N99" s="86">
        <f t="shared" si="180"/>
        <v>15517.029999999999</v>
      </c>
      <c r="O99" s="86">
        <f t="shared" si="180"/>
        <v>15517.029999999999</v>
      </c>
      <c r="P99" s="86">
        <f t="shared" si="180"/>
        <v>15517.029999999999</v>
      </c>
      <c r="Q99" s="86">
        <f t="shared" si="180"/>
        <v>15517.029999999999</v>
      </c>
      <c r="R99" s="86">
        <f t="shared" si="180"/>
        <v>15517.029999999999</v>
      </c>
      <c r="S99" s="86">
        <f t="shared" si="180"/>
        <v>15517.029999999999</v>
      </c>
      <c r="T99" s="86">
        <f t="shared" si="180"/>
        <v>15517.029999999999</v>
      </c>
    </row>
    <row r="100" spans="2:28" x14ac:dyDescent="0.2">
      <c r="C100" s="21" t="s">
        <v>213</v>
      </c>
      <c r="D100" s="21"/>
      <c r="E100" s="253"/>
      <c r="F100" s="86"/>
      <c r="G100" s="86"/>
      <c r="H100" s="86"/>
      <c r="I100" s="86">
        <v>4275.84</v>
      </c>
      <c r="J100" s="86">
        <v>0</v>
      </c>
      <c r="K100" s="86">
        <v>0</v>
      </c>
      <c r="L100" s="86">
        <v>0</v>
      </c>
      <c r="M100" s="86">
        <v>0</v>
      </c>
      <c r="N100" s="86">
        <v>0</v>
      </c>
      <c r="O100" s="86">
        <v>0</v>
      </c>
      <c r="P100" s="86">
        <v>0</v>
      </c>
      <c r="Q100" s="86">
        <v>0</v>
      </c>
      <c r="R100" s="86">
        <v>0</v>
      </c>
      <c r="S100" s="86">
        <v>0</v>
      </c>
      <c r="T100" s="86">
        <v>0</v>
      </c>
    </row>
    <row r="101" spans="2:28" x14ac:dyDescent="0.2">
      <c r="C101" s="21" t="s">
        <v>7</v>
      </c>
      <c r="D101" s="21"/>
      <c r="E101" s="253"/>
      <c r="F101" s="86">
        <v>374.48</v>
      </c>
      <c r="G101" s="86">
        <v>759.78</v>
      </c>
      <c r="H101" s="86">
        <v>710.86</v>
      </c>
      <c r="I101" s="86">
        <v>643.54</v>
      </c>
      <c r="J101" s="86">
        <f>(I103+J97/2)*$E95</f>
        <v>1040.6579999999999</v>
      </c>
      <c r="K101" s="86">
        <f t="shared" ref="K101:T101" si="181">(J103+K97/2)*$E95</f>
        <v>936.59219999999993</v>
      </c>
      <c r="L101" s="86">
        <f t="shared" si="181"/>
        <v>842.93298000000004</v>
      </c>
      <c r="M101" s="86">
        <f t="shared" si="181"/>
        <v>758.63968199999988</v>
      </c>
      <c r="N101" s="86">
        <f t="shared" si="181"/>
        <v>682.77571379999995</v>
      </c>
      <c r="O101" s="86">
        <f t="shared" si="181"/>
        <v>614.49814242000002</v>
      </c>
      <c r="P101" s="86">
        <f t="shared" si="181"/>
        <v>553.04832817800002</v>
      </c>
      <c r="Q101" s="86">
        <f t="shared" si="181"/>
        <v>497.74349536020003</v>
      </c>
      <c r="R101" s="86">
        <f t="shared" si="181"/>
        <v>447.96914582417998</v>
      </c>
      <c r="S101" s="86">
        <f t="shared" si="181"/>
        <v>403.17223124176201</v>
      </c>
      <c r="T101" s="86">
        <f t="shared" si="181"/>
        <v>362.85500811758578</v>
      </c>
    </row>
    <row r="102" spans="2:28" x14ac:dyDescent="0.2">
      <c r="C102" s="21" t="s">
        <v>86</v>
      </c>
      <c r="D102" s="21"/>
      <c r="E102" s="253"/>
      <c r="F102" s="86">
        <v>2996.27</v>
      </c>
      <c r="G102" s="86">
        <f>F102+G101</f>
        <v>3756.05</v>
      </c>
      <c r="H102" s="86">
        <f>G102+H101</f>
        <v>4466.91</v>
      </c>
      <c r="I102" s="86">
        <f t="shared" ref="I102:J102" si="182">H102+I101</f>
        <v>5110.45</v>
      </c>
      <c r="J102" s="86">
        <f t="shared" si="182"/>
        <v>6151.1080000000002</v>
      </c>
      <c r="K102" s="86">
        <f t="shared" ref="K102" si="183">J102+K101</f>
        <v>7087.7002000000002</v>
      </c>
      <c r="L102" s="86">
        <f t="shared" ref="L102" si="184">K102+L101</f>
        <v>7930.6331800000007</v>
      </c>
      <c r="M102" s="86">
        <f t="shared" ref="M102" si="185">L102+M101</f>
        <v>8689.2728619999998</v>
      </c>
      <c r="N102" s="86">
        <f t="shared" ref="N102" si="186">M102+N101</f>
        <v>9372.0485757999995</v>
      </c>
      <c r="O102" s="86">
        <f t="shared" ref="O102" si="187">N102+O101</f>
        <v>9986.5467182199991</v>
      </c>
      <c r="P102" s="86">
        <f t="shared" ref="P102" si="188">O102+P101</f>
        <v>10539.595046397999</v>
      </c>
      <c r="Q102" s="86">
        <f t="shared" ref="Q102" si="189">P102+Q101</f>
        <v>11037.338541758199</v>
      </c>
      <c r="R102" s="86">
        <f t="shared" ref="R102" si="190">Q102+R101</f>
        <v>11485.307687582379</v>
      </c>
      <c r="S102" s="86">
        <f t="shared" ref="S102" si="191">R102+S101</f>
        <v>11888.479918824141</v>
      </c>
      <c r="T102" s="86">
        <f t="shared" ref="T102" si="192">S102+T101</f>
        <v>12251.334926941727</v>
      </c>
    </row>
    <row r="103" spans="2:28" s="162" customFormat="1" x14ac:dyDescent="0.2">
      <c r="C103" s="22" t="s">
        <v>87</v>
      </c>
      <c r="D103" s="22"/>
      <c r="E103" s="253"/>
      <c r="F103" s="247">
        <f>F99-F102</f>
        <v>7981.5299999999988</v>
      </c>
      <c r="G103" s="247">
        <f t="shared" ref="G103:H103" si="193">G99-G102</f>
        <v>7486.5699999999988</v>
      </c>
      <c r="H103" s="247">
        <f t="shared" si="193"/>
        <v>6773.6299999999992</v>
      </c>
      <c r="I103" s="247">
        <f>I99+I100-I102</f>
        <v>10406.579999999998</v>
      </c>
      <c r="J103" s="247">
        <f>J99+J100-J102</f>
        <v>9365.9219999999987</v>
      </c>
      <c r="K103" s="247">
        <f t="shared" ref="K103:T103" si="194">K99+K100-K102</f>
        <v>8429.3297999999995</v>
      </c>
      <c r="L103" s="247">
        <f t="shared" si="194"/>
        <v>7586.3968199999981</v>
      </c>
      <c r="M103" s="247">
        <f t="shared" si="194"/>
        <v>6827.757137999999</v>
      </c>
      <c r="N103" s="247">
        <f t="shared" si="194"/>
        <v>6144.9814241999993</v>
      </c>
      <c r="O103" s="247">
        <f t="shared" si="194"/>
        <v>5530.4832817799997</v>
      </c>
      <c r="P103" s="247">
        <f t="shared" si="194"/>
        <v>4977.434953602</v>
      </c>
      <c r="Q103" s="247">
        <f t="shared" si="194"/>
        <v>4479.6914582417994</v>
      </c>
      <c r="R103" s="247">
        <f t="shared" si="194"/>
        <v>4031.7223124176198</v>
      </c>
      <c r="S103" s="247">
        <f t="shared" si="194"/>
        <v>3628.5500811758575</v>
      </c>
      <c r="T103" s="247">
        <f t="shared" si="194"/>
        <v>3265.6950730582721</v>
      </c>
      <c r="W103" s="261"/>
      <c r="X103" s="247"/>
      <c r="Y103" s="247"/>
      <c r="Z103" s="247"/>
      <c r="AA103" s="247"/>
      <c r="AB103" s="180"/>
    </row>
    <row r="104" spans="2:28" x14ac:dyDescent="0.2">
      <c r="B104" s="23"/>
      <c r="C104" s="23"/>
      <c r="D104" s="23"/>
      <c r="E104" s="253"/>
      <c r="F104" s="86"/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</row>
    <row r="105" spans="2:28" x14ac:dyDescent="0.2">
      <c r="B105" s="263" t="s">
        <v>117</v>
      </c>
      <c r="C105" s="263"/>
      <c r="D105" s="263"/>
      <c r="E105" s="265">
        <v>0.18099999999999999</v>
      </c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</row>
    <row r="106" spans="2:28" x14ac:dyDescent="0.2">
      <c r="C106" s="21" t="s">
        <v>83</v>
      </c>
      <c r="D106" s="21"/>
      <c r="E106" s="253"/>
      <c r="F106" s="86">
        <v>438.79</v>
      </c>
      <c r="G106" s="86">
        <f>F109</f>
        <v>578.09</v>
      </c>
      <c r="H106" s="86">
        <f t="shared" ref="H106:I106" si="195">G109</f>
        <v>617.56000000000006</v>
      </c>
      <c r="I106" s="86">
        <f t="shared" si="195"/>
        <v>629.74</v>
      </c>
      <c r="J106" s="86">
        <f>I109</f>
        <v>631.46</v>
      </c>
      <c r="K106" s="86">
        <f t="shared" ref="K106:T106" si="196">J109</f>
        <v>631.46</v>
      </c>
      <c r="L106" s="86">
        <f t="shared" si="196"/>
        <v>631.46</v>
      </c>
      <c r="M106" s="86">
        <f t="shared" si="196"/>
        <v>631.46</v>
      </c>
      <c r="N106" s="86">
        <f t="shared" si="196"/>
        <v>631.46</v>
      </c>
      <c r="O106" s="86">
        <f t="shared" si="196"/>
        <v>631.46</v>
      </c>
      <c r="P106" s="86">
        <f t="shared" si="196"/>
        <v>631.46</v>
      </c>
      <c r="Q106" s="86">
        <f t="shared" si="196"/>
        <v>631.46</v>
      </c>
      <c r="R106" s="86">
        <f t="shared" si="196"/>
        <v>631.46</v>
      </c>
      <c r="S106" s="86">
        <f t="shared" si="196"/>
        <v>631.46</v>
      </c>
      <c r="T106" s="86">
        <f t="shared" si="196"/>
        <v>631.46</v>
      </c>
    </row>
    <row r="107" spans="2:28" x14ac:dyDescent="0.2">
      <c r="C107" s="21" t="s">
        <v>84</v>
      </c>
      <c r="D107" s="21"/>
      <c r="E107" s="253"/>
      <c r="F107" s="86">
        <f>0.15+139.15</f>
        <v>139.30000000000001</v>
      </c>
      <c r="G107" s="86">
        <v>39.47</v>
      </c>
      <c r="H107" s="86">
        <v>12.18</v>
      </c>
      <c r="I107" s="86">
        <f>4.1</f>
        <v>4.0999999999999996</v>
      </c>
      <c r="J107" s="86">
        <v>0</v>
      </c>
      <c r="K107" s="86">
        <v>0</v>
      </c>
      <c r="L107" s="86">
        <v>0</v>
      </c>
      <c r="M107" s="86">
        <v>0</v>
      </c>
      <c r="N107" s="86">
        <v>0</v>
      </c>
      <c r="O107" s="86">
        <v>0</v>
      </c>
      <c r="P107" s="86">
        <v>0</v>
      </c>
      <c r="Q107" s="86">
        <v>0</v>
      </c>
      <c r="R107" s="86">
        <v>0</v>
      </c>
      <c r="S107" s="86">
        <v>0</v>
      </c>
      <c r="T107" s="86">
        <v>0</v>
      </c>
    </row>
    <row r="108" spans="2:28" x14ac:dyDescent="0.2">
      <c r="C108" s="21" t="s">
        <v>102</v>
      </c>
      <c r="D108" s="21"/>
      <c r="E108" s="253"/>
      <c r="F108" s="86">
        <v>0</v>
      </c>
      <c r="G108" s="86">
        <v>0</v>
      </c>
      <c r="H108" s="86">
        <v>0</v>
      </c>
      <c r="I108" s="86">
        <v>2.38</v>
      </c>
      <c r="J108" s="86">
        <v>0</v>
      </c>
      <c r="K108" s="86">
        <v>0</v>
      </c>
      <c r="L108" s="86">
        <v>0</v>
      </c>
      <c r="M108" s="86">
        <v>0</v>
      </c>
      <c r="N108" s="86">
        <v>0</v>
      </c>
      <c r="O108" s="86">
        <v>0</v>
      </c>
      <c r="P108" s="86">
        <v>0</v>
      </c>
      <c r="Q108" s="86">
        <v>0</v>
      </c>
      <c r="R108" s="86">
        <v>0</v>
      </c>
      <c r="S108" s="86">
        <v>0</v>
      </c>
      <c r="T108" s="86">
        <v>0</v>
      </c>
    </row>
    <row r="109" spans="2:28" x14ac:dyDescent="0.2">
      <c r="C109" s="21" t="s">
        <v>85</v>
      </c>
      <c r="D109" s="21"/>
      <c r="E109" s="253"/>
      <c r="F109" s="86">
        <f>F106+F107-F108</f>
        <v>578.09</v>
      </c>
      <c r="G109" s="86">
        <f t="shared" ref="G109:J109" si="197">G106+G107-G108</f>
        <v>617.56000000000006</v>
      </c>
      <c r="H109" s="86">
        <f t="shared" si="197"/>
        <v>629.74</v>
      </c>
      <c r="I109" s="86">
        <f t="shared" si="197"/>
        <v>631.46</v>
      </c>
      <c r="J109" s="86">
        <f t="shared" si="197"/>
        <v>631.46</v>
      </c>
      <c r="K109" s="86">
        <f t="shared" ref="K109:T109" si="198">K106+K107-K108</f>
        <v>631.46</v>
      </c>
      <c r="L109" s="86">
        <f t="shared" si="198"/>
        <v>631.46</v>
      </c>
      <c r="M109" s="86">
        <f t="shared" si="198"/>
        <v>631.46</v>
      </c>
      <c r="N109" s="86">
        <f t="shared" si="198"/>
        <v>631.46</v>
      </c>
      <c r="O109" s="86">
        <f t="shared" si="198"/>
        <v>631.46</v>
      </c>
      <c r="P109" s="86">
        <f t="shared" si="198"/>
        <v>631.46</v>
      </c>
      <c r="Q109" s="86">
        <f t="shared" si="198"/>
        <v>631.46</v>
      </c>
      <c r="R109" s="86">
        <f t="shared" si="198"/>
        <v>631.46</v>
      </c>
      <c r="S109" s="86">
        <f t="shared" si="198"/>
        <v>631.46</v>
      </c>
      <c r="T109" s="86">
        <f t="shared" si="198"/>
        <v>631.46</v>
      </c>
    </row>
    <row r="110" spans="2:28" x14ac:dyDescent="0.2">
      <c r="C110" s="21" t="s">
        <v>7</v>
      </c>
      <c r="D110" s="21"/>
      <c r="E110" s="253"/>
      <c r="F110" s="86">
        <v>52.77</v>
      </c>
      <c r="G110" s="86">
        <v>73.95</v>
      </c>
      <c r="H110" s="86">
        <v>62.66</v>
      </c>
      <c r="I110" s="86">
        <f>46.66-1.64</f>
        <v>45.019999999999996</v>
      </c>
      <c r="J110" s="86">
        <f>(I112+J107/2)*$E105</f>
        <v>24.847680000000015</v>
      </c>
      <c r="K110" s="86">
        <f t="shared" ref="K110:T110" si="199">(J112+K107/2)*$E105</f>
        <v>20.350249920000021</v>
      </c>
      <c r="L110" s="86">
        <f t="shared" si="199"/>
        <v>16.666854684480018</v>
      </c>
      <c r="M110" s="86">
        <f t="shared" si="199"/>
        <v>13.650153986589144</v>
      </c>
      <c r="N110" s="86">
        <f t="shared" si="199"/>
        <v>11.179476115016518</v>
      </c>
      <c r="O110" s="86">
        <f t="shared" si="199"/>
        <v>9.1559909381985243</v>
      </c>
      <c r="P110" s="86">
        <f t="shared" si="199"/>
        <v>7.4987565783845866</v>
      </c>
      <c r="Q110" s="86">
        <f t="shared" si="199"/>
        <v>6.1414816376969767</v>
      </c>
      <c r="R110" s="86">
        <f t="shared" si="199"/>
        <v>5.0298734612738221</v>
      </c>
      <c r="S110" s="86">
        <f t="shared" si="199"/>
        <v>4.1194663647832579</v>
      </c>
      <c r="T110" s="86">
        <f t="shared" si="199"/>
        <v>3.3738429527574794</v>
      </c>
    </row>
    <row r="111" spans="2:28" x14ac:dyDescent="0.2">
      <c r="C111" s="21" t="s">
        <v>86</v>
      </c>
      <c r="D111" s="21"/>
      <c r="E111" s="253"/>
      <c r="F111" s="86">
        <v>312.55</v>
      </c>
      <c r="G111" s="86">
        <f t="shared" ref="G111:J111" si="200">F111+G110</f>
        <v>386.5</v>
      </c>
      <c r="H111" s="86">
        <f t="shared" si="200"/>
        <v>449.15999999999997</v>
      </c>
      <c r="I111" s="86">
        <f t="shared" si="200"/>
        <v>494.17999999999995</v>
      </c>
      <c r="J111" s="86">
        <f t="shared" si="200"/>
        <v>519.02767999999992</v>
      </c>
      <c r="K111" s="86">
        <f t="shared" ref="K111" si="201">J111+K110</f>
        <v>539.37792991999993</v>
      </c>
      <c r="L111" s="86">
        <f t="shared" ref="L111" si="202">K111+L110</f>
        <v>556.0447846044799</v>
      </c>
      <c r="M111" s="86">
        <f t="shared" ref="M111" si="203">L111+M110</f>
        <v>569.69493859106899</v>
      </c>
      <c r="N111" s="86">
        <f t="shared" ref="N111" si="204">M111+N110</f>
        <v>580.87441470608553</v>
      </c>
      <c r="O111" s="86">
        <f t="shared" ref="O111" si="205">N111+O110</f>
        <v>590.03040564428409</v>
      </c>
      <c r="P111" s="86">
        <f t="shared" ref="P111" si="206">O111+P110</f>
        <v>597.52916222266867</v>
      </c>
      <c r="Q111" s="86">
        <f t="shared" ref="Q111" si="207">P111+Q110</f>
        <v>603.67064386036566</v>
      </c>
      <c r="R111" s="86">
        <f t="shared" ref="R111" si="208">Q111+R110</f>
        <v>608.7005173216395</v>
      </c>
      <c r="S111" s="86">
        <f t="shared" ref="S111" si="209">R111+S110</f>
        <v>612.8199836864228</v>
      </c>
      <c r="T111" s="86">
        <f t="shared" ref="T111" si="210">S111+T110</f>
        <v>616.19382663918032</v>
      </c>
    </row>
    <row r="112" spans="2:28" s="162" customFormat="1" x14ac:dyDescent="0.2">
      <c r="C112" s="22" t="s">
        <v>87</v>
      </c>
      <c r="D112" s="22"/>
      <c r="E112" s="253"/>
      <c r="F112" s="247">
        <f>F109-F111</f>
        <v>265.54000000000002</v>
      </c>
      <c r="G112" s="247">
        <f>G109-G111</f>
        <v>231.06000000000006</v>
      </c>
      <c r="H112" s="247">
        <f t="shared" ref="H112:J112" si="211">H109-H111</f>
        <v>180.58000000000004</v>
      </c>
      <c r="I112" s="247">
        <f t="shared" si="211"/>
        <v>137.28000000000009</v>
      </c>
      <c r="J112" s="247">
        <f t="shared" si="211"/>
        <v>112.43232000000012</v>
      </c>
      <c r="K112" s="247">
        <f t="shared" ref="K112:T112" si="212">K109-K111</f>
        <v>92.082070080000108</v>
      </c>
      <c r="L112" s="247">
        <f t="shared" si="212"/>
        <v>75.415215395520136</v>
      </c>
      <c r="M112" s="247">
        <f t="shared" si="212"/>
        <v>61.765061408931047</v>
      </c>
      <c r="N112" s="247">
        <f t="shared" si="212"/>
        <v>50.585585293914505</v>
      </c>
      <c r="O112" s="247">
        <f t="shared" si="212"/>
        <v>41.429594355715949</v>
      </c>
      <c r="P112" s="247">
        <f t="shared" si="212"/>
        <v>33.930837777331362</v>
      </c>
      <c r="Q112" s="247">
        <f t="shared" si="212"/>
        <v>27.789356139634378</v>
      </c>
      <c r="R112" s="247">
        <f t="shared" si="212"/>
        <v>22.759482678360541</v>
      </c>
      <c r="S112" s="247">
        <f t="shared" si="212"/>
        <v>18.640016313577235</v>
      </c>
      <c r="T112" s="247">
        <f t="shared" si="212"/>
        <v>15.266173360819721</v>
      </c>
      <c r="W112" s="261"/>
      <c r="X112" s="247"/>
      <c r="Y112" s="247"/>
      <c r="Z112" s="247"/>
      <c r="AA112" s="247"/>
      <c r="AB112" s="180"/>
    </row>
    <row r="113" spans="2:28" x14ac:dyDescent="0.2">
      <c r="B113" s="23"/>
      <c r="C113" s="23"/>
      <c r="D113" s="23"/>
      <c r="E113" s="253"/>
      <c r="F113" s="86"/>
      <c r="G113" s="86"/>
      <c r="H113" s="86"/>
      <c r="I113" s="86"/>
      <c r="J113" s="86"/>
      <c r="K113" s="86"/>
      <c r="L113" s="86"/>
      <c r="M113" s="86"/>
      <c r="N113" s="86"/>
      <c r="O113" s="86"/>
      <c r="P113" s="86"/>
      <c r="Q113" s="86"/>
      <c r="R113" s="86"/>
      <c r="S113" s="86"/>
      <c r="T113" s="86"/>
    </row>
    <row r="114" spans="2:28" x14ac:dyDescent="0.2">
      <c r="B114" s="24" t="s">
        <v>118</v>
      </c>
      <c r="C114" s="24"/>
      <c r="D114" s="24"/>
      <c r="E114" s="253"/>
      <c r="F114" s="86"/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</row>
    <row r="115" spans="2:28" x14ac:dyDescent="0.2">
      <c r="C115" s="21" t="s">
        <v>83</v>
      </c>
      <c r="D115" s="21"/>
      <c r="E115" s="264">
        <v>0.1391</v>
      </c>
      <c r="F115" s="86">
        <v>447.59</v>
      </c>
      <c r="G115" s="86">
        <f>F118</f>
        <v>664.88</v>
      </c>
      <c r="H115" s="86">
        <f t="shared" ref="H115:I115" si="213">G118</f>
        <v>692.72</v>
      </c>
      <c r="I115" s="86">
        <f t="shared" si="213"/>
        <v>727.82</v>
      </c>
      <c r="J115" s="86">
        <f>I118+I119</f>
        <v>1258.7600000000002</v>
      </c>
      <c r="K115" s="86">
        <f t="shared" ref="K115:T115" si="214">J118+J119</f>
        <v>1258.7600000000002</v>
      </c>
      <c r="L115" s="86">
        <f t="shared" si="214"/>
        <v>1258.7600000000002</v>
      </c>
      <c r="M115" s="86">
        <f t="shared" si="214"/>
        <v>1258.7600000000002</v>
      </c>
      <c r="N115" s="86">
        <f t="shared" si="214"/>
        <v>1258.7600000000002</v>
      </c>
      <c r="O115" s="86">
        <f t="shared" si="214"/>
        <v>1258.7600000000002</v>
      </c>
      <c r="P115" s="86">
        <f t="shared" si="214"/>
        <v>1258.7600000000002</v>
      </c>
      <c r="Q115" s="86">
        <f t="shared" si="214"/>
        <v>1258.7600000000002</v>
      </c>
      <c r="R115" s="86">
        <f t="shared" si="214"/>
        <v>1258.7600000000002</v>
      </c>
      <c r="S115" s="86">
        <f t="shared" si="214"/>
        <v>1258.7600000000002</v>
      </c>
      <c r="T115" s="86">
        <f t="shared" si="214"/>
        <v>1258.7600000000002</v>
      </c>
    </row>
    <row r="116" spans="2:28" x14ac:dyDescent="0.2">
      <c r="C116" s="21" t="s">
        <v>84</v>
      </c>
      <c r="D116" s="21"/>
      <c r="E116" s="253"/>
      <c r="F116" s="86">
        <f>17.04+200.25</f>
        <v>217.29</v>
      </c>
      <c r="G116" s="86">
        <v>27.84</v>
      </c>
      <c r="H116" s="86">
        <v>35.1</v>
      </c>
      <c r="I116" s="86">
        <v>45.08</v>
      </c>
      <c r="J116" s="86">
        <v>0</v>
      </c>
      <c r="K116" s="86">
        <v>0</v>
      </c>
      <c r="L116" s="86">
        <v>0</v>
      </c>
      <c r="M116" s="86">
        <v>0</v>
      </c>
      <c r="N116" s="86">
        <v>0</v>
      </c>
      <c r="O116" s="86">
        <v>0</v>
      </c>
      <c r="P116" s="86">
        <v>0</v>
      </c>
      <c r="Q116" s="86">
        <v>0</v>
      </c>
      <c r="R116" s="86">
        <v>0</v>
      </c>
      <c r="S116" s="86">
        <v>0</v>
      </c>
      <c r="T116" s="86">
        <v>0</v>
      </c>
    </row>
    <row r="117" spans="2:28" x14ac:dyDescent="0.2">
      <c r="C117" s="21" t="s">
        <v>102</v>
      </c>
      <c r="D117" s="21"/>
      <c r="E117" s="253"/>
      <c r="F117" s="86"/>
      <c r="G117" s="86"/>
      <c r="H117" s="86"/>
      <c r="I117" s="86"/>
      <c r="J117" s="86">
        <v>0</v>
      </c>
      <c r="K117" s="86">
        <v>0</v>
      </c>
      <c r="L117" s="86">
        <v>0</v>
      </c>
      <c r="M117" s="86">
        <v>0</v>
      </c>
      <c r="N117" s="86">
        <v>0</v>
      </c>
      <c r="O117" s="86">
        <v>0</v>
      </c>
      <c r="P117" s="86">
        <v>0</v>
      </c>
      <c r="Q117" s="86">
        <v>0</v>
      </c>
      <c r="R117" s="86">
        <v>0</v>
      </c>
      <c r="S117" s="86">
        <v>0</v>
      </c>
      <c r="T117" s="86">
        <v>0</v>
      </c>
    </row>
    <row r="118" spans="2:28" x14ac:dyDescent="0.2">
      <c r="C118" s="21" t="s">
        <v>85</v>
      </c>
      <c r="D118" s="21"/>
      <c r="E118" s="253"/>
      <c r="F118" s="86">
        <f>F115+F116-F117</f>
        <v>664.88</v>
      </c>
      <c r="G118" s="86">
        <f t="shared" ref="G118:J118" si="215">G115+G116-G117</f>
        <v>692.72</v>
      </c>
      <c r="H118" s="86">
        <f t="shared" si="215"/>
        <v>727.82</v>
      </c>
      <c r="I118" s="86">
        <f t="shared" si="215"/>
        <v>772.90000000000009</v>
      </c>
      <c r="J118" s="86">
        <f t="shared" si="215"/>
        <v>1258.7600000000002</v>
      </c>
      <c r="K118" s="86">
        <f t="shared" ref="K118:T118" si="216">K115+K116-K117</f>
        <v>1258.7600000000002</v>
      </c>
      <c r="L118" s="86">
        <f t="shared" si="216"/>
        <v>1258.7600000000002</v>
      </c>
      <c r="M118" s="86">
        <f t="shared" si="216"/>
        <v>1258.7600000000002</v>
      </c>
      <c r="N118" s="86">
        <f t="shared" si="216"/>
        <v>1258.7600000000002</v>
      </c>
      <c r="O118" s="86">
        <f t="shared" si="216"/>
        <v>1258.7600000000002</v>
      </c>
      <c r="P118" s="86">
        <f t="shared" si="216"/>
        <v>1258.7600000000002</v>
      </c>
      <c r="Q118" s="86">
        <f t="shared" si="216"/>
        <v>1258.7600000000002</v>
      </c>
      <c r="R118" s="86">
        <f t="shared" si="216"/>
        <v>1258.7600000000002</v>
      </c>
      <c r="S118" s="86">
        <f t="shared" si="216"/>
        <v>1258.7600000000002</v>
      </c>
      <c r="T118" s="86">
        <f t="shared" si="216"/>
        <v>1258.7600000000002</v>
      </c>
    </row>
    <row r="119" spans="2:28" x14ac:dyDescent="0.2">
      <c r="C119" s="21" t="s">
        <v>213</v>
      </c>
      <c r="D119" s="21"/>
      <c r="E119" s="253"/>
      <c r="F119" s="86"/>
      <c r="G119" s="86"/>
      <c r="H119" s="86"/>
      <c r="I119" s="86">
        <v>485.86</v>
      </c>
      <c r="J119" s="86">
        <v>0</v>
      </c>
      <c r="K119" s="86">
        <v>0</v>
      </c>
      <c r="L119" s="86">
        <v>0</v>
      </c>
      <c r="M119" s="86">
        <v>0</v>
      </c>
      <c r="N119" s="86">
        <v>0</v>
      </c>
      <c r="O119" s="86">
        <v>0</v>
      </c>
      <c r="P119" s="86">
        <v>0</v>
      </c>
      <c r="Q119" s="86">
        <v>0</v>
      </c>
      <c r="R119" s="86">
        <v>0</v>
      </c>
      <c r="S119" s="86">
        <v>0</v>
      </c>
      <c r="T119" s="86">
        <v>0</v>
      </c>
    </row>
    <row r="120" spans="2:28" x14ac:dyDescent="0.2">
      <c r="C120" s="21" t="s">
        <v>7</v>
      </c>
      <c r="D120" s="21"/>
      <c r="E120" s="253"/>
      <c r="F120" s="86">
        <v>64.48</v>
      </c>
      <c r="G120" s="86">
        <v>90.46</v>
      </c>
      <c r="H120" s="86">
        <v>76.48</v>
      </c>
      <c r="I120" s="86">
        <v>69.63</v>
      </c>
      <c r="J120" s="86">
        <f>(I122+J116/2)*$E115</f>
        <v>98.943221000000023</v>
      </c>
      <c r="K120" s="86">
        <f t="shared" ref="K120:T120" si="217">(J122+K116/2)*$E115</f>
        <v>85.180218958900028</v>
      </c>
      <c r="L120" s="86">
        <f t="shared" si="217"/>
        <v>73.331650501717036</v>
      </c>
      <c r="M120" s="86">
        <f t="shared" si="217"/>
        <v>63.131217916928193</v>
      </c>
      <c r="N120" s="86">
        <f t="shared" si="217"/>
        <v>54.349665504683479</v>
      </c>
      <c r="O120" s="86">
        <f t="shared" si="217"/>
        <v>46.789627032982011</v>
      </c>
      <c r="P120" s="86">
        <f t="shared" si="217"/>
        <v>40.281189912694209</v>
      </c>
      <c r="Q120" s="86">
        <f t="shared" si="217"/>
        <v>34.678076395838438</v>
      </c>
      <c r="R120" s="86">
        <f t="shared" si="217"/>
        <v>29.854355969177323</v>
      </c>
      <c r="S120" s="86">
        <f t="shared" si="217"/>
        <v>25.701615053864764</v>
      </c>
      <c r="T120" s="86">
        <f t="shared" si="217"/>
        <v>22.126520399872174</v>
      </c>
    </row>
    <row r="121" spans="2:28" x14ac:dyDescent="0.2">
      <c r="C121" s="21" t="s">
        <v>86</v>
      </c>
      <c r="D121" s="21"/>
      <c r="E121" s="253"/>
      <c r="F121" s="86">
        <v>310.88</v>
      </c>
      <c r="G121" s="86">
        <f>F121+G120</f>
        <v>401.34</v>
      </c>
      <c r="H121" s="86">
        <f t="shared" ref="H121:J121" si="218">G121+H120</f>
        <v>477.82</v>
      </c>
      <c r="I121" s="86">
        <f t="shared" si="218"/>
        <v>547.45000000000005</v>
      </c>
      <c r="J121" s="86">
        <f t="shared" si="218"/>
        <v>646.39322100000004</v>
      </c>
      <c r="K121" s="86">
        <f t="shared" ref="K121" si="219">J121+K120</f>
        <v>731.57343995890005</v>
      </c>
      <c r="L121" s="86">
        <f t="shared" ref="L121" si="220">K121+L120</f>
        <v>804.90509046061709</v>
      </c>
      <c r="M121" s="86">
        <f t="shared" ref="M121" si="221">L121+M120</f>
        <v>868.03630837754531</v>
      </c>
      <c r="N121" s="86">
        <f t="shared" ref="N121" si="222">M121+N120</f>
        <v>922.38597388222877</v>
      </c>
      <c r="O121" s="86">
        <f t="shared" ref="O121" si="223">N121+O120</f>
        <v>969.17560091521079</v>
      </c>
      <c r="P121" s="86">
        <f t="shared" ref="P121" si="224">O121+P120</f>
        <v>1009.456790827905</v>
      </c>
      <c r="Q121" s="86">
        <f t="shared" ref="Q121" si="225">P121+Q120</f>
        <v>1044.1348672237434</v>
      </c>
      <c r="R121" s="86">
        <f t="shared" ref="R121" si="226">Q121+R120</f>
        <v>1073.9892231929207</v>
      </c>
      <c r="S121" s="86">
        <f t="shared" ref="S121" si="227">R121+S120</f>
        <v>1099.6908382467855</v>
      </c>
      <c r="T121" s="86">
        <f t="shared" ref="T121" si="228">S121+T120</f>
        <v>1121.8173586466576</v>
      </c>
    </row>
    <row r="122" spans="2:28" s="162" customFormat="1" x14ac:dyDescent="0.2">
      <c r="C122" s="22" t="s">
        <v>87</v>
      </c>
      <c r="D122" s="22"/>
      <c r="E122" s="253"/>
      <c r="F122" s="247">
        <f>F118-F121</f>
        <v>354</v>
      </c>
      <c r="G122" s="247">
        <f>G118-G121</f>
        <v>291.38000000000005</v>
      </c>
      <c r="H122" s="247">
        <f t="shared" ref="H122" si="229">H118-H121</f>
        <v>250.00000000000006</v>
      </c>
      <c r="I122" s="247">
        <f>I118+I119-I121</f>
        <v>711.31000000000017</v>
      </c>
      <c r="J122" s="247">
        <f>J118+J119-J121</f>
        <v>612.36677900000018</v>
      </c>
      <c r="K122" s="247">
        <f t="shared" ref="K122:T122" si="230">K118+K119-K121</f>
        <v>527.18656004110017</v>
      </c>
      <c r="L122" s="247">
        <f t="shared" si="230"/>
        <v>453.85490953938313</v>
      </c>
      <c r="M122" s="247">
        <f t="shared" si="230"/>
        <v>390.72369162245491</v>
      </c>
      <c r="N122" s="247">
        <f t="shared" si="230"/>
        <v>336.37402611777145</v>
      </c>
      <c r="O122" s="247">
        <f t="shared" si="230"/>
        <v>289.58439908478942</v>
      </c>
      <c r="P122" s="247">
        <f t="shared" si="230"/>
        <v>249.30320917209519</v>
      </c>
      <c r="Q122" s="247">
        <f t="shared" si="230"/>
        <v>214.62513277625681</v>
      </c>
      <c r="R122" s="247">
        <f t="shared" si="230"/>
        <v>184.77077680707953</v>
      </c>
      <c r="S122" s="247">
        <f t="shared" si="230"/>
        <v>159.06916175321476</v>
      </c>
      <c r="T122" s="247">
        <f t="shared" si="230"/>
        <v>136.94264135334265</v>
      </c>
      <c r="W122" s="261"/>
      <c r="X122" s="247"/>
      <c r="Y122" s="247"/>
      <c r="Z122" s="247"/>
      <c r="AA122" s="247"/>
      <c r="AB122" s="180"/>
    </row>
    <row r="123" spans="2:28" x14ac:dyDescent="0.2">
      <c r="B123" s="23"/>
      <c r="C123" s="23"/>
      <c r="D123" s="23"/>
      <c r="E123" s="253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</row>
    <row r="124" spans="2:28" x14ac:dyDescent="0.2">
      <c r="B124" s="162" t="s">
        <v>119</v>
      </c>
      <c r="C124" s="162"/>
      <c r="D124" s="162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</row>
    <row r="125" spans="2:28" x14ac:dyDescent="0.2">
      <c r="C125" s="21" t="s">
        <v>83</v>
      </c>
      <c r="D125" s="21"/>
      <c r="E125" s="264">
        <v>0.25890000000000002</v>
      </c>
      <c r="F125" s="86">
        <v>69.86</v>
      </c>
      <c r="G125" s="86">
        <f>F128</f>
        <v>77.61</v>
      </c>
      <c r="H125" s="86">
        <f t="shared" ref="H125:I125" si="231">G128</f>
        <v>83.2</v>
      </c>
      <c r="I125" s="86">
        <f t="shared" si="231"/>
        <v>89.79</v>
      </c>
      <c r="J125" s="86">
        <f>I128</f>
        <v>92.220000000000013</v>
      </c>
      <c r="K125" s="86">
        <f t="shared" ref="K125:T125" si="232">J128</f>
        <v>92.220000000000013</v>
      </c>
      <c r="L125" s="86">
        <f t="shared" si="232"/>
        <v>92.220000000000013</v>
      </c>
      <c r="M125" s="86">
        <f t="shared" si="232"/>
        <v>92.220000000000013</v>
      </c>
      <c r="N125" s="86">
        <f t="shared" si="232"/>
        <v>92.220000000000013</v>
      </c>
      <c r="O125" s="86">
        <f t="shared" si="232"/>
        <v>92.220000000000013</v>
      </c>
      <c r="P125" s="86">
        <f t="shared" si="232"/>
        <v>92.220000000000013</v>
      </c>
      <c r="Q125" s="86">
        <f t="shared" si="232"/>
        <v>92.220000000000013</v>
      </c>
      <c r="R125" s="86">
        <f t="shared" si="232"/>
        <v>92.220000000000013</v>
      </c>
      <c r="S125" s="86">
        <f t="shared" si="232"/>
        <v>92.220000000000013</v>
      </c>
      <c r="T125" s="86">
        <f t="shared" si="232"/>
        <v>92.220000000000013</v>
      </c>
    </row>
    <row r="126" spans="2:28" x14ac:dyDescent="0.2">
      <c r="C126" s="21" t="s">
        <v>84</v>
      </c>
      <c r="D126" s="21"/>
      <c r="F126" s="86">
        <f>6.25+2.08</f>
        <v>8.33</v>
      </c>
      <c r="G126" s="86">
        <v>5.59</v>
      </c>
      <c r="H126" s="86">
        <v>6.59</v>
      </c>
      <c r="I126" s="86">
        <v>2.4300000000000002</v>
      </c>
      <c r="J126" s="86">
        <v>0</v>
      </c>
      <c r="K126" s="86">
        <v>0</v>
      </c>
      <c r="L126" s="86">
        <v>0</v>
      </c>
      <c r="M126" s="86">
        <v>0</v>
      </c>
      <c r="N126" s="86">
        <v>0</v>
      </c>
      <c r="O126" s="86">
        <v>0</v>
      </c>
      <c r="P126" s="86">
        <v>0</v>
      </c>
      <c r="Q126" s="86">
        <v>0</v>
      </c>
      <c r="R126" s="86">
        <v>0</v>
      </c>
      <c r="S126" s="86">
        <v>0</v>
      </c>
      <c r="T126" s="86">
        <v>0</v>
      </c>
    </row>
    <row r="127" spans="2:28" x14ac:dyDescent="0.2">
      <c r="C127" s="21" t="s">
        <v>102</v>
      </c>
      <c r="D127" s="21"/>
      <c r="F127" s="86">
        <v>0.57999999999999996</v>
      </c>
      <c r="G127" s="86">
        <v>0</v>
      </c>
      <c r="H127" s="86">
        <v>0</v>
      </c>
      <c r="I127" s="86">
        <v>0</v>
      </c>
      <c r="J127" s="86">
        <v>0</v>
      </c>
      <c r="K127" s="86">
        <v>0</v>
      </c>
      <c r="L127" s="86">
        <v>0</v>
      </c>
      <c r="M127" s="86">
        <v>0</v>
      </c>
      <c r="N127" s="86">
        <v>0</v>
      </c>
      <c r="O127" s="86">
        <v>0</v>
      </c>
      <c r="P127" s="86">
        <v>0</v>
      </c>
      <c r="Q127" s="86">
        <v>0</v>
      </c>
      <c r="R127" s="86">
        <v>0</v>
      </c>
      <c r="S127" s="86">
        <v>0</v>
      </c>
      <c r="T127" s="86">
        <v>0</v>
      </c>
    </row>
    <row r="128" spans="2:28" x14ac:dyDescent="0.2">
      <c r="C128" s="21" t="s">
        <v>85</v>
      </c>
      <c r="D128" s="21"/>
      <c r="F128" s="86">
        <f>F125+F126-F127</f>
        <v>77.61</v>
      </c>
      <c r="G128" s="86">
        <f t="shared" ref="G128:J128" si="233">G125+G126-G127</f>
        <v>83.2</v>
      </c>
      <c r="H128" s="86">
        <f t="shared" si="233"/>
        <v>89.79</v>
      </c>
      <c r="I128" s="86">
        <f t="shared" si="233"/>
        <v>92.220000000000013</v>
      </c>
      <c r="J128" s="86">
        <f t="shared" si="233"/>
        <v>92.220000000000013</v>
      </c>
      <c r="K128" s="86">
        <f t="shared" ref="K128:T128" si="234">K125+K126-K127</f>
        <v>92.220000000000013</v>
      </c>
      <c r="L128" s="86">
        <f t="shared" si="234"/>
        <v>92.220000000000013</v>
      </c>
      <c r="M128" s="86">
        <f t="shared" si="234"/>
        <v>92.220000000000013</v>
      </c>
      <c r="N128" s="86">
        <f t="shared" si="234"/>
        <v>92.220000000000013</v>
      </c>
      <c r="O128" s="86">
        <f t="shared" si="234"/>
        <v>92.220000000000013</v>
      </c>
      <c r="P128" s="86">
        <f t="shared" si="234"/>
        <v>92.220000000000013</v>
      </c>
      <c r="Q128" s="86">
        <f t="shared" si="234"/>
        <v>92.220000000000013</v>
      </c>
      <c r="R128" s="86">
        <f t="shared" si="234"/>
        <v>92.220000000000013</v>
      </c>
      <c r="S128" s="86">
        <f t="shared" si="234"/>
        <v>92.220000000000013</v>
      </c>
      <c r="T128" s="86">
        <f t="shared" si="234"/>
        <v>92.220000000000013</v>
      </c>
    </row>
    <row r="129" spans="2:28" x14ac:dyDescent="0.2">
      <c r="C129" s="21" t="s">
        <v>7</v>
      </c>
      <c r="D129" s="21"/>
      <c r="F129" s="86">
        <v>5.21</v>
      </c>
      <c r="G129" s="86">
        <v>5.5</v>
      </c>
      <c r="H129" s="86">
        <v>4.8499999999999996</v>
      </c>
      <c r="I129" s="86">
        <v>5.2</v>
      </c>
      <c r="J129" s="86">
        <f>(I131+J126/2)*$E125</f>
        <v>4.245960000000002</v>
      </c>
      <c r="K129" s="86">
        <f t="shared" ref="K129:T129" si="235">(J131+K126/2)*$E125</f>
        <v>3.1466809560000026</v>
      </c>
      <c r="L129" s="86">
        <f t="shared" si="235"/>
        <v>2.3320052564916032</v>
      </c>
      <c r="M129" s="86">
        <f t="shared" si="235"/>
        <v>1.7282490955859284</v>
      </c>
      <c r="N129" s="86">
        <f t="shared" si="235"/>
        <v>1.2808054047387329</v>
      </c>
      <c r="O129" s="86">
        <f t="shared" si="235"/>
        <v>0.94920488545187598</v>
      </c>
      <c r="P129" s="86">
        <f t="shared" si="235"/>
        <v>0.70345574060838501</v>
      </c>
      <c r="Q129" s="86">
        <f t="shared" si="235"/>
        <v>0.52133104936487262</v>
      </c>
      <c r="R129" s="86">
        <f t="shared" si="235"/>
        <v>0.38635844068430653</v>
      </c>
      <c r="S129" s="86">
        <f t="shared" si="235"/>
        <v>0.28633024039114008</v>
      </c>
      <c r="T129" s="86">
        <f t="shared" si="235"/>
        <v>0.21219934115387451</v>
      </c>
    </row>
    <row r="130" spans="2:28" x14ac:dyDescent="0.2">
      <c r="C130" s="21" t="s">
        <v>86</v>
      </c>
      <c r="D130" s="21"/>
      <c r="F130" s="86">
        <v>60.27</v>
      </c>
      <c r="G130" s="86">
        <f>F130+G129</f>
        <v>65.77000000000001</v>
      </c>
      <c r="H130" s="86">
        <f t="shared" ref="H130:J130" si="236">G130+H129</f>
        <v>70.62</v>
      </c>
      <c r="I130" s="86">
        <f t="shared" si="236"/>
        <v>75.820000000000007</v>
      </c>
      <c r="J130" s="86">
        <f t="shared" si="236"/>
        <v>80.065960000000004</v>
      </c>
      <c r="K130" s="86">
        <f t="shared" ref="K130" si="237">J130+K129</f>
        <v>83.212640956000001</v>
      </c>
      <c r="L130" s="86">
        <f t="shared" ref="L130" si="238">K130+L129</f>
        <v>85.5446462124916</v>
      </c>
      <c r="M130" s="86">
        <f t="shared" ref="M130" si="239">L130+M129</f>
        <v>87.272895308077523</v>
      </c>
      <c r="N130" s="86">
        <f t="shared" ref="N130" si="240">M130+N129</f>
        <v>88.553700712816251</v>
      </c>
      <c r="O130" s="86">
        <f t="shared" ref="O130" si="241">N130+O129</f>
        <v>89.502905598268129</v>
      </c>
      <c r="P130" s="86">
        <f t="shared" ref="P130" si="242">O130+P129</f>
        <v>90.206361338876519</v>
      </c>
      <c r="Q130" s="86">
        <f t="shared" ref="Q130" si="243">P130+Q129</f>
        <v>90.727692388241394</v>
      </c>
      <c r="R130" s="86">
        <f t="shared" ref="R130" si="244">Q130+R129</f>
        <v>91.114050828925699</v>
      </c>
      <c r="S130" s="86">
        <f t="shared" ref="S130" si="245">R130+S129</f>
        <v>91.400381069316836</v>
      </c>
      <c r="T130" s="86">
        <f t="shared" ref="T130" si="246">S130+T129</f>
        <v>91.612580410470713</v>
      </c>
    </row>
    <row r="131" spans="2:28" s="162" customFormat="1" x14ac:dyDescent="0.2">
      <c r="C131" s="22" t="s">
        <v>87</v>
      </c>
      <c r="D131" s="22"/>
      <c r="E131" s="253"/>
      <c r="F131" s="247">
        <f>F128-F130</f>
        <v>17.339999999999996</v>
      </c>
      <c r="G131" s="247">
        <f>G128-G130</f>
        <v>17.429999999999993</v>
      </c>
      <c r="H131" s="247">
        <f t="shared" ref="H131:J131" si="247">H128-H130</f>
        <v>19.170000000000002</v>
      </c>
      <c r="I131" s="247">
        <f t="shared" si="247"/>
        <v>16.400000000000006</v>
      </c>
      <c r="J131" s="247">
        <f t="shared" si="247"/>
        <v>12.154040000000009</v>
      </c>
      <c r="K131" s="247">
        <f t="shared" ref="K131:T131" si="248">K128-K130</f>
        <v>9.0073590440000117</v>
      </c>
      <c r="L131" s="247">
        <f t="shared" si="248"/>
        <v>6.6753537875084135</v>
      </c>
      <c r="M131" s="247">
        <f t="shared" si="248"/>
        <v>4.9471046919224904</v>
      </c>
      <c r="N131" s="247">
        <f t="shared" si="248"/>
        <v>3.6662992871837616</v>
      </c>
      <c r="O131" s="247">
        <f t="shared" si="248"/>
        <v>2.7170944017318845</v>
      </c>
      <c r="P131" s="247">
        <f t="shared" si="248"/>
        <v>2.013638661123494</v>
      </c>
      <c r="Q131" s="247">
        <f t="shared" si="248"/>
        <v>1.4923076117586191</v>
      </c>
      <c r="R131" s="247">
        <f t="shared" si="248"/>
        <v>1.1059491710743146</v>
      </c>
      <c r="S131" s="247">
        <f t="shared" si="248"/>
        <v>0.81961893068317693</v>
      </c>
      <c r="T131" s="247">
        <f t="shared" si="248"/>
        <v>0.6074195895293002</v>
      </c>
      <c r="W131" s="261"/>
      <c r="X131" s="247"/>
      <c r="Y131" s="247"/>
      <c r="Z131" s="247"/>
      <c r="AA131" s="247"/>
      <c r="AB131" s="180"/>
    </row>
    <row r="132" spans="2:28" x14ac:dyDescent="0.2"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</row>
    <row r="133" spans="2:28" x14ac:dyDescent="0.2">
      <c r="B133" s="162" t="s">
        <v>120</v>
      </c>
      <c r="C133" s="162"/>
      <c r="D133" s="162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</row>
    <row r="134" spans="2:28" x14ac:dyDescent="0.2">
      <c r="C134" s="21" t="s">
        <v>83</v>
      </c>
      <c r="D134" s="21"/>
      <c r="E134" s="264">
        <v>0.25890000000000002</v>
      </c>
      <c r="F134" s="86">
        <v>1093.8900000000001</v>
      </c>
      <c r="G134" s="86">
        <f>F137</f>
        <v>1142.1100000000001</v>
      </c>
      <c r="H134" s="86">
        <f t="shared" ref="H134:I134" si="249">G137</f>
        <v>1163.2900000000002</v>
      </c>
      <c r="I134" s="86">
        <f t="shared" si="249"/>
        <v>1115.0300000000002</v>
      </c>
      <c r="J134" s="86">
        <f>I137</f>
        <v>1115.0300000000002</v>
      </c>
      <c r="K134" s="86">
        <f t="shared" ref="K134:T134" si="250">J137</f>
        <v>1115.0300000000002</v>
      </c>
      <c r="L134" s="86">
        <f t="shared" si="250"/>
        <v>1115.0300000000002</v>
      </c>
      <c r="M134" s="86">
        <f t="shared" si="250"/>
        <v>1115.0300000000002</v>
      </c>
      <c r="N134" s="86">
        <f t="shared" si="250"/>
        <v>1115.0300000000002</v>
      </c>
      <c r="O134" s="86">
        <f t="shared" si="250"/>
        <v>1115.0300000000002</v>
      </c>
      <c r="P134" s="86">
        <f t="shared" si="250"/>
        <v>1115.0300000000002</v>
      </c>
      <c r="Q134" s="86">
        <f t="shared" si="250"/>
        <v>1115.0300000000002</v>
      </c>
      <c r="R134" s="86">
        <f t="shared" si="250"/>
        <v>1115.0300000000002</v>
      </c>
      <c r="S134" s="86">
        <f t="shared" si="250"/>
        <v>1115.0300000000002</v>
      </c>
      <c r="T134" s="86">
        <f t="shared" si="250"/>
        <v>1115.0300000000002</v>
      </c>
    </row>
    <row r="135" spans="2:28" x14ac:dyDescent="0.2">
      <c r="C135" s="21" t="s">
        <v>84</v>
      </c>
      <c r="D135" s="21"/>
      <c r="F135" s="86">
        <f>37.58+34.58</f>
        <v>72.16</v>
      </c>
      <c r="G135" s="86">
        <v>47.2</v>
      </c>
      <c r="H135" s="86">
        <v>-4.29</v>
      </c>
      <c r="I135" s="86">
        <v>0</v>
      </c>
      <c r="J135" s="86">
        <v>0</v>
      </c>
      <c r="K135" s="86">
        <v>0</v>
      </c>
      <c r="L135" s="86">
        <v>0</v>
      </c>
      <c r="M135" s="86">
        <v>0</v>
      </c>
      <c r="N135" s="86">
        <v>0</v>
      </c>
      <c r="O135" s="86">
        <v>0</v>
      </c>
      <c r="P135" s="86">
        <v>0</v>
      </c>
      <c r="Q135" s="86">
        <v>0</v>
      </c>
      <c r="R135" s="86">
        <v>0</v>
      </c>
      <c r="S135" s="86">
        <v>0</v>
      </c>
      <c r="T135" s="86">
        <v>0</v>
      </c>
    </row>
    <row r="136" spans="2:28" x14ac:dyDescent="0.2">
      <c r="C136" s="21" t="s">
        <v>102</v>
      </c>
      <c r="D136" s="21"/>
      <c r="F136" s="86">
        <v>23.94</v>
      </c>
      <c r="G136" s="86">
        <v>26.02</v>
      </c>
      <c r="H136" s="86">
        <v>43.97</v>
      </c>
      <c r="I136" s="86">
        <v>0</v>
      </c>
      <c r="J136" s="86">
        <v>0</v>
      </c>
      <c r="K136" s="86">
        <v>0</v>
      </c>
      <c r="L136" s="86">
        <v>0</v>
      </c>
      <c r="M136" s="86">
        <v>0</v>
      </c>
      <c r="N136" s="86">
        <v>0</v>
      </c>
      <c r="O136" s="86">
        <v>0</v>
      </c>
      <c r="P136" s="86">
        <v>0</v>
      </c>
      <c r="Q136" s="86">
        <v>0</v>
      </c>
      <c r="R136" s="86">
        <v>0</v>
      </c>
      <c r="S136" s="86">
        <v>0</v>
      </c>
      <c r="T136" s="86">
        <v>0</v>
      </c>
    </row>
    <row r="137" spans="2:28" x14ac:dyDescent="0.2">
      <c r="C137" s="21" t="s">
        <v>85</v>
      </c>
      <c r="D137" s="21"/>
      <c r="F137" s="86">
        <f>F134+F135-F136</f>
        <v>1142.1100000000001</v>
      </c>
      <c r="G137" s="86">
        <f>G134+G135-G136</f>
        <v>1163.2900000000002</v>
      </c>
      <c r="H137" s="86">
        <f t="shared" ref="H137:J137" si="251">H134+H135-H136</f>
        <v>1115.0300000000002</v>
      </c>
      <c r="I137" s="86">
        <f t="shared" si="251"/>
        <v>1115.0300000000002</v>
      </c>
      <c r="J137" s="86">
        <f t="shared" si="251"/>
        <v>1115.0300000000002</v>
      </c>
      <c r="K137" s="86">
        <f t="shared" ref="K137:T137" si="252">K134+K135-K136</f>
        <v>1115.0300000000002</v>
      </c>
      <c r="L137" s="86">
        <f t="shared" si="252"/>
        <v>1115.0300000000002</v>
      </c>
      <c r="M137" s="86">
        <f t="shared" si="252"/>
        <v>1115.0300000000002</v>
      </c>
      <c r="N137" s="86">
        <f t="shared" si="252"/>
        <v>1115.0300000000002</v>
      </c>
      <c r="O137" s="86">
        <f t="shared" si="252"/>
        <v>1115.0300000000002</v>
      </c>
      <c r="P137" s="86">
        <f t="shared" si="252"/>
        <v>1115.0300000000002</v>
      </c>
      <c r="Q137" s="86">
        <f t="shared" si="252"/>
        <v>1115.0300000000002</v>
      </c>
      <c r="R137" s="86">
        <f t="shared" si="252"/>
        <v>1115.0300000000002</v>
      </c>
      <c r="S137" s="86">
        <f t="shared" si="252"/>
        <v>1115.0300000000002</v>
      </c>
      <c r="T137" s="86">
        <f t="shared" si="252"/>
        <v>1115.0300000000002</v>
      </c>
    </row>
    <row r="138" spans="2:28" x14ac:dyDescent="0.2">
      <c r="C138" s="21" t="s">
        <v>7</v>
      </c>
      <c r="D138" s="21"/>
      <c r="F138" s="86">
        <v>96.17</v>
      </c>
      <c r="G138" s="86">
        <f>82.31-23.81</f>
        <v>58.5</v>
      </c>
      <c r="H138" s="86">
        <f>61.24-40.37</f>
        <v>20.870000000000005</v>
      </c>
      <c r="I138" s="86">
        <v>41.41</v>
      </c>
      <c r="J138" s="86">
        <f>(I140+J135/2)*$E134</f>
        <v>24.491940000000067</v>
      </c>
      <c r="K138" s="86">
        <f t="shared" ref="K138:T138" si="253">(J140+K135/2)*$E134</f>
        <v>18.150976734000068</v>
      </c>
      <c r="L138" s="86">
        <f t="shared" si="253"/>
        <v>13.45168885756744</v>
      </c>
      <c r="M138" s="86">
        <f t="shared" si="253"/>
        <v>9.9690466123432326</v>
      </c>
      <c r="N138" s="86">
        <f t="shared" si="253"/>
        <v>7.3880604444075875</v>
      </c>
      <c r="O138" s="86">
        <f t="shared" si="253"/>
        <v>5.4752915953504777</v>
      </c>
      <c r="P138" s="86">
        <f t="shared" si="253"/>
        <v>4.0577386013142522</v>
      </c>
      <c r="Q138" s="86">
        <f t="shared" si="253"/>
        <v>3.0071900774340024</v>
      </c>
      <c r="R138" s="86">
        <f t="shared" si="253"/>
        <v>2.2286285663863494</v>
      </c>
      <c r="S138" s="86">
        <f t="shared" si="253"/>
        <v>1.6516366305489352</v>
      </c>
      <c r="T138" s="86">
        <f t="shared" si="253"/>
        <v>1.2240279068998341</v>
      </c>
    </row>
    <row r="139" spans="2:28" x14ac:dyDescent="0.2">
      <c r="C139" s="21" t="s">
        <v>86</v>
      </c>
      <c r="D139" s="21"/>
      <c r="F139" s="86">
        <v>899.65</v>
      </c>
      <c r="G139" s="86">
        <f>F139+G138</f>
        <v>958.15</v>
      </c>
      <c r="H139" s="86">
        <f t="shared" ref="H139:J139" si="254">G139+H138</f>
        <v>979.02</v>
      </c>
      <c r="I139" s="86">
        <f t="shared" si="254"/>
        <v>1020.43</v>
      </c>
      <c r="J139" s="86">
        <f t="shared" si="254"/>
        <v>1044.9219399999999</v>
      </c>
      <c r="K139" s="86">
        <f t="shared" ref="K139" si="255">J139+K138</f>
        <v>1063.072916734</v>
      </c>
      <c r="L139" s="86">
        <f t="shared" ref="L139" si="256">K139+L138</f>
        <v>1076.5246055915675</v>
      </c>
      <c r="M139" s="86">
        <f t="shared" ref="M139" si="257">L139+M138</f>
        <v>1086.4936522039106</v>
      </c>
      <c r="N139" s="86">
        <f t="shared" ref="N139" si="258">M139+N138</f>
        <v>1093.8817126483182</v>
      </c>
      <c r="O139" s="86">
        <f t="shared" ref="O139" si="259">N139+O138</f>
        <v>1099.3570042436686</v>
      </c>
      <c r="P139" s="86">
        <f t="shared" ref="P139" si="260">O139+P138</f>
        <v>1103.4147428449828</v>
      </c>
      <c r="Q139" s="86">
        <f t="shared" ref="Q139" si="261">P139+Q138</f>
        <v>1106.4219329224168</v>
      </c>
      <c r="R139" s="86">
        <f t="shared" ref="R139" si="262">Q139+R138</f>
        <v>1108.6505614888031</v>
      </c>
      <c r="S139" s="86">
        <f t="shared" ref="S139" si="263">R139+S138</f>
        <v>1110.3021981193519</v>
      </c>
      <c r="T139" s="86">
        <f t="shared" ref="T139" si="264">S139+T138</f>
        <v>1111.5262260262518</v>
      </c>
    </row>
    <row r="140" spans="2:28" s="162" customFormat="1" x14ac:dyDescent="0.2">
      <c r="C140" s="22" t="s">
        <v>87</v>
      </c>
      <c r="D140" s="22"/>
      <c r="E140" s="253"/>
      <c r="F140" s="247">
        <f>F137-F139</f>
        <v>242.46000000000015</v>
      </c>
      <c r="G140" s="247">
        <f>G137-G139</f>
        <v>205.14000000000021</v>
      </c>
      <c r="H140" s="247">
        <f t="shared" ref="H140:J140" si="265">H137-H139</f>
        <v>136.01000000000022</v>
      </c>
      <c r="I140" s="247">
        <f t="shared" si="265"/>
        <v>94.60000000000025</v>
      </c>
      <c r="J140" s="247">
        <f t="shared" si="265"/>
        <v>70.108060000000251</v>
      </c>
      <c r="K140" s="247">
        <f t="shared" ref="K140:T140" si="266">K137-K139</f>
        <v>51.957083266000154</v>
      </c>
      <c r="L140" s="247">
        <f t="shared" si="266"/>
        <v>38.505394408432721</v>
      </c>
      <c r="M140" s="247">
        <f t="shared" si="266"/>
        <v>28.536347796089558</v>
      </c>
      <c r="N140" s="247">
        <f t="shared" si="266"/>
        <v>21.148287351682029</v>
      </c>
      <c r="O140" s="247">
        <f t="shared" si="266"/>
        <v>15.672995756331602</v>
      </c>
      <c r="P140" s="247">
        <f t="shared" si="266"/>
        <v>11.615257155017389</v>
      </c>
      <c r="Q140" s="247">
        <f t="shared" si="266"/>
        <v>8.6080670775834278</v>
      </c>
      <c r="R140" s="247">
        <f t="shared" si="266"/>
        <v>6.3794385111971224</v>
      </c>
      <c r="S140" s="247">
        <f t="shared" si="266"/>
        <v>4.7278018806482578</v>
      </c>
      <c r="T140" s="247">
        <f t="shared" si="266"/>
        <v>3.5037739737483662</v>
      </c>
      <c r="W140" s="261"/>
      <c r="X140" s="247"/>
      <c r="Y140" s="247"/>
      <c r="Z140" s="247"/>
      <c r="AA140" s="247"/>
      <c r="AB140" s="180"/>
    </row>
    <row r="141" spans="2:28" x14ac:dyDescent="0.2"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</row>
    <row r="142" spans="2:28" x14ac:dyDescent="0.2">
      <c r="B142" s="266" t="s">
        <v>211</v>
      </c>
      <c r="C142" s="266"/>
      <c r="D142" s="266"/>
      <c r="E142" s="264">
        <v>0.1391</v>
      </c>
      <c r="F142" s="86"/>
      <c r="G142" s="86"/>
      <c r="H142" s="86"/>
      <c r="I142" s="86"/>
      <c r="J142" s="86"/>
      <c r="K142" s="86"/>
      <c r="L142" s="86"/>
      <c r="M142" s="86"/>
      <c r="N142" s="86"/>
      <c r="O142" s="86"/>
      <c r="P142" s="86"/>
      <c r="Q142" s="86"/>
      <c r="R142" s="86"/>
      <c r="S142" s="86"/>
      <c r="T142" s="86"/>
    </row>
    <row r="143" spans="2:28" x14ac:dyDescent="0.2">
      <c r="C143" s="21" t="s">
        <v>83</v>
      </c>
      <c r="D143" s="21"/>
      <c r="F143" s="86">
        <v>260.99</v>
      </c>
      <c r="G143" s="86">
        <f>F146</f>
        <v>286.21000000000004</v>
      </c>
      <c r="H143" s="86">
        <f t="shared" ref="H143:I143" si="267">G146</f>
        <v>309.78000000000003</v>
      </c>
      <c r="I143" s="86">
        <f t="shared" si="267"/>
        <v>341.33000000000004</v>
      </c>
      <c r="J143" s="86">
        <f>I146</f>
        <v>367.03000000000003</v>
      </c>
      <c r="K143" s="86">
        <f t="shared" ref="K143:T143" si="268">J146</f>
        <v>367.03000000000003</v>
      </c>
      <c r="L143" s="86">
        <f t="shared" si="268"/>
        <v>367.03000000000003</v>
      </c>
      <c r="M143" s="86">
        <f t="shared" si="268"/>
        <v>367.03000000000003</v>
      </c>
      <c r="N143" s="86">
        <f t="shared" si="268"/>
        <v>367.03000000000003</v>
      </c>
      <c r="O143" s="86">
        <f t="shared" si="268"/>
        <v>367.03000000000003</v>
      </c>
      <c r="P143" s="86">
        <f t="shared" si="268"/>
        <v>367.03000000000003</v>
      </c>
      <c r="Q143" s="86">
        <f t="shared" si="268"/>
        <v>367.03000000000003</v>
      </c>
      <c r="R143" s="86">
        <f t="shared" si="268"/>
        <v>367.03000000000003</v>
      </c>
      <c r="S143" s="86">
        <f t="shared" si="268"/>
        <v>367.03000000000003</v>
      </c>
      <c r="T143" s="86">
        <f t="shared" si="268"/>
        <v>367.03000000000003</v>
      </c>
    </row>
    <row r="144" spans="2:28" x14ac:dyDescent="0.2">
      <c r="C144" s="21" t="s">
        <v>84</v>
      </c>
      <c r="D144" s="21"/>
      <c r="F144" s="86">
        <f>8.13+17.09</f>
        <v>25.22</v>
      </c>
      <c r="G144" s="86">
        <v>23.57</v>
      </c>
      <c r="H144" s="86">
        <v>31.55</v>
      </c>
      <c r="I144" s="86">
        <v>25.7</v>
      </c>
      <c r="J144" s="86">
        <v>0</v>
      </c>
      <c r="K144" s="86">
        <v>0</v>
      </c>
      <c r="L144" s="86">
        <v>0</v>
      </c>
      <c r="M144" s="86">
        <v>0</v>
      </c>
      <c r="N144" s="86">
        <v>0</v>
      </c>
      <c r="O144" s="86">
        <v>0</v>
      </c>
      <c r="P144" s="86">
        <v>0</v>
      </c>
      <c r="Q144" s="86">
        <v>0</v>
      </c>
      <c r="R144" s="86">
        <v>0</v>
      </c>
      <c r="S144" s="86">
        <v>0</v>
      </c>
      <c r="T144" s="86">
        <v>0</v>
      </c>
    </row>
    <row r="145" spans="2:28" x14ac:dyDescent="0.2">
      <c r="C145" s="21" t="s">
        <v>102</v>
      </c>
      <c r="D145" s="21"/>
      <c r="F145" s="86">
        <v>0</v>
      </c>
      <c r="G145" s="86">
        <v>0</v>
      </c>
      <c r="H145" s="86">
        <v>0</v>
      </c>
      <c r="I145" s="86">
        <v>0</v>
      </c>
      <c r="J145" s="86">
        <v>0</v>
      </c>
      <c r="K145" s="86">
        <v>0</v>
      </c>
      <c r="L145" s="86">
        <v>0</v>
      </c>
      <c r="M145" s="86">
        <v>0</v>
      </c>
      <c r="N145" s="86">
        <v>0</v>
      </c>
      <c r="O145" s="86">
        <v>0</v>
      </c>
      <c r="P145" s="86">
        <v>0</v>
      </c>
      <c r="Q145" s="86">
        <v>0</v>
      </c>
      <c r="R145" s="86">
        <v>0</v>
      </c>
      <c r="S145" s="86">
        <v>0</v>
      </c>
      <c r="T145" s="86">
        <v>0</v>
      </c>
    </row>
    <row r="146" spans="2:28" x14ac:dyDescent="0.2">
      <c r="C146" s="21" t="s">
        <v>85</v>
      </c>
      <c r="D146" s="21"/>
      <c r="F146" s="86">
        <f>F143+F144-F145</f>
        <v>286.21000000000004</v>
      </c>
      <c r="G146" s="86">
        <f>G143+G144-G145</f>
        <v>309.78000000000003</v>
      </c>
      <c r="H146" s="86">
        <f t="shared" ref="H146:J146" si="269">H143+H144-H145</f>
        <v>341.33000000000004</v>
      </c>
      <c r="I146" s="86">
        <f t="shared" si="269"/>
        <v>367.03000000000003</v>
      </c>
      <c r="J146" s="86">
        <f t="shared" si="269"/>
        <v>367.03000000000003</v>
      </c>
      <c r="K146" s="86">
        <f t="shared" ref="K146:T146" si="270">K143+K144-K145</f>
        <v>367.03000000000003</v>
      </c>
      <c r="L146" s="86">
        <f t="shared" si="270"/>
        <v>367.03000000000003</v>
      </c>
      <c r="M146" s="86">
        <f t="shared" si="270"/>
        <v>367.03000000000003</v>
      </c>
      <c r="N146" s="86">
        <f t="shared" si="270"/>
        <v>367.03000000000003</v>
      </c>
      <c r="O146" s="86">
        <f t="shared" si="270"/>
        <v>367.03000000000003</v>
      </c>
      <c r="P146" s="86">
        <f t="shared" si="270"/>
        <v>367.03000000000003</v>
      </c>
      <c r="Q146" s="86">
        <f t="shared" si="270"/>
        <v>367.03000000000003</v>
      </c>
      <c r="R146" s="86">
        <f t="shared" si="270"/>
        <v>367.03000000000003</v>
      </c>
      <c r="S146" s="86">
        <f t="shared" si="270"/>
        <v>367.03000000000003</v>
      </c>
      <c r="T146" s="86">
        <f t="shared" si="270"/>
        <v>367.03000000000003</v>
      </c>
    </row>
    <row r="147" spans="2:28" x14ac:dyDescent="0.2">
      <c r="C147" s="21" t="s">
        <v>7</v>
      </c>
      <c r="D147" s="21"/>
      <c r="F147" s="86">
        <v>40.51</v>
      </c>
      <c r="G147" s="86">
        <v>34.22</v>
      </c>
      <c r="H147" s="86">
        <v>30.93</v>
      </c>
      <c r="I147" s="86">
        <v>28.55</v>
      </c>
      <c r="J147" s="86">
        <f>(I149+J144/2)*$E142</f>
        <v>7.0259410000000067</v>
      </c>
      <c r="K147" s="86">
        <f t="shared" ref="K147:T147" si="271">(J149+K144/2)*$E142</f>
        <v>6.048632606900008</v>
      </c>
      <c r="L147" s="86">
        <f t="shared" si="271"/>
        <v>5.2072678112802162</v>
      </c>
      <c r="M147" s="86">
        <f t="shared" si="271"/>
        <v>4.4829368587311418</v>
      </c>
      <c r="N147" s="86">
        <f t="shared" si="271"/>
        <v>3.8593603416816409</v>
      </c>
      <c r="O147" s="86">
        <f t="shared" si="271"/>
        <v>3.3225233181537273</v>
      </c>
      <c r="P147" s="86">
        <f t="shared" si="271"/>
        <v>2.8603603245985418</v>
      </c>
      <c r="Q147" s="86">
        <f t="shared" si="271"/>
        <v>2.4624842034468819</v>
      </c>
      <c r="R147" s="86">
        <f t="shared" si="271"/>
        <v>2.1199526507474213</v>
      </c>
      <c r="S147" s="86">
        <f t="shared" si="271"/>
        <v>1.8250672370284591</v>
      </c>
      <c r="T147" s="86">
        <f t="shared" si="271"/>
        <v>1.5712003843577997</v>
      </c>
    </row>
    <row r="148" spans="2:28" x14ac:dyDescent="0.2">
      <c r="C148" s="21" t="s">
        <v>86</v>
      </c>
      <c r="D148" s="21"/>
      <c r="F148" s="86">
        <v>222.82</v>
      </c>
      <c r="G148" s="86">
        <f>F148+G147</f>
        <v>257.03999999999996</v>
      </c>
      <c r="H148" s="86">
        <f t="shared" ref="H148:J148" si="272">G148+H147</f>
        <v>287.96999999999997</v>
      </c>
      <c r="I148" s="86">
        <f t="shared" si="272"/>
        <v>316.52</v>
      </c>
      <c r="J148" s="86">
        <f t="shared" si="272"/>
        <v>323.54594099999997</v>
      </c>
      <c r="K148" s="86">
        <f t="shared" ref="K148" si="273">J148+K147</f>
        <v>329.59457360689998</v>
      </c>
      <c r="L148" s="86">
        <f t="shared" ref="L148" si="274">K148+L147</f>
        <v>334.80184141818017</v>
      </c>
      <c r="M148" s="86">
        <f t="shared" ref="M148" si="275">L148+M147</f>
        <v>339.28477827691131</v>
      </c>
      <c r="N148" s="86">
        <f t="shared" ref="N148" si="276">M148+N147</f>
        <v>343.14413861859293</v>
      </c>
      <c r="O148" s="86">
        <f t="shared" ref="O148" si="277">N148+O147</f>
        <v>346.46666193674668</v>
      </c>
      <c r="P148" s="86">
        <f t="shared" ref="P148" si="278">O148+P147</f>
        <v>349.32702226134523</v>
      </c>
      <c r="Q148" s="86">
        <f t="shared" ref="Q148" si="279">P148+Q147</f>
        <v>351.78950646479211</v>
      </c>
      <c r="R148" s="86">
        <f t="shared" ref="R148" si="280">Q148+R147</f>
        <v>353.90945911553951</v>
      </c>
      <c r="S148" s="86">
        <f t="shared" ref="S148" si="281">R148+S147</f>
        <v>355.73452635256797</v>
      </c>
      <c r="T148" s="86">
        <f t="shared" ref="T148" si="282">S148+T147</f>
        <v>357.30572673692575</v>
      </c>
    </row>
    <row r="149" spans="2:28" s="162" customFormat="1" x14ac:dyDescent="0.2">
      <c r="C149" s="22" t="s">
        <v>87</v>
      </c>
      <c r="D149" s="22"/>
      <c r="E149" s="253"/>
      <c r="F149" s="247">
        <f>F146-F148</f>
        <v>63.390000000000043</v>
      </c>
      <c r="G149" s="247">
        <f>G146-G148</f>
        <v>52.740000000000066</v>
      </c>
      <c r="H149" s="247">
        <f t="shared" ref="H149:J149" si="283">H146-H148</f>
        <v>53.36000000000007</v>
      </c>
      <c r="I149" s="247">
        <f t="shared" si="283"/>
        <v>50.510000000000048</v>
      </c>
      <c r="J149" s="247">
        <f t="shared" si="283"/>
        <v>43.484059000000059</v>
      </c>
      <c r="K149" s="247">
        <f t="shared" ref="K149:T149" si="284">K146-K148</f>
        <v>37.435426393100045</v>
      </c>
      <c r="L149" s="247">
        <f t="shared" si="284"/>
        <v>32.228158581819855</v>
      </c>
      <c r="M149" s="247">
        <f t="shared" si="284"/>
        <v>27.745221723088719</v>
      </c>
      <c r="N149" s="247">
        <f t="shared" si="284"/>
        <v>23.885861381407096</v>
      </c>
      <c r="O149" s="247">
        <f t="shared" si="284"/>
        <v>20.563338063253354</v>
      </c>
      <c r="P149" s="247">
        <f t="shared" si="284"/>
        <v>17.702977738654795</v>
      </c>
      <c r="Q149" s="247">
        <f t="shared" si="284"/>
        <v>15.240493535207918</v>
      </c>
      <c r="R149" s="247">
        <f t="shared" si="284"/>
        <v>13.120540884460524</v>
      </c>
      <c r="S149" s="247">
        <f t="shared" si="284"/>
        <v>11.295473647432061</v>
      </c>
      <c r="T149" s="247">
        <f t="shared" si="284"/>
        <v>9.7242732630742807</v>
      </c>
      <c r="W149" s="261"/>
      <c r="X149" s="247"/>
      <c r="Y149" s="247"/>
      <c r="Z149" s="247"/>
      <c r="AA149" s="247"/>
      <c r="AB149" s="180"/>
    </row>
    <row r="150" spans="2:28" x14ac:dyDescent="0.2">
      <c r="F150" s="86"/>
      <c r="G150" s="86"/>
      <c r="H150" s="86"/>
      <c r="I150" s="86"/>
      <c r="J150" s="86"/>
      <c r="K150" s="86"/>
      <c r="L150" s="86"/>
      <c r="M150" s="86"/>
      <c r="N150" s="86"/>
      <c r="O150" s="86"/>
      <c r="P150" s="86"/>
      <c r="Q150" s="86"/>
      <c r="R150" s="86"/>
      <c r="S150" s="86"/>
      <c r="T150" s="86"/>
    </row>
    <row r="151" spans="2:28" x14ac:dyDescent="0.2">
      <c r="B151" s="162" t="s">
        <v>178</v>
      </c>
      <c r="C151" s="162"/>
      <c r="D151" s="162"/>
      <c r="F151" s="86"/>
      <c r="G151" s="86"/>
      <c r="H151" s="86"/>
      <c r="I151" s="86"/>
      <c r="J151" s="86"/>
      <c r="K151" s="86"/>
      <c r="L151" s="86"/>
      <c r="M151" s="86"/>
      <c r="N151" s="86"/>
      <c r="O151" s="86"/>
      <c r="P151" s="86"/>
      <c r="Q151" s="86"/>
      <c r="R151" s="86"/>
      <c r="S151" s="86"/>
      <c r="T151" s="86"/>
    </row>
    <row r="152" spans="2:28" x14ac:dyDescent="0.2">
      <c r="C152" s="21" t="s">
        <v>83</v>
      </c>
      <c r="D152" s="21"/>
      <c r="E152" s="264">
        <v>0.1391</v>
      </c>
      <c r="F152" s="86">
        <v>232.72</v>
      </c>
      <c r="G152" s="86">
        <f>F155</f>
        <v>256.33</v>
      </c>
      <c r="H152" s="86">
        <f>G155</f>
        <v>283.81</v>
      </c>
      <c r="I152" s="86">
        <f>H155</f>
        <v>287.01</v>
      </c>
      <c r="J152" s="86">
        <f>I155</f>
        <v>298.31</v>
      </c>
      <c r="K152" s="86">
        <f t="shared" ref="K152:T152" si="285">J155</f>
        <v>298.31</v>
      </c>
      <c r="L152" s="86">
        <f t="shared" si="285"/>
        <v>298.31</v>
      </c>
      <c r="M152" s="86">
        <f t="shared" si="285"/>
        <v>298.31</v>
      </c>
      <c r="N152" s="86">
        <f t="shared" si="285"/>
        <v>298.31</v>
      </c>
      <c r="O152" s="86">
        <f t="shared" si="285"/>
        <v>298.31</v>
      </c>
      <c r="P152" s="86">
        <f t="shared" si="285"/>
        <v>298.31</v>
      </c>
      <c r="Q152" s="86">
        <f t="shared" si="285"/>
        <v>298.31</v>
      </c>
      <c r="R152" s="86">
        <f t="shared" si="285"/>
        <v>298.31</v>
      </c>
      <c r="S152" s="86">
        <f t="shared" si="285"/>
        <v>298.31</v>
      </c>
      <c r="T152" s="86">
        <f t="shared" si="285"/>
        <v>298.31</v>
      </c>
    </row>
    <row r="153" spans="2:28" x14ac:dyDescent="0.2">
      <c r="C153" s="21" t="s">
        <v>84</v>
      </c>
      <c r="D153" s="21"/>
      <c r="F153" s="86">
        <f>10.13+13.48</f>
        <v>23.61</v>
      </c>
      <c r="G153" s="86">
        <v>27.48</v>
      </c>
      <c r="H153" s="86">
        <v>3.2</v>
      </c>
      <c r="I153" s="86">
        <v>11.3</v>
      </c>
      <c r="J153" s="86">
        <v>0</v>
      </c>
      <c r="K153" s="86">
        <v>0</v>
      </c>
      <c r="L153" s="86">
        <v>0</v>
      </c>
      <c r="M153" s="86">
        <v>0</v>
      </c>
      <c r="N153" s="86">
        <v>0</v>
      </c>
      <c r="O153" s="86">
        <v>0</v>
      </c>
      <c r="P153" s="86">
        <v>0</v>
      </c>
      <c r="Q153" s="86">
        <v>0</v>
      </c>
      <c r="R153" s="86">
        <v>0</v>
      </c>
      <c r="S153" s="86">
        <v>0</v>
      </c>
      <c r="T153" s="86">
        <v>0</v>
      </c>
    </row>
    <row r="154" spans="2:28" x14ac:dyDescent="0.2">
      <c r="C154" s="21" t="s">
        <v>102</v>
      </c>
      <c r="D154" s="21"/>
      <c r="F154" s="86">
        <v>0</v>
      </c>
      <c r="G154" s="86">
        <v>0</v>
      </c>
      <c r="H154" s="86">
        <v>0</v>
      </c>
      <c r="I154" s="86">
        <v>0</v>
      </c>
      <c r="J154" s="86">
        <v>0</v>
      </c>
      <c r="K154" s="86">
        <v>0</v>
      </c>
      <c r="L154" s="86">
        <v>0</v>
      </c>
      <c r="M154" s="86">
        <v>0</v>
      </c>
      <c r="N154" s="86">
        <v>0</v>
      </c>
      <c r="O154" s="86">
        <v>0</v>
      </c>
      <c r="P154" s="86">
        <v>0</v>
      </c>
      <c r="Q154" s="86">
        <v>0</v>
      </c>
      <c r="R154" s="86">
        <v>0</v>
      </c>
      <c r="S154" s="86">
        <v>0</v>
      </c>
      <c r="T154" s="86">
        <v>0</v>
      </c>
    </row>
    <row r="155" spans="2:28" x14ac:dyDescent="0.2">
      <c r="C155" s="21" t="s">
        <v>85</v>
      </c>
      <c r="D155" s="21"/>
      <c r="F155" s="86">
        <f>F152+F153-F154</f>
        <v>256.33</v>
      </c>
      <c r="G155" s="86">
        <f t="shared" ref="G155:J155" si="286">G152+G153-G154</f>
        <v>283.81</v>
      </c>
      <c r="H155" s="86">
        <f t="shared" si="286"/>
        <v>287.01</v>
      </c>
      <c r="I155" s="86">
        <f t="shared" si="286"/>
        <v>298.31</v>
      </c>
      <c r="J155" s="86">
        <f t="shared" si="286"/>
        <v>298.31</v>
      </c>
      <c r="K155" s="86">
        <f t="shared" ref="K155:T155" si="287">K152+K153-K154</f>
        <v>298.31</v>
      </c>
      <c r="L155" s="86">
        <f t="shared" si="287"/>
        <v>298.31</v>
      </c>
      <c r="M155" s="86">
        <f t="shared" si="287"/>
        <v>298.31</v>
      </c>
      <c r="N155" s="86">
        <f t="shared" si="287"/>
        <v>298.31</v>
      </c>
      <c r="O155" s="86">
        <f t="shared" si="287"/>
        <v>298.31</v>
      </c>
      <c r="P155" s="86">
        <f t="shared" si="287"/>
        <v>298.31</v>
      </c>
      <c r="Q155" s="86">
        <f t="shared" si="287"/>
        <v>298.31</v>
      </c>
      <c r="R155" s="86">
        <f t="shared" si="287"/>
        <v>298.31</v>
      </c>
      <c r="S155" s="86">
        <f t="shared" si="287"/>
        <v>298.31</v>
      </c>
      <c r="T155" s="86">
        <f t="shared" si="287"/>
        <v>298.31</v>
      </c>
    </row>
    <row r="156" spans="2:28" x14ac:dyDescent="0.2">
      <c r="C156" s="21" t="s">
        <v>7</v>
      </c>
      <c r="D156" s="21"/>
      <c r="F156" s="86">
        <v>28.77</v>
      </c>
      <c r="G156" s="86">
        <v>24.55</v>
      </c>
      <c r="H156" s="86">
        <v>22.83</v>
      </c>
      <c r="I156" s="86">
        <v>16.7</v>
      </c>
      <c r="J156" s="86">
        <f>(I158+J153/2)*$E152</f>
        <v>3.8002119999999993</v>
      </c>
      <c r="K156" s="86">
        <f t="shared" ref="K156:T156" si="288">(J158+K153/2)*$E152</f>
        <v>3.2716025108000006</v>
      </c>
      <c r="L156" s="86">
        <f t="shared" si="288"/>
        <v>2.8165226015477218</v>
      </c>
      <c r="M156" s="86">
        <f t="shared" si="288"/>
        <v>2.4247443076724342</v>
      </c>
      <c r="N156" s="86">
        <f t="shared" si="288"/>
        <v>2.0874623744751997</v>
      </c>
      <c r="O156" s="86">
        <f t="shared" si="288"/>
        <v>1.7970963581857</v>
      </c>
      <c r="P156" s="86">
        <f t="shared" si="288"/>
        <v>1.5471202547620715</v>
      </c>
      <c r="Q156" s="86">
        <f t="shared" si="288"/>
        <v>1.3319158273246645</v>
      </c>
      <c r="R156" s="86">
        <f t="shared" si="288"/>
        <v>1.1466463357438017</v>
      </c>
      <c r="S156" s="86">
        <f t="shared" si="288"/>
        <v>0.98714783044183774</v>
      </c>
      <c r="T156" s="86">
        <f t="shared" si="288"/>
        <v>0.84983556722738152</v>
      </c>
    </row>
    <row r="157" spans="2:28" x14ac:dyDescent="0.2">
      <c r="C157" s="21" t="s">
        <v>86</v>
      </c>
      <c r="D157" s="21"/>
      <c r="F157" s="86">
        <v>206.91</v>
      </c>
      <c r="G157" s="86">
        <f>F157+G156</f>
        <v>231.46</v>
      </c>
      <c r="H157" s="86">
        <f t="shared" ref="H157:J157" si="289">G157+H156</f>
        <v>254.29000000000002</v>
      </c>
      <c r="I157" s="86">
        <f t="shared" si="289"/>
        <v>270.99</v>
      </c>
      <c r="J157" s="86">
        <f t="shared" si="289"/>
        <v>274.790212</v>
      </c>
      <c r="K157" s="86">
        <f t="shared" ref="K157" si="290">J157+K156</f>
        <v>278.06181451079999</v>
      </c>
      <c r="L157" s="86">
        <f t="shared" ref="L157" si="291">K157+L156</f>
        <v>280.87833711234771</v>
      </c>
      <c r="M157" s="86">
        <f t="shared" ref="M157" si="292">L157+M156</f>
        <v>283.30308142002013</v>
      </c>
      <c r="N157" s="86">
        <f t="shared" ref="N157" si="293">M157+N156</f>
        <v>285.39054379449533</v>
      </c>
      <c r="O157" s="86">
        <f t="shared" ref="O157" si="294">N157+O156</f>
        <v>287.18764015268101</v>
      </c>
      <c r="P157" s="86">
        <f t="shared" ref="P157" si="295">O157+P156</f>
        <v>288.7347604074431</v>
      </c>
      <c r="Q157" s="86">
        <f t="shared" ref="Q157" si="296">P157+Q156</f>
        <v>290.06667623476778</v>
      </c>
      <c r="R157" s="86">
        <f t="shared" ref="R157" si="297">Q157+R156</f>
        <v>291.21332257051159</v>
      </c>
      <c r="S157" s="86">
        <f t="shared" ref="S157" si="298">R157+S156</f>
        <v>292.20047040095341</v>
      </c>
      <c r="T157" s="86">
        <f t="shared" ref="T157" si="299">S157+T156</f>
        <v>293.05030596818079</v>
      </c>
    </row>
    <row r="158" spans="2:28" s="162" customFormat="1" x14ac:dyDescent="0.2">
      <c r="C158" s="22" t="s">
        <v>87</v>
      </c>
      <c r="D158" s="22"/>
      <c r="E158" s="253"/>
      <c r="F158" s="247">
        <f>F155-F157</f>
        <v>49.419999999999987</v>
      </c>
      <c r="G158" s="247">
        <f t="shared" ref="G158:J158" si="300">G155-G157</f>
        <v>52.349999999999994</v>
      </c>
      <c r="H158" s="247">
        <f t="shared" si="300"/>
        <v>32.71999999999997</v>
      </c>
      <c r="I158" s="247">
        <f t="shared" si="300"/>
        <v>27.319999999999993</v>
      </c>
      <c r="J158" s="247">
        <f t="shared" si="300"/>
        <v>23.519788000000005</v>
      </c>
      <c r="K158" s="247">
        <f t="shared" ref="K158:T158" si="301">K155-K157</f>
        <v>20.248185489200011</v>
      </c>
      <c r="L158" s="247">
        <f t="shared" si="301"/>
        <v>17.431662887652294</v>
      </c>
      <c r="M158" s="247">
        <f t="shared" si="301"/>
        <v>15.006918579979867</v>
      </c>
      <c r="N158" s="247">
        <f t="shared" si="301"/>
        <v>12.919456205504673</v>
      </c>
      <c r="O158" s="247">
        <f t="shared" si="301"/>
        <v>11.12235984731899</v>
      </c>
      <c r="P158" s="247">
        <f t="shared" si="301"/>
        <v>9.5752395925568976</v>
      </c>
      <c r="Q158" s="247">
        <f t="shared" si="301"/>
        <v>8.2433237652322191</v>
      </c>
      <c r="R158" s="247">
        <f t="shared" si="301"/>
        <v>7.096677429488409</v>
      </c>
      <c r="S158" s="247">
        <f t="shared" si="301"/>
        <v>6.1095295990465956</v>
      </c>
      <c r="T158" s="247">
        <f t="shared" si="301"/>
        <v>5.2596940318192082</v>
      </c>
      <c r="W158" s="261"/>
      <c r="X158" s="247"/>
      <c r="Y158" s="247"/>
      <c r="Z158" s="247"/>
      <c r="AA158" s="247"/>
      <c r="AB158" s="180"/>
    </row>
    <row r="159" spans="2:28" x14ac:dyDescent="0.2">
      <c r="F159" s="86"/>
      <c r="G159" s="86"/>
      <c r="H159" s="86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</row>
    <row r="160" spans="2:28" x14ac:dyDescent="0.2">
      <c r="B160" s="162" t="s">
        <v>122</v>
      </c>
      <c r="C160" s="162"/>
      <c r="D160" s="162"/>
      <c r="E160" s="264">
        <v>0.25890000000000002</v>
      </c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</row>
    <row r="161" spans="2:28" x14ac:dyDescent="0.2">
      <c r="C161" s="21" t="s">
        <v>83</v>
      </c>
      <c r="D161" s="21"/>
      <c r="F161" s="86">
        <v>113.64</v>
      </c>
      <c r="G161" s="86">
        <f>F164</f>
        <v>113.64</v>
      </c>
      <c r="H161" s="86">
        <f>G164</f>
        <v>113.64</v>
      </c>
      <c r="I161" s="86">
        <f>H164</f>
        <v>113.64</v>
      </c>
      <c r="J161" s="86">
        <f>I164+I165</f>
        <v>131.27000000000001</v>
      </c>
      <c r="K161" s="86">
        <f t="shared" ref="K161:T161" si="302">J164+J165</f>
        <v>131.27000000000001</v>
      </c>
      <c r="L161" s="86">
        <f t="shared" si="302"/>
        <v>131.27000000000001</v>
      </c>
      <c r="M161" s="86">
        <f t="shared" si="302"/>
        <v>131.27000000000001</v>
      </c>
      <c r="N161" s="86">
        <f t="shared" si="302"/>
        <v>131.27000000000001</v>
      </c>
      <c r="O161" s="86">
        <f t="shared" si="302"/>
        <v>131.27000000000001</v>
      </c>
      <c r="P161" s="86">
        <f t="shared" si="302"/>
        <v>131.27000000000001</v>
      </c>
      <c r="Q161" s="86">
        <f t="shared" si="302"/>
        <v>131.27000000000001</v>
      </c>
      <c r="R161" s="86">
        <f t="shared" si="302"/>
        <v>131.27000000000001</v>
      </c>
      <c r="S161" s="86">
        <f t="shared" si="302"/>
        <v>131.27000000000001</v>
      </c>
      <c r="T161" s="86">
        <f t="shared" si="302"/>
        <v>131.27000000000001</v>
      </c>
    </row>
    <row r="162" spans="2:28" x14ac:dyDescent="0.2">
      <c r="C162" s="21" t="s">
        <v>84</v>
      </c>
      <c r="D162" s="21"/>
      <c r="F162" s="86">
        <v>0</v>
      </c>
      <c r="G162" s="86">
        <v>0</v>
      </c>
      <c r="H162" s="86">
        <v>0</v>
      </c>
      <c r="I162" s="86">
        <v>0</v>
      </c>
      <c r="J162" s="86">
        <v>0</v>
      </c>
      <c r="K162" s="86">
        <v>0</v>
      </c>
      <c r="L162" s="86">
        <v>0</v>
      </c>
      <c r="M162" s="86">
        <v>0</v>
      </c>
      <c r="N162" s="86">
        <v>0</v>
      </c>
      <c r="O162" s="86">
        <v>0</v>
      </c>
      <c r="P162" s="86">
        <v>0</v>
      </c>
      <c r="Q162" s="86">
        <v>0</v>
      </c>
      <c r="R162" s="86">
        <v>0</v>
      </c>
      <c r="S162" s="86">
        <v>0</v>
      </c>
      <c r="T162" s="86">
        <v>0</v>
      </c>
    </row>
    <row r="163" spans="2:28" x14ac:dyDescent="0.2">
      <c r="C163" s="21" t="s">
        <v>102</v>
      </c>
      <c r="D163" s="21"/>
      <c r="F163" s="86">
        <v>0</v>
      </c>
      <c r="G163" s="86">
        <v>0</v>
      </c>
      <c r="H163" s="86">
        <v>0</v>
      </c>
      <c r="I163" s="86">
        <v>0</v>
      </c>
      <c r="J163" s="86">
        <v>0</v>
      </c>
      <c r="K163" s="86">
        <v>0</v>
      </c>
      <c r="L163" s="86">
        <v>0</v>
      </c>
      <c r="M163" s="86">
        <v>0</v>
      </c>
      <c r="N163" s="86">
        <v>0</v>
      </c>
      <c r="O163" s="86">
        <v>0</v>
      </c>
      <c r="P163" s="86">
        <v>0</v>
      </c>
      <c r="Q163" s="86">
        <v>0</v>
      </c>
      <c r="R163" s="86">
        <v>0</v>
      </c>
      <c r="S163" s="86">
        <v>0</v>
      </c>
      <c r="T163" s="86">
        <v>0</v>
      </c>
    </row>
    <row r="164" spans="2:28" x14ac:dyDescent="0.2">
      <c r="C164" s="21" t="s">
        <v>85</v>
      </c>
      <c r="D164" s="21"/>
      <c r="F164" s="86">
        <f>F161+F162-F163</f>
        <v>113.64</v>
      </c>
      <c r="G164" s="86">
        <f t="shared" ref="G164:J164" si="303">G161+G162-G163</f>
        <v>113.64</v>
      </c>
      <c r="H164" s="86">
        <f t="shared" si="303"/>
        <v>113.64</v>
      </c>
      <c r="I164" s="86">
        <f t="shared" si="303"/>
        <v>113.64</v>
      </c>
      <c r="J164" s="86">
        <f t="shared" si="303"/>
        <v>131.27000000000001</v>
      </c>
      <c r="K164" s="86">
        <f t="shared" ref="K164:T164" si="304">K161+K162-K163</f>
        <v>131.27000000000001</v>
      </c>
      <c r="L164" s="86">
        <f t="shared" si="304"/>
        <v>131.27000000000001</v>
      </c>
      <c r="M164" s="86">
        <f t="shared" si="304"/>
        <v>131.27000000000001</v>
      </c>
      <c r="N164" s="86">
        <f t="shared" si="304"/>
        <v>131.27000000000001</v>
      </c>
      <c r="O164" s="86">
        <f t="shared" si="304"/>
        <v>131.27000000000001</v>
      </c>
      <c r="P164" s="86">
        <f t="shared" si="304"/>
        <v>131.27000000000001</v>
      </c>
      <c r="Q164" s="86">
        <f t="shared" si="304"/>
        <v>131.27000000000001</v>
      </c>
      <c r="R164" s="86">
        <f t="shared" si="304"/>
        <v>131.27000000000001</v>
      </c>
      <c r="S164" s="86">
        <f t="shared" si="304"/>
        <v>131.27000000000001</v>
      </c>
      <c r="T164" s="86">
        <f t="shared" si="304"/>
        <v>131.27000000000001</v>
      </c>
    </row>
    <row r="165" spans="2:28" x14ac:dyDescent="0.2">
      <c r="C165" s="21" t="s">
        <v>213</v>
      </c>
      <c r="D165" s="21"/>
      <c r="F165" s="86">
        <v>0</v>
      </c>
      <c r="G165" s="86">
        <v>0</v>
      </c>
      <c r="H165" s="86">
        <v>0</v>
      </c>
      <c r="I165" s="86">
        <v>17.63</v>
      </c>
      <c r="J165" s="86">
        <v>0</v>
      </c>
      <c r="K165" s="86">
        <v>0</v>
      </c>
      <c r="L165" s="86">
        <v>0</v>
      </c>
      <c r="M165" s="86">
        <v>0</v>
      </c>
      <c r="N165" s="86">
        <v>0</v>
      </c>
      <c r="O165" s="86">
        <v>0</v>
      </c>
      <c r="P165" s="86">
        <v>0</v>
      </c>
      <c r="Q165" s="86">
        <v>0</v>
      </c>
      <c r="R165" s="86">
        <v>0</v>
      </c>
      <c r="S165" s="86">
        <v>0</v>
      </c>
      <c r="T165" s="86">
        <v>0</v>
      </c>
    </row>
    <row r="166" spans="2:28" x14ac:dyDescent="0.2">
      <c r="C166" s="21" t="s">
        <v>7</v>
      </c>
      <c r="D166" s="21"/>
      <c r="F166" s="86">
        <v>9.6199999999999992</v>
      </c>
      <c r="G166" s="86">
        <v>7.88</v>
      </c>
      <c r="H166" s="86">
        <v>6.46</v>
      </c>
      <c r="I166" s="86">
        <v>5.29</v>
      </c>
      <c r="J166" s="86">
        <f>(I168+J162/2)*$E160</f>
        <v>10.759884000000005</v>
      </c>
      <c r="K166" s="86">
        <f t="shared" ref="K166:T166" si="305">(J168+K162/2)*$E160</f>
        <v>7.9741500324000052</v>
      </c>
      <c r="L166" s="86">
        <f t="shared" si="305"/>
        <v>5.9096425890116437</v>
      </c>
      <c r="M166" s="86">
        <f t="shared" si="305"/>
        <v>4.3796361227165299</v>
      </c>
      <c r="N166" s="86">
        <f t="shared" si="305"/>
        <v>3.2457483305452195</v>
      </c>
      <c r="O166" s="86">
        <f t="shared" si="305"/>
        <v>2.4054240877670607</v>
      </c>
      <c r="P166" s="86">
        <f t="shared" si="305"/>
        <v>1.7826597914441689</v>
      </c>
      <c r="Q166" s="86">
        <f t="shared" si="305"/>
        <v>1.3211291714392719</v>
      </c>
      <c r="R166" s="86">
        <f t="shared" si="305"/>
        <v>0.97908882895364568</v>
      </c>
      <c r="S166" s="86">
        <f t="shared" si="305"/>
        <v>0.7256027311375457</v>
      </c>
      <c r="T166" s="86">
        <f t="shared" si="305"/>
        <v>0.53774418404603608</v>
      </c>
    </row>
    <row r="167" spans="2:28" x14ac:dyDescent="0.2">
      <c r="C167" s="21" t="s">
        <v>86</v>
      </c>
      <c r="D167" s="21"/>
      <c r="F167" s="86">
        <v>70.08</v>
      </c>
      <c r="G167" s="86">
        <f>F167+G166</f>
        <v>77.959999999999994</v>
      </c>
      <c r="H167" s="86">
        <f t="shared" ref="H167:J167" si="306">G167+H166</f>
        <v>84.419999999999987</v>
      </c>
      <c r="I167" s="86">
        <f t="shared" si="306"/>
        <v>89.71</v>
      </c>
      <c r="J167" s="86">
        <f t="shared" si="306"/>
        <v>100.46988399999999</v>
      </c>
      <c r="K167" s="86">
        <f t="shared" ref="K167" si="307">J167+K166</f>
        <v>108.4440340324</v>
      </c>
      <c r="L167" s="86">
        <f t="shared" ref="L167" si="308">K167+L166</f>
        <v>114.35367662141164</v>
      </c>
      <c r="M167" s="86">
        <f t="shared" ref="M167" si="309">L167+M166</f>
        <v>118.73331274412817</v>
      </c>
      <c r="N167" s="86">
        <f t="shared" ref="N167" si="310">M167+N166</f>
        <v>121.9790610746734</v>
      </c>
      <c r="O167" s="86">
        <f t="shared" ref="O167" si="311">N167+O166</f>
        <v>124.38448516244046</v>
      </c>
      <c r="P167" s="86">
        <f t="shared" ref="P167" si="312">O167+P166</f>
        <v>126.16714495388463</v>
      </c>
      <c r="Q167" s="86">
        <f t="shared" ref="Q167" si="313">P167+Q166</f>
        <v>127.4882741253239</v>
      </c>
      <c r="R167" s="86">
        <f t="shared" ref="R167" si="314">Q167+R166</f>
        <v>128.46736295427755</v>
      </c>
      <c r="S167" s="86">
        <f t="shared" ref="S167" si="315">R167+S166</f>
        <v>129.19296568541509</v>
      </c>
      <c r="T167" s="86">
        <f t="shared" ref="T167" si="316">S167+T166</f>
        <v>129.73070986946112</v>
      </c>
    </row>
    <row r="168" spans="2:28" s="162" customFormat="1" x14ac:dyDescent="0.2">
      <c r="C168" s="22" t="s">
        <v>87</v>
      </c>
      <c r="D168" s="22"/>
      <c r="E168" s="253"/>
      <c r="F168" s="247">
        <f>F164-F167</f>
        <v>43.56</v>
      </c>
      <c r="G168" s="247">
        <f t="shared" ref="G168:H168" si="317">G164-G167</f>
        <v>35.680000000000007</v>
      </c>
      <c r="H168" s="247">
        <f t="shared" si="317"/>
        <v>29.220000000000013</v>
      </c>
      <c r="I168" s="247">
        <f>I164+I165-I167</f>
        <v>41.560000000000016</v>
      </c>
      <c r="J168" s="247">
        <f>J164+J165-J167</f>
        <v>30.800116000000017</v>
      </c>
      <c r="K168" s="247">
        <f t="shared" ref="K168:T168" si="318">K164+K165-K167</f>
        <v>22.825965967600013</v>
      </c>
      <c r="L168" s="247">
        <f t="shared" si="318"/>
        <v>16.916323378588373</v>
      </c>
      <c r="M168" s="247">
        <f t="shared" si="318"/>
        <v>12.53668725587184</v>
      </c>
      <c r="N168" s="247">
        <f t="shared" si="318"/>
        <v>9.2909389253266141</v>
      </c>
      <c r="O168" s="247">
        <f t="shared" si="318"/>
        <v>6.8855148375595547</v>
      </c>
      <c r="P168" s="247">
        <f t="shared" si="318"/>
        <v>5.1028550461153799</v>
      </c>
      <c r="Q168" s="247">
        <f t="shared" si="318"/>
        <v>3.7817258746761127</v>
      </c>
      <c r="R168" s="247">
        <f t="shared" si="318"/>
        <v>2.802637045722463</v>
      </c>
      <c r="S168" s="247">
        <f t="shared" si="318"/>
        <v>2.077034314584921</v>
      </c>
      <c r="T168" s="247">
        <f t="shared" si="318"/>
        <v>1.5392901305388875</v>
      </c>
      <c r="W168" s="261"/>
      <c r="X168" s="247"/>
      <c r="Y168" s="247"/>
      <c r="Z168" s="247"/>
      <c r="AA168" s="247"/>
      <c r="AB168" s="180"/>
    </row>
    <row r="169" spans="2:28" x14ac:dyDescent="0.2">
      <c r="F169" s="86"/>
      <c r="G169" s="86"/>
      <c r="H169" s="86"/>
      <c r="I169" s="86"/>
      <c r="J169" s="86"/>
      <c r="K169" s="86"/>
      <c r="L169" s="86"/>
      <c r="M169" s="86"/>
      <c r="N169" s="86"/>
      <c r="O169" s="86"/>
      <c r="P169" s="86"/>
      <c r="Q169" s="86"/>
      <c r="R169" s="86"/>
      <c r="S169" s="86"/>
      <c r="T169" s="86"/>
    </row>
    <row r="170" spans="2:28" x14ac:dyDescent="0.2">
      <c r="B170" s="162" t="s">
        <v>123</v>
      </c>
      <c r="C170" s="162"/>
      <c r="D170" s="162"/>
      <c r="E170" s="264">
        <v>0.3</v>
      </c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6"/>
    </row>
    <row r="171" spans="2:28" x14ac:dyDescent="0.2">
      <c r="C171" s="21" t="s">
        <v>83</v>
      </c>
      <c r="D171" s="21"/>
      <c r="F171" s="86">
        <v>424.06</v>
      </c>
      <c r="G171" s="86">
        <f>F174</f>
        <v>424.06</v>
      </c>
      <c r="H171" s="86">
        <f t="shared" ref="H171:I171" si="319">G174</f>
        <v>424.17</v>
      </c>
      <c r="I171" s="86">
        <f t="shared" si="319"/>
        <v>424.17</v>
      </c>
      <c r="J171" s="86">
        <f>I174</f>
        <v>447.77000000000004</v>
      </c>
      <c r="K171" s="86">
        <f t="shared" ref="K171:T171" si="320">J174</f>
        <v>447.77000000000004</v>
      </c>
      <c r="L171" s="86">
        <f t="shared" si="320"/>
        <v>447.77000000000004</v>
      </c>
      <c r="M171" s="86">
        <f t="shared" si="320"/>
        <v>447.77000000000004</v>
      </c>
      <c r="N171" s="86">
        <f t="shared" si="320"/>
        <v>447.77000000000004</v>
      </c>
      <c r="O171" s="86">
        <f t="shared" si="320"/>
        <v>447.77000000000004</v>
      </c>
      <c r="P171" s="86">
        <f t="shared" si="320"/>
        <v>447.77000000000004</v>
      </c>
      <c r="Q171" s="86">
        <f t="shared" si="320"/>
        <v>447.77000000000004</v>
      </c>
      <c r="R171" s="86">
        <f t="shared" si="320"/>
        <v>447.77000000000004</v>
      </c>
      <c r="S171" s="86">
        <f t="shared" si="320"/>
        <v>447.77000000000004</v>
      </c>
      <c r="T171" s="86">
        <f t="shared" si="320"/>
        <v>447.77000000000004</v>
      </c>
    </row>
    <row r="172" spans="2:28" x14ac:dyDescent="0.2">
      <c r="C172" s="21" t="s">
        <v>84</v>
      </c>
      <c r="D172" s="21"/>
      <c r="F172" s="86">
        <v>0</v>
      </c>
      <c r="G172" s="86">
        <v>0.11</v>
      </c>
      <c r="H172" s="86">
        <v>0</v>
      </c>
      <c r="I172" s="86">
        <v>23.6</v>
      </c>
      <c r="J172" s="86">
        <v>0</v>
      </c>
      <c r="K172" s="86">
        <v>0</v>
      </c>
      <c r="L172" s="86">
        <v>0</v>
      </c>
      <c r="M172" s="86">
        <v>0</v>
      </c>
      <c r="N172" s="86">
        <v>0</v>
      </c>
      <c r="O172" s="86">
        <v>0</v>
      </c>
      <c r="P172" s="86">
        <v>0</v>
      </c>
      <c r="Q172" s="86">
        <v>0</v>
      </c>
      <c r="R172" s="86">
        <v>0</v>
      </c>
      <c r="S172" s="86">
        <v>0</v>
      </c>
      <c r="T172" s="86">
        <v>0</v>
      </c>
    </row>
    <row r="173" spans="2:28" x14ac:dyDescent="0.2">
      <c r="C173" s="90" t="s">
        <v>102</v>
      </c>
      <c r="D173" s="267"/>
      <c r="F173" s="86">
        <v>0</v>
      </c>
      <c r="G173" s="86">
        <v>0</v>
      </c>
      <c r="H173" s="86"/>
      <c r="I173" s="86">
        <v>0</v>
      </c>
      <c r="J173" s="86">
        <v>0</v>
      </c>
      <c r="K173" s="86">
        <v>0</v>
      </c>
      <c r="L173" s="86">
        <v>0</v>
      </c>
      <c r="M173" s="86">
        <v>0</v>
      </c>
      <c r="N173" s="86">
        <v>0</v>
      </c>
      <c r="O173" s="86">
        <v>0</v>
      </c>
      <c r="P173" s="86">
        <v>0</v>
      </c>
      <c r="Q173" s="86">
        <v>0</v>
      </c>
      <c r="R173" s="86">
        <v>0</v>
      </c>
      <c r="S173" s="86">
        <v>0</v>
      </c>
      <c r="T173" s="86">
        <v>0</v>
      </c>
    </row>
    <row r="174" spans="2:28" x14ac:dyDescent="0.2">
      <c r="C174" s="21" t="s">
        <v>85</v>
      </c>
      <c r="D174" s="21"/>
      <c r="F174" s="86">
        <f>F171+F172-F173</f>
        <v>424.06</v>
      </c>
      <c r="G174" s="86">
        <f t="shared" ref="G174:J174" si="321">G171+G172-G173</f>
        <v>424.17</v>
      </c>
      <c r="H174" s="86">
        <f t="shared" si="321"/>
        <v>424.17</v>
      </c>
      <c r="I174" s="86">
        <f t="shared" si="321"/>
        <v>447.77000000000004</v>
      </c>
      <c r="J174" s="86">
        <f t="shared" si="321"/>
        <v>447.77000000000004</v>
      </c>
      <c r="K174" s="86">
        <f t="shared" ref="K174:T174" si="322">K171+K172-K173</f>
        <v>447.77000000000004</v>
      </c>
      <c r="L174" s="86">
        <f t="shared" si="322"/>
        <v>447.77000000000004</v>
      </c>
      <c r="M174" s="86">
        <f t="shared" si="322"/>
        <v>447.77000000000004</v>
      </c>
      <c r="N174" s="86">
        <f t="shared" si="322"/>
        <v>447.77000000000004</v>
      </c>
      <c r="O174" s="86">
        <f t="shared" si="322"/>
        <v>447.77000000000004</v>
      </c>
      <c r="P174" s="86">
        <f t="shared" si="322"/>
        <v>447.77000000000004</v>
      </c>
      <c r="Q174" s="86">
        <f t="shared" si="322"/>
        <v>447.77000000000004</v>
      </c>
      <c r="R174" s="86">
        <f t="shared" si="322"/>
        <v>447.77000000000004</v>
      </c>
      <c r="S174" s="86">
        <f t="shared" si="322"/>
        <v>447.77000000000004</v>
      </c>
      <c r="T174" s="86">
        <f t="shared" si="322"/>
        <v>447.77000000000004</v>
      </c>
    </row>
    <row r="175" spans="2:28" x14ac:dyDescent="0.2">
      <c r="C175" s="21" t="s">
        <v>7</v>
      </c>
      <c r="D175" s="21"/>
      <c r="F175" s="86">
        <v>30.47</v>
      </c>
      <c r="G175" s="86">
        <v>20.95</v>
      </c>
      <c r="H175" s="86">
        <v>14.44</v>
      </c>
      <c r="I175" s="86">
        <v>9.9499999999999993</v>
      </c>
      <c r="J175" s="86">
        <f>(I177+J172/2)*$E170</f>
        <v>13.638000000000011</v>
      </c>
      <c r="K175" s="86">
        <f t="shared" ref="K175:T175" si="323">(J177+K172/2)*$E170</f>
        <v>9.5465999999999998</v>
      </c>
      <c r="L175" s="86">
        <f t="shared" si="323"/>
        <v>6.6826199999999973</v>
      </c>
      <c r="M175" s="86">
        <f t="shared" si="323"/>
        <v>4.6778340000000016</v>
      </c>
      <c r="N175" s="86">
        <f t="shared" si="323"/>
        <v>3.2744837999999956</v>
      </c>
      <c r="O175" s="86">
        <f t="shared" si="323"/>
        <v>2.2921386600000004</v>
      </c>
      <c r="P175" s="86">
        <f t="shared" si="323"/>
        <v>1.6044970620000072</v>
      </c>
      <c r="Q175" s="86">
        <f t="shared" si="323"/>
        <v>1.1231479434000049</v>
      </c>
      <c r="R175" s="86">
        <f t="shared" si="323"/>
        <v>0.78620356038000516</v>
      </c>
      <c r="S175" s="86">
        <f t="shared" si="323"/>
        <v>0.55034249226600873</v>
      </c>
      <c r="T175" s="86">
        <f t="shared" si="323"/>
        <v>0.38523974458620952</v>
      </c>
    </row>
    <row r="176" spans="2:28" x14ac:dyDescent="0.2">
      <c r="C176" s="21" t="s">
        <v>86</v>
      </c>
      <c r="D176" s="21"/>
      <c r="F176" s="86">
        <v>356.97</v>
      </c>
      <c r="G176" s="86">
        <f>F176+G175</f>
        <v>377.92</v>
      </c>
      <c r="H176" s="86">
        <f t="shared" ref="H176:J176" si="324">G176+H175</f>
        <v>392.36</v>
      </c>
      <c r="I176" s="86">
        <f t="shared" si="324"/>
        <v>402.31</v>
      </c>
      <c r="J176" s="86">
        <f t="shared" si="324"/>
        <v>415.94800000000004</v>
      </c>
      <c r="K176" s="86">
        <f t="shared" ref="K176" si="325">J176+K175</f>
        <v>425.49460000000005</v>
      </c>
      <c r="L176" s="86">
        <f t="shared" ref="L176" si="326">K176+L175</f>
        <v>432.17722000000003</v>
      </c>
      <c r="M176" s="86">
        <f t="shared" ref="M176" si="327">L176+M175</f>
        <v>436.85505400000005</v>
      </c>
      <c r="N176" s="86">
        <f t="shared" ref="N176" si="328">M176+N175</f>
        <v>440.12953780000004</v>
      </c>
      <c r="O176" s="86">
        <f t="shared" ref="O176" si="329">N176+O175</f>
        <v>442.42167646000001</v>
      </c>
      <c r="P176" s="86">
        <f t="shared" ref="P176" si="330">O176+P175</f>
        <v>444.02617352200002</v>
      </c>
      <c r="Q176" s="86">
        <f t="shared" ref="Q176" si="331">P176+Q175</f>
        <v>445.14932146540002</v>
      </c>
      <c r="R176" s="86">
        <f t="shared" ref="R176" si="332">Q176+R175</f>
        <v>445.93552502578001</v>
      </c>
      <c r="S176" s="86">
        <f t="shared" ref="S176" si="333">R176+S175</f>
        <v>446.48586751804601</v>
      </c>
      <c r="T176" s="86">
        <f t="shared" ref="T176" si="334">S176+T175</f>
        <v>446.87110726263222</v>
      </c>
    </row>
    <row r="177" spans="2:28" s="162" customFormat="1" x14ac:dyDescent="0.2">
      <c r="C177" s="22" t="s">
        <v>87</v>
      </c>
      <c r="D177" s="22"/>
      <c r="E177" s="253"/>
      <c r="F177" s="247">
        <f>F174-F176</f>
        <v>67.089999999999975</v>
      </c>
      <c r="G177" s="247">
        <f>G174-G176</f>
        <v>46.25</v>
      </c>
      <c r="H177" s="247">
        <f>H174-H176</f>
        <v>31.810000000000002</v>
      </c>
      <c r="I177" s="247">
        <f>I174-I176</f>
        <v>45.460000000000036</v>
      </c>
      <c r="J177" s="247">
        <f>J174-J176</f>
        <v>31.822000000000003</v>
      </c>
      <c r="K177" s="247">
        <f t="shared" ref="K177:T177" si="335">K174-K176</f>
        <v>22.275399999999991</v>
      </c>
      <c r="L177" s="247">
        <f t="shared" si="335"/>
        <v>15.592780000000005</v>
      </c>
      <c r="M177" s="247">
        <f t="shared" si="335"/>
        <v>10.914945999999986</v>
      </c>
      <c r="N177" s="247">
        <f t="shared" si="335"/>
        <v>7.6404622000000018</v>
      </c>
      <c r="O177" s="247">
        <f t="shared" si="335"/>
        <v>5.348323540000024</v>
      </c>
      <c r="P177" s="247">
        <f t="shared" si="335"/>
        <v>3.7438264780000168</v>
      </c>
      <c r="Q177" s="247">
        <f t="shared" si="335"/>
        <v>2.6206785346000174</v>
      </c>
      <c r="R177" s="247">
        <f t="shared" si="335"/>
        <v>1.8344749742200293</v>
      </c>
      <c r="S177" s="247">
        <f t="shared" si="335"/>
        <v>1.2841324819540318</v>
      </c>
      <c r="T177" s="247">
        <f t="shared" si="335"/>
        <v>0.89889273736781661</v>
      </c>
      <c r="W177" s="261"/>
      <c r="X177" s="247"/>
      <c r="Y177" s="247"/>
      <c r="Z177" s="247"/>
      <c r="AA177" s="247"/>
      <c r="AB177" s="180"/>
    </row>
    <row r="178" spans="2:28" x14ac:dyDescent="0.2"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86"/>
      <c r="R178" s="86"/>
      <c r="S178" s="86"/>
      <c r="T178" s="86"/>
    </row>
    <row r="179" spans="2:28" x14ac:dyDescent="0.2">
      <c r="B179" s="162" t="s">
        <v>124</v>
      </c>
      <c r="C179" s="162"/>
      <c r="D179" s="162"/>
      <c r="E179" s="264">
        <v>0.3</v>
      </c>
      <c r="F179" s="86"/>
      <c r="G179" s="86"/>
      <c r="H179" s="86"/>
      <c r="I179" s="86"/>
      <c r="J179" s="86"/>
      <c r="K179" s="86"/>
      <c r="L179" s="86"/>
      <c r="M179" s="86"/>
      <c r="N179" s="86"/>
      <c r="O179" s="86"/>
      <c r="P179" s="86"/>
      <c r="Q179" s="86"/>
      <c r="R179" s="86"/>
      <c r="S179" s="86"/>
      <c r="T179" s="86"/>
    </row>
    <row r="180" spans="2:28" x14ac:dyDescent="0.2">
      <c r="C180" s="21" t="s">
        <v>83</v>
      </c>
      <c r="D180" s="21"/>
      <c r="F180" s="86">
        <v>50.48</v>
      </c>
      <c r="G180" s="86">
        <f>F183</f>
        <v>50.48</v>
      </c>
      <c r="H180" s="86">
        <f t="shared" ref="H180:I180" si="336">G183</f>
        <v>50.48</v>
      </c>
      <c r="I180" s="86">
        <f t="shared" si="336"/>
        <v>50.48</v>
      </c>
      <c r="J180" s="86">
        <f>I183</f>
        <v>50.48</v>
      </c>
      <c r="K180" s="86">
        <f t="shared" ref="K180:T180" si="337">J183</f>
        <v>50.48</v>
      </c>
      <c r="L180" s="86">
        <f t="shared" si="337"/>
        <v>50.48</v>
      </c>
      <c r="M180" s="86">
        <f t="shared" si="337"/>
        <v>50.48</v>
      </c>
      <c r="N180" s="86">
        <f t="shared" si="337"/>
        <v>50.48</v>
      </c>
      <c r="O180" s="86">
        <f t="shared" si="337"/>
        <v>50.48</v>
      </c>
      <c r="P180" s="86">
        <f t="shared" si="337"/>
        <v>50.48</v>
      </c>
      <c r="Q180" s="86">
        <f t="shared" si="337"/>
        <v>50.48</v>
      </c>
      <c r="R180" s="86">
        <f t="shared" si="337"/>
        <v>50.48</v>
      </c>
      <c r="S180" s="86">
        <f t="shared" si="337"/>
        <v>50.48</v>
      </c>
      <c r="T180" s="86">
        <f t="shared" si="337"/>
        <v>50.48</v>
      </c>
    </row>
    <row r="181" spans="2:28" x14ac:dyDescent="0.2">
      <c r="C181" s="21" t="s">
        <v>84</v>
      </c>
      <c r="D181" s="21"/>
      <c r="F181" s="86">
        <v>0</v>
      </c>
      <c r="G181" s="86">
        <v>0</v>
      </c>
      <c r="H181" s="86">
        <v>0</v>
      </c>
      <c r="I181" s="86">
        <v>0</v>
      </c>
      <c r="J181" s="86">
        <v>0</v>
      </c>
      <c r="K181" s="86">
        <v>0</v>
      </c>
      <c r="L181" s="86">
        <v>0</v>
      </c>
      <c r="M181" s="86">
        <v>0</v>
      </c>
      <c r="N181" s="86">
        <v>0</v>
      </c>
      <c r="O181" s="86">
        <v>0</v>
      </c>
      <c r="P181" s="86">
        <v>0</v>
      </c>
      <c r="Q181" s="86">
        <v>0</v>
      </c>
      <c r="R181" s="86">
        <v>0</v>
      </c>
      <c r="S181" s="86">
        <v>0</v>
      </c>
      <c r="T181" s="86">
        <v>0</v>
      </c>
    </row>
    <row r="182" spans="2:28" x14ac:dyDescent="0.2">
      <c r="C182" s="21" t="s">
        <v>102</v>
      </c>
      <c r="D182" s="21"/>
      <c r="F182" s="86">
        <v>0</v>
      </c>
      <c r="G182" s="86">
        <v>0</v>
      </c>
      <c r="H182" s="86">
        <v>0</v>
      </c>
      <c r="I182" s="86">
        <v>0</v>
      </c>
      <c r="J182" s="86">
        <v>0</v>
      </c>
      <c r="K182" s="86">
        <v>0</v>
      </c>
      <c r="L182" s="86">
        <v>0</v>
      </c>
      <c r="M182" s="86">
        <v>0</v>
      </c>
      <c r="N182" s="86">
        <v>0</v>
      </c>
      <c r="O182" s="86">
        <v>0</v>
      </c>
      <c r="P182" s="86">
        <v>0</v>
      </c>
      <c r="Q182" s="86">
        <v>0</v>
      </c>
      <c r="R182" s="86">
        <v>0</v>
      </c>
      <c r="S182" s="86">
        <v>0</v>
      </c>
      <c r="T182" s="86">
        <v>0</v>
      </c>
    </row>
    <row r="183" spans="2:28" x14ac:dyDescent="0.2">
      <c r="C183" s="21" t="s">
        <v>85</v>
      </c>
      <c r="D183" s="21"/>
      <c r="F183" s="86">
        <f>F180+F181-F182</f>
        <v>50.48</v>
      </c>
      <c r="G183" s="86">
        <f t="shared" ref="G183:J183" si="338">G180+G181-G182</f>
        <v>50.48</v>
      </c>
      <c r="H183" s="86">
        <f t="shared" si="338"/>
        <v>50.48</v>
      </c>
      <c r="I183" s="86">
        <f t="shared" si="338"/>
        <v>50.48</v>
      </c>
      <c r="J183" s="86">
        <f t="shared" si="338"/>
        <v>50.48</v>
      </c>
      <c r="K183" s="86">
        <f t="shared" ref="K183:T183" si="339">K180+K181-K182</f>
        <v>50.48</v>
      </c>
      <c r="L183" s="86">
        <f t="shared" si="339"/>
        <v>50.48</v>
      </c>
      <c r="M183" s="86">
        <f t="shared" si="339"/>
        <v>50.48</v>
      </c>
      <c r="N183" s="86">
        <f t="shared" si="339"/>
        <v>50.48</v>
      </c>
      <c r="O183" s="86">
        <f t="shared" si="339"/>
        <v>50.48</v>
      </c>
      <c r="P183" s="86">
        <f t="shared" si="339"/>
        <v>50.48</v>
      </c>
      <c r="Q183" s="86">
        <f t="shared" si="339"/>
        <v>50.48</v>
      </c>
      <c r="R183" s="86">
        <f t="shared" si="339"/>
        <v>50.48</v>
      </c>
      <c r="S183" s="86">
        <f t="shared" si="339"/>
        <v>50.48</v>
      </c>
      <c r="T183" s="86">
        <f t="shared" si="339"/>
        <v>50.48</v>
      </c>
    </row>
    <row r="184" spans="2:28" x14ac:dyDescent="0.2">
      <c r="C184" s="21" t="s">
        <v>7</v>
      </c>
      <c r="D184" s="21"/>
      <c r="F184" s="86">
        <v>2.74</v>
      </c>
      <c r="G184" s="86">
        <v>1.89</v>
      </c>
      <c r="H184" s="86">
        <v>1.3</v>
      </c>
      <c r="I184" s="86">
        <v>0.89</v>
      </c>
      <c r="J184" s="86">
        <f>(I186+J181/2)*$E179</f>
        <v>0.58800000000000019</v>
      </c>
      <c r="K184" s="86">
        <f t="shared" ref="K184:T184" si="340">(J186+K181/2)*$E179</f>
        <v>0.41159999999999997</v>
      </c>
      <c r="L184" s="86">
        <f t="shared" si="340"/>
        <v>0.28811999999999999</v>
      </c>
      <c r="M184" s="86">
        <f t="shared" si="340"/>
        <v>0.2016840000000002</v>
      </c>
      <c r="N184" s="86">
        <f t="shared" si="340"/>
        <v>0.14117880000000013</v>
      </c>
      <c r="O184" s="86">
        <f t="shared" si="340"/>
        <v>9.8825160000000523E-2</v>
      </c>
      <c r="P184" s="86">
        <f t="shared" si="340"/>
        <v>6.9177611999999292E-2</v>
      </c>
      <c r="Q184" s="86">
        <f t="shared" si="340"/>
        <v>4.8424328400000147E-2</v>
      </c>
      <c r="R184" s="86">
        <f t="shared" si="340"/>
        <v>3.3897029879999249E-2</v>
      </c>
      <c r="S184" s="86">
        <f t="shared" si="340"/>
        <v>2.3727920915998624E-2</v>
      </c>
      <c r="T184" s="86">
        <f t="shared" si="340"/>
        <v>1.660954464119797E-2</v>
      </c>
    </row>
    <row r="185" spans="2:28" x14ac:dyDescent="0.2">
      <c r="C185" s="21" t="s">
        <v>86</v>
      </c>
      <c r="D185" s="21"/>
      <c r="F185" s="86">
        <v>44.44</v>
      </c>
      <c r="G185" s="86">
        <f>F185+G184</f>
        <v>46.33</v>
      </c>
      <c r="H185" s="86">
        <f t="shared" ref="H185:J185" si="341">G185+H184</f>
        <v>47.629999999999995</v>
      </c>
      <c r="I185" s="86">
        <f t="shared" si="341"/>
        <v>48.519999999999996</v>
      </c>
      <c r="J185" s="86">
        <f t="shared" si="341"/>
        <v>49.107999999999997</v>
      </c>
      <c r="K185" s="86">
        <f t="shared" ref="K185" si="342">J185+K184</f>
        <v>49.519599999999997</v>
      </c>
      <c r="L185" s="86">
        <f t="shared" ref="L185" si="343">K185+L184</f>
        <v>49.807719999999996</v>
      </c>
      <c r="M185" s="86">
        <f t="shared" ref="M185" si="344">L185+M184</f>
        <v>50.009403999999996</v>
      </c>
      <c r="N185" s="86">
        <f t="shared" ref="N185" si="345">M185+N184</f>
        <v>50.150582799999995</v>
      </c>
      <c r="O185" s="86">
        <f t="shared" ref="O185" si="346">N185+O184</f>
        <v>50.249407959999999</v>
      </c>
      <c r="P185" s="86">
        <f t="shared" ref="P185" si="347">O185+P184</f>
        <v>50.318585571999996</v>
      </c>
      <c r="Q185" s="86">
        <f t="shared" ref="Q185" si="348">P185+Q184</f>
        <v>50.367009900399999</v>
      </c>
      <c r="R185" s="86">
        <f t="shared" ref="R185" si="349">Q185+R184</f>
        <v>50.400906930280001</v>
      </c>
      <c r="S185" s="86">
        <f t="shared" ref="S185" si="350">R185+S184</f>
        <v>50.424634851196004</v>
      </c>
      <c r="T185" s="86">
        <f t="shared" ref="T185" si="351">S185+T184</f>
        <v>50.441244395837202</v>
      </c>
    </row>
    <row r="186" spans="2:28" s="162" customFormat="1" x14ac:dyDescent="0.2">
      <c r="C186" s="22" t="s">
        <v>87</v>
      </c>
      <c r="D186" s="22"/>
      <c r="E186" s="253"/>
      <c r="F186" s="247">
        <f>F183-F185</f>
        <v>6.0399999999999991</v>
      </c>
      <c r="G186" s="247">
        <f>G183-G185</f>
        <v>4.1499999999999986</v>
      </c>
      <c r="H186" s="247">
        <f t="shared" ref="H186:J186" si="352">H183-H185</f>
        <v>2.8500000000000014</v>
      </c>
      <c r="I186" s="247">
        <f t="shared" si="352"/>
        <v>1.9600000000000009</v>
      </c>
      <c r="J186" s="247">
        <f t="shared" si="352"/>
        <v>1.3719999999999999</v>
      </c>
      <c r="K186" s="247">
        <f t="shared" ref="K186:T186" si="353">K183-K185</f>
        <v>0.96039999999999992</v>
      </c>
      <c r="L186" s="247">
        <f t="shared" si="353"/>
        <v>0.67228000000000065</v>
      </c>
      <c r="M186" s="247">
        <f t="shared" si="353"/>
        <v>0.47059600000000046</v>
      </c>
      <c r="N186" s="247">
        <f t="shared" si="353"/>
        <v>0.32941720000000174</v>
      </c>
      <c r="O186" s="247">
        <f t="shared" si="353"/>
        <v>0.23059203999999767</v>
      </c>
      <c r="P186" s="247">
        <f t="shared" si="353"/>
        <v>0.1614144280000005</v>
      </c>
      <c r="Q186" s="247">
        <f t="shared" si="353"/>
        <v>0.11299009959999751</v>
      </c>
      <c r="R186" s="247">
        <f t="shared" si="353"/>
        <v>7.9093069719995412E-2</v>
      </c>
      <c r="S186" s="247">
        <f t="shared" si="353"/>
        <v>5.5365148803993236E-2</v>
      </c>
      <c r="T186" s="247">
        <f t="shared" si="353"/>
        <v>3.8755604162794555E-2</v>
      </c>
      <c r="W186" s="261"/>
      <c r="X186" s="247"/>
      <c r="Y186" s="247"/>
      <c r="Z186" s="247"/>
      <c r="AA186" s="247"/>
      <c r="AB186" s="180"/>
    </row>
    <row r="187" spans="2:28" x14ac:dyDescent="0.2"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</row>
    <row r="188" spans="2:28" x14ac:dyDescent="0.2">
      <c r="B188" s="162" t="s">
        <v>125</v>
      </c>
      <c r="C188" s="162"/>
      <c r="D188" s="162"/>
      <c r="E188" s="264">
        <v>0.1391</v>
      </c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6"/>
      <c r="Q188" s="86"/>
      <c r="R188" s="86"/>
      <c r="S188" s="86"/>
      <c r="T188" s="86"/>
    </row>
    <row r="189" spans="2:28" x14ac:dyDescent="0.2">
      <c r="C189" s="21" t="s">
        <v>83</v>
      </c>
      <c r="D189" s="21"/>
      <c r="F189" s="86">
        <v>68.53</v>
      </c>
      <c r="G189" s="86">
        <f>F192</f>
        <v>69.87</v>
      </c>
      <c r="H189" s="86">
        <f t="shared" ref="H189:I189" si="354">G192</f>
        <v>69.87</v>
      </c>
      <c r="I189" s="86">
        <f t="shared" si="354"/>
        <v>69.990000000000009</v>
      </c>
      <c r="J189" s="86">
        <f>I192</f>
        <v>70.610000000000014</v>
      </c>
      <c r="K189" s="86">
        <f t="shared" ref="K189:T189" si="355">J192</f>
        <v>70.610000000000014</v>
      </c>
      <c r="L189" s="86">
        <f t="shared" si="355"/>
        <v>70.610000000000014</v>
      </c>
      <c r="M189" s="86">
        <f t="shared" si="355"/>
        <v>70.610000000000014</v>
      </c>
      <c r="N189" s="86">
        <f t="shared" si="355"/>
        <v>70.610000000000014</v>
      </c>
      <c r="O189" s="86">
        <f t="shared" si="355"/>
        <v>70.610000000000014</v>
      </c>
      <c r="P189" s="86">
        <f t="shared" si="355"/>
        <v>70.610000000000014</v>
      </c>
      <c r="Q189" s="86">
        <f t="shared" si="355"/>
        <v>70.610000000000014</v>
      </c>
      <c r="R189" s="86">
        <f t="shared" si="355"/>
        <v>70.610000000000014</v>
      </c>
      <c r="S189" s="86">
        <f t="shared" si="355"/>
        <v>70.610000000000014</v>
      </c>
      <c r="T189" s="86">
        <f t="shared" si="355"/>
        <v>70.610000000000014</v>
      </c>
    </row>
    <row r="190" spans="2:28" x14ac:dyDescent="0.2">
      <c r="C190" s="21" t="s">
        <v>84</v>
      </c>
      <c r="D190" s="21"/>
      <c r="F190" s="86">
        <f>0.53+0.81</f>
        <v>1.34</v>
      </c>
      <c r="G190" s="86">
        <v>0</v>
      </c>
      <c r="H190" s="86">
        <v>0.12</v>
      </c>
      <c r="I190" s="86">
        <v>0.62</v>
      </c>
      <c r="J190" s="86">
        <v>0</v>
      </c>
      <c r="K190" s="86">
        <v>0</v>
      </c>
      <c r="L190" s="86">
        <v>0</v>
      </c>
      <c r="M190" s="86">
        <v>0</v>
      </c>
      <c r="N190" s="86">
        <v>0</v>
      </c>
      <c r="O190" s="86">
        <v>0</v>
      </c>
      <c r="P190" s="86">
        <v>0</v>
      </c>
      <c r="Q190" s="86">
        <v>0</v>
      </c>
      <c r="R190" s="86">
        <v>0</v>
      </c>
      <c r="S190" s="86">
        <v>0</v>
      </c>
      <c r="T190" s="86">
        <v>0</v>
      </c>
    </row>
    <row r="191" spans="2:28" x14ac:dyDescent="0.2">
      <c r="C191" s="21" t="s">
        <v>102</v>
      </c>
      <c r="D191" s="21"/>
      <c r="F191" s="86">
        <v>0</v>
      </c>
      <c r="G191" s="86">
        <v>0</v>
      </c>
      <c r="H191" s="86">
        <v>0</v>
      </c>
      <c r="I191" s="86">
        <v>0</v>
      </c>
      <c r="J191" s="86">
        <v>0</v>
      </c>
      <c r="K191" s="86">
        <v>0</v>
      </c>
      <c r="L191" s="86">
        <v>0</v>
      </c>
      <c r="M191" s="86">
        <v>0</v>
      </c>
      <c r="N191" s="86">
        <v>0</v>
      </c>
      <c r="O191" s="86">
        <v>0</v>
      </c>
      <c r="P191" s="86">
        <v>0</v>
      </c>
      <c r="Q191" s="86">
        <v>0</v>
      </c>
      <c r="R191" s="86">
        <v>0</v>
      </c>
      <c r="S191" s="86">
        <v>0</v>
      </c>
      <c r="T191" s="86">
        <v>0</v>
      </c>
    </row>
    <row r="192" spans="2:28" x14ac:dyDescent="0.2">
      <c r="C192" s="21" t="s">
        <v>85</v>
      </c>
      <c r="D192" s="21"/>
      <c r="F192" s="86">
        <f>F189+F190-F191</f>
        <v>69.87</v>
      </c>
      <c r="G192" s="86">
        <f t="shared" ref="G192:J192" si="356">G189+G190-G191</f>
        <v>69.87</v>
      </c>
      <c r="H192" s="86">
        <f t="shared" si="356"/>
        <v>69.990000000000009</v>
      </c>
      <c r="I192" s="86">
        <f t="shared" si="356"/>
        <v>70.610000000000014</v>
      </c>
      <c r="J192" s="86">
        <f t="shared" si="356"/>
        <v>70.610000000000014</v>
      </c>
      <c r="K192" s="86">
        <f t="shared" ref="K192:T192" si="357">K189+K190-K191</f>
        <v>70.610000000000014</v>
      </c>
      <c r="L192" s="86">
        <f t="shared" si="357"/>
        <v>70.610000000000014</v>
      </c>
      <c r="M192" s="86">
        <f t="shared" si="357"/>
        <v>70.610000000000014</v>
      </c>
      <c r="N192" s="86">
        <f t="shared" si="357"/>
        <v>70.610000000000014</v>
      </c>
      <c r="O192" s="86">
        <f t="shared" si="357"/>
        <v>70.610000000000014</v>
      </c>
      <c r="P192" s="86">
        <f t="shared" si="357"/>
        <v>70.610000000000014</v>
      </c>
      <c r="Q192" s="86">
        <f t="shared" si="357"/>
        <v>70.610000000000014</v>
      </c>
      <c r="R192" s="86">
        <f t="shared" si="357"/>
        <v>70.610000000000014</v>
      </c>
      <c r="S192" s="86">
        <f t="shared" si="357"/>
        <v>70.610000000000014</v>
      </c>
      <c r="T192" s="86">
        <f t="shared" si="357"/>
        <v>70.610000000000014</v>
      </c>
    </row>
    <row r="193" spans="2:28" x14ac:dyDescent="0.2">
      <c r="C193" s="21" t="s">
        <v>7</v>
      </c>
      <c r="D193" s="21"/>
      <c r="F193" s="86">
        <v>5.3</v>
      </c>
      <c r="G193" s="86">
        <v>4.28</v>
      </c>
      <c r="H193" s="86">
        <v>3.7</v>
      </c>
      <c r="I193" s="86">
        <v>3.15</v>
      </c>
      <c r="J193" s="86">
        <f>(I195+J190/2)*$E188</f>
        <v>1.5815670000000017</v>
      </c>
      <c r="K193" s="86">
        <f t="shared" ref="K193:T193" si="358">(J195+K190/2)*$E188</f>
        <v>1.3615710303000017</v>
      </c>
      <c r="L193" s="86">
        <f t="shared" si="358"/>
        <v>1.172176499985272</v>
      </c>
      <c r="M193" s="86">
        <f t="shared" si="358"/>
        <v>1.0091267488373208</v>
      </c>
      <c r="N193" s="86">
        <f t="shared" si="358"/>
        <v>0.86875721807404993</v>
      </c>
      <c r="O193" s="86">
        <f t="shared" si="358"/>
        <v>0.74791308903994935</v>
      </c>
      <c r="P193" s="86">
        <f t="shared" si="358"/>
        <v>0.64387837835449169</v>
      </c>
      <c r="Q193" s="86">
        <f t="shared" si="358"/>
        <v>0.55431489592538263</v>
      </c>
      <c r="R193" s="86">
        <f t="shared" si="358"/>
        <v>0.47720969390216134</v>
      </c>
      <c r="S193" s="86">
        <f t="shared" si="358"/>
        <v>0.41082982548036978</v>
      </c>
      <c r="T193" s="86">
        <f t="shared" si="358"/>
        <v>0.35368339675605132</v>
      </c>
    </row>
    <row r="194" spans="2:28" x14ac:dyDescent="0.2">
      <c r="C194" s="21" t="s">
        <v>86</v>
      </c>
      <c r="D194" s="21"/>
      <c r="F194" s="86">
        <v>48.11</v>
      </c>
      <c r="G194" s="86">
        <f>F194+G193</f>
        <v>52.39</v>
      </c>
      <c r="H194" s="86">
        <f t="shared" ref="H194:J194" si="359">G194+H193</f>
        <v>56.09</v>
      </c>
      <c r="I194" s="86">
        <f t="shared" si="359"/>
        <v>59.24</v>
      </c>
      <c r="J194" s="86">
        <f t="shared" si="359"/>
        <v>60.821567000000002</v>
      </c>
      <c r="K194" s="86">
        <f t="shared" ref="K194" si="360">J194+K193</f>
        <v>62.1831380303</v>
      </c>
      <c r="L194" s="86">
        <f t="shared" ref="L194" si="361">K194+L193</f>
        <v>63.35531453028527</v>
      </c>
      <c r="M194" s="86">
        <f t="shared" ref="M194" si="362">L194+M193</f>
        <v>64.364441279122588</v>
      </c>
      <c r="N194" s="86">
        <f t="shared" ref="N194" si="363">M194+N193</f>
        <v>65.233198497196639</v>
      </c>
      <c r="O194" s="86">
        <f t="shared" ref="O194" si="364">N194+O193</f>
        <v>65.981111586236594</v>
      </c>
      <c r="P194" s="86">
        <f t="shared" ref="P194" si="365">O194+P193</f>
        <v>66.62498996459108</v>
      </c>
      <c r="Q194" s="86">
        <f t="shared" ref="Q194" si="366">P194+Q193</f>
        <v>67.179304860516467</v>
      </c>
      <c r="R194" s="86">
        <f t="shared" ref="R194" si="367">Q194+R193</f>
        <v>67.656514554418635</v>
      </c>
      <c r="S194" s="86">
        <f t="shared" ref="S194" si="368">R194+S193</f>
        <v>68.067344379898998</v>
      </c>
      <c r="T194" s="86">
        <f t="shared" ref="T194" si="369">S194+T193</f>
        <v>68.421027776655052</v>
      </c>
    </row>
    <row r="195" spans="2:28" s="162" customFormat="1" x14ac:dyDescent="0.2">
      <c r="C195" s="22" t="s">
        <v>87</v>
      </c>
      <c r="D195" s="22"/>
      <c r="E195" s="253"/>
      <c r="F195" s="247">
        <f>F192-F194</f>
        <v>21.760000000000005</v>
      </c>
      <c r="G195" s="247">
        <f>G192-G194</f>
        <v>17.480000000000004</v>
      </c>
      <c r="H195" s="247">
        <f t="shared" ref="H195:J195" si="370">H192-H194</f>
        <v>13.900000000000006</v>
      </c>
      <c r="I195" s="247">
        <f t="shared" si="370"/>
        <v>11.370000000000012</v>
      </c>
      <c r="J195" s="247">
        <f t="shared" si="370"/>
        <v>9.7884330000000119</v>
      </c>
      <c r="K195" s="247">
        <f t="shared" ref="K195:T195" si="371">K192-K194</f>
        <v>8.4268619697000133</v>
      </c>
      <c r="L195" s="247">
        <f t="shared" si="371"/>
        <v>7.2546854697147438</v>
      </c>
      <c r="M195" s="247">
        <f t="shared" si="371"/>
        <v>6.2455587208774261</v>
      </c>
      <c r="N195" s="247">
        <f t="shared" si="371"/>
        <v>5.3768015028033744</v>
      </c>
      <c r="O195" s="247">
        <f t="shared" si="371"/>
        <v>4.6288884137634199</v>
      </c>
      <c r="P195" s="247">
        <f t="shared" si="371"/>
        <v>3.9850100354089335</v>
      </c>
      <c r="Q195" s="247">
        <f t="shared" si="371"/>
        <v>3.4306951394835465</v>
      </c>
      <c r="R195" s="247">
        <f t="shared" si="371"/>
        <v>2.9534854455813786</v>
      </c>
      <c r="S195" s="247">
        <f t="shared" si="371"/>
        <v>2.5426556201010158</v>
      </c>
      <c r="T195" s="247">
        <f t="shared" si="371"/>
        <v>2.1889722233449618</v>
      </c>
      <c r="W195" s="261"/>
      <c r="X195" s="247"/>
      <c r="Y195" s="247"/>
      <c r="Z195" s="247"/>
      <c r="AA195" s="247"/>
      <c r="AB195" s="180"/>
    </row>
    <row r="196" spans="2:28" x14ac:dyDescent="0.2"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</row>
    <row r="197" spans="2:28" x14ac:dyDescent="0.2">
      <c r="B197" s="162" t="s">
        <v>397</v>
      </c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</row>
    <row r="198" spans="2:28" x14ac:dyDescent="0.2">
      <c r="C198" s="90" t="s">
        <v>182</v>
      </c>
      <c r="F198" s="86">
        <f t="shared" ref="F198:T198" si="372">F10+F20+F29+F39+F49+F59+F68+F77+F87+F97+F107+F116+F126+F135+F144+F153+F162+F172+F181+F190</f>
        <v>9099.25</v>
      </c>
      <c r="G198" s="86">
        <f t="shared" si="372"/>
        <v>1948.2599999999998</v>
      </c>
      <c r="H198" s="86">
        <f t="shared" si="372"/>
        <v>2733.38</v>
      </c>
      <c r="I198" s="86">
        <f t="shared" si="372"/>
        <v>617.32999999999993</v>
      </c>
      <c r="J198" s="86">
        <f t="shared" si="372"/>
        <v>0</v>
      </c>
      <c r="K198" s="86">
        <f t="shared" si="372"/>
        <v>0</v>
      </c>
      <c r="L198" s="86">
        <f t="shared" si="372"/>
        <v>900</v>
      </c>
      <c r="M198" s="86">
        <f t="shared" si="372"/>
        <v>0</v>
      </c>
      <c r="N198" s="86">
        <f t="shared" si="372"/>
        <v>0</v>
      </c>
      <c r="O198" s="86">
        <f t="shared" si="372"/>
        <v>0</v>
      </c>
      <c r="P198" s="86">
        <f t="shared" si="372"/>
        <v>0</v>
      </c>
      <c r="Q198" s="86">
        <f t="shared" si="372"/>
        <v>0</v>
      </c>
      <c r="R198" s="86">
        <f t="shared" si="372"/>
        <v>0</v>
      </c>
      <c r="S198" s="86">
        <f t="shared" si="372"/>
        <v>0</v>
      </c>
      <c r="T198" s="86">
        <f t="shared" si="372"/>
        <v>0</v>
      </c>
    </row>
    <row r="199" spans="2:28" x14ac:dyDescent="0.2">
      <c r="C199" s="90" t="s">
        <v>301</v>
      </c>
      <c r="F199" s="86"/>
      <c r="G199" s="86"/>
      <c r="H199" s="86"/>
      <c r="I199" s="86"/>
      <c r="J199" s="86"/>
      <c r="K199" s="86">
        <f t="shared" ref="K199:T199" si="373">K11+K21+K30+K40+K50+K60+K69+K78+K88+K98+K108+K117+K127+K136+K145+K154+K163+K173+K182+K191</f>
        <v>0</v>
      </c>
      <c r="L199" s="86">
        <f t="shared" si="373"/>
        <v>0</v>
      </c>
      <c r="M199" s="86">
        <f t="shared" si="373"/>
        <v>0</v>
      </c>
      <c r="N199" s="86">
        <f t="shared" si="373"/>
        <v>0</v>
      </c>
      <c r="O199" s="86">
        <f t="shared" si="373"/>
        <v>0</v>
      </c>
      <c r="P199" s="86">
        <f t="shared" si="373"/>
        <v>0</v>
      </c>
      <c r="Q199" s="86">
        <f t="shared" si="373"/>
        <v>0</v>
      </c>
      <c r="R199" s="86">
        <f t="shared" si="373"/>
        <v>0</v>
      </c>
      <c r="S199" s="86">
        <f t="shared" si="373"/>
        <v>0</v>
      </c>
      <c r="T199" s="86">
        <f t="shared" si="373"/>
        <v>0</v>
      </c>
    </row>
    <row r="200" spans="2:28" x14ac:dyDescent="0.2">
      <c r="C200" s="90" t="s">
        <v>184</v>
      </c>
      <c r="F200" s="86">
        <f>F12+F22+F31+F41+F51+F61+F70+F79+F89+F99+F109+F118+F128+F137+F146+F155+F164+F174+F183+F192</f>
        <v>32502.460000000003</v>
      </c>
      <c r="G200" s="86">
        <f>G12+G22+G31+G41+G51+G61+G70+G79+G89+G99+G109+G118+G128+G137+G146+G155+G164+G174+G183+G192</f>
        <v>34424.700000000004</v>
      </c>
      <c r="H200" s="86">
        <f>H12+H22+H31+H41+H51+H61+H70+H79+H89+H99+H109+H118+H128+H137+H146+H155+H164+H174+H183+H192</f>
        <v>37104.090000000004</v>
      </c>
      <c r="I200" s="86">
        <f>I12+I22+I31+I41+I51+I61+I70+I79+I89+I99+I109+I118+I128+I137+I146+I155+I164+I174+I183+I192</f>
        <v>37682.579999999994</v>
      </c>
      <c r="J200" s="86">
        <f>J12+J22+J31+J41+J51+J61+J70+J79+J89+J99+J109+J118+J128+J137+J146+J155+J164+J174+J183+J192</f>
        <v>67580.490000000005</v>
      </c>
      <c r="K200" s="86">
        <f t="shared" ref="K200:T200" si="374">K12+K22+K31+K41+K51+K61+K70+K79+K89+K99+K109+K118+K128+K137+K146+K155+K164+K174+K183+K192</f>
        <v>67580.490000000005</v>
      </c>
      <c r="L200" s="86">
        <f t="shared" si="374"/>
        <v>68480.490000000005</v>
      </c>
      <c r="M200" s="86">
        <f t="shared" si="374"/>
        <v>68480.490000000005</v>
      </c>
      <c r="N200" s="86">
        <f t="shared" si="374"/>
        <v>68480.490000000005</v>
      </c>
      <c r="O200" s="86">
        <f t="shared" si="374"/>
        <v>68480.490000000005</v>
      </c>
      <c r="P200" s="86">
        <f t="shared" si="374"/>
        <v>68480.490000000005</v>
      </c>
      <c r="Q200" s="86">
        <f t="shared" si="374"/>
        <v>68480.490000000005</v>
      </c>
      <c r="R200" s="86">
        <f t="shared" si="374"/>
        <v>68480.490000000005</v>
      </c>
      <c r="S200" s="86">
        <f t="shared" si="374"/>
        <v>68480.490000000005</v>
      </c>
      <c r="T200" s="86">
        <f t="shared" si="374"/>
        <v>68480.490000000005</v>
      </c>
    </row>
    <row r="201" spans="2:28" x14ac:dyDescent="0.2">
      <c r="C201" s="90" t="s">
        <v>7</v>
      </c>
      <c r="F201" s="86">
        <f>F14+F23+F33+F43+F53+F62+F71+F81+F91+F101+F110+F120+F129+F138+F147+F156+F166+F175+F184+F193</f>
        <v>1471.13</v>
      </c>
      <c r="G201" s="86">
        <f t="shared" ref="G201:J201" si="375">G14+G23+G33+G43+G53+G62+G71+G81+G91+G101+G110+G120+G129+G138+G147+G156+G166+G175+G184+G193</f>
        <v>2259.6699999999996</v>
      </c>
      <c r="H201" s="86">
        <f t="shared" si="375"/>
        <v>2251.7899999999995</v>
      </c>
      <c r="I201" s="86">
        <f t="shared" si="375"/>
        <v>2273.16</v>
      </c>
      <c r="J201" s="86">
        <f t="shared" si="375"/>
        <v>4033.1016800000002</v>
      </c>
      <c r="K201" s="86">
        <f t="shared" ref="K201:T201" si="376">K14+K23+K33+K43+K53+K62+K71+K81+K91+K101+K110+K120+K129+K138+K147+K156+K166+K175+K184+K193</f>
        <v>3480.4298366170005</v>
      </c>
      <c r="L201" s="86">
        <f t="shared" si="376"/>
        <v>3075.6265521953096</v>
      </c>
      <c r="M201" s="86">
        <f t="shared" si="376"/>
        <v>2731.4236570983912</v>
      </c>
      <c r="N201" s="86">
        <f t="shared" si="376"/>
        <v>2374.3170183366778</v>
      </c>
      <c r="O201" s="86">
        <f t="shared" si="376"/>
        <v>2067.2167846071457</v>
      </c>
      <c r="P201" s="86">
        <f t="shared" si="376"/>
        <v>1802.3034938602193</v>
      </c>
      <c r="Q201" s="86">
        <f t="shared" si="376"/>
        <v>1573.2252724451166</v>
      </c>
      <c r="R201" s="86">
        <f t="shared" si="376"/>
        <v>1374.7476205339967</v>
      </c>
      <c r="S201" s="86">
        <f t="shared" si="376"/>
        <v>1202.5073389774827</v>
      </c>
      <c r="T201" s="86">
        <f t="shared" si="376"/>
        <v>1052.8348770863417</v>
      </c>
      <c r="W201" s="90">
        <f>40.37+5.84</f>
        <v>46.209999999999994</v>
      </c>
      <c r="Y201" s="90">
        <f>1.52+1.64</f>
        <v>3.16</v>
      </c>
    </row>
    <row r="202" spans="2:28" x14ac:dyDescent="0.2">
      <c r="C202" s="268" t="s">
        <v>396</v>
      </c>
      <c r="D202" s="268"/>
      <c r="E202" s="269"/>
      <c r="F202" s="88">
        <v>0</v>
      </c>
      <c r="G202" s="89">
        <v>23.820000000000601</v>
      </c>
      <c r="H202" s="89">
        <v>46.200000000000301</v>
      </c>
      <c r="I202" s="89">
        <v>3.1700000000000701</v>
      </c>
      <c r="J202" s="86"/>
      <c r="K202" s="86"/>
      <c r="L202" s="86"/>
      <c r="M202" s="86"/>
      <c r="N202" s="86"/>
      <c r="O202" s="86"/>
      <c r="P202" s="86"/>
      <c r="Q202" s="86"/>
      <c r="R202" s="86"/>
      <c r="S202" s="86"/>
      <c r="T202" s="86"/>
    </row>
    <row r="203" spans="2:28" x14ac:dyDescent="0.2">
      <c r="C203" s="90" t="s">
        <v>183</v>
      </c>
      <c r="F203" s="86">
        <f t="shared" ref="F203:J204" si="377">F15+F24+F34+F44+F54+F63+F72+F82+F92+F102+F111+F121+F130+F139+F148+F157+F167+F176+F185+F194</f>
        <v>11456.659999999998</v>
      </c>
      <c r="G203" s="86">
        <f t="shared" si="377"/>
        <v>13716.329999999998</v>
      </c>
      <c r="H203" s="86">
        <f t="shared" si="377"/>
        <v>15968.12</v>
      </c>
      <c r="I203" s="86">
        <f t="shared" si="377"/>
        <v>18241.280000000006</v>
      </c>
      <c r="J203" s="86">
        <f t="shared" si="377"/>
        <v>22274.381679999995</v>
      </c>
      <c r="K203" s="86">
        <f t="shared" ref="K203:T203" si="378">K15+K24+K34+K44+K54+K63+K72+K82+K92+K102+K111+K121+K130+K139+K148+K157+K167+K176+K185+K194</f>
        <v>25754.811516616999</v>
      </c>
      <c r="L203" s="86">
        <f t="shared" si="378"/>
        <v>28830.438068812309</v>
      </c>
      <c r="M203" s="86">
        <f t="shared" si="378"/>
        <v>31561.861725910698</v>
      </c>
      <c r="N203" s="86">
        <f t="shared" si="378"/>
        <v>33936.178744247372</v>
      </c>
      <c r="O203" s="86">
        <f t="shared" si="378"/>
        <v>36003.395528854526</v>
      </c>
      <c r="P203" s="86">
        <f t="shared" si="378"/>
        <v>37805.69902271474</v>
      </c>
      <c r="Q203" s="86">
        <f t="shared" si="378"/>
        <v>39378.92429515985</v>
      </c>
      <c r="R203" s="86">
        <f t="shared" si="378"/>
        <v>40753.671915693834</v>
      </c>
      <c r="S203" s="86">
        <f t="shared" si="378"/>
        <v>41956.17925467134</v>
      </c>
      <c r="T203" s="86">
        <f t="shared" si="378"/>
        <v>43009.014131757671</v>
      </c>
    </row>
    <row r="204" spans="2:28" s="162" customFormat="1" x14ac:dyDescent="0.2">
      <c r="C204" s="162" t="s">
        <v>87</v>
      </c>
      <c r="E204" s="253"/>
      <c r="F204" s="247">
        <f t="shared" si="377"/>
        <v>21045.799999999996</v>
      </c>
      <c r="G204" s="247">
        <f t="shared" si="377"/>
        <v>20708.370000000003</v>
      </c>
      <c r="H204" s="247">
        <f t="shared" si="377"/>
        <v>21135.970000000005</v>
      </c>
      <c r="I204" s="247">
        <f t="shared" si="377"/>
        <v>49339.209999999985</v>
      </c>
      <c r="J204" s="247">
        <f t="shared" si="377"/>
        <v>45306.108319999999</v>
      </c>
      <c r="K204" s="247">
        <f t="shared" ref="K204:T204" si="379">K16+K25+K35+K45+K55+K64+K73+K83+K93+K103+K112+K122+K131+K140+K149+K158+K168+K177+K186+K195</f>
        <v>41825.678483383017</v>
      </c>
      <c r="L204" s="247">
        <f t="shared" si="379"/>
        <v>39650.0519311877</v>
      </c>
      <c r="M204" s="247">
        <f t="shared" si="379"/>
        <v>36918.628274089293</v>
      </c>
      <c r="N204" s="247">
        <f t="shared" si="379"/>
        <v>34544.311255752626</v>
      </c>
      <c r="O204" s="247">
        <f t="shared" si="379"/>
        <v>32477.094471145479</v>
      </c>
      <c r="P204" s="247">
        <f t="shared" si="379"/>
        <v>30674.790977285254</v>
      </c>
      <c r="Q204" s="247">
        <f t="shared" si="379"/>
        <v>29101.565704840144</v>
      </c>
      <c r="R204" s="247">
        <f t="shared" si="379"/>
        <v>27726.818084306142</v>
      </c>
      <c r="S204" s="247">
        <f t="shared" si="379"/>
        <v>26524.310745328661</v>
      </c>
      <c r="T204" s="247">
        <f t="shared" si="379"/>
        <v>25471.47586824232</v>
      </c>
    </row>
    <row r="205" spans="2:28" x14ac:dyDescent="0.2">
      <c r="C205" s="90" t="s">
        <v>293</v>
      </c>
      <c r="F205" s="86"/>
      <c r="G205" s="86"/>
      <c r="H205" s="86"/>
      <c r="I205" s="86"/>
      <c r="J205" s="86">
        <f>44521.14</f>
        <v>44521.14</v>
      </c>
      <c r="K205" s="86"/>
      <c r="L205" s="86"/>
      <c r="M205" s="86"/>
      <c r="N205" s="86"/>
      <c r="O205" s="86"/>
      <c r="P205" s="86"/>
      <c r="Q205" s="86"/>
      <c r="R205" s="86"/>
      <c r="S205" s="86"/>
      <c r="T205" s="86"/>
    </row>
    <row r="206" spans="2:28" x14ac:dyDescent="0.2">
      <c r="C206" s="90" t="s">
        <v>292</v>
      </c>
      <c r="F206" s="86"/>
      <c r="G206" s="86"/>
      <c r="H206" s="86"/>
      <c r="I206" s="86"/>
      <c r="J206" s="86">
        <f>J204-J205</f>
        <v>784.96831999999995</v>
      </c>
      <c r="K206" s="86">
        <f>(J206)*0</f>
        <v>0</v>
      </c>
      <c r="L206" s="86">
        <f t="shared" ref="L206:T206" si="380">K206</f>
        <v>0</v>
      </c>
      <c r="M206" s="86">
        <f t="shared" si="380"/>
        <v>0</v>
      </c>
      <c r="N206" s="86">
        <f t="shared" si="380"/>
        <v>0</v>
      </c>
      <c r="O206" s="86">
        <f t="shared" si="380"/>
        <v>0</v>
      </c>
      <c r="P206" s="86">
        <f t="shared" si="380"/>
        <v>0</v>
      </c>
      <c r="Q206" s="86">
        <f t="shared" si="380"/>
        <v>0</v>
      </c>
      <c r="R206" s="86">
        <f t="shared" si="380"/>
        <v>0</v>
      </c>
      <c r="S206" s="86">
        <f t="shared" si="380"/>
        <v>0</v>
      </c>
      <c r="T206" s="86">
        <f t="shared" si="380"/>
        <v>0</v>
      </c>
    </row>
    <row r="207" spans="2:28" s="162" customFormat="1" x14ac:dyDescent="0.2">
      <c r="C207" s="162" t="s">
        <v>294</v>
      </c>
      <c r="E207" s="253"/>
      <c r="F207" s="247"/>
      <c r="G207" s="247"/>
      <c r="H207" s="247"/>
      <c r="I207" s="247"/>
      <c r="J207" s="247">
        <f>J204-J206</f>
        <v>44521.14</v>
      </c>
      <c r="K207" s="247">
        <f t="shared" ref="K207:T207" si="381">K204-K206</f>
        <v>41825.678483383017</v>
      </c>
      <c r="L207" s="247">
        <f t="shared" si="381"/>
        <v>39650.0519311877</v>
      </c>
      <c r="M207" s="247">
        <f t="shared" si="381"/>
        <v>36918.628274089293</v>
      </c>
      <c r="N207" s="247">
        <f t="shared" si="381"/>
        <v>34544.311255752626</v>
      </c>
      <c r="O207" s="247">
        <f t="shared" si="381"/>
        <v>32477.094471145479</v>
      </c>
      <c r="P207" s="247">
        <f t="shared" si="381"/>
        <v>30674.790977285254</v>
      </c>
      <c r="Q207" s="247">
        <f t="shared" si="381"/>
        <v>29101.565704840144</v>
      </c>
      <c r="R207" s="247">
        <f t="shared" si="381"/>
        <v>27726.818084306142</v>
      </c>
      <c r="S207" s="247">
        <f t="shared" si="381"/>
        <v>26524.310745328661</v>
      </c>
      <c r="T207" s="247">
        <f t="shared" si="381"/>
        <v>25471.47586824232</v>
      </c>
    </row>
    <row r="208" spans="2:28" x14ac:dyDescent="0.2">
      <c r="F208" s="86"/>
      <c r="G208" s="86"/>
      <c r="H208" s="86"/>
      <c r="I208" s="86"/>
      <c r="J208" s="86"/>
      <c r="K208" s="86"/>
      <c r="L208" s="86"/>
      <c r="M208" s="86"/>
      <c r="N208" s="86"/>
      <c r="O208" s="86"/>
      <c r="P208" s="86"/>
      <c r="Q208" s="86"/>
      <c r="R208" s="86"/>
      <c r="S208" s="86"/>
      <c r="T208" s="86"/>
    </row>
    <row r="209" spans="2:28" x14ac:dyDescent="0.2">
      <c r="B209" s="22" t="s">
        <v>399</v>
      </c>
      <c r="C209" s="270"/>
      <c r="D209" s="270"/>
      <c r="F209" s="86"/>
      <c r="G209" s="86"/>
      <c r="H209" s="86"/>
      <c r="I209" s="86"/>
      <c r="J209" s="86"/>
      <c r="K209" s="86"/>
      <c r="L209" s="86"/>
      <c r="M209" s="86"/>
      <c r="N209" s="86"/>
      <c r="O209" s="86"/>
      <c r="P209" s="86"/>
      <c r="Q209" s="86"/>
      <c r="R209" s="86"/>
      <c r="S209" s="86"/>
      <c r="T209" s="86"/>
    </row>
    <row r="210" spans="2:28" x14ac:dyDescent="0.2">
      <c r="B210" s="162" t="s">
        <v>181</v>
      </c>
      <c r="C210" s="162"/>
      <c r="D210" s="162"/>
      <c r="F210" s="86"/>
      <c r="G210" s="86"/>
      <c r="H210" s="86"/>
      <c r="I210" s="86"/>
      <c r="J210" s="86"/>
      <c r="K210" s="86"/>
      <c r="L210" s="86"/>
      <c r="M210" s="86"/>
      <c r="N210" s="86"/>
      <c r="O210" s="86"/>
      <c r="P210" s="86"/>
      <c r="Q210" s="86"/>
      <c r="R210" s="86"/>
      <c r="S210" s="86"/>
      <c r="T210" s="86"/>
    </row>
    <row r="211" spans="2:28" x14ac:dyDescent="0.2">
      <c r="C211" s="21" t="s">
        <v>83</v>
      </c>
      <c r="D211" s="21"/>
      <c r="F211" s="86">
        <v>273.58</v>
      </c>
      <c r="G211" s="86">
        <f>F213</f>
        <v>290.58</v>
      </c>
      <c r="H211" s="86">
        <f t="shared" ref="H211:K211" si="382">G213</f>
        <v>290.58</v>
      </c>
      <c r="I211" s="86">
        <f t="shared" si="382"/>
        <v>290.58</v>
      </c>
      <c r="J211" s="86">
        <f t="shared" si="382"/>
        <v>290.58</v>
      </c>
      <c r="K211" s="86">
        <f t="shared" si="382"/>
        <v>290.58</v>
      </c>
      <c r="L211" s="86">
        <f t="shared" ref="L211" si="383">K213</f>
        <v>290.58</v>
      </c>
      <c r="M211" s="86">
        <f t="shared" ref="M211" si="384">L213</f>
        <v>290.58</v>
      </c>
      <c r="N211" s="86">
        <f t="shared" ref="N211" si="385">M213</f>
        <v>290.58</v>
      </c>
      <c r="O211" s="86">
        <f t="shared" ref="O211" si="386">N213</f>
        <v>290.58</v>
      </c>
      <c r="P211" s="86">
        <f t="shared" ref="P211" si="387">O213</f>
        <v>290.58</v>
      </c>
      <c r="Q211" s="86">
        <f t="shared" ref="Q211" si="388">P213</f>
        <v>290.58</v>
      </c>
      <c r="R211" s="86">
        <f t="shared" ref="R211" si="389">Q213</f>
        <v>290.58</v>
      </c>
      <c r="S211" s="86">
        <f t="shared" ref="S211" si="390">R213</f>
        <v>290.58</v>
      </c>
      <c r="T211" s="86">
        <f t="shared" ref="T211" si="391">S213</f>
        <v>290.58</v>
      </c>
    </row>
    <row r="212" spans="2:28" x14ac:dyDescent="0.2">
      <c r="C212" s="21" t="s">
        <v>84</v>
      </c>
      <c r="D212" s="21"/>
      <c r="F212" s="86">
        <v>17</v>
      </c>
      <c r="G212" s="86">
        <v>0</v>
      </c>
      <c r="H212" s="86">
        <v>0</v>
      </c>
      <c r="I212" s="86">
        <v>0</v>
      </c>
      <c r="J212" s="86"/>
      <c r="K212" s="86">
        <v>0</v>
      </c>
      <c r="L212" s="86">
        <v>0</v>
      </c>
      <c r="M212" s="86">
        <v>0</v>
      </c>
      <c r="N212" s="86">
        <v>0</v>
      </c>
      <c r="O212" s="86">
        <v>0</v>
      </c>
      <c r="P212" s="86">
        <v>0</v>
      </c>
      <c r="Q212" s="86">
        <v>0</v>
      </c>
      <c r="R212" s="86">
        <v>0</v>
      </c>
      <c r="S212" s="86">
        <v>0</v>
      </c>
      <c r="T212" s="86">
        <v>0</v>
      </c>
    </row>
    <row r="213" spans="2:28" x14ac:dyDescent="0.2">
      <c r="C213" s="21" t="s">
        <v>85</v>
      </c>
      <c r="D213" s="21"/>
      <c r="F213" s="86">
        <f>F211+F212</f>
        <v>290.58</v>
      </c>
      <c r="G213" s="86">
        <f t="shared" ref="G213:K213" si="392">G211+G212</f>
        <v>290.58</v>
      </c>
      <c r="H213" s="86">
        <f t="shared" si="392"/>
        <v>290.58</v>
      </c>
      <c r="I213" s="86">
        <f t="shared" si="392"/>
        <v>290.58</v>
      </c>
      <c r="J213" s="86">
        <f t="shared" si="392"/>
        <v>290.58</v>
      </c>
      <c r="K213" s="86">
        <f t="shared" si="392"/>
        <v>290.58</v>
      </c>
      <c r="L213" s="86">
        <f t="shared" ref="L213:T213" si="393">L211+L212</f>
        <v>290.58</v>
      </c>
      <c r="M213" s="86">
        <f t="shared" si="393"/>
        <v>290.58</v>
      </c>
      <c r="N213" s="86">
        <f t="shared" si="393"/>
        <v>290.58</v>
      </c>
      <c r="O213" s="86">
        <f t="shared" si="393"/>
        <v>290.58</v>
      </c>
      <c r="P213" s="86">
        <f t="shared" si="393"/>
        <v>290.58</v>
      </c>
      <c r="Q213" s="86">
        <f t="shared" si="393"/>
        <v>290.58</v>
      </c>
      <c r="R213" s="86">
        <f t="shared" si="393"/>
        <v>290.58</v>
      </c>
      <c r="S213" s="86">
        <f t="shared" si="393"/>
        <v>290.58</v>
      </c>
      <c r="T213" s="86">
        <f t="shared" si="393"/>
        <v>290.58</v>
      </c>
    </row>
    <row r="214" spans="2:28" x14ac:dyDescent="0.2">
      <c r="C214" s="21" t="s">
        <v>7</v>
      </c>
      <c r="D214" s="21"/>
      <c r="F214" s="86">
        <v>17.23</v>
      </c>
      <c r="G214" s="86">
        <v>13.58</v>
      </c>
      <c r="H214" s="86">
        <v>9.59</v>
      </c>
      <c r="I214" s="86">
        <v>6.02</v>
      </c>
      <c r="J214" s="86">
        <v>0</v>
      </c>
      <c r="K214" s="86">
        <v>0</v>
      </c>
      <c r="L214" s="86">
        <v>0</v>
      </c>
      <c r="M214" s="86">
        <v>0</v>
      </c>
      <c r="N214" s="86">
        <v>0</v>
      </c>
      <c r="O214" s="86">
        <v>0</v>
      </c>
      <c r="P214" s="86">
        <v>0</v>
      </c>
      <c r="Q214" s="86">
        <v>0</v>
      </c>
      <c r="R214" s="86">
        <v>0</v>
      </c>
      <c r="S214" s="86">
        <v>0</v>
      </c>
      <c r="T214" s="86">
        <v>0</v>
      </c>
    </row>
    <row r="215" spans="2:28" x14ac:dyDescent="0.2">
      <c r="C215" s="21" t="s">
        <v>86</v>
      </c>
      <c r="D215" s="21"/>
      <c r="F215" s="86">
        <v>260.02999999999997</v>
      </c>
      <c r="G215" s="86">
        <f>F215+G214</f>
        <v>273.60999999999996</v>
      </c>
      <c r="H215" s="86">
        <f t="shared" ref="H215:K215" si="394">G215+H214</f>
        <v>283.19999999999993</v>
      </c>
      <c r="I215" s="86">
        <f t="shared" si="394"/>
        <v>289.21999999999991</v>
      </c>
      <c r="J215" s="86">
        <f t="shared" si="394"/>
        <v>289.21999999999991</v>
      </c>
      <c r="K215" s="86">
        <f t="shared" si="394"/>
        <v>289.21999999999991</v>
      </c>
      <c r="L215" s="86">
        <f t="shared" ref="L215" si="395">K215+L214</f>
        <v>289.21999999999991</v>
      </c>
      <c r="M215" s="86">
        <f t="shared" ref="M215" si="396">L215+M214</f>
        <v>289.21999999999991</v>
      </c>
      <c r="N215" s="86">
        <f t="shared" ref="N215" si="397">M215+N214</f>
        <v>289.21999999999991</v>
      </c>
      <c r="O215" s="86">
        <f t="shared" ref="O215" si="398">N215+O214</f>
        <v>289.21999999999991</v>
      </c>
      <c r="P215" s="86">
        <f t="shared" ref="P215" si="399">O215+P214</f>
        <v>289.21999999999991</v>
      </c>
      <c r="Q215" s="86">
        <f t="shared" ref="Q215" si="400">P215+Q214</f>
        <v>289.21999999999991</v>
      </c>
      <c r="R215" s="86">
        <f t="shared" ref="R215" si="401">Q215+R214</f>
        <v>289.21999999999991</v>
      </c>
      <c r="S215" s="86">
        <f t="shared" ref="S215" si="402">R215+S214</f>
        <v>289.21999999999991</v>
      </c>
      <c r="T215" s="86">
        <f t="shared" ref="T215" si="403">S215+T214</f>
        <v>289.21999999999991</v>
      </c>
    </row>
    <row r="216" spans="2:28" s="162" customFormat="1" x14ac:dyDescent="0.2">
      <c r="C216" s="22" t="s">
        <v>87</v>
      </c>
      <c r="D216" s="22"/>
      <c r="E216" s="253"/>
      <c r="F216" s="247">
        <f>F213-F215</f>
        <v>30.550000000000011</v>
      </c>
      <c r="G216" s="247">
        <f>G213-G215</f>
        <v>16.970000000000027</v>
      </c>
      <c r="H216" s="247">
        <f t="shared" ref="H216:K216" si="404">H213-H215</f>
        <v>7.3800000000000523</v>
      </c>
      <c r="I216" s="247">
        <f t="shared" si="404"/>
        <v>1.3600000000000705</v>
      </c>
      <c r="J216" s="247">
        <f t="shared" si="404"/>
        <v>1.3600000000000705</v>
      </c>
      <c r="K216" s="247">
        <f t="shared" si="404"/>
        <v>1.3600000000000705</v>
      </c>
      <c r="L216" s="247">
        <f t="shared" ref="L216:T216" si="405">L213-L215</f>
        <v>1.3600000000000705</v>
      </c>
      <c r="M216" s="247">
        <f t="shared" si="405"/>
        <v>1.3600000000000705</v>
      </c>
      <c r="N216" s="247">
        <f t="shared" si="405"/>
        <v>1.3600000000000705</v>
      </c>
      <c r="O216" s="247">
        <f t="shared" si="405"/>
        <v>1.3600000000000705</v>
      </c>
      <c r="P216" s="247">
        <f t="shared" si="405"/>
        <v>1.3600000000000705</v>
      </c>
      <c r="Q216" s="247">
        <f t="shared" si="405"/>
        <v>1.3600000000000705</v>
      </c>
      <c r="R216" s="247">
        <f t="shared" si="405"/>
        <v>1.3600000000000705</v>
      </c>
      <c r="S216" s="247">
        <f t="shared" si="405"/>
        <v>1.3600000000000705</v>
      </c>
      <c r="T216" s="247">
        <f t="shared" si="405"/>
        <v>1.3600000000000705</v>
      </c>
      <c r="W216" s="261"/>
      <c r="X216" s="247"/>
      <c r="Y216" s="247"/>
      <c r="Z216" s="247"/>
      <c r="AA216" s="247"/>
      <c r="AB216" s="180"/>
    </row>
    <row r="217" spans="2:28" x14ac:dyDescent="0.2">
      <c r="F217" s="86"/>
      <c r="G217" s="86"/>
      <c r="H217" s="86"/>
      <c r="I217" s="86"/>
      <c r="J217" s="86"/>
      <c r="K217" s="86"/>
      <c r="L217" s="86"/>
      <c r="M217" s="86"/>
      <c r="N217" s="86"/>
      <c r="O217" s="86"/>
      <c r="P217" s="86"/>
      <c r="Q217" s="86"/>
      <c r="R217" s="86"/>
      <c r="S217" s="86"/>
      <c r="T217" s="86"/>
    </row>
    <row r="218" spans="2:28" x14ac:dyDescent="0.2">
      <c r="F218" s="86"/>
      <c r="G218" s="86"/>
      <c r="H218" s="86"/>
      <c r="I218" s="86"/>
      <c r="J218" s="86"/>
      <c r="K218" s="86"/>
      <c r="L218" s="86"/>
      <c r="M218" s="86"/>
      <c r="N218" s="86"/>
      <c r="O218" s="86"/>
      <c r="P218" s="86"/>
      <c r="Q218" s="86"/>
      <c r="R218" s="86"/>
      <c r="S218" s="86"/>
      <c r="T218" s="86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E4531-1749-41A1-8FD5-2522492E0BEC}">
  <dimension ref="A1:O107"/>
  <sheetViews>
    <sheetView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D20" sqref="D20"/>
    </sheetView>
  </sheetViews>
  <sheetFormatPr defaultColWidth="8.85546875" defaultRowHeight="15" x14ac:dyDescent="0.25"/>
  <cols>
    <col min="1" max="1" width="19.7109375" style="26" customWidth="1"/>
    <col min="2" max="2" width="34.7109375" style="14" bestFit="1" customWidth="1"/>
    <col min="3" max="9" width="8.85546875" style="14"/>
    <col min="10" max="10" width="20.7109375" style="14" bestFit="1" customWidth="1"/>
    <col min="11" max="11" width="8.85546875" style="14"/>
    <col min="12" max="12" width="3" style="14" customWidth="1"/>
    <col min="13" max="13" width="20.42578125" style="14" bestFit="1" customWidth="1"/>
    <col min="14" max="14" width="10.85546875" style="14" bestFit="1" customWidth="1"/>
    <col min="15" max="16384" width="8.85546875" style="14"/>
  </cols>
  <sheetData>
    <row r="1" spans="2:15" ht="15.75" x14ac:dyDescent="0.25">
      <c r="B1" s="1" t="s">
        <v>200</v>
      </c>
    </row>
    <row r="2" spans="2:15" x14ac:dyDescent="0.25">
      <c r="B2" s="20" t="s">
        <v>0</v>
      </c>
      <c r="C2" s="12" t="s">
        <v>93</v>
      </c>
      <c r="D2" s="15">
        <f>PL!F5</f>
        <v>43555</v>
      </c>
      <c r="E2" s="15">
        <f>PL!G5</f>
        <v>43921</v>
      </c>
      <c r="F2" s="15">
        <f>PL!H5</f>
        <v>44286</v>
      </c>
      <c r="G2" s="15">
        <f>PL!I5</f>
        <v>44651</v>
      </c>
    </row>
    <row r="3" spans="2:15" x14ac:dyDescent="0.25">
      <c r="B3" s="21"/>
      <c r="C3" s="11"/>
    </row>
    <row r="4" spans="2:15" x14ac:dyDescent="0.25">
      <c r="B4" s="22" t="s">
        <v>103</v>
      </c>
      <c r="C4" s="16"/>
    </row>
    <row r="5" spans="2:15" x14ac:dyDescent="0.25">
      <c r="B5" s="21" t="s">
        <v>83</v>
      </c>
      <c r="C5" s="11"/>
      <c r="E5" s="14">
        <f>D8</f>
        <v>5221.1400000000003</v>
      </c>
      <c r="I5" s="14">
        <v>1</v>
      </c>
      <c r="J5" s="14" t="s">
        <v>109</v>
      </c>
      <c r="K5" s="14">
        <v>5221.1400000000003</v>
      </c>
      <c r="M5" s="14" t="s">
        <v>94</v>
      </c>
      <c r="N5" s="14">
        <v>5221.1400000000003</v>
      </c>
      <c r="O5" s="14">
        <v>1</v>
      </c>
    </row>
    <row r="6" spans="2:15" x14ac:dyDescent="0.25">
      <c r="B6" s="21" t="s">
        <v>84</v>
      </c>
      <c r="C6" s="11"/>
      <c r="E6" s="14">
        <v>114.68</v>
      </c>
      <c r="I6" s="14">
        <v>2</v>
      </c>
      <c r="J6" s="14" t="s">
        <v>110</v>
      </c>
      <c r="K6" s="14">
        <v>134.55000000000001</v>
      </c>
      <c r="M6" s="14" t="s">
        <v>94</v>
      </c>
      <c r="N6" s="14">
        <v>134.55000000000001</v>
      </c>
      <c r="O6" s="14">
        <v>2</v>
      </c>
    </row>
    <row r="7" spans="2:15" x14ac:dyDescent="0.25">
      <c r="B7" s="21" t="s">
        <v>102</v>
      </c>
      <c r="C7" s="11"/>
      <c r="I7" s="14">
        <v>3</v>
      </c>
      <c r="J7" s="14" t="s">
        <v>105</v>
      </c>
      <c r="K7" s="18">
        <v>11782.92</v>
      </c>
      <c r="M7" s="14" t="s">
        <v>88</v>
      </c>
      <c r="N7" s="14">
        <v>4804.03</v>
      </c>
      <c r="O7" s="14">
        <v>4</v>
      </c>
    </row>
    <row r="8" spans="2:15" x14ac:dyDescent="0.25">
      <c r="B8" s="21" t="s">
        <v>85</v>
      </c>
      <c r="C8" s="11"/>
      <c r="D8" s="14">
        <v>5221.1400000000003</v>
      </c>
      <c r="E8" s="14">
        <f>E5+E6-E7</f>
        <v>5335.8200000000006</v>
      </c>
      <c r="I8" s="14">
        <v>4</v>
      </c>
      <c r="J8" s="14" t="s">
        <v>111</v>
      </c>
      <c r="K8" s="14">
        <v>4804.03</v>
      </c>
      <c r="M8" s="14" t="s">
        <v>116</v>
      </c>
      <c r="N8" s="19">
        <v>3162.48</v>
      </c>
      <c r="O8" s="14">
        <v>5</v>
      </c>
    </row>
    <row r="9" spans="2:15" x14ac:dyDescent="0.25">
      <c r="B9" s="21" t="s">
        <v>7</v>
      </c>
      <c r="C9" s="11"/>
      <c r="I9" s="14">
        <v>5</v>
      </c>
      <c r="J9" s="14" t="s">
        <v>112</v>
      </c>
      <c r="K9" s="14">
        <v>4010.86</v>
      </c>
      <c r="M9" s="14" t="s">
        <v>96</v>
      </c>
      <c r="N9" s="14">
        <v>576.5</v>
      </c>
      <c r="O9" s="14">
        <v>10</v>
      </c>
    </row>
    <row r="10" spans="2:15" x14ac:dyDescent="0.25">
      <c r="B10" s="21" t="s">
        <v>86</v>
      </c>
      <c r="C10" s="11"/>
      <c r="I10" s="14">
        <v>6</v>
      </c>
      <c r="J10" s="14" t="s">
        <v>113</v>
      </c>
      <c r="K10" s="18">
        <v>578.1</v>
      </c>
      <c r="M10" s="14" t="s">
        <v>97</v>
      </c>
      <c r="N10" s="14">
        <v>178.79</v>
      </c>
      <c r="O10" s="14">
        <v>11</v>
      </c>
    </row>
    <row r="11" spans="2:15" x14ac:dyDescent="0.25">
      <c r="B11" s="21" t="s">
        <v>87</v>
      </c>
      <c r="C11" s="11"/>
      <c r="I11" s="14">
        <v>7</v>
      </c>
      <c r="J11" s="14" t="s">
        <v>106</v>
      </c>
      <c r="K11" s="14">
        <v>256.33</v>
      </c>
      <c r="M11" s="14" t="s">
        <v>98</v>
      </c>
      <c r="N11" s="14">
        <v>479.88</v>
      </c>
      <c r="O11" s="14">
        <v>9</v>
      </c>
    </row>
    <row r="12" spans="2:15" x14ac:dyDescent="0.25">
      <c r="B12" s="23"/>
      <c r="C12" s="13"/>
      <c r="I12" s="14">
        <v>8</v>
      </c>
      <c r="J12" s="14" t="s">
        <v>114</v>
      </c>
      <c r="K12" s="14">
        <v>2498.89</v>
      </c>
      <c r="M12" s="14" t="s">
        <v>99</v>
      </c>
      <c r="N12" s="14">
        <v>805.12</v>
      </c>
      <c r="O12" s="14">
        <v>3</v>
      </c>
    </row>
    <row r="13" spans="2:15" x14ac:dyDescent="0.25">
      <c r="B13" s="24" t="s">
        <v>104</v>
      </c>
      <c r="C13" s="13"/>
      <c r="I13" s="14">
        <v>9</v>
      </c>
      <c r="J13" s="14" t="s">
        <v>98</v>
      </c>
      <c r="K13" s="14">
        <v>479.88</v>
      </c>
      <c r="M13" s="14" t="s">
        <v>114</v>
      </c>
      <c r="N13" s="14">
        <v>2498.89</v>
      </c>
      <c r="O13" s="14">
        <v>8</v>
      </c>
    </row>
    <row r="14" spans="2:15" x14ac:dyDescent="0.25">
      <c r="B14" s="21" t="s">
        <v>83</v>
      </c>
      <c r="C14" s="13"/>
      <c r="E14" s="14">
        <f>D17</f>
        <v>134.55000000000001</v>
      </c>
      <c r="I14" s="14">
        <v>10</v>
      </c>
      <c r="J14" s="14" t="s">
        <v>100</v>
      </c>
      <c r="K14" s="14">
        <v>2270.7600000000002</v>
      </c>
      <c r="M14" s="14" t="s">
        <v>105</v>
      </c>
      <c r="N14" s="19">
        <v>10977.8</v>
      </c>
      <c r="O14" s="14">
        <v>3</v>
      </c>
    </row>
    <row r="15" spans="2:15" x14ac:dyDescent="0.25">
      <c r="B15" s="21" t="s">
        <v>84</v>
      </c>
      <c r="C15" s="13"/>
      <c r="I15" s="14">
        <v>11</v>
      </c>
      <c r="J15" s="14" t="s">
        <v>97</v>
      </c>
      <c r="K15" s="14">
        <v>178.79</v>
      </c>
      <c r="M15" s="14" t="s">
        <v>117</v>
      </c>
      <c r="N15" s="14">
        <v>578.1</v>
      </c>
      <c r="O15" s="14">
        <v>6</v>
      </c>
    </row>
    <row r="16" spans="2:15" x14ac:dyDescent="0.25">
      <c r="B16" s="21" t="s">
        <v>102</v>
      </c>
      <c r="C16" s="13"/>
      <c r="I16" s="14">
        <v>12</v>
      </c>
      <c r="J16" s="14" t="s">
        <v>115</v>
      </c>
      <c r="K16" s="14">
        <v>286.20999999999998</v>
      </c>
      <c r="M16" s="14" t="s">
        <v>118</v>
      </c>
      <c r="N16" s="14">
        <v>664.87</v>
      </c>
      <c r="O16" s="14">
        <v>5</v>
      </c>
    </row>
    <row r="17" spans="1:15" x14ac:dyDescent="0.25">
      <c r="B17" s="21" t="s">
        <v>85</v>
      </c>
      <c r="C17" s="13"/>
      <c r="D17" s="14">
        <v>134.55000000000001</v>
      </c>
      <c r="E17" s="14">
        <f>E14+E15-E16</f>
        <v>134.55000000000001</v>
      </c>
      <c r="K17" s="18">
        <f>SUM(K5:K16)</f>
        <v>32502.46</v>
      </c>
      <c r="M17" s="14" t="s">
        <v>119</v>
      </c>
      <c r="N17" s="14">
        <v>77.61</v>
      </c>
      <c r="O17" s="14">
        <v>10</v>
      </c>
    </row>
    <row r="18" spans="1:15" x14ac:dyDescent="0.25">
      <c r="B18" s="21" t="s">
        <v>7</v>
      </c>
      <c r="C18" s="13"/>
      <c r="E18" s="14">
        <v>2.25</v>
      </c>
      <c r="M18" s="14" t="s">
        <v>120</v>
      </c>
      <c r="N18" s="14">
        <v>1142.1099999999999</v>
      </c>
      <c r="O18" s="14">
        <v>10</v>
      </c>
    </row>
    <row r="19" spans="1:15" x14ac:dyDescent="0.25">
      <c r="B19" s="21" t="s">
        <v>86</v>
      </c>
      <c r="C19" s="13"/>
      <c r="D19" s="14">
        <v>14.73</v>
      </c>
      <c r="E19" s="14">
        <f>D19+E18</f>
        <v>16.98</v>
      </c>
      <c r="M19" s="14" t="s">
        <v>115</v>
      </c>
      <c r="N19" s="14">
        <v>286.20999999999998</v>
      </c>
      <c r="O19" s="14">
        <v>12</v>
      </c>
    </row>
    <row r="20" spans="1:15" x14ac:dyDescent="0.25">
      <c r="B20" s="21" t="s">
        <v>87</v>
      </c>
      <c r="C20" s="13"/>
      <c r="D20" s="14">
        <v>119.82</v>
      </c>
      <c r="E20" s="14">
        <f>E17-E19</f>
        <v>117.57000000000001</v>
      </c>
      <c r="M20" s="14" t="s">
        <v>121</v>
      </c>
      <c r="N20" s="14">
        <v>256.33</v>
      </c>
      <c r="O20" s="14">
        <v>7</v>
      </c>
    </row>
    <row r="21" spans="1:15" x14ac:dyDescent="0.25">
      <c r="B21" s="23"/>
      <c r="C21" s="13"/>
      <c r="M21" s="14" t="s">
        <v>122</v>
      </c>
      <c r="N21" s="14">
        <v>113.64</v>
      </c>
      <c r="O21" s="14">
        <v>5</v>
      </c>
    </row>
    <row r="22" spans="1:15" ht="45" x14ac:dyDescent="0.25">
      <c r="A22" s="26" t="s">
        <v>126</v>
      </c>
      <c r="B22" s="22" t="s">
        <v>105</v>
      </c>
      <c r="C22" s="16"/>
      <c r="M22" s="14" t="s">
        <v>123</v>
      </c>
      <c r="N22" s="14">
        <v>424.06</v>
      </c>
      <c r="O22" s="14">
        <v>10</v>
      </c>
    </row>
    <row r="23" spans="1:15" x14ac:dyDescent="0.25">
      <c r="B23" s="21" t="s">
        <v>83</v>
      </c>
      <c r="C23" s="11"/>
      <c r="E23" s="18">
        <f>D25</f>
        <v>11782.92</v>
      </c>
      <c r="M23" s="14" t="s">
        <v>124</v>
      </c>
      <c r="N23" s="14">
        <v>50.48</v>
      </c>
      <c r="O23" s="14">
        <v>10</v>
      </c>
    </row>
    <row r="24" spans="1:15" x14ac:dyDescent="0.25">
      <c r="B24" s="21" t="s">
        <v>84</v>
      </c>
      <c r="C24" s="11"/>
      <c r="E24" s="14">
        <f>65.33+264.82</f>
        <v>330.15</v>
      </c>
      <c r="M24" s="14" t="s">
        <v>125</v>
      </c>
      <c r="N24" s="14">
        <v>69.87</v>
      </c>
      <c r="O24" s="14">
        <v>5</v>
      </c>
    </row>
    <row r="25" spans="1:15" x14ac:dyDescent="0.25">
      <c r="B25" s="21" t="s">
        <v>85</v>
      </c>
      <c r="C25" s="11"/>
      <c r="D25" s="18">
        <f>805.12+10977.8</f>
        <v>11782.92</v>
      </c>
      <c r="E25" s="18">
        <f>E23+E24</f>
        <v>12113.07</v>
      </c>
      <c r="N25" s="18">
        <f>SUM(N5:N24)</f>
        <v>32502.46</v>
      </c>
    </row>
    <row r="26" spans="1:15" x14ac:dyDescent="0.25">
      <c r="B26" s="21" t="s">
        <v>7</v>
      </c>
      <c r="C26" s="11"/>
      <c r="E26" s="14">
        <f>759.78+32.04</f>
        <v>791.81999999999994</v>
      </c>
    </row>
    <row r="27" spans="1:15" x14ac:dyDescent="0.25">
      <c r="B27" s="21" t="s">
        <v>86</v>
      </c>
      <c r="C27" s="11"/>
      <c r="D27" s="14">
        <f>2996.29+168.89</f>
        <v>3165.18</v>
      </c>
      <c r="E27" s="14">
        <f>D27+E26</f>
        <v>3957</v>
      </c>
    </row>
    <row r="28" spans="1:15" x14ac:dyDescent="0.25">
      <c r="B28" s="21" t="s">
        <v>87</v>
      </c>
      <c r="C28" s="11"/>
      <c r="D28" s="18">
        <f>D25-D27</f>
        <v>8617.74</v>
      </c>
      <c r="E28" s="18">
        <f>E25-E27</f>
        <v>8156.07</v>
      </c>
    </row>
    <row r="29" spans="1:15" x14ac:dyDescent="0.25">
      <c r="B29" s="21"/>
      <c r="C29" s="11"/>
    </row>
    <row r="30" spans="1:15" x14ac:dyDescent="0.25">
      <c r="B30" s="22" t="s">
        <v>88</v>
      </c>
      <c r="C30" s="16"/>
    </row>
    <row r="31" spans="1:15" x14ac:dyDescent="0.25">
      <c r="B31" s="21" t="s">
        <v>83</v>
      </c>
      <c r="C31" s="11"/>
      <c r="E31" s="14">
        <f>D33</f>
        <v>4804.03</v>
      </c>
    </row>
    <row r="32" spans="1:15" x14ac:dyDescent="0.25">
      <c r="B32" s="21" t="s">
        <v>84</v>
      </c>
      <c r="C32" s="11"/>
    </row>
    <row r="33" spans="1:5" x14ac:dyDescent="0.25">
      <c r="A33" s="27"/>
      <c r="B33" s="21" t="s">
        <v>85</v>
      </c>
      <c r="C33" s="11"/>
      <c r="D33" s="14">
        <v>4804.03</v>
      </c>
    </row>
    <row r="34" spans="1:5" x14ac:dyDescent="0.25">
      <c r="B34" s="21" t="s">
        <v>7</v>
      </c>
      <c r="C34" s="11"/>
    </row>
    <row r="35" spans="1:5" x14ac:dyDescent="0.25">
      <c r="B35" s="21" t="s">
        <v>86</v>
      </c>
      <c r="C35" s="11"/>
    </row>
    <row r="36" spans="1:5" x14ac:dyDescent="0.25">
      <c r="B36" s="21" t="s">
        <v>87</v>
      </c>
      <c r="C36" s="11"/>
    </row>
    <row r="37" spans="1:5" x14ac:dyDescent="0.25">
      <c r="B37" s="21"/>
      <c r="C37" s="11"/>
    </row>
    <row r="38" spans="1:5" ht="26.25" x14ac:dyDescent="0.25">
      <c r="A38" s="27" t="s">
        <v>127</v>
      </c>
      <c r="B38" s="22" t="s">
        <v>95</v>
      </c>
      <c r="C38" s="16"/>
    </row>
    <row r="39" spans="1:5" x14ac:dyDescent="0.25">
      <c r="B39" s="21" t="s">
        <v>83</v>
      </c>
      <c r="C39" s="11"/>
      <c r="E39" s="14">
        <f>D41</f>
        <v>4010.8599999999997</v>
      </c>
    </row>
    <row r="40" spans="1:5" x14ac:dyDescent="0.25">
      <c r="B40" s="21" t="s">
        <v>84</v>
      </c>
      <c r="C40" s="11"/>
    </row>
    <row r="41" spans="1:5" x14ac:dyDescent="0.25">
      <c r="B41" s="21" t="s">
        <v>85</v>
      </c>
      <c r="C41" s="11"/>
      <c r="D41" s="14">
        <f>3162.48+664.87+113.64+69.87</f>
        <v>4010.8599999999997</v>
      </c>
    </row>
    <row r="42" spans="1:5" x14ac:dyDescent="0.25">
      <c r="B42" s="21" t="s">
        <v>7</v>
      </c>
      <c r="C42" s="11"/>
    </row>
    <row r="43" spans="1:5" x14ac:dyDescent="0.25">
      <c r="B43" s="21" t="s">
        <v>86</v>
      </c>
      <c r="C43" s="11"/>
    </row>
    <row r="44" spans="1:5" x14ac:dyDescent="0.25">
      <c r="B44" s="21" t="s">
        <v>87</v>
      </c>
      <c r="C44" s="11"/>
    </row>
    <row r="45" spans="1:5" x14ac:dyDescent="0.25">
      <c r="B45" s="23"/>
      <c r="C45" s="13"/>
    </row>
    <row r="46" spans="1:5" x14ac:dyDescent="0.25">
      <c r="B46" s="24" t="s">
        <v>89</v>
      </c>
      <c r="C46" s="13"/>
    </row>
    <row r="47" spans="1:5" x14ac:dyDescent="0.25">
      <c r="B47" s="21" t="s">
        <v>83</v>
      </c>
      <c r="C47" s="13"/>
      <c r="E47" s="18">
        <f>D49</f>
        <v>578.1</v>
      </c>
    </row>
    <row r="48" spans="1:5" x14ac:dyDescent="0.25">
      <c r="B48" s="21" t="s">
        <v>84</v>
      </c>
      <c r="C48" s="13"/>
    </row>
    <row r="49" spans="1:5" x14ac:dyDescent="0.25">
      <c r="A49" s="28"/>
      <c r="B49" s="21" t="s">
        <v>85</v>
      </c>
      <c r="C49" s="13"/>
      <c r="D49" s="18">
        <v>578.1</v>
      </c>
    </row>
    <row r="50" spans="1:5" x14ac:dyDescent="0.25">
      <c r="B50" s="21" t="s">
        <v>7</v>
      </c>
      <c r="C50" s="13"/>
    </row>
    <row r="51" spans="1:5" x14ac:dyDescent="0.25">
      <c r="B51" s="21" t="s">
        <v>86</v>
      </c>
      <c r="C51" s="13"/>
    </row>
    <row r="52" spans="1:5" x14ac:dyDescent="0.25">
      <c r="B52" s="21" t="s">
        <v>87</v>
      </c>
      <c r="C52" s="13"/>
    </row>
    <row r="53" spans="1:5" x14ac:dyDescent="0.25">
      <c r="B53" s="23"/>
      <c r="C53" s="13"/>
    </row>
    <row r="54" spans="1:5" x14ac:dyDescent="0.25">
      <c r="A54" s="26" t="s">
        <v>121</v>
      </c>
      <c r="B54" s="24" t="s">
        <v>106</v>
      </c>
      <c r="C54" s="13"/>
    </row>
    <row r="55" spans="1:5" x14ac:dyDescent="0.25">
      <c r="B55" s="21" t="s">
        <v>83</v>
      </c>
      <c r="C55" s="13"/>
      <c r="E55" s="14">
        <f>D57</f>
        <v>256.33</v>
      </c>
    </row>
    <row r="56" spans="1:5" x14ac:dyDescent="0.25">
      <c r="B56" s="21" t="s">
        <v>84</v>
      </c>
      <c r="C56" s="13"/>
    </row>
    <row r="57" spans="1:5" x14ac:dyDescent="0.25">
      <c r="A57" s="28"/>
      <c r="B57" s="21" t="s">
        <v>85</v>
      </c>
      <c r="C57" s="13"/>
      <c r="D57" s="14">
        <v>256.33</v>
      </c>
    </row>
    <row r="58" spans="1:5" x14ac:dyDescent="0.25">
      <c r="B58" s="21" t="s">
        <v>7</v>
      </c>
      <c r="C58" s="13"/>
    </row>
    <row r="59" spans="1:5" x14ac:dyDescent="0.25">
      <c r="B59" s="21" t="s">
        <v>86</v>
      </c>
      <c r="C59" s="13"/>
    </row>
    <row r="60" spans="1:5" x14ac:dyDescent="0.25">
      <c r="B60" s="21" t="s">
        <v>87</v>
      </c>
      <c r="C60" s="13"/>
    </row>
    <row r="61" spans="1:5" x14ac:dyDescent="0.25">
      <c r="B61" s="23"/>
      <c r="C61" s="13"/>
    </row>
    <row r="62" spans="1:5" x14ac:dyDescent="0.25">
      <c r="B62" s="24" t="s">
        <v>107</v>
      </c>
      <c r="C62" s="13"/>
    </row>
    <row r="63" spans="1:5" x14ac:dyDescent="0.25">
      <c r="B63" s="21" t="s">
        <v>83</v>
      </c>
      <c r="C63" s="13"/>
      <c r="E63" s="14">
        <f>D65</f>
        <v>2498.89</v>
      </c>
    </row>
    <row r="64" spans="1:5" x14ac:dyDescent="0.25">
      <c r="B64" s="21" t="s">
        <v>84</v>
      </c>
      <c r="C64" s="13"/>
    </row>
    <row r="65" spans="2:5" x14ac:dyDescent="0.25">
      <c r="B65" s="21" t="s">
        <v>85</v>
      </c>
      <c r="C65" s="13"/>
      <c r="D65" s="14">
        <v>2498.89</v>
      </c>
    </row>
    <row r="66" spans="2:5" x14ac:dyDescent="0.25">
      <c r="B66" s="21" t="s">
        <v>7</v>
      </c>
      <c r="C66" s="13"/>
    </row>
    <row r="67" spans="2:5" x14ac:dyDescent="0.25">
      <c r="B67" s="21" t="s">
        <v>86</v>
      </c>
      <c r="C67" s="13"/>
    </row>
    <row r="68" spans="2:5" x14ac:dyDescent="0.25">
      <c r="B68" s="21" t="s">
        <v>87</v>
      </c>
      <c r="C68" s="13"/>
    </row>
    <row r="69" spans="2:5" x14ac:dyDescent="0.25">
      <c r="B69" s="23"/>
      <c r="C69" s="13"/>
    </row>
    <row r="70" spans="2:5" x14ac:dyDescent="0.25">
      <c r="B70" s="24" t="s">
        <v>98</v>
      </c>
      <c r="C70" s="13"/>
    </row>
    <row r="71" spans="2:5" x14ac:dyDescent="0.25">
      <c r="B71" s="21" t="s">
        <v>83</v>
      </c>
      <c r="C71" s="13"/>
      <c r="E71" s="14">
        <f>D73</f>
        <v>479.88</v>
      </c>
    </row>
    <row r="72" spans="2:5" x14ac:dyDescent="0.25">
      <c r="B72" s="21" t="s">
        <v>84</v>
      </c>
      <c r="C72" s="13"/>
    </row>
    <row r="73" spans="2:5" x14ac:dyDescent="0.25">
      <c r="B73" s="21" t="s">
        <v>85</v>
      </c>
      <c r="C73" s="13"/>
      <c r="D73" s="14">
        <v>479.88</v>
      </c>
    </row>
    <row r="74" spans="2:5" x14ac:dyDescent="0.25">
      <c r="B74" s="21" t="s">
        <v>7</v>
      </c>
      <c r="C74" s="13"/>
    </row>
    <row r="75" spans="2:5" x14ac:dyDescent="0.25">
      <c r="B75" s="21" t="s">
        <v>86</v>
      </c>
      <c r="C75" s="13"/>
    </row>
    <row r="76" spans="2:5" x14ac:dyDescent="0.25">
      <c r="B76" s="21" t="s">
        <v>87</v>
      </c>
      <c r="C76" s="13"/>
    </row>
    <row r="77" spans="2:5" x14ac:dyDescent="0.25">
      <c r="B77" s="23"/>
      <c r="C77" s="13"/>
    </row>
    <row r="78" spans="2:5" x14ac:dyDescent="0.25">
      <c r="B78" s="24" t="s">
        <v>100</v>
      </c>
      <c r="C78" s="13"/>
    </row>
    <row r="79" spans="2:5" x14ac:dyDescent="0.25">
      <c r="B79" s="21" t="s">
        <v>83</v>
      </c>
      <c r="C79" s="13"/>
      <c r="E79" s="14">
        <f>D81</f>
        <v>2270.7599999999998</v>
      </c>
    </row>
    <row r="80" spans="2:5" x14ac:dyDescent="0.25">
      <c r="B80" s="21" t="s">
        <v>84</v>
      </c>
      <c r="C80" s="13"/>
    </row>
    <row r="81" spans="2:4" x14ac:dyDescent="0.25">
      <c r="B81" s="21" t="s">
        <v>85</v>
      </c>
      <c r="C81" s="13"/>
      <c r="D81" s="14">
        <f>576.5+77.61+1142.11+424.06+50.48</f>
        <v>2270.7599999999998</v>
      </c>
    </row>
    <row r="82" spans="2:4" x14ac:dyDescent="0.25">
      <c r="B82" s="21" t="s">
        <v>7</v>
      </c>
      <c r="C82" s="13"/>
    </row>
    <row r="83" spans="2:4" x14ac:dyDescent="0.25">
      <c r="B83" s="21" t="s">
        <v>86</v>
      </c>
      <c r="C83" s="13"/>
    </row>
    <row r="84" spans="2:4" x14ac:dyDescent="0.25">
      <c r="B84" s="21" t="s">
        <v>87</v>
      </c>
      <c r="C84" s="13"/>
    </row>
    <row r="85" spans="2:4" x14ac:dyDescent="0.25">
      <c r="B85" s="23"/>
      <c r="C85" s="13"/>
    </row>
    <row r="86" spans="2:4" x14ac:dyDescent="0.25">
      <c r="B86" s="24" t="s">
        <v>97</v>
      </c>
      <c r="C86" s="13"/>
    </row>
    <row r="87" spans="2:4" x14ac:dyDescent="0.25">
      <c r="B87" s="21" t="s">
        <v>83</v>
      </c>
      <c r="C87" s="13"/>
    </row>
    <row r="88" spans="2:4" x14ac:dyDescent="0.25">
      <c r="B88" s="21" t="s">
        <v>84</v>
      </c>
      <c r="C88" s="13"/>
    </row>
    <row r="89" spans="2:4" x14ac:dyDescent="0.25">
      <c r="B89" s="21" t="s">
        <v>85</v>
      </c>
      <c r="C89" s="13"/>
      <c r="D89" s="14">
        <v>178.79</v>
      </c>
    </row>
    <row r="90" spans="2:4" x14ac:dyDescent="0.25">
      <c r="B90" s="21" t="s">
        <v>7</v>
      </c>
      <c r="C90" s="13"/>
    </row>
    <row r="91" spans="2:4" x14ac:dyDescent="0.25">
      <c r="B91" s="21" t="s">
        <v>86</v>
      </c>
      <c r="C91" s="13"/>
    </row>
    <row r="92" spans="2:4" x14ac:dyDescent="0.25">
      <c r="B92" s="21" t="s">
        <v>87</v>
      </c>
      <c r="C92" s="13"/>
    </row>
    <row r="93" spans="2:4" x14ac:dyDescent="0.25">
      <c r="B93" s="23"/>
      <c r="C93" s="13"/>
    </row>
    <row r="94" spans="2:4" x14ac:dyDescent="0.25">
      <c r="B94" s="24" t="s">
        <v>115</v>
      </c>
      <c r="C94" s="13"/>
    </row>
    <row r="95" spans="2:4" x14ac:dyDescent="0.25">
      <c r="B95" s="21" t="s">
        <v>83</v>
      </c>
      <c r="C95" s="13"/>
    </row>
    <row r="96" spans="2:4" x14ac:dyDescent="0.25">
      <c r="B96" s="21" t="s">
        <v>84</v>
      </c>
      <c r="C96" s="13"/>
    </row>
    <row r="97" spans="2:4" x14ac:dyDescent="0.25">
      <c r="B97" s="21" t="s">
        <v>85</v>
      </c>
      <c r="C97" s="13"/>
      <c r="D97" s="18">
        <v>286.2</v>
      </c>
    </row>
    <row r="98" spans="2:4" x14ac:dyDescent="0.25">
      <c r="B98" s="21" t="s">
        <v>7</v>
      </c>
      <c r="C98" s="13"/>
    </row>
    <row r="99" spans="2:4" x14ac:dyDescent="0.25">
      <c r="B99" s="21" t="s">
        <v>86</v>
      </c>
      <c r="C99" s="13"/>
    </row>
    <row r="100" spans="2:4" x14ac:dyDescent="0.25">
      <c r="B100" s="21" t="s">
        <v>87</v>
      </c>
      <c r="C100" s="13"/>
    </row>
    <row r="101" spans="2:4" x14ac:dyDescent="0.25">
      <c r="B101" s="23"/>
      <c r="C101" s="13"/>
    </row>
    <row r="102" spans="2:4" x14ac:dyDescent="0.25">
      <c r="B102" s="24" t="s">
        <v>108</v>
      </c>
      <c r="C102" s="13"/>
    </row>
    <row r="103" spans="2:4" x14ac:dyDescent="0.25">
      <c r="B103" s="21" t="s">
        <v>85</v>
      </c>
      <c r="C103" s="11"/>
      <c r="D103" s="18">
        <f>D8+D17+D25+D33+D41+D49+D57+D65+D73+D81+D89+D97</f>
        <v>32502.45</v>
      </c>
    </row>
    <row r="104" spans="2:4" x14ac:dyDescent="0.25">
      <c r="B104" s="21" t="s">
        <v>90</v>
      </c>
      <c r="C104" s="11"/>
    </row>
    <row r="105" spans="2:4" x14ac:dyDescent="0.25">
      <c r="B105" s="21" t="s">
        <v>91</v>
      </c>
      <c r="C105" s="11"/>
    </row>
    <row r="106" spans="2:4" x14ac:dyDescent="0.25">
      <c r="B106" s="22" t="s">
        <v>87</v>
      </c>
      <c r="C106" s="11"/>
    </row>
    <row r="107" spans="2:4" x14ac:dyDescent="0.25">
      <c r="B107" s="25" t="s">
        <v>92</v>
      </c>
      <c r="C107" s="1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8DAB2-9C87-4844-A131-0215C713A671}">
  <dimension ref="B2:N44"/>
  <sheetViews>
    <sheetView zoomScaleNormal="100" workbookViewId="0">
      <pane xSplit="5" ySplit="6" topLeftCell="F28" activePane="bottomRight" state="frozen"/>
      <selection pane="topRight" activeCell="E1" sqref="E1"/>
      <selection pane="bottomLeft" activeCell="A5" sqref="A5"/>
      <selection pane="bottomRight" activeCell="B37" sqref="B37:H44"/>
    </sheetView>
  </sheetViews>
  <sheetFormatPr defaultColWidth="8.85546875" defaultRowHeight="12.75" x14ac:dyDescent="0.2"/>
  <cols>
    <col min="1" max="1" width="4.140625" style="64" customWidth="1"/>
    <col min="2" max="3" width="3.85546875" style="64" customWidth="1"/>
    <col min="4" max="4" width="24.7109375" style="64" customWidth="1"/>
    <col min="5" max="5" width="10.140625" style="64" bestFit="1" customWidth="1"/>
    <col min="6" max="14" width="8.85546875" style="64" customWidth="1"/>
    <col min="15" max="15" width="8.85546875" style="64"/>
    <col min="16" max="16" width="11.140625" style="64" customWidth="1"/>
    <col min="17" max="17" width="9.5703125" style="64" bestFit="1" customWidth="1"/>
    <col min="18" max="18" width="10.7109375" style="64" customWidth="1"/>
    <col min="19" max="19" width="11" style="64" customWidth="1"/>
    <col min="20" max="16384" width="8.85546875" style="64"/>
  </cols>
  <sheetData>
    <row r="2" spans="2:14" ht="15.75" x14ac:dyDescent="0.2">
      <c r="B2" s="1" t="s">
        <v>200</v>
      </c>
      <c r="C2" s="1"/>
      <c r="D2" s="1"/>
      <c r="E2" s="1"/>
      <c r="F2" s="337"/>
      <c r="G2" s="337"/>
      <c r="H2" s="337"/>
      <c r="I2" s="337"/>
      <c r="J2" s="337"/>
      <c r="K2" s="337"/>
      <c r="L2" s="337"/>
      <c r="M2" s="337"/>
      <c r="N2" s="337"/>
    </row>
    <row r="3" spans="2:14" x14ac:dyDescent="0.2">
      <c r="B3" s="58" t="s">
        <v>351</v>
      </c>
      <c r="C3" s="58"/>
      <c r="D3" s="58"/>
      <c r="E3" s="58"/>
      <c r="F3" s="58"/>
      <c r="G3" s="58"/>
      <c r="H3" s="58"/>
      <c r="I3" s="59"/>
      <c r="J3" s="59"/>
      <c r="K3" s="59"/>
      <c r="L3" s="59"/>
      <c r="M3" s="59"/>
      <c r="N3" s="59"/>
    </row>
    <row r="4" spans="2:14" x14ac:dyDescent="0.2">
      <c r="B4" s="58"/>
      <c r="C4" s="58"/>
      <c r="D4" s="58"/>
      <c r="E4" s="58"/>
      <c r="F4" s="58"/>
      <c r="G4" s="58"/>
      <c r="H4" s="58"/>
      <c r="I4" s="59"/>
      <c r="J4" s="59"/>
      <c r="K4" s="59"/>
      <c r="L4" s="59"/>
      <c r="M4" s="59"/>
      <c r="N4" s="59"/>
    </row>
    <row r="5" spans="2:14" x14ac:dyDescent="0.2">
      <c r="B5" s="271" t="s">
        <v>402</v>
      </c>
      <c r="C5" s="271"/>
      <c r="D5" s="271"/>
      <c r="E5" s="271"/>
      <c r="F5" s="277"/>
      <c r="G5" s="277"/>
      <c r="H5" s="277"/>
      <c r="I5" s="277"/>
      <c r="J5" s="277"/>
      <c r="K5" s="277"/>
      <c r="L5" s="277"/>
      <c r="M5" s="277"/>
      <c r="N5" s="277"/>
    </row>
    <row r="6" spans="2:14" x14ac:dyDescent="0.2">
      <c r="B6" s="272" t="s">
        <v>0</v>
      </c>
      <c r="C6" s="272"/>
      <c r="D6" s="272"/>
      <c r="E6" s="272"/>
      <c r="F6" s="273">
        <f>PL!L5</f>
        <v>45747</v>
      </c>
      <c r="G6" s="273">
        <f>PL!M5</f>
        <v>46112</v>
      </c>
      <c r="H6" s="273">
        <f>PL!N5</f>
        <v>46477</v>
      </c>
      <c r="I6" s="273">
        <f>PL!O5</f>
        <v>46843</v>
      </c>
      <c r="J6" s="273">
        <f>PL!P5</f>
        <v>47208</v>
      </c>
      <c r="K6" s="273">
        <f>PL!Q5</f>
        <v>47573</v>
      </c>
      <c r="L6" s="273">
        <f>PL!R5</f>
        <v>47938</v>
      </c>
      <c r="M6" s="273">
        <f>PL!S5</f>
        <v>48304</v>
      </c>
      <c r="N6" s="273">
        <f>PL!T5</f>
        <v>48669</v>
      </c>
    </row>
    <row r="7" spans="2:14" x14ac:dyDescent="0.2">
      <c r="B7" s="293"/>
      <c r="C7" s="293"/>
      <c r="D7" s="293"/>
      <c r="E7" s="293"/>
      <c r="F7" s="294"/>
      <c r="G7" s="294"/>
      <c r="H7" s="294"/>
      <c r="I7" s="294"/>
      <c r="J7" s="294"/>
      <c r="K7" s="294"/>
      <c r="L7" s="294"/>
      <c r="M7" s="294"/>
      <c r="N7" s="294"/>
    </row>
    <row r="8" spans="2:14" x14ac:dyDescent="0.2">
      <c r="B8" s="279" t="s">
        <v>187</v>
      </c>
      <c r="C8" s="279"/>
      <c r="D8" s="279"/>
      <c r="E8" s="279"/>
      <c r="F8" s="280">
        <f ca="1">PL!L39</f>
        <v>-19.839365641703065</v>
      </c>
      <c r="G8" s="280">
        <f ca="1">PL!M39</f>
        <v>44.835298663144286</v>
      </c>
      <c r="H8" s="280">
        <f ca="1">PL!N39</f>
        <v>100.19619485353755</v>
      </c>
      <c r="I8" s="280">
        <f ca="1">PL!O39</f>
        <v>131.60333445449103</v>
      </c>
      <c r="J8" s="280">
        <f ca="1">PL!P39</f>
        <v>147.69307122430402</v>
      </c>
      <c r="K8" s="280">
        <f ca="1">PL!Q39</f>
        <v>164.84994010057511</v>
      </c>
      <c r="L8" s="280">
        <f ca="1">PL!R39</f>
        <v>183.13309399798857</v>
      </c>
      <c r="M8" s="280">
        <f ca="1">PL!S39</f>
        <v>202.60468694928488</v>
      </c>
      <c r="N8" s="280">
        <f ca="1">PL!T39</f>
        <v>223.33001836484959</v>
      </c>
    </row>
    <row r="9" spans="2:14" x14ac:dyDescent="0.2">
      <c r="B9" s="279" t="s">
        <v>400</v>
      </c>
      <c r="C9" s="279"/>
      <c r="D9" s="279"/>
      <c r="E9" s="279"/>
      <c r="F9" s="280">
        <f>PL!L16</f>
        <v>30.756265521953097</v>
      </c>
      <c r="G9" s="280">
        <f>PL!M16</f>
        <v>27.314236570983912</v>
      </c>
      <c r="H9" s="280">
        <f>PL!N16</f>
        <v>23.743170183366779</v>
      </c>
      <c r="I9" s="280">
        <f>PL!O16</f>
        <v>20.672167846071456</v>
      </c>
      <c r="J9" s="280">
        <f>PL!P16</f>
        <v>18.023034938602194</v>
      </c>
      <c r="K9" s="280">
        <f>PL!Q16</f>
        <v>15.732252724451167</v>
      </c>
      <c r="L9" s="280">
        <f>PL!R16</f>
        <v>13.747476205339968</v>
      </c>
      <c r="M9" s="280">
        <f>PL!S16</f>
        <v>12.025073389774827</v>
      </c>
      <c r="N9" s="280">
        <f>PL!T16</f>
        <v>10.528348770863417</v>
      </c>
    </row>
    <row r="10" spans="2:14" x14ac:dyDescent="0.2">
      <c r="B10" s="295" t="s">
        <v>188</v>
      </c>
      <c r="C10" s="295"/>
      <c r="D10" s="295"/>
      <c r="E10" s="295"/>
      <c r="F10" s="296">
        <f ca="1">F8-F9</f>
        <v>-50.595631163656165</v>
      </c>
      <c r="G10" s="296">
        <f t="shared" ref="G10:N10" ca="1" si="0">G8-G9</f>
        <v>17.521062092160374</v>
      </c>
      <c r="H10" s="296">
        <f t="shared" ca="1" si="0"/>
        <v>76.453024670170777</v>
      </c>
      <c r="I10" s="296">
        <f t="shared" ca="1" si="0"/>
        <v>110.93116660841957</v>
      </c>
      <c r="J10" s="296">
        <f t="shared" ca="1" si="0"/>
        <v>129.67003628570183</v>
      </c>
      <c r="K10" s="296">
        <f t="shared" ca="1" si="0"/>
        <v>149.11768737612394</v>
      </c>
      <c r="L10" s="296">
        <f t="shared" ca="1" si="0"/>
        <v>169.38561779264859</v>
      </c>
      <c r="M10" s="296">
        <f t="shared" ca="1" si="0"/>
        <v>190.57961355951005</v>
      </c>
      <c r="N10" s="296">
        <f t="shared" ca="1" si="0"/>
        <v>212.80166959398616</v>
      </c>
    </row>
    <row r="11" spans="2:14" x14ac:dyDescent="0.2">
      <c r="B11" s="279" t="s">
        <v>189</v>
      </c>
      <c r="C11" s="279"/>
      <c r="D11" s="279"/>
      <c r="E11" s="279"/>
      <c r="F11" s="280">
        <f ca="1">PL!L29</f>
        <v>0</v>
      </c>
      <c r="G11" s="280">
        <f ca="1">PL!M29</f>
        <v>0</v>
      </c>
      <c r="H11" s="280">
        <f ca="1">PL!N29</f>
        <v>14.354167302927969</v>
      </c>
      <c r="I11" s="280">
        <f ca="1">PL!O29</f>
        <v>28.141148131278324</v>
      </c>
      <c r="J11" s="280">
        <f ca="1">PL!P29</f>
        <v>36.283286084969134</v>
      </c>
      <c r="K11" s="280">
        <f ca="1">PL!Q29</f>
        <v>44.528189039880147</v>
      </c>
      <c r="L11" s="280">
        <f ca="1">PL!R29</f>
        <v>53.059730402504435</v>
      </c>
      <c r="M11" s="280">
        <f ca="1">PL!S29</f>
        <v>62.277154980618896</v>
      </c>
      <c r="N11" s="280">
        <f ca="1">PL!T29</f>
        <v>72.216103878117096</v>
      </c>
    </row>
    <row r="12" spans="2:14" x14ac:dyDescent="0.2">
      <c r="B12" s="295" t="s">
        <v>190</v>
      </c>
      <c r="C12" s="295"/>
      <c r="D12" s="295"/>
      <c r="E12" s="295"/>
      <c r="F12" s="296">
        <f ca="1">F10-F11</f>
        <v>-50.595631163656165</v>
      </c>
      <c r="G12" s="296">
        <f t="shared" ref="G12:N12" ca="1" si="1">G10-G11</f>
        <v>17.521062092160374</v>
      </c>
      <c r="H12" s="296">
        <f t="shared" ca="1" si="1"/>
        <v>62.098857367242807</v>
      </c>
      <c r="I12" s="296">
        <f t="shared" ca="1" si="1"/>
        <v>82.790018477141246</v>
      </c>
      <c r="J12" s="296">
        <f t="shared" ca="1" si="1"/>
        <v>93.386750200732692</v>
      </c>
      <c r="K12" s="296">
        <f t="shared" ca="1" si="1"/>
        <v>104.58949833624379</v>
      </c>
      <c r="L12" s="296">
        <f t="shared" ca="1" si="1"/>
        <v>116.32588739014415</v>
      </c>
      <c r="M12" s="296">
        <f t="shared" ca="1" si="1"/>
        <v>128.30245857889116</v>
      </c>
      <c r="N12" s="296">
        <f t="shared" ca="1" si="1"/>
        <v>140.58556571586905</v>
      </c>
    </row>
    <row r="13" spans="2:14" x14ac:dyDescent="0.2">
      <c r="B13" s="279" t="s">
        <v>276</v>
      </c>
      <c r="C13" s="279"/>
      <c r="D13" s="279"/>
      <c r="E13" s="279"/>
      <c r="F13" s="280">
        <f>F9</f>
        <v>30.756265521953097</v>
      </c>
      <c r="G13" s="280">
        <f t="shared" ref="G13:N13" si="2">G9</f>
        <v>27.314236570983912</v>
      </c>
      <c r="H13" s="280">
        <f t="shared" si="2"/>
        <v>23.743170183366779</v>
      </c>
      <c r="I13" s="280">
        <f t="shared" si="2"/>
        <v>20.672167846071456</v>
      </c>
      <c r="J13" s="280">
        <f t="shared" si="2"/>
        <v>18.023034938602194</v>
      </c>
      <c r="K13" s="280">
        <f t="shared" si="2"/>
        <v>15.732252724451167</v>
      </c>
      <c r="L13" s="280">
        <f t="shared" si="2"/>
        <v>13.747476205339968</v>
      </c>
      <c r="M13" s="280">
        <f t="shared" si="2"/>
        <v>12.025073389774827</v>
      </c>
      <c r="N13" s="280">
        <f t="shared" si="2"/>
        <v>10.528348770863417</v>
      </c>
    </row>
    <row r="14" spans="2:14" x14ac:dyDescent="0.2">
      <c r="B14" s="279" t="s">
        <v>403</v>
      </c>
      <c r="C14" s="279"/>
      <c r="D14" s="279"/>
      <c r="E14" s="279"/>
      <c r="F14" s="280">
        <f>BS!L63</f>
        <v>-191.19746425610751</v>
      </c>
      <c r="G14" s="280">
        <f>BS!M63</f>
        <v>162.42558398236812</v>
      </c>
      <c r="H14" s="280">
        <f>BS!N63</f>
        <v>185.83969382805162</v>
      </c>
      <c r="I14" s="280">
        <f>BS!O63</f>
        <v>111.89505775752161</v>
      </c>
      <c r="J14" s="280">
        <f>BS!P63</f>
        <v>64.885570462058695</v>
      </c>
      <c r="K14" s="280">
        <f>BS!Q63</f>
        <v>68.947971395335117</v>
      </c>
      <c r="L14" s="280">
        <f>BS!R63</f>
        <v>73.231547490534922</v>
      </c>
      <c r="M14" s="280">
        <f>BS!S63</f>
        <v>77.747492919117803</v>
      </c>
      <c r="N14" s="280">
        <f>BS!T63</f>
        <v>82.507543506002776</v>
      </c>
    </row>
    <row r="15" spans="2:14" x14ac:dyDescent="0.2">
      <c r="B15" s="279" t="s">
        <v>404</v>
      </c>
      <c r="C15" s="279"/>
      <c r="D15" s="279"/>
      <c r="E15" s="279"/>
      <c r="F15" s="280">
        <f>Assumptions!L55</f>
        <v>9</v>
      </c>
      <c r="G15" s="280"/>
      <c r="H15" s="280"/>
      <c r="I15" s="280"/>
      <c r="J15" s="280"/>
      <c r="K15" s="280"/>
      <c r="L15" s="280"/>
      <c r="M15" s="280"/>
      <c r="N15" s="280"/>
    </row>
    <row r="16" spans="2:14" x14ac:dyDescent="0.2">
      <c r="B16" s="295" t="s">
        <v>191</v>
      </c>
      <c r="C16" s="295"/>
      <c r="D16" s="295"/>
      <c r="E16" s="295"/>
      <c r="F16" s="296">
        <f ca="1">F12+F13-F14-F15</f>
        <v>162.35809861440444</v>
      </c>
      <c r="G16" s="296">
        <f t="shared" ref="G16:N16" ca="1" si="3">G12+G13-G14-G15</f>
        <v>-117.59028531922384</v>
      </c>
      <c r="H16" s="296">
        <f t="shared" ca="1" si="3"/>
        <v>-99.997666277442036</v>
      </c>
      <c r="I16" s="296">
        <f t="shared" ca="1" si="3"/>
        <v>-8.4328714343089075</v>
      </c>
      <c r="J16" s="296">
        <f t="shared" ca="1" si="3"/>
        <v>46.524214677276191</v>
      </c>
      <c r="K16" s="296">
        <f t="shared" ca="1" si="3"/>
        <v>51.373779665359848</v>
      </c>
      <c r="L16" s="296">
        <f t="shared" ca="1" si="3"/>
        <v>56.841816104949203</v>
      </c>
      <c r="M16" s="296">
        <f t="shared" ca="1" si="3"/>
        <v>62.580039049548191</v>
      </c>
      <c r="N16" s="296">
        <f t="shared" ca="1" si="3"/>
        <v>68.606370980729707</v>
      </c>
    </row>
    <row r="17" spans="2:14" x14ac:dyDescent="0.2">
      <c r="B17" s="279" t="s">
        <v>195</v>
      </c>
      <c r="C17" s="279"/>
      <c r="D17" s="279"/>
      <c r="E17" s="279"/>
      <c r="F17" s="280"/>
      <c r="G17" s="280"/>
      <c r="H17" s="280"/>
      <c r="I17" s="280"/>
      <c r="J17" s="52"/>
      <c r="K17" s="52"/>
      <c r="L17" s="52"/>
      <c r="M17" s="280"/>
      <c r="N17" s="285">
        <f>H44</f>
        <v>672.0710621302286</v>
      </c>
    </row>
    <row r="18" spans="2:14" x14ac:dyDescent="0.2">
      <c r="B18" s="279"/>
      <c r="C18" s="279"/>
      <c r="D18" s="279"/>
      <c r="E18" s="279"/>
      <c r="F18" s="280"/>
      <c r="G18" s="280"/>
      <c r="H18" s="280"/>
      <c r="I18" s="280"/>
      <c r="J18" s="52"/>
      <c r="K18" s="52"/>
      <c r="L18" s="52"/>
      <c r="M18" s="280"/>
      <c r="N18" s="65"/>
    </row>
    <row r="19" spans="2:14" x14ac:dyDescent="0.2">
      <c r="B19" s="279" t="s">
        <v>401</v>
      </c>
      <c r="C19" s="281"/>
      <c r="D19" s="281"/>
      <c r="E19" s="297">
        <v>0.13</v>
      </c>
      <c r="G19" s="282"/>
      <c r="H19" s="282"/>
      <c r="I19" s="282"/>
      <c r="J19" s="282"/>
      <c r="K19" s="282"/>
      <c r="L19" s="282"/>
      <c r="M19" s="282"/>
      <c r="N19" s="282"/>
    </row>
    <row r="20" spans="2:14" x14ac:dyDescent="0.2">
      <c r="B20" s="279" t="s">
        <v>192</v>
      </c>
      <c r="C20" s="281"/>
      <c r="D20" s="281"/>
      <c r="E20" s="283">
        <v>45565</v>
      </c>
      <c r="G20" s="279"/>
      <c r="H20" s="279"/>
      <c r="I20" s="279"/>
      <c r="J20" s="279"/>
      <c r="K20" s="284"/>
      <c r="L20" s="284"/>
      <c r="M20" s="284"/>
    </row>
    <row r="21" spans="2:14" x14ac:dyDescent="0.2">
      <c r="B21" s="281"/>
      <c r="C21" s="281"/>
      <c r="D21" s="281"/>
      <c r="E21" s="283"/>
      <c r="G21" s="279"/>
      <c r="H21" s="279"/>
      <c r="I21" s="279"/>
      <c r="J21" s="279"/>
      <c r="K21" s="284"/>
      <c r="L21" s="284"/>
      <c r="M21" s="284"/>
    </row>
    <row r="22" spans="2:14" x14ac:dyDescent="0.2">
      <c r="B22" s="279" t="s">
        <v>193</v>
      </c>
      <c r="C22" s="279"/>
      <c r="D22" s="279"/>
      <c r="E22" s="279"/>
      <c r="F22" s="285">
        <f t="shared" ref="F22:N22" si="4">(F6-$E$20)/365</f>
        <v>0.49863013698630138</v>
      </c>
      <c r="G22" s="285">
        <f t="shared" si="4"/>
        <v>1.4986301369863013</v>
      </c>
      <c r="H22" s="285">
        <f t="shared" si="4"/>
        <v>2.4986301369863013</v>
      </c>
      <c r="I22" s="285">
        <f t="shared" si="4"/>
        <v>3.5013698630136987</v>
      </c>
      <c r="J22" s="285">
        <f t="shared" si="4"/>
        <v>4.5013698630136982</v>
      </c>
      <c r="K22" s="285">
        <f t="shared" si="4"/>
        <v>5.5013698630136982</v>
      </c>
      <c r="L22" s="285">
        <f t="shared" si="4"/>
        <v>6.5013698630136982</v>
      </c>
      <c r="M22" s="285">
        <f t="shared" si="4"/>
        <v>7.5041095890410956</v>
      </c>
      <c r="N22" s="285">
        <f t="shared" si="4"/>
        <v>8.5041095890410965</v>
      </c>
    </row>
    <row r="23" spans="2:14" x14ac:dyDescent="0.2">
      <c r="B23" s="279" t="s">
        <v>194</v>
      </c>
      <c r="C23" s="279"/>
      <c r="D23" s="279"/>
      <c r="E23" s="279"/>
      <c r="F23" s="280">
        <f t="shared" ref="F23:N23" si="5">1/(1+$E$19)^F22</f>
        <v>0.94087837838711719</v>
      </c>
      <c r="G23" s="280">
        <f t="shared" si="5"/>
        <v>0.83263573308594441</v>
      </c>
      <c r="H23" s="280">
        <f t="shared" si="5"/>
        <v>0.73684578149198621</v>
      </c>
      <c r="I23" s="280">
        <f t="shared" si="5"/>
        <v>0.65185760643234958</v>
      </c>
      <c r="J23" s="280">
        <f t="shared" si="5"/>
        <v>0.57686513843570775</v>
      </c>
      <c r="K23" s="280">
        <f t="shared" si="5"/>
        <v>0.51050012250947585</v>
      </c>
      <c r="L23" s="280">
        <f t="shared" si="5"/>
        <v>0.45177001991989024</v>
      </c>
      <c r="M23" s="280">
        <f t="shared" si="5"/>
        <v>0.39966263123144091</v>
      </c>
      <c r="N23" s="280">
        <f t="shared" si="5"/>
        <v>0.35368374445260259</v>
      </c>
    </row>
    <row r="24" spans="2:14" x14ac:dyDescent="0.2">
      <c r="B24" s="281" t="s">
        <v>196</v>
      </c>
      <c r="C24" s="281"/>
      <c r="D24" s="281"/>
      <c r="E24" s="279"/>
      <c r="F24" s="286">
        <f t="shared" ref="F24:N24" ca="1" si="6">F16*F23</f>
        <v>152.75922454233651</v>
      </c>
      <c r="G24" s="286">
        <f t="shared" ca="1" si="6"/>
        <v>-97.909873420557304</v>
      </c>
      <c r="H24" s="286">
        <f t="shared" ca="1" si="6"/>
        <v>-73.682858555576615</v>
      </c>
      <c r="I24" s="286">
        <f t="shared" ca="1" si="6"/>
        <v>-5.4970313885203392</v>
      </c>
      <c r="J24" s="286">
        <f t="shared" ca="1" si="6"/>
        <v>26.838197540419518</v>
      </c>
      <c r="K24" s="286">
        <f t="shared" ca="1" si="6"/>
        <v>26.226320812941022</v>
      </c>
      <c r="L24" s="286">
        <f t="shared" ca="1" si="6"/>
        <v>25.679428394015638</v>
      </c>
      <c r="M24" s="286">
        <f t="shared" ca="1" si="6"/>
        <v>25.01090306910875</v>
      </c>
      <c r="N24" s="286">
        <f t="shared" ca="1" si="6"/>
        <v>24.264958181768854</v>
      </c>
    </row>
    <row r="25" spans="2:14" x14ac:dyDescent="0.2">
      <c r="B25" s="281" t="s">
        <v>197</v>
      </c>
      <c r="C25" s="281"/>
      <c r="D25" s="281"/>
      <c r="E25" s="279"/>
      <c r="F25" s="286"/>
      <c r="G25" s="286"/>
      <c r="H25" s="286"/>
      <c r="I25" s="286"/>
      <c r="J25" s="52"/>
      <c r="K25" s="52"/>
      <c r="L25" s="52"/>
      <c r="M25" s="286"/>
      <c r="N25" s="78">
        <f>N17*N23</f>
        <v>237.70060979245696</v>
      </c>
    </row>
    <row r="26" spans="2:14" x14ac:dyDescent="0.2">
      <c r="B26" s="281" t="s">
        <v>198</v>
      </c>
      <c r="C26" s="281"/>
      <c r="D26" s="281"/>
      <c r="E26" s="279"/>
      <c r="F26" s="286">
        <f ca="1">F24+F25</f>
        <v>152.75922454233651</v>
      </c>
      <c r="G26" s="286">
        <f t="shared" ref="G26:N26" ca="1" si="7">G24+G25</f>
        <v>-97.909873420557304</v>
      </c>
      <c r="H26" s="286">
        <f t="shared" ca="1" si="7"/>
        <v>-73.682858555576615</v>
      </c>
      <c r="I26" s="286">
        <f t="shared" ca="1" si="7"/>
        <v>-5.4970313885203392</v>
      </c>
      <c r="J26" s="286">
        <f t="shared" ca="1" si="7"/>
        <v>26.838197540419518</v>
      </c>
      <c r="K26" s="286">
        <f t="shared" ca="1" si="7"/>
        <v>26.226320812941022</v>
      </c>
      <c r="L26" s="286">
        <f t="shared" ca="1" si="7"/>
        <v>25.679428394015638</v>
      </c>
      <c r="M26" s="286">
        <f t="shared" ca="1" si="7"/>
        <v>25.01090306910875</v>
      </c>
      <c r="N26" s="286">
        <f t="shared" ca="1" si="7"/>
        <v>261.96556797422579</v>
      </c>
    </row>
    <row r="27" spans="2:14" x14ac:dyDescent="0.2">
      <c r="B27" s="279"/>
      <c r="C27" s="279"/>
      <c r="D27" s="279"/>
      <c r="E27" s="279"/>
      <c r="F27" s="86"/>
      <c r="G27" s="86"/>
      <c r="H27" s="86"/>
      <c r="I27" s="86"/>
      <c r="J27" s="86"/>
      <c r="K27" s="52"/>
      <c r="L27" s="52"/>
      <c r="M27" s="52"/>
      <c r="N27" s="65"/>
    </row>
    <row r="28" spans="2:14" x14ac:dyDescent="0.2">
      <c r="B28" s="271" t="s">
        <v>344</v>
      </c>
      <c r="C28" s="271"/>
      <c r="D28" s="271"/>
      <c r="E28" s="271"/>
      <c r="F28" s="271"/>
      <c r="G28" s="271"/>
      <c r="H28" s="271"/>
      <c r="I28" s="271"/>
      <c r="J28" s="271"/>
      <c r="K28" s="271"/>
      <c r="L28" s="271"/>
      <c r="M28" s="271"/>
      <c r="N28" s="271"/>
    </row>
    <row r="30" spans="2:14" ht="15" customHeight="1" x14ac:dyDescent="0.2">
      <c r="B30" s="287" t="s">
        <v>199</v>
      </c>
      <c r="C30" s="288"/>
      <c r="D30" s="288"/>
      <c r="E30" s="64" t="s">
        <v>342</v>
      </c>
      <c r="F30" s="280">
        <f ca="1">SUM(F24:N24)</f>
        <v>103.68926917593603</v>
      </c>
      <c r="G30" s="292"/>
      <c r="H30" s="292"/>
      <c r="L30" s="288"/>
      <c r="M30" s="288"/>
    </row>
    <row r="31" spans="2:14" x14ac:dyDescent="0.2">
      <c r="B31" s="287" t="s">
        <v>197</v>
      </c>
      <c r="C31" s="287"/>
      <c r="D31" s="287"/>
      <c r="E31" s="64" t="s">
        <v>342</v>
      </c>
      <c r="F31" s="280">
        <f>SUM(F25:N25)</f>
        <v>237.70060979245696</v>
      </c>
      <c r="H31" s="289"/>
      <c r="L31" s="289"/>
      <c r="M31" s="289"/>
    </row>
    <row r="32" spans="2:14" x14ac:dyDescent="0.2">
      <c r="B32" s="380" t="s">
        <v>405</v>
      </c>
      <c r="C32" s="380"/>
      <c r="D32" s="380"/>
      <c r="E32" s="136" t="s">
        <v>342</v>
      </c>
      <c r="F32" s="290">
        <f ca="1">F30+F31</f>
        <v>341.38987896839296</v>
      </c>
      <c r="G32" s="291"/>
    </row>
    <row r="36" spans="2:8" x14ac:dyDescent="0.2">
      <c r="B36" s="136" t="s">
        <v>195</v>
      </c>
    </row>
    <row r="37" spans="2:8" ht="25.5" x14ac:dyDescent="0.2">
      <c r="B37" s="116" t="s">
        <v>0</v>
      </c>
      <c r="C37" s="207"/>
      <c r="D37" s="207"/>
      <c r="E37" s="298"/>
      <c r="F37" s="278" t="s">
        <v>325</v>
      </c>
      <c r="G37" s="278" t="s">
        <v>343</v>
      </c>
      <c r="H37" s="299" t="s">
        <v>195</v>
      </c>
    </row>
    <row r="38" spans="2:8" x14ac:dyDescent="0.2">
      <c r="B38" s="118" t="str">
        <f>BS!C9</f>
        <v>Property, Plant &amp; Equipment</v>
      </c>
      <c r="C38" s="207"/>
      <c r="D38" s="207"/>
      <c r="E38" s="298"/>
      <c r="F38" s="123">
        <f>BS!T9</f>
        <v>254.7147586824232</v>
      </c>
      <c r="G38" s="274">
        <v>0.5</v>
      </c>
      <c r="H38" s="123">
        <f t="shared" ref="H38:H43" si="8">F38*G38</f>
        <v>127.3573793412116</v>
      </c>
    </row>
    <row r="39" spans="2:8" x14ac:dyDescent="0.2">
      <c r="B39" s="118" t="str">
        <f>BS!C10</f>
        <v>Intangible Assets</v>
      </c>
      <c r="C39" s="207"/>
      <c r="D39" s="207"/>
      <c r="E39" s="298"/>
      <c r="F39" s="275">
        <f>BS!T10</f>
        <v>1.3600000000000705E-2</v>
      </c>
      <c r="G39" s="274">
        <v>0.5</v>
      </c>
      <c r="H39" s="123">
        <f t="shared" si="8"/>
        <v>6.8000000000003526E-3</v>
      </c>
    </row>
    <row r="40" spans="2:8" x14ac:dyDescent="0.2">
      <c r="B40" s="118" t="str">
        <f>BS!C11</f>
        <v>Capital WIP</v>
      </c>
      <c r="C40" s="207"/>
      <c r="D40" s="207"/>
      <c r="E40" s="298"/>
      <c r="F40" s="275">
        <f>BS!T11</f>
        <v>16.8157</v>
      </c>
      <c r="G40" s="274">
        <v>0.5</v>
      </c>
      <c r="H40" s="123">
        <f t="shared" si="8"/>
        <v>8.4078499999999998</v>
      </c>
    </row>
    <row r="41" spans="2:8" x14ac:dyDescent="0.2">
      <c r="B41" s="118" t="str">
        <f>BS!C20</f>
        <v>Inventories</v>
      </c>
      <c r="C41" s="207"/>
      <c r="D41" s="207"/>
      <c r="E41" s="298"/>
      <c r="F41" s="275">
        <f>BS!T20</f>
        <v>516.28787484912823</v>
      </c>
      <c r="G41" s="274">
        <v>0.5</v>
      </c>
      <c r="H41" s="123">
        <f t="shared" si="8"/>
        <v>258.14393742456411</v>
      </c>
    </row>
    <row r="42" spans="2:8" x14ac:dyDescent="0.2">
      <c r="B42" s="118" t="str">
        <f>BS!C23</f>
        <v>Trade Receivables</v>
      </c>
      <c r="C42" s="207"/>
      <c r="D42" s="207"/>
      <c r="E42" s="298"/>
      <c r="F42" s="275">
        <f>BS!T23</f>
        <v>900.50210729499111</v>
      </c>
      <c r="G42" s="274">
        <v>0.5</v>
      </c>
      <c r="H42" s="123">
        <f t="shared" si="8"/>
        <v>450.25105364749555</v>
      </c>
    </row>
    <row r="43" spans="2:8" x14ac:dyDescent="0.2">
      <c r="B43" s="118" t="str">
        <f>BS!C47</f>
        <v>Trade Payables</v>
      </c>
      <c r="C43" s="207"/>
      <c r="D43" s="207"/>
      <c r="E43" s="298"/>
      <c r="F43" s="275">
        <f>-BS!T47</f>
        <v>-344.19191656608547</v>
      </c>
      <c r="G43" s="274">
        <v>0.5</v>
      </c>
      <c r="H43" s="123">
        <f t="shared" si="8"/>
        <v>-172.09595828304273</v>
      </c>
    </row>
    <row r="44" spans="2:8" x14ac:dyDescent="0.2">
      <c r="B44" s="116" t="s">
        <v>406</v>
      </c>
      <c r="C44" s="207"/>
      <c r="D44" s="207"/>
      <c r="E44" s="298"/>
      <c r="F44" s="276">
        <f>SUM(F38:F43)</f>
        <v>1344.1421242604572</v>
      </c>
      <c r="G44" s="118"/>
      <c r="H44" s="276">
        <f>SUM(H38:H43)</f>
        <v>672.0710621302286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Assumptions</vt:lpstr>
      <vt:lpstr>Sheet1</vt:lpstr>
      <vt:lpstr>PL</vt:lpstr>
      <vt:lpstr>Historical Analysis</vt:lpstr>
      <vt:lpstr>BS</vt:lpstr>
      <vt:lpstr>CFS</vt:lpstr>
      <vt:lpstr>Dep Sch</vt:lpstr>
      <vt:lpstr>old Dep Sch</vt:lpstr>
      <vt:lpstr>EV</vt:lpstr>
      <vt:lpstr>DSCR</vt:lpstr>
      <vt:lpstr>Ratio Analysis</vt:lpstr>
      <vt:lpstr>Financial Indicators</vt:lpstr>
      <vt:lpstr>Shareholding Pattern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Niket Thakkar</dc:creator>
  <cp:lastModifiedBy>Rachit</cp:lastModifiedBy>
  <cp:lastPrinted>2024-09-17T14:00:48Z</cp:lastPrinted>
  <dcterms:created xsi:type="dcterms:W3CDTF">2024-08-16T09:32:35Z</dcterms:created>
  <dcterms:modified xsi:type="dcterms:W3CDTF">2024-10-03T09:59:36Z</dcterms:modified>
</cp:coreProperties>
</file>