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9705" windowHeight="3270" tabRatio="870" activeTab="1"/>
  </bookViews>
  <sheets>
    <sheet name="Sheet1" sheetId="9" r:id="rId1"/>
    <sheet name="NAV EV" sheetId="1" r:id="rId2"/>
    <sheet name="Fixed Assets" sheetId="3" r:id="rId3"/>
    <sheet name="Non Current Financial Assets" sheetId="5" r:id="rId4"/>
    <sheet name="Other Non Current Asset" sheetId="10" r:id="rId5"/>
    <sheet name="Current Assets" sheetId="7" r:id="rId6"/>
    <sheet name="Total Outstanding " sheetId="11" r:id="rId7"/>
    <sheet name="Equity &amp; Liabilities" sheetId="8" r:id="rId8"/>
    <sheet name="Sheet3" sheetId="14" r:id="rId9"/>
    <sheet name="Collateral Securities" sheetId="12" r:id="rId10"/>
    <sheet name="Historical Performance" sheetId="13" r:id="rId11"/>
  </sheets>
  <calcPr calcId="152511" iterate="1"/>
</workbook>
</file>

<file path=xl/calcChain.xml><?xml version="1.0" encoding="utf-8"?>
<calcChain xmlns="http://schemas.openxmlformats.org/spreadsheetml/2006/main">
  <c r="E37" i="1" l="1"/>
  <c r="D91" i="3"/>
  <c r="D79" i="3"/>
  <c r="D78" i="3"/>
  <c r="D67" i="3"/>
  <c r="D56" i="3"/>
  <c r="D46" i="3"/>
  <c r="D45" i="3"/>
  <c r="D34" i="3"/>
  <c r="D23" i="3"/>
  <c r="F34" i="12" l="1"/>
  <c r="F35" i="12" s="1"/>
  <c r="E36" i="13" l="1"/>
  <c r="E19" i="13"/>
  <c r="E21" i="13" s="1"/>
  <c r="E28" i="13" s="1"/>
  <c r="E34" i="13" s="1"/>
  <c r="E11" i="13"/>
  <c r="E31" i="13" s="1"/>
  <c r="D19" i="13"/>
  <c r="D11" i="13"/>
  <c r="D31" i="13" s="1"/>
  <c r="B2" i="13"/>
  <c r="D32" i="13" l="1"/>
  <c r="D37" i="13" s="1"/>
  <c r="D21" i="13"/>
  <c r="D28" i="13" s="1"/>
  <c r="D34" i="13" s="1"/>
  <c r="D39" i="13" s="1"/>
  <c r="E32" i="13"/>
  <c r="E37" i="13" s="1"/>
  <c r="E39" i="13"/>
  <c r="E33" i="13"/>
  <c r="E38" i="13" s="1"/>
  <c r="B15" i="12"/>
  <c r="B16" i="12" s="1"/>
  <c r="B17" i="12" s="1"/>
  <c r="B18" i="12" s="1"/>
  <c r="B19" i="12" s="1"/>
  <c r="B20" i="12" s="1"/>
  <c r="B21" i="12" s="1"/>
  <c r="B22" i="12" s="1"/>
  <c r="B23" i="12" s="1"/>
  <c r="B24" i="12" s="1"/>
  <c r="B25" i="12" s="1"/>
  <c r="B26" i="12" s="1"/>
  <c r="B27" i="12" s="1"/>
  <c r="B28" i="12" s="1"/>
  <c r="B29" i="12" s="1"/>
  <c r="B30" i="12" s="1"/>
  <c r="B31" i="12" s="1"/>
  <c r="B32" i="12" s="1"/>
  <c r="B33" i="12" s="1"/>
  <c r="E35" i="12"/>
  <c r="E34" i="12"/>
  <c r="B5" i="12"/>
  <c r="B6" i="12" s="1"/>
  <c r="B7" i="12" s="1"/>
  <c r="B8" i="12" s="1"/>
  <c r="B9" i="12" s="1"/>
  <c r="B10" i="12" s="1"/>
  <c r="B11" i="12" s="1"/>
  <c r="B12" i="12" s="1"/>
  <c r="B13" i="12" s="1"/>
  <c r="B14" i="12" s="1"/>
  <c r="E99" i="8"/>
  <c r="H99" i="8" s="1"/>
  <c r="H91" i="8"/>
  <c r="H90" i="8"/>
  <c r="H89" i="8"/>
  <c r="H88" i="8"/>
  <c r="H85" i="8"/>
  <c r="H83" i="8"/>
  <c r="H81" i="8"/>
  <c r="H84" i="8" s="1"/>
  <c r="H86" i="8" s="1"/>
  <c r="H92" i="8" s="1"/>
  <c r="H80" i="8"/>
  <c r="E84" i="8"/>
  <c r="E86" i="8" s="1"/>
  <c r="E92" i="8" s="1"/>
  <c r="H73" i="8"/>
  <c r="H72" i="8"/>
  <c r="H74" i="8" s="1"/>
  <c r="E74" i="8"/>
  <c r="H68" i="8"/>
  <c r="E68" i="8"/>
  <c r="E59" i="8"/>
  <c r="H58" i="8"/>
  <c r="H59" i="8" s="1"/>
  <c r="H53" i="8"/>
  <c r="H54" i="8" s="1"/>
  <c r="E54" i="8"/>
  <c r="H50" i="8"/>
  <c r="E43" i="8"/>
  <c r="E46" i="8" s="1"/>
  <c r="E50" i="8" s="1"/>
  <c r="D33" i="13" l="1"/>
  <c r="D38" i="13" s="1"/>
  <c r="H31" i="8"/>
  <c r="H30" i="8"/>
  <c r="H32" i="8" s="1"/>
  <c r="H26" i="8"/>
  <c r="H25" i="8"/>
  <c r="H21" i="8"/>
  <c r="H20" i="8"/>
  <c r="E32" i="8"/>
  <c r="E27" i="8"/>
  <c r="E22" i="8"/>
  <c r="E14" i="8"/>
  <c r="E11" i="8"/>
  <c r="B2" i="8"/>
  <c r="F54" i="7"/>
  <c r="F55" i="7"/>
  <c r="F56" i="7"/>
  <c r="F57" i="7"/>
  <c r="E59" i="7"/>
  <c r="F53" i="7"/>
  <c r="E49" i="7"/>
  <c r="F47" i="7"/>
  <c r="F49" i="7" s="1"/>
  <c r="F40" i="7"/>
  <c r="F41" i="7"/>
  <c r="F39" i="7"/>
  <c r="E43" i="7"/>
  <c r="F26" i="7"/>
  <c r="F27" i="7"/>
  <c r="F28" i="7"/>
  <c r="F25" i="7"/>
  <c r="F32" i="7"/>
  <c r="F33" i="7" s="1"/>
  <c r="E33" i="7"/>
  <c r="F20" i="7"/>
  <c r="F10" i="7"/>
  <c r="F12" i="7" s="1"/>
  <c r="B2" i="7"/>
  <c r="E12" i="7"/>
  <c r="H22" i="8" l="1"/>
  <c r="E34" i="8"/>
  <c r="H27" i="8"/>
  <c r="F59" i="7"/>
  <c r="F43" i="7"/>
  <c r="E10" i="10"/>
  <c r="E11" i="10"/>
  <c r="E12" i="10"/>
  <c r="E9" i="10"/>
  <c r="D13" i="10"/>
  <c r="D15" i="10" s="1"/>
  <c r="B2" i="10"/>
  <c r="E13" i="10" l="1"/>
  <c r="E15" i="10" s="1"/>
  <c r="H34" i="8"/>
  <c r="D27" i="5"/>
  <c r="G25" i="5"/>
  <c r="G27" i="5" s="1"/>
  <c r="D25" i="5"/>
  <c r="D9" i="5"/>
  <c r="D20" i="5" s="1"/>
  <c r="G20" i="5" s="1"/>
  <c r="B2" i="5"/>
  <c r="D25" i="1"/>
  <c r="D7" i="1"/>
  <c r="E65" i="1" s="1"/>
  <c r="D86" i="3"/>
  <c r="D92" i="3" s="1"/>
  <c r="D90" i="3"/>
  <c r="D73" i="3"/>
  <c r="D77" i="3"/>
  <c r="D66" i="3"/>
  <c r="D62" i="3"/>
  <c r="D51" i="3"/>
  <c r="D55" i="3"/>
  <c r="D57" i="3" s="1"/>
  <c r="D40" i="3"/>
  <c r="D44" i="3"/>
  <c r="D29" i="3"/>
  <c r="D33" i="3"/>
  <c r="D18" i="3"/>
  <c r="D22" i="3"/>
  <c r="D11" i="3"/>
  <c r="D12" i="3" s="1"/>
  <c r="D13" i="3" s="1"/>
  <c r="D57" i="1" l="1"/>
  <c r="D12" i="1"/>
  <c r="E12" i="1" s="1"/>
  <c r="D44" i="1"/>
  <c r="D35" i="1"/>
  <c r="D17" i="1"/>
  <c r="D53" i="1"/>
  <c r="E55" i="1"/>
  <c r="E57" i="1"/>
  <c r="E53" i="1"/>
  <c r="E51" i="1"/>
  <c r="E44" i="1"/>
  <c r="E43" i="1"/>
  <c r="E27" i="1"/>
  <c r="E42" i="1"/>
  <c r="E28" i="1"/>
  <c r="E21" i="1"/>
  <c r="E14" i="1"/>
  <c r="E23" i="1"/>
  <c r="E15" i="1"/>
  <c r="E25" i="1"/>
  <c r="E17" i="1"/>
  <c r="D14" i="1"/>
  <c r="D21" i="1"/>
  <c r="D26" i="1"/>
  <c r="D36" i="1"/>
  <c r="D45" i="1"/>
  <c r="D54" i="1"/>
  <c r="D10" i="1"/>
  <c r="D15" i="1"/>
  <c r="D23" i="1"/>
  <c r="D27" i="1"/>
  <c r="D42" i="1"/>
  <c r="D46" i="1"/>
  <c r="D55" i="1"/>
  <c r="E11" i="1"/>
  <c r="E36" i="1"/>
  <c r="D11" i="1"/>
  <c r="D16" i="1"/>
  <c r="E16" i="1" s="1"/>
  <c r="D24" i="1"/>
  <c r="D28" i="1"/>
  <c r="D43" i="1"/>
  <c r="D51" i="1"/>
  <c r="D56" i="1"/>
  <c r="E26" i="1"/>
  <c r="D35" i="3"/>
  <c r="D68" i="3"/>
  <c r="D24" i="3"/>
  <c r="E47" i="1" l="1"/>
  <c r="E58" i="1"/>
  <c r="E64" i="1"/>
  <c r="E66" i="1" s="1"/>
  <c r="D81" i="3"/>
  <c r="E10" i="1" s="1"/>
  <c r="E18" i="1" s="1"/>
  <c r="B2" i="3"/>
  <c r="D58" i="1"/>
  <c r="D47" i="1"/>
  <c r="D37" i="1"/>
  <c r="D29" i="1"/>
  <c r="D18" i="1"/>
  <c r="E60" i="1" l="1"/>
  <c r="E62" i="1" s="1"/>
  <c r="D60" i="1"/>
  <c r="D62" i="1" s="1"/>
  <c r="D31" i="1"/>
  <c r="H14" i="8" l="1"/>
  <c r="H16" i="8" s="1"/>
  <c r="E35" i="1" l="1"/>
  <c r="E29" i="7"/>
  <c r="E20" i="7"/>
  <c r="E16" i="8"/>
  <c r="H11" i="8"/>
  <c r="F29" i="7"/>
  <c r="E24" i="1" l="1"/>
  <c r="E29" i="1" s="1"/>
  <c r="E31" i="1" s="1"/>
  <c r="E67" i="1" s="1"/>
  <c r="F35" i="7"/>
  <c r="G36" i="12" l="1"/>
  <c r="G35" i="12"/>
</calcChain>
</file>

<file path=xl/comments1.xml><?xml version="1.0" encoding="utf-8"?>
<comments xmlns="http://schemas.openxmlformats.org/spreadsheetml/2006/main">
  <authors>
    <author>Author</author>
  </authors>
  <commentList>
    <comment ref="H50" authorId="0" shapeId="0">
      <text>
        <r>
          <rPr>
            <b/>
            <sz val="9"/>
            <color indexed="81"/>
            <rFont val="Tahoma"/>
            <family val="2"/>
          </rPr>
          <t>Author:</t>
        </r>
        <r>
          <rPr>
            <sz val="9"/>
            <color indexed="81"/>
            <rFont val="Tahoma"/>
            <family val="2"/>
          </rPr>
          <t xml:space="preserve">
300 cr. Consortium current + non-consortium as per 31st march 2021</t>
        </r>
      </text>
    </comment>
  </commentList>
</comments>
</file>

<file path=xl/sharedStrings.xml><?xml version="1.0" encoding="utf-8"?>
<sst xmlns="http://schemas.openxmlformats.org/spreadsheetml/2006/main" count="413" uniqueCount="275">
  <si>
    <t>NET ASSET VALUE (NAV)</t>
  </si>
  <si>
    <t>Fair Market Value</t>
  </si>
  <si>
    <t>Assets:</t>
  </si>
  <si>
    <t>Non-Current Assets</t>
  </si>
  <si>
    <t>Particular (Values in INR Crores)</t>
  </si>
  <si>
    <t>Current Liabilities</t>
  </si>
  <si>
    <t>Total Current Liabilities</t>
  </si>
  <si>
    <t>Operational Liabilities</t>
  </si>
  <si>
    <t>Current Assets</t>
  </si>
  <si>
    <t>Inventories</t>
  </si>
  <si>
    <t>Total Assets</t>
  </si>
  <si>
    <t>Non-Current Liabilities</t>
  </si>
  <si>
    <t>FIXED ASSETS</t>
  </si>
  <si>
    <t>PARTICULARS</t>
  </si>
  <si>
    <t>Factor</t>
  </si>
  <si>
    <t>TOTAL</t>
  </si>
  <si>
    <t>NON CURRENT INVESTMENTS</t>
  </si>
  <si>
    <t>(A) Inventories</t>
  </si>
  <si>
    <t>INVENTORIES</t>
  </si>
  <si>
    <t>Total</t>
  </si>
  <si>
    <t>(B) TRADE RECEIVABLES</t>
  </si>
  <si>
    <t>(C). CASH &amp; CASH EQUIVALAENTS</t>
  </si>
  <si>
    <t>Shareholder's Equity and Liabilities</t>
  </si>
  <si>
    <t>Authorised :</t>
  </si>
  <si>
    <t xml:space="preserve">Issued, Subscribed &amp; Paid up : </t>
  </si>
  <si>
    <t>(A) SHARE CAPITAL</t>
  </si>
  <si>
    <t>1. SHARE HOLDERS' FUNDS</t>
  </si>
  <si>
    <t>2. NON CURRENT LIABITIES</t>
  </si>
  <si>
    <t>LONG TERM BORROWINGS</t>
  </si>
  <si>
    <t>2. CURRENT LIABITIES</t>
  </si>
  <si>
    <t>Contingent Liabilities</t>
  </si>
  <si>
    <t>Total Adjustable Liabilities</t>
  </si>
  <si>
    <t>Adjusted NAV</t>
  </si>
  <si>
    <t>VIS (2022-23)-PL046-Q007-032-056</t>
  </si>
  <si>
    <t>Property, Plant and Equipment</t>
  </si>
  <si>
    <t>Other Intangible assets</t>
  </si>
  <si>
    <t>Capital Work in Progress</t>
  </si>
  <si>
    <t>Financial Assets</t>
  </si>
  <si>
    <t>Investments</t>
  </si>
  <si>
    <t>Other Non-current financial assets</t>
  </si>
  <si>
    <t>Deferred tax Asset (Net)</t>
  </si>
  <si>
    <t>Other non-current assets</t>
  </si>
  <si>
    <t>a</t>
  </si>
  <si>
    <t>b</t>
  </si>
  <si>
    <t>e</t>
  </si>
  <si>
    <t>c</t>
  </si>
  <si>
    <t>d</t>
  </si>
  <si>
    <t>f</t>
  </si>
  <si>
    <t>Total Non-Current Asset</t>
  </si>
  <si>
    <t>(i) Trade receivables</t>
  </si>
  <si>
    <t>(ii) Cash and cash equivalents</t>
  </si>
  <si>
    <t>(iii) Bank balances other than (ii) above</t>
  </si>
  <si>
    <t>(iv) Other current financial assets</t>
  </si>
  <si>
    <t>Current tax assets (Net)</t>
  </si>
  <si>
    <t>Other current assets</t>
  </si>
  <si>
    <t>Total Current Asset</t>
  </si>
  <si>
    <t>Equity &amp; Liabilities:</t>
  </si>
  <si>
    <t>Equity</t>
  </si>
  <si>
    <t>(a) Equity share capital</t>
  </si>
  <si>
    <t>(b) Other Equity</t>
  </si>
  <si>
    <t>Total Equity</t>
  </si>
  <si>
    <t>Liabilities</t>
  </si>
  <si>
    <t>(a) Financial Liabilities</t>
  </si>
  <si>
    <t>(i) Long term borrowings</t>
  </si>
  <si>
    <t>(ii) Other non-current financial liabilities</t>
  </si>
  <si>
    <t>(b) Long-term provisions</t>
  </si>
  <si>
    <t>(c) Deferred tax liabilities (Net)</t>
  </si>
  <si>
    <t>(d) Other non-current liabilities</t>
  </si>
  <si>
    <t>Total Non-current liabilities</t>
  </si>
  <si>
    <t>(ii) Trade payables</t>
  </si>
  <si>
    <t>(iii) Other current financial liabilities</t>
  </si>
  <si>
    <t>(b) Short term provisions</t>
  </si>
  <si>
    <t>(c) Other current liabilities</t>
  </si>
  <si>
    <t>Outstanding dues of Micro and Small Enterprises</t>
  </si>
  <si>
    <t>Outstanding dues of Others</t>
  </si>
  <si>
    <t>Total Liabilities</t>
  </si>
  <si>
    <t>Total Equity &amp; Liabilities</t>
  </si>
  <si>
    <t>Accumulated Depreciation</t>
  </si>
  <si>
    <t>Land</t>
  </si>
  <si>
    <t>Useful Life</t>
  </si>
  <si>
    <t>SLM Depreciation as per Companies Act</t>
  </si>
  <si>
    <t>Salvage Value</t>
  </si>
  <si>
    <t>3-60 Years</t>
  </si>
  <si>
    <t>Office Equipment</t>
  </si>
  <si>
    <t>Vehicles</t>
  </si>
  <si>
    <t>Net Block as on 31st March 2021</t>
  </si>
  <si>
    <t>Years</t>
  </si>
  <si>
    <t>Net Block as on 20th Oct 2024</t>
  </si>
  <si>
    <t>Building &amp; Civil Works</t>
  </si>
  <si>
    <t>Plant &amp; Machinery</t>
  </si>
  <si>
    <t>3-15 Years</t>
  </si>
  <si>
    <t>5 Years</t>
  </si>
  <si>
    <t>Furniture &amp; Fixture</t>
  </si>
  <si>
    <t>10 Years</t>
  </si>
  <si>
    <t>8-10 Years</t>
  </si>
  <si>
    <t>Computer &amp; Printers</t>
  </si>
  <si>
    <t>3-6 Years</t>
  </si>
  <si>
    <t>PP&amp;E (Net) as on 20th Oct 2024</t>
  </si>
  <si>
    <t>Other Intangible Assets (Computer Software)</t>
  </si>
  <si>
    <t>SLM Amortization as per Companies Act</t>
  </si>
  <si>
    <t>Value as per Audited Balance sheet as at 31.03.2021</t>
  </si>
  <si>
    <t>Fair Market Value as on 20th Oct 2024</t>
  </si>
  <si>
    <t>Factor to be considered</t>
  </si>
  <si>
    <t>M/s Kunal Structure (India) Private Limited</t>
  </si>
  <si>
    <t>Non Current Financial Assets</t>
  </si>
  <si>
    <t>Value as on 31st March 2021</t>
  </si>
  <si>
    <t>Unquoted</t>
  </si>
  <si>
    <t>CLASSIC NETWORK KSIPLJV</t>
  </si>
  <si>
    <t>KSIPL SACHIN JV</t>
  </si>
  <si>
    <t>MCL KSIPL Gurjanpalli (JV)</t>
  </si>
  <si>
    <t>5000 Equity Shares in Kunal BSBK JV Private Limited, of Rs, 10 fully paid up</t>
  </si>
  <si>
    <t xml:space="preserve">Investment In equity Instruments of Joint Ventures </t>
  </si>
  <si>
    <t>Quoted</t>
  </si>
  <si>
    <t>Investment In Mutual Funds measured at Fair Value Through Profit &amp; Loss</t>
  </si>
  <si>
    <t>1,00,000 units of SBI Dual Advantage Fund (G)</t>
  </si>
  <si>
    <t>97567.639 units of Union Corporate Fund Regular-Growth</t>
  </si>
  <si>
    <t>Data/Information regarding current status, net worth etc. of these investee companies/JV/Firms is not available and due to data limitation we can not assign any value to it.</t>
  </si>
  <si>
    <t>Other Non Current Financial Assets</t>
  </si>
  <si>
    <t>Security Deposits and monies retained by customers</t>
  </si>
  <si>
    <t>*Fixed Deposits - Maturing after 12 months of reporting date</t>
  </si>
  <si>
    <t>As per data/information available in audited balance sheet as on 31st March 2021,  Above fixed deposit made with banks given to customer as security and earnest money deposit or lien marked with bank for working capital facilities.
It has been 3.58 years  and due to data limitation regarding the current status of the fixed deposit made with bank by customers we can not assign any value to it at present.</t>
  </si>
  <si>
    <t>As per data/information available in audited balance sheet as on 31st March 2021, Security deposits and monies retained by customers include deposit of INR 146.36 lakhs of Rajkot Municiple Corporation againstcompany was in arbitration and the decision was given in the favour of company.
It has been 3.58 years since the decision was given. Due to data limitation regarding the current status of the security deposits and monies retained by customers we can not assign any value to it at present.</t>
  </si>
  <si>
    <t>Other Non Current Asset</t>
  </si>
  <si>
    <t>Security Deposit</t>
  </si>
  <si>
    <t>Prepaid expenses</t>
  </si>
  <si>
    <t>Advance for capital goods</t>
  </si>
  <si>
    <t>Due to lack of information regarding the bifurcation of balance sheet items and no information regarding their aging, marketability, terms &amp; conditions etc. The fair market value is determined as per the information provided by the client/company referring the provisional balance sheet as on 31st March 2022.</t>
  </si>
  <si>
    <t>Sr No</t>
  </si>
  <si>
    <t>BANK NAME</t>
  </si>
  <si>
    <t>FB</t>
  </si>
  <si>
    <t>NFB</t>
  </si>
  <si>
    <t>Total FB &amp; NFB Outstanding</t>
  </si>
  <si>
    <t>ICICI BANK</t>
  </si>
  <si>
    <t>IDFC BANK</t>
  </si>
  <si>
    <t>INDIAN BANK</t>
  </si>
  <si>
    <t>PUNJAB &amp; SINDH BANK</t>
  </si>
  <si>
    <t>STATE BANK OF INDIA</t>
  </si>
  <si>
    <t>UNION BANK OF INDIA</t>
  </si>
  <si>
    <t>AXIS BANK</t>
  </si>
  <si>
    <t>BANK OF BARODA</t>
  </si>
  <si>
    <t>BANK OF INDIA</t>
  </si>
  <si>
    <t>HDFC BANK</t>
  </si>
  <si>
    <t>IDBI BANK</t>
  </si>
  <si>
    <t>YES BANK</t>
  </si>
  <si>
    <t>Total :-</t>
  </si>
  <si>
    <t>    (Amount in Crores as on 31.07.2024)</t>
  </si>
  <si>
    <t>Construction Material</t>
  </si>
  <si>
    <t>Remarks</t>
  </si>
  <si>
    <t>As per stack statement dated 30th April 2022 shared by bank/client, Market value of inventory was INR 1601.98 lakhs which inculdes Raw material, Outstandin sundry creditors inaccess of level accepted in CMA, Store &amp; Spares, Stock-in-progress and finished goods etc.
we have considered to discount this value by an appropeiate factor to get the current FMV of stock after considering the various factors such as aging, detorioration etc. As mentioned in audited balance sheet as on t 31st March 2021, it seems that there is only construction material in inventory and no other bifurcation is availbale. It is to be noted that Construction material was hypothecated to bank against working capital facility at that time.</t>
  </si>
  <si>
    <t>Unsecured, considered good</t>
  </si>
  <si>
    <t>Allowance for expected credit loss</t>
  </si>
  <si>
    <t>(A) Cash and Cash Equivalents</t>
  </si>
  <si>
    <t>a) Balance with banks</t>
  </si>
  <si>
    <t>In Current Accounts</t>
  </si>
  <si>
    <t>In Credit Card Accounts</t>
  </si>
  <si>
    <t>In Cash Credit Accounts</t>
  </si>
  <si>
    <t>b) Cash on hand</t>
  </si>
  <si>
    <t>(B) Bank balances other than Cash and Cash equivalents</t>
  </si>
  <si>
    <t>Fixed Deposits - Maturing within 12 months from reporting date*</t>
  </si>
  <si>
    <t>Total (A)</t>
  </si>
  <si>
    <t>Total (B)</t>
  </si>
  <si>
    <t>(D) Other Financial Assets</t>
  </si>
  <si>
    <t>Loans &amp; Advances to Employees</t>
  </si>
  <si>
    <t>Other Interest Receivable</t>
  </si>
  <si>
    <t>(E) Current tax assets (Net)</t>
  </si>
  <si>
    <t>Current tax assets (Net of provisions for taxes)</t>
  </si>
  <si>
    <t>(F) Other current assets</t>
  </si>
  <si>
    <t>Balance with Government Authorities</t>
  </si>
  <si>
    <t>Advance to Suppliers</t>
  </si>
  <si>
    <t>Unbilled Revenue</t>
  </si>
  <si>
    <t>55,00,000 equity share capital of Rs. 10 Each</t>
  </si>
  <si>
    <t>50,30,000 equity share capital of Rs. 10 Each fuliv oaid up</t>
  </si>
  <si>
    <t>(B) Other Equity</t>
  </si>
  <si>
    <t>Retained earnings - Surplus of Profit and Loss</t>
  </si>
  <si>
    <t>Balance at the beginning of the year</t>
  </si>
  <si>
    <t>Profit attributable to owners of the Company</t>
  </si>
  <si>
    <t>Balance at the end of the year</t>
  </si>
  <si>
    <t>Other Comprehensive Income - Remeasurement of Defined Benefit</t>
  </si>
  <si>
    <t>Actuarial Gain / Loss on Defined Benefit Plans</t>
  </si>
  <si>
    <t>Securities Premium</t>
  </si>
  <si>
    <t>Addition / Utilisation during the year</t>
  </si>
  <si>
    <t>Total Other Equity</t>
  </si>
  <si>
    <t>(a)  Financial liabilities</t>
  </si>
  <si>
    <t>Secured Term loan from banks</t>
  </si>
  <si>
    <t>Secured Term loan from Others</t>
  </si>
  <si>
    <t>Unsecured Term loan from banks</t>
  </si>
  <si>
    <t>Less : Transaction costs in accordance with Ind AS 109</t>
  </si>
  <si>
    <t>Unsecured loans from related parties</t>
  </si>
  <si>
    <t>Unsecured Loans from Inter-Corporate</t>
  </si>
  <si>
    <t>(b)  Other Non current financial liabilities</t>
  </si>
  <si>
    <t>Security deposits and retention money</t>
  </si>
  <si>
    <t>(c)  Long term provisions</t>
  </si>
  <si>
    <t>Provision for Compensated Absences</t>
  </si>
  <si>
    <t>Secured borrowing from banks</t>
  </si>
  <si>
    <t>SHORT TERM BORROWINGS</t>
  </si>
  <si>
    <t>Secured borrowing from Others</t>
  </si>
  <si>
    <t>Unsecured borrowing from banks</t>
  </si>
  <si>
    <t>(i) Short term borrowings</t>
  </si>
  <si>
    <t>(b)  Trade Payable</t>
  </si>
  <si>
    <t>Outstanding Dues of Micro and Small Enterprises</t>
  </si>
  <si>
    <t xml:space="preserve">Outstanding Dues of Others than Micro and Small Enterprises </t>
  </si>
  <si>
    <t>(b)  Other current financial liabilities</t>
  </si>
  <si>
    <t>Current maturities of long term borrowings</t>
  </si>
  <si>
    <t>Secured</t>
  </si>
  <si>
    <t>Unsecured</t>
  </si>
  <si>
    <t>From Banks</t>
  </si>
  <si>
    <t>From Financial Institutions</t>
  </si>
  <si>
    <t>Less : Transaction Cost as per Ind AS 109</t>
  </si>
  <si>
    <t>Employee related dues</t>
  </si>
  <si>
    <t>Creditors for capital goods</t>
  </si>
  <si>
    <t>Interest Accrued but not due</t>
  </si>
  <si>
    <t>Contingent liabilities and commitments</t>
  </si>
  <si>
    <t>Prperty location</t>
  </si>
  <si>
    <t>Valuation Date</t>
  </si>
  <si>
    <t>FMV</t>
  </si>
  <si>
    <t>Surat</t>
  </si>
  <si>
    <t>    (30 Collateral Securities Value as on 10.10.2024)</t>
  </si>
  <si>
    <t>Daman</t>
  </si>
  <si>
    <t>Gandhinagar</t>
  </si>
  <si>
    <t>Rajkot</t>
  </si>
  <si>
    <t>Paiki</t>
  </si>
  <si>
    <t>As per data/information provided by bank/client.</t>
  </si>
  <si>
    <t>As per the latest property valuation report provided by bank/client.</t>
  </si>
  <si>
    <t>1010, 10th Floor, Shilp Epitome, B/s. Infostrech, Behind Rajpath Club Road, , Ahmadabad City, Gujarat, India - 380054.</t>
  </si>
  <si>
    <t>Kunal Structure (India) Private Limitedwas incorporated in April 2006. The Company came into existence on conversion of  partnership firm  M/s.  Kunal  Construction  (1992).The  firm  was  promoted  mainly  to  act  as  a  civil  contractor  to undertake  various  engineering  works  related  to  infrastructure  development  like  roads,  canals,  bridges,  building  works, pipe  line  &amp;  water  supply,  storm  drainage  works,etc. It  also  worked  as  contractorfor civil  works  like  construction  of housing  societies,  hospitals,etc.  on  behalf  of  the  Government.The  company  is  promoted by  Mr.  ArvindDomadia  and Mr. Kunal Domadia and is based out of Rajkot, Gujarat.</t>
  </si>
  <si>
    <t>Historical Performance of the Company</t>
  </si>
  <si>
    <t>31st March 2020</t>
  </si>
  <si>
    <t>31st March 2021</t>
  </si>
  <si>
    <t>Particular</t>
  </si>
  <si>
    <t>Revenue</t>
  </si>
  <si>
    <t>Revenue from Operations</t>
  </si>
  <si>
    <t>Other Income</t>
  </si>
  <si>
    <t>Total Income</t>
  </si>
  <si>
    <t>Expenses</t>
  </si>
  <si>
    <t>Construction Expenses</t>
  </si>
  <si>
    <t>Employee Benefits Expense</t>
  </si>
  <si>
    <t>Finance costs</t>
  </si>
  <si>
    <t>Depreciation and Amortization Expenses</t>
  </si>
  <si>
    <t>Other Expenses</t>
  </si>
  <si>
    <t>Total Expenses</t>
  </si>
  <si>
    <t>Profit Before Tax</t>
  </si>
  <si>
    <t>Tax expense:</t>
  </si>
  <si>
    <t>Current Tax</t>
  </si>
  <si>
    <t>(Excess) / Short provision of earlier periods</t>
  </si>
  <si>
    <t>Deferred Tax</t>
  </si>
  <si>
    <t>Profit/Loss After Tax</t>
  </si>
  <si>
    <t>EBITDA</t>
  </si>
  <si>
    <t>EBIT</t>
  </si>
  <si>
    <t>PAT</t>
  </si>
  <si>
    <t>EBITDA Margin %</t>
  </si>
  <si>
    <t>EBIT Margin %</t>
  </si>
  <si>
    <t>PAT Margin %</t>
  </si>
  <si>
    <t>Revenue Growth rate %</t>
  </si>
  <si>
    <t>State Bank of India, Stressed Assets Management Branch, Ahmedabad, 2nd Floor, Paramsiddhi Complex, Opp. VS Hospital, Ellisbridge | Ahmedabad - 380006</t>
  </si>
  <si>
    <t>Kunal Structure (I) Private Limited (previously known as Kunal Construction Company) was established by Mr. Arvind Domadia (Chairman) on 1st April 1992.</t>
  </si>
  <si>
    <t>The captioned account is under consortium arragement led by SBI. Credit facilities availed by captioned unit are NPA.</t>
  </si>
  <si>
    <t>Valuations of collateral securities which already mortgaged to the Banks will not be part of scope of work.</t>
  </si>
  <si>
    <t>Kunal Structure (india) Private Limited is a Private company incorporated on 05 April 2006. It is classified as Non-government company and is registered at Registrar of Companies, Ahmedabad. Its authorized share capital is Rs. 55,000,000 and its paid up capital is Rs. 50,300,000. It's NIC code is 452 (which is part of its CIN). As per the NIC code, it is inolved in Building of complete constructions or parts thereof; civil engineering. Kunal Structure (india)'s Annual General Meeting (AGM) was last held on N/A and as per records from Ministry of Corporate Affairs (MCA), its balance sheet was last filed on 31 March 2021. Directors of Kunal Structure (india) are ARVINDBHAI AMRUTLAL DOMADIA and KUNAL ARVINDBHAI DOMADIA. Kunal Structure (india)'s Corporate Identification Number (CIN) is U45200GJ2006PTC048080 and its registration number is 48080. Users may contact Kunal Structure (india) on its Email address - roc@kunalsipl.com. Registered address of Kunal Structure (india) is 1010, 10th Floor, Shilp Epitome, B/s. Infostrech, Behind Rajpath Club Road, , Ahmadabad City, Gujarat, India - 380054. Current status of Kunal Structure (india) Private Limited is - Active.</t>
  </si>
  <si>
    <t>Authorized, Issued, Subscribed &amp; Paid up Share Capital</t>
  </si>
  <si>
    <t>Particulars</t>
  </si>
  <si>
    <t>As at March 31, 2021</t>
  </si>
  <si>
    <t>As at March 31, 2020</t>
  </si>
  <si>
    <t>55,00,000 equity share capital of Rs.lO Each</t>
  </si>
  <si>
    <t>Issued, Subscribed &amp; fully Paid u d :</t>
  </si>
  <si>
    <t>Authorised:</t>
  </si>
  <si>
    <t>50,30,000 equity share capital of Rs.lO Each fully paid up</t>
  </si>
  <si>
    <t xml:space="preserve">The Company has only one class of equity shares having a par value of Rs. 10 per share. Each holder of equity shares is entitled for one vote per share. In the event of liquidation of the Company, the holders of the equity shares will be entitled to receive remaining assets of the company after distribution to all prefrencial amount if any. The distribution will be in the propostion to the number of equity shares held by the shareholders. </t>
  </si>
  <si>
    <t>Share with voting right held by each share holder holding more than 5% equity shares of the company:</t>
  </si>
  <si>
    <t>Arvindbhai Amrutlal Domadia</t>
  </si>
  <si>
    <t>Kunal Arvindbhai Domadia</t>
  </si>
  <si>
    <t>Shantamrut Infrastructure Pvt Ltd</t>
  </si>
  <si>
    <t>With a 37% increase in the current fiscal year, capital expenditures (capex) are on the rise, which bolsters ongoing infrastructure development and fits with 2027 goals for India's economic growth to become a US$ 5 trillion economy. In order to anticipate private sector investment and to address employment and consumption in rural India, the budget places a strong emphasis on the development of roads, shipping, and railways.
Global investment and partnerships in infrastructure, such as the India-Japan forum for development in the Northeast are also indicative of more investments. These initiatives come at a momentous juncture as the country aims for self-reliance in future-ready and sustainable critical infrastructure.India, it is estimated, needs to invest US$ 840 billion over the next 15 years into urban infrastructure to meet the needs of its fast-growing population. This investment will only be rational as well as sustainable, if we additionally focus on long-term maintenance and strength of our buildings, bridges, ports, and airports.
As a result of digitalisation and opportunities that tier II and III cities present for economic growth, the divide between metro and non-metros is blurring, moving to the new era of infrastructure growth. Commercial real estate properties have witnessed exponential growth in demand across Tier II &amp; III cities as Information technology and Information technology enabled services and banking financial services and insurance focused organizations are increasingly decentralizing their operations to adapt to the new normal.
The residential sector has witnessed good sales, and launches have also shown signs of an uptick during 2022, total sales in the top-7 cities was projected to exceed 360,000 units in 2022.
Civil Aviation Ministry’s “Vision 2040” report states that there will be 190-200 functioning airports in India by 2040. Delhi and Mumbai will have three international airports each, while top 31 Indian cities will have two operational airports each.
220 destinations (airports/heliports/water aerodromes) under UDAN are targeted to be completed by 2026 with 1000 routes to provide air connectivity to unconnected destinations in India.
India's Infrastructure forms an integral part of the country's economic ecosystem. There has been a significant shift in the industry that is leading to the development of world-class facilities across the country in the areas of roads, waterways, railways, airports, and ports, among others. The country-wide smart cities programmes have proven to be industry game-changers. Given its critical role in the growth of the nation, the infrastructure sector has experienced a tremendous boom because of India's necessity and desire for rapid development. The expansion has been aided by urbanisation and an increase in foreign investment in the sector.
The infrastructure sector has become the biggest focus area for the Government of India. India's GDP is expected to grow by 8% over the next three fiscal years, one of the quickest rates among major, developing economies, according to S&amp;P Global Ratings. India and Japan have joined hands for infrastructure development in India's Northeast states and are also setting up an India-Japan Coordination Forum for development of Northeast to undertake strategic infrastructure projects for the region.
India being a developing nation is set to take full advantage of the opportunity for the expansion of the infrastructure sector, and it is reasonable to conclude that India's infrastructure has a bright future ahead of it.</t>
  </si>
  <si>
    <t>RVV</t>
  </si>
  <si>
    <t>Gross Block as on 31st March 2021</t>
  </si>
  <si>
    <t>Thus the adjusted NAV of the Company is considered as a proxy of Enterprise Valuation of the company. Hence EV of the company is INR 89.78 Cr. As on 22nd Oct 2024. It is to be noted here that the valuation is done based on the latest audited Balance sheet available dated 31st March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</si>
</sst>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 #,##0_ ;_ * \-#,##0_ ;_ * &quot;-&quot;??_ ;_ @_ "/>
    <numFmt numFmtId="165" formatCode="0.000"/>
    <numFmt numFmtId="166" formatCode="&quot;INR&quot;\ 0.00\ &quot;Cr.&quot;"/>
  </numFmts>
  <fonts count="20" x14ac:knownFonts="1">
    <font>
      <sz val="11"/>
      <color theme="1"/>
      <name val="Calibri"/>
      <family val="2"/>
      <scheme val="minor"/>
    </font>
    <font>
      <b/>
      <sz val="11"/>
      <color theme="0"/>
      <name val="Calibri"/>
      <family val="2"/>
      <scheme val="minor"/>
    </font>
    <font>
      <b/>
      <sz val="11"/>
      <color theme="1"/>
      <name val="Calibri"/>
      <family val="2"/>
      <scheme val="minor"/>
    </font>
    <font>
      <b/>
      <sz val="14"/>
      <color rgb="FFC00000"/>
      <name val="Calibri"/>
      <family val="2"/>
      <scheme val="minor"/>
    </font>
    <font>
      <b/>
      <sz val="13"/>
      <color theme="1"/>
      <name val="Calibri"/>
      <family val="2"/>
      <scheme val="minor"/>
    </font>
    <font>
      <sz val="11"/>
      <color theme="0"/>
      <name val="Calibri"/>
      <family val="2"/>
      <scheme val="minor"/>
    </font>
    <font>
      <b/>
      <sz val="12"/>
      <color theme="0"/>
      <name val="Calibri"/>
      <family val="2"/>
      <scheme val="minor"/>
    </font>
    <font>
      <b/>
      <sz val="11"/>
      <color rgb="FFC00000"/>
      <name val="Calibri"/>
      <family val="2"/>
      <scheme val="minor"/>
    </font>
    <font>
      <b/>
      <sz val="12"/>
      <color rgb="FFC00000"/>
      <name val="Calibri"/>
      <family val="2"/>
      <scheme val="minor"/>
    </font>
    <font>
      <b/>
      <u/>
      <sz val="11"/>
      <name val="Verdana"/>
      <family val="2"/>
    </font>
    <font>
      <sz val="11"/>
      <color theme="1"/>
      <name val="Calibri"/>
      <family val="2"/>
      <scheme val="minor"/>
    </font>
    <font>
      <b/>
      <u/>
      <sz val="11"/>
      <color theme="0"/>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9"/>
      <color indexed="81"/>
      <name val="Tahoma"/>
      <family val="2"/>
    </font>
    <font>
      <b/>
      <sz val="9"/>
      <color indexed="81"/>
      <name val="Tahoma"/>
      <family val="2"/>
    </font>
    <font>
      <b/>
      <i/>
      <sz val="11"/>
      <color theme="1"/>
      <name val="Calibri"/>
      <family val="2"/>
      <scheme val="minor"/>
    </font>
    <font>
      <b/>
      <sz val="14"/>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s>
  <borders count="17">
    <border>
      <left/>
      <right/>
      <top/>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123">
    <xf numFmtId="0" fontId="0" fillId="0" borderId="0" xfId="0"/>
    <xf numFmtId="0" fontId="1" fillId="2" borderId="0" xfId="0" applyFont="1" applyFill="1"/>
    <xf numFmtId="0" fontId="1" fillId="2" borderId="0" xfId="0" applyFont="1" applyFill="1" applyAlignment="1">
      <alignment vertical="center"/>
    </xf>
    <xf numFmtId="0" fontId="2" fillId="0" borderId="0" xfId="0" applyFont="1"/>
    <xf numFmtId="2" fontId="0" fillId="0" borderId="0" xfId="0" applyNumberFormat="1" applyAlignment="1">
      <alignment horizontal="center" vertical="center"/>
    </xf>
    <xf numFmtId="0" fontId="0" fillId="0" borderId="0" xfId="0" applyAlignment="1">
      <alignment horizontal="left" indent="2"/>
    </xf>
    <xf numFmtId="2" fontId="2" fillId="0" borderId="0" xfId="0" applyNumberFormat="1" applyFont="1" applyAlignment="1">
      <alignment horizontal="center" vertical="center"/>
    </xf>
    <xf numFmtId="0" fontId="2" fillId="0" borderId="0" xfId="0" applyFont="1" applyAlignment="1">
      <alignment vertical="center"/>
    </xf>
    <xf numFmtId="2" fontId="2" fillId="0" borderId="1" xfId="0" applyNumberFormat="1" applyFont="1" applyBorder="1" applyAlignment="1">
      <alignment horizontal="center" vertical="center"/>
    </xf>
    <xf numFmtId="0" fontId="1" fillId="2" borderId="0" xfId="0" applyFont="1" applyFill="1" applyAlignment="1">
      <alignment horizontal="center"/>
    </xf>
    <xf numFmtId="0" fontId="1" fillId="2" borderId="0" xfId="0" applyFont="1" applyFill="1" applyAlignment="1">
      <alignment horizontal="center" vertical="center"/>
    </xf>
    <xf numFmtId="0" fontId="3" fillId="3" borderId="0" xfId="0" applyFont="1" applyFill="1" applyAlignment="1">
      <alignment vertical="center"/>
    </xf>
    <xf numFmtId="0" fontId="6" fillId="2" borderId="0" xfId="0" applyFont="1" applyFill="1" applyAlignment="1">
      <alignment vertical="center"/>
    </xf>
    <xf numFmtId="0" fontId="1" fillId="2" borderId="0" xfId="0" applyFont="1" applyFill="1" applyAlignment="1">
      <alignment horizontal="center" vertical="center" wrapText="1"/>
    </xf>
    <xf numFmtId="0" fontId="2" fillId="0" borderId="0" xfId="0" applyFont="1" applyAlignment="1">
      <alignment horizontal="left" indent="2"/>
    </xf>
    <xf numFmtId="0" fontId="2" fillId="0" borderId="1" xfId="0" applyFont="1" applyBorder="1" applyAlignment="1">
      <alignment vertical="center"/>
    </xf>
    <xf numFmtId="0" fontId="7" fillId="3" borderId="0" xfId="0" applyFont="1" applyFill="1"/>
    <xf numFmtId="0" fontId="8" fillId="3"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left" vertical="center" indent="1"/>
    </xf>
    <xf numFmtId="0" fontId="1" fillId="2" borderId="1" xfId="0" applyFont="1" applyFill="1" applyBorder="1" applyAlignment="1">
      <alignment vertical="center"/>
    </xf>
    <xf numFmtId="2" fontId="1" fillId="2" borderId="1" xfId="0" applyNumberFormat="1" applyFont="1" applyFill="1" applyBorder="1" applyAlignment="1">
      <alignment horizontal="center" vertical="center"/>
    </xf>
    <xf numFmtId="0" fontId="5" fillId="2" borderId="1" xfId="0" applyFont="1" applyFill="1" applyBorder="1"/>
    <xf numFmtId="9" fontId="0" fillId="0" borderId="0" xfId="0" applyNumberFormat="1" applyAlignment="1">
      <alignment horizontal="center" vertical="center"/>
    </xf>
    <xf numFmtId="0" fontId="5" fillId="2" borderId="1" xfId="0" applyFont="1" applyFill="1" applyBorder="1" applyAlignment="1">
      <alignment horizontal="center" vertical="center"/>
    </xf>
    <xf numFmtId="2" fontId="0" fillId="0" borderId="0" xfId="0" applyNumberFormat="1" applyFont="1" applyAlignment="1">
      <alignment horizontal="center"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9" fillId="4" borderId="0" xfId="0" applyFont="1" applyFill="1" applyBorder="1"/>
    <xf numFmtId="0" fontId="0" fillId="0" borderId="0" xfId="0" applyAlignment="1">
      <alignment horizontal="left" wrapText="1" indent="2"/>
    </xf>
    <xf numFmtId="0" fontId="0" fillId="0" borderId="0" xfId="0" applyAlignment="1">
      <alignment horizontal="left" indent="3"/>
    </xf>
    <xf numFmtId="0" fontId="2" fillId="0" borderId="0" xfId="0" applyFont="1" applyBorder="1" applyAlignment="1">
      <alignment horizontal="center" vertical="center"/>
    </xf>
    <xf numFmtId="2"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0" fontId="2" fillId="0" borderId="0" xfId="0" applyFont="1" applyAlignment="1">
      <alignment horizontal="left" vertical="center" indent="2"/>
    </xf>
    <xf numFmtId="0" fontId="2" fillId="0" borderId="0" xfId="0" applyFont="1" applyAlignment="1">
      <alignment horizontal="left" vertical="center" indent="3"/>
    </xf>
    <xf numFmtId="0" fontId="0" fillId="0" borderId="0" xfId="0" applyAlignment="1">
      <alignment horizontal="left" indent="4"/>
    </xf>
    <xf numFmtId="0" fontId="2" fillId="0" borderId="0" xfId="0" applyFont="1" applyAlignment="1">
      <alignment horizontal="left" indent="5"/>
    </xf>
    <xf numFmtId="0" fontId="0" fillId="0" borderId="0" xfId="0" applyAlignment="1">
      <alignment horizontal="left" indent="6"/>
    </xf>
    <xf numFmtId="0" fontId="2" fillId="0" borderId="1" xfId="0" applyFont="1" applyBorder="1" applyAlignment="1">
      <alignment horizontal="left" vertical="center"/>
    </xf>
    <xf numFmtId="4" fontId="2" fillId="0" borderId="1" xfId="0" applyNumberFormat="1"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7" fillId="3" borderId="0" xfId="0" applyFont="1" applyFill="1" applyAlignment="1">
      <alignment vertical="center"/>
    </xf>
    <xf numFmtId="0" fontId="0" fillId="0" borderId="0" xfId="0" applyAlignment="1">
      <alignment horizontal="left" vertical="center"/>
    </xf>
    <xf numFmtId="0" fontId="0"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9" fontId="0" fillId="0" borderId="0" xfId="0" applyNumberFormat="1" applyBorder="1" applyAlignment="1">
      <alignment horizontal="center" vertical="center"/>
    </xf>
    <xf numFmtId="0" fontId="0" fillId="0" borderId="0" xfId="0" applyBorder="1" applyAlignment="1">
      <alignment horizontal="center" vertical="center"/>
    </xf>
    <xf numFmtId="10" fontId="0" fillId="0" borderId="0" xfId="2" applyNumberFormat="1" applyFont="1" applyBorder="1" applyAlignment="1">
      <alignment horizontal="center" vertical="center"/>
    </xf>
    <xf numFmtId="0" fontId="11" fillId="2" borderId="0" xfId="0" applyFont="1" applyFill="1" applyAlignment="1">
      <alignment vertical="center"/>
    </xf>
    <xf numFmtId="0" fontId="12" fillId="5" borderId="1" xfId="0" applyFont="1" applyFill="1" applyBorder="1" applyAlignment="1">
      <alignment vertical="center"/>
    </xf>
    <xf numFmtId="2" fontId="12" fillId="5" borderId="1" xfId="0" applyNumberFormat="1" applyFont="1" applyFill="1" applyBorder="1" applyAlignment="1">
      <alignment horizontal="center" vertical="center"/>
    </xf>
    <xf numFmtId="0" fontId="12" fillId="5" borderId="1" xfId="0" applyFont="1" applyFill="1" applyBorder="1"/>
    <xf numFmtId="0" fontId="12" fillId="5" borderId="1"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9" fontId="12" fillId="5" borderId="1" xfId="0" applyNumberFormat="1" applyFont="1" applyFill="1" applyBorder="1"/>
    <xf numFmtId="0" fontId="0" fillId="0" borderId="0" xfId="0" applyFont="1" applyAlignment="1">
      <alignment vertical="center" wrapText="1"/>
    </xf>
    <xf numFmtId="164" fontId="0" fillId="0" borderId="0" xfId="1" applyNumberFormat="1" applyFont="1" applyAlignment="1">
      <alignment vertical="center"/>
    </xf>
    <xf numFmtId="0" fontId="4" fillId="0" borderId="0" xfId="0" applyFont="1" applyAlignment="1">
      <alignment vertical="center"/>
    </xf>
    <xf numFmtId="4" fontId="0" fillId="0" borderId="0" xfId="0" applyNumberFormat="1" applyAlignment="1">
      <alignment horizontal="center" vertical="center"/>
    </xf>
    <xf numFmtId="0" fontId="0" fillId="0" borderId="0" xfId="0" applyFont="1" applyAlignment="1">
      <alignment horizontal="left" vertical="center"/>
    </xf>
    <xf numFmtId="0" fontId="0" fillId="0" borderId="0" xfId="0" applyAlignment="1">
      <alignment horizontal="center"/>
    </xf>
    <xf numFmtId="0" fontId="13" fillId="0" borderId="6" xfId="0" applyFont="1" applyBorder="1" applyAlignment="1">
      <alignment vertical="center"/>
    </xf>
    <xf numFmtId="0" fontId="14" fillId="5" borderId="6" xfId="0" applyFont="1" applyFill="1" applyBorder="1" applyAlignment="1">
      <alignment horizontal="left" vertical="center"/>
    </xf>
    <xf numFmtId="0" fontId="14" fillId="5" borderId="5" xfId="0" applyFont="1" applyFill="1" applyBorder="1" applyAlignment="1">
      <alignment horizontal="center" vertical="center"/>
    </xf>
    <xf numFmtId="2" fontId="13" fillId="0" borderId="6" xfId="0" applyNumberFormat="1" applyFont="1" applyBorder="1" applyAlignment="1">
      <alignment horizontal="center" vertical="center"/>
    </xf>
    <xf numFmtId="2" fontId="14" fillId="5" borderId="6" xfId="0" applyNumberFormat="1" applyFont="1" applyFill="1" applyBorder="1" applyAlignment="1">
      <alignment horizontal="center" vertical="center"/>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0" fillId="0" borderId="0" xfId="0" applyAlignment="1">
      <alignment horizontal="left" wrapText="1" indent="4"/>
    </xf>
    <xf numFmtId="0" fontId="0" fillId="0" borderId="0" xfId="0" applyAlignment="1">
      <alignment horizontal="left" wrapText="1" indent="3"/>
    </xf>
    <xf numFmtId="0" fontId="2" fillId="0" borderId="0" xfId="0" applyFont="1" applyAlignment="1">
      <alignment horizontal="left" wrapText="1" indent="4"/>
    </xf>
    <xf numFmtId="0" fontId="0" fillId="0" borderId="0" xfId="0" applyAlignment="1">
      <alignment horizontal="left" indent="1"/>
    </xf>
    <xf numFmtId="0" fontId="2" fillId="0" borderId="0" xfId="0" applyFont="1" applyAlignment="1">
      <alignment horizontal="left" indent="6"/>
    </xf>
    <xf numFmtId="165" fontId="0" fillId="0" borderId="0" xfId="0" applyNumberFormat="1" applyAlignment="1">
      <alignment horizontal="center" vertical="center"/>
    </xf>
    <xf numFmtId="0" fontId="0" fillId="0" borderId="0" xfId="0" applyAlignment="1">
      <alignment horizontal="left" vertical="center" indent="2"/>
    </xf>
    <xf numFmtId="0" fontId="0" fillId="0" borderId="0" xfId="0" applyAlignment="1">
      <alignment horizontal="left" wrapText="1" indent="6"/>
    </xf>
    <xf numFmtId="0" fontId="0" fillId="0" borderId="0" xfId="0" applyAlignment="1">
      <alignment horizontal="left" wrapText="1" indent="7"/>
    </xf>
    <xf numFmtId="166" fontId="1" fillId="2" borderId="0" xfId="0" applyNumberFormat="1" applyFont="1" applyFill="1" applyAlignment="1">
      <alignment horizontal="center" vertical="center"/>
    </xf>
    <xf numFmtId="14" fontId="13" fillId="0" borderId="6" xfId="0" applyNumberFormat="1" applyFont="1" applyBorder="1" applyAlignment="1">
      <alignment horizontal="center" vertical="center"/>
    </xf>
    <xf numFmtId="164" fontId="13" fillId="0" borderId="6" xfId="1" applyNumberFormat="1" applyFont="1" applyBorder="1" applyAlignment="1">
      <alignment horizontal="center" vertical="center"/>
    </xf>
    <xf numFmtId="0" fontId="13" fillId="0" borderId="6" xfId="0" applyFont="1" applyBorder="1" applyAlignment="1">
      <alignment horizontal="center" vertical="center"/>
    </xf>
    <xf numFmtId="164" fontId="14" fillId="5" borderId="6" xfId="1" applyNumberFormat="1" applyFont="1" applyFill="1" applyBorder="1" applyAlignment="1">
      <alignment vertical="center"/>
    </xf>
    <xf numFmtId="0" fontId="14" fillId="5" borderId="8" xfId="0" applyFont="1" applyFill="1" applyBorder="1" applyAlignment="1">
      <alignment horizontal="center" vertical="center"/>
    </xf>
    <xf numFmtId="0" fontId="14" fillId="5" borderId="9" xfId="0" applyFont="1" applyFill="1" applyBorder="1" applyAlignment="1">
      <alignment horizontal="left" vertical="center"/>
    </xf>
    <xf numFmtId="2" fontId="14" fillId="5" borderId="9" xfId="0" applyNumberFormat="1" applyFont="1" applyFill="1" applyBorder="1" applyAlignment="1">
      <alignment horizontal="center" vertical="center"/>
    </xf>
    <xf numFmtId="166" fontId="1" fillId="2" borderId="0" xfId="1" applyNumberFormat="1" applyFont="1" applyFill="1" applyAlignment="1">
      <alignment vertical="center"/>
    </xf>
    <xf numFmtId="0" fontId="19" fillId="0" borderId="0" xfId="0" applyFont="1" applyAlignment="1">
      <alignment vertical="center"/>
    </xf>
    <xf numFmtId="4" fontId="0" fillId="0" borderId="0" xfId="0" applyNumberFormat="1" applyAlignment="1">
      <alignment vertical="center"/>
    </xf>
    <xf numFmtId="4" fontId="2" fillId="0" borderId="1" xfId="0" applyNumberFormat="1" applyFont="1" applyBorder="1" applyAlignment="1">
      <alignment vertical="center"/>
    </xf>
    <xf numFmtId="4" fontId="0" fillId="0" borderId="0" xfId="0" applyNumberFormat="1" applyAlignment="1">
      <alignment horizontal="right" vertical="center"/>
    </xf>
    <xf numFmtId="0" fontId="0" fillId="0" borderId="0" xfId="0" applyAlignment="1">
      <alignment horizontal="right" vertical="center"/>
    </xf>
    <xf numFmtId="0" fontId="1" fillId="2" borderId="0" xfId="0" applyFont="1" applyFill="1" applyAlignment="1">
      <alignment horizontal="right" vertical="center"/>
    </xf>
    <xf numFmtId="43" fontId="2" fillId="0" borderId="1" xfId="1" applyFont="1" applyBorder="1" applyAlignment="1">
      <alignment vertical="center"/>
    </xf>
    <xf numFmtId="43" fontId="2" fillId="0" borderId="1" xfId="1" applyNumberFormat="1" applyFont="1" applyBorder="1" applyAlignment="1">
      <alignment vertical="center"/>
    </xf>
    <xf numFmtId="2" fontId="0" fillId="0" borderId="0" xfId="0" applyNumberFormat="1" applyAlignment="1">
      <alignment vertical="center"/>
    </xf>
    <xf numFmtId="10" fontId="0" fillId="0" borderId="0" xfId="2" applyNumberFormat="1" applyFont="1" applyAlignment="1">
      <alignment vertical="center"/>
    </xf>
    <xf numFmtId="0" fontId="5" fillId="0" borderId="0" xfId="0" applyFont="1" applyAlignment="1">
      <alignment vertical="center"/>
    </xf>
    <xf numFmtId="3" fontId="0" fillId="0" borderId="0" xfId="0" applyNumberFormat="1"/>
    <xf numFmtId="10" fontId="0" fillId="0" borderId="0" xfId="0" applyNumberFormat="1"/>
    <xf numFmtId="0" fontId="0" fillId="0" borderId="0" xfId="0" applyAlignment="1">
      <alignment wrapText="1"/>
    </xf>
    <xf numFmtId="2" fontId="0" fillId="0" borderId="0" xfId="0" applyNumberFormat="1" applyFont="1" applyAlignment="1">
      <alignment vertical="center"/>
    </xf>
    <xf numFmtId="0" fontId="1" fillId="2" borderId="7" xfId="0" applyFont="1" applyFill="1" applyBorder="1" applyAlignment="1">
      <alignment vertical="center"/>
    </xf>
    <xf numFmtId="2" fontId="0" fillId="0" borderId="0" xfId="0" applyNumberFormat="1" applyAlignment="1">
      <alignment horizontal="center"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6"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1" fillId="2" borderId="7" xfId="0" applyFont="1" applyFill="1" applyBorder="1" applyAlignment="1">
      <alignment horizontal="center" vertical="center"/>
    </xf>
    <xf numFmtId="0" fontId="17" fillId="0" borderId="10" xfId="0" applyFont="1" applyBorder="1" applyAlignment="1">
      <alignment horizontal="right" vertical="center"/>
    </xf>
    <xf numFmtId="0" fontId="17" fillId="0" borderId="1" xfId="0" applyFont="1" applyBorder="1" applyAlignment="1">
      <alignment horizontal="right" vertical="center"/>
    </xf>
    <xf numFmtId="0" fontId="17" fillId="0" borderId="11" xfId="0" applyFont="1" applyBorder="1" applyAlignment="1">
      <alignment horizontal="right" vertical="center"/>
    </xf>
    <xf numFmtId="0" fontId="1" fillId="2" borderId="7" xfId="0" applyFont="1" applyFill="1" applyBorder="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100" b="1" i="0" u="none" strike="noStrike" kern="1200" cap="none" spc="50" normalizeH="0" baseline="0">
                <a:solidFill>
                  <a:schemeClr val="bg1"/>
                </a:solidFill>
                <a:latin typeface="+mn-lt"/>
                <a:ea typeface="+mj-ea"/>
                <a:cs typeface="+mj-cs"/>
              </a:defRPr>
            </a:pPr>
            <a:r>
              <a:rPr lang="en-IN" sz="1100" b="1">
                <a:latin typeface="+mn-lt"/>
              </a:rPr>
              <a:t>Historical Performance</a:t>
            </a:r>
          </a:p>
        </c:rich>
      </c:tx>
      <c:layout>
        <c:manualLayout>
          <c:xMode val="edge"/>
          <c:yMode val="edge"/>
          <c:x val="0.33489647127442401"/>
          <c:y val="4.1666666666666664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cap="none" spc="50" normalizeH="0" baseline="0">
              <a:solidFill>
                <a:schemeClr val="bg1"/>
              </a:solidFill>
              <a:latin typeface="+mn-lt"/>
              <a:ea typeface="+mj-ea"/>
              <a:cs typeface="+mj-cs"/>
            </a:defRPr>
          </a:pPr>
          <a:endParaRPr lang="en-US"/>
        </a:p>
      </c:txPr>
    </c:title>
    <c:autoTitleDeleted val="0"/>
    <c:plotArea>
      <c:layout/>
      <c:barChart>
        <c:barDir val="col"/>
        <c:grouping val="clustered"/>
        <c:varyColors val="0"/>
        <c:ser>
          <c:idx val="1"/>
          <c:order val="1"/>
          <c:tx>
            <c:strRef>
              <c:f>'Historical Performance'!$D$6:$D$8</c:f>
              <c:strCache>
                <c:ptCount val="3"/>
                <c:pt idx="0">
                  <c:v>31st March 2020</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'Historical Performance'!$B$37:$B$39</c:f>
              <c:strCache>
                <c:ptCount val="3"/>
                <c:pt idx="0">
                  <c:v>EBITDA Margin %</c:v>
                </c:pt>
                <c:pt idx="1">
                  <c:v>EBIT Margin %</c:v>
                </c:pt>
                <c:pt idx="2">
                  <c:v>PAT Margin %</c:v>
                </c:pt>
              </c:strCache>
            </c:strRef>
          </c:cat>
          <c:val>
            <c:numRef>
              <c:f>'Historical Performance'!$D$37:$D$39</c:f>
              <c:numCache>
                <c:formatCode>0.00%</c:formatCode>
                <c:ptCount val="3"/>
                <c:pt idx="0">
                  <c:v>3.7815080293832112E-2</c:v>
                </c:pt>
                <c:pt idx="1">
                  <c:v>1.4577490320317663E-2</c:v>
                </c:pt>
                <c:pt idx="2">
                  <c:v>3.1265498495128663E-2</c:v>
                </c:pt>
              </c:numCache>
            </c:numRef>
          </c:val>
        </c:ser>
        <c:ser>
          <c:idx val="2"/>
          <c:order val="2"/>
          <c:tx>
            <c:strRef>
              <c:f>'Historical Performance'!$E$6:$E$8</c:f>
              <c:strCache>
                <c:ptCount val="3"/>
                <c:pt idx="0">
                  <c:v>31st March 2021</c:v>
                </c:pt>
              </c:strCache>
            </c:strRef>
          </c:tx>
          <c:spPr>
            <a:solidFill>
              <a:schemeClr val="accent1">
                <a:tint val="65000"/>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'Historical Performance'!$B$37:$B$39</c:f>
              <c:strCache>
                <c:ptCount val="3"/>
                <c:pt idx="0">
                  <c:v>EBITDA Margin %</c:v>
                </c:pt>
                <c:pt idx="1">
                  <c:v>EBIT Margin %</c:v>
                </c:pt>
                <c:pt idx="2">
                  <c:v>PAT Margin %</c:v>
                </c:pt>
              </c:strCache>
            </c:strRef>
          </c:cat>
          <c:val>
            <c:numRef>
              <c:f>'Historical Performance'!$E$37:$E$39</c:f>
              <c:numCache>
                <c:formatCode>0.00%</c:formatCode>
                <c:ptCount val="3"/>
                <c:pt idx="0">
                  <c:v>-9.9973887106646481E-2</c:v>
                </c:pt>
                <c:pt idx="1">
                  <c:v>-0.13442157608225616</c:v>
                </c:pt>
                <c:pt idx="2">
                  <c:v>-7.2160239512057217E-2</c:v>
                </c:pt>
              </c:numCache>
            </c:numRef>
          </c:val>
        </c:ser>
        <c:dLbls>
          <c:dLblPos val="outEnd"/>
          <c:showLegendKey val="0"/>
          <c:showVal val="1"/>
          <c:showCatName val="0"/>
          <c:showSerName val="0"/>
          <c:showPercent val="0"/>
          <c:showBubbleSize val="0"/>
        </c:dLbls>
        <c:gapWidth val="80"/>
        <c:overlap val="25"/>
        <c:axId val="336623872"/>
        <c:axId val="337465928"/>
        <c:extLst>
          <c:ext xmlns:c15="http://schemas.microsoft.com/office/drawing/2012/chart" uri="{02D57815-91ED-43cb-92C2-25804820EDAC}">
            <c15:filteredBarSeries>
              <c15:ser>
                <c:idx val="0"/>
                <c:order val="0"/>
                <c:tx>
                  <c:strRef>
                    <c:extLst>
                      <c:ext uri="{02D57815-91ED-43cb-92C2-25804820EDAC}">
                        <c15:formulaRef>
                          <c15:sqref>'Historical Performance'!$C$6:$C$8</c15:sqref>
                        </c15:formulaRef>
                      </c:ext>
                    </c:extLst>
                    <c:strCache>
                      <c:ptCount val="3"/>
                      <c:pt idx="0">
                        <c:v>Particular</c:v>
                      </c:pt>
                      <c:pt idx="2">
                        <c:v>Revenue</c:v>
                      </c:pt>
                    </c:strCache>
                  </c:strRef>
                </c:tx>
                <c:spPr>
                  <a:solidFill>
                    <a:schemeClr val="accent1">
                      <a:shade val="65000"/>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'Historical Performance'!$B$37:$B$39</c15:sqref>
                        </c15:formulaRef>
                      </c:ext>
                    </c:extLst>
                    <c:strCache>
                      <c:ptCount val="3"/>
                      <c:pt idx="0">
                        <c:v>EBITDA Margin %</c:v>
                      </c:pt>
                      <c:pt idx="1">
                        <c:v>EBIT Margin %</c:v>
                      </c:pt>
                      <c:pt idx="2">
                        <c:v>PAT Margin %</c:v>
                      </c:pt>
                    </c:strCache>
                  </c:strRef>
                </c:cat>
                <c:val>
                  <c:numRef>
                    <c:extLst>
                      <c:ext uri="{02D57815-91ED-43cb-92C2-25804820EDAC}">
                        <c15:formulaRef>
                          <c15:sqref>'Historical Performance'!$C$37:$C$39</c15:sqref>
                        </c15:formulaRef>
                      </c:ext>
                    </c:extLst>
                    <c:numCache>
                      <c:formatCode>General</c:formatCode>
                      <c:ptCount val="3"/>
                    </c:numCache>
                  </c:numRef>
                </c:val>
              </c15:ser>
            </c15:filteredBarSeries>
          </c:ext>
        </c:extLst>
      </c:barChart>
      <c:catAx>
        <c:axId val="33662387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bg1"/>
                </a:solidFill>
                <a:latin typeface="+mn-lt"/>
                <a:ea typeface="+mn-ea"/>
                <a:cs typeface="+mn-cs"/>
              </a:defRPr>
            </a:pPr>
            <a:endParaRPr lang="en-US"/>
          </a:p>
        </c:txPr>
        <c:crossAx val="337465928"/>
        <c:crosses val="autoZero"/>
        <c:auto val="1"/>
        <c:lblAlgn val="ctr"/>
        <c:lblOffset val="100"/>
        <c:noMultiLvlLbl val="0"/>
      </c:catAx>
      <c:valAx>
        <c:axId val="33746592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bg1"/>
                </a:solidFill>
                <a:latin typeface="+mn-lt"/>
                <a:ea typeface="+mn-ea"/>
                <a:cs typeface="+mn-cs"/>
              </a:defRPr>
            </a:pPr>
            <a:endParaRPr lang="en-US"/>
          </a:p>
        </c:txPr>
        <c:crossAx val="3366238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002060"/>
    </a:solidFill>
    <a:ln w="9525" cap="flat" cmpd="sng" algn="ctr">
      <a:solidFill>
        <a:schemeClr val="tx1">
          <a:lumMod val="15000"/>
          <a:lumOff val="85000"/>
        </a:schemeClr>
      </a:solidFill>
      <a:round/>
    </a:ln>
    <a:effectLst/>
  </c:spPr>
  <c:txPr>
    <a:bodyPr/>
    <a:lstStyle/>
    <a:p>
      <a:pPr>
        <a:defRPr>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247650</xdr:colOff>
      <xdr:row>0</xdr:row>
      <xdr:rowOff>28575</xdr:rowOff>
    </xdr:from>
    <xdr:to>
      <xdr:col>13</xdr:col>
      <xdr:colOff>19050</xdr:colOff>
      <xdr:row>9</xdr:row>
      <xdr:rowOff>16881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4950" y="28575"/>
          <a:ext cx="4333875" cy="2083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200025</xdr:colOff>
      <xdr:row>9</xdr:row>
      <xdr:rowOff>142875</xdr:rowOff>
    </xdr:from>
    <xdr:to>
      <xdr:col>13</xdr:col>
      <xdr:colOff>414193</xdr:colOff>
      <xdr:row>12</xdr:row>
      <xdr:rowOff>9525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77325" y="2200275"/>
          <a:ext cx="4776643"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276225</xdr:colOff>
      <xdr:row>37</xdr:row>
      <xdr:rowOff>14287</xdr:rowOff>
    </xdr:from>
    <xdr:to>
      <xdr:col>18</xdr:col>
      <xdr:colOff>9525</xdr:colOff>
      <xdr:row>48</xdr:row>
      <xdr:rowOff>138112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47"/>
  <sheetViews>
    <sheetView workbookViewId="0">
      <selection activeCell="D11" sqref="D11"/>
    </sheetView>
  </sheetViews>
  <sheetFormatPr defaultRowHeight="15" x14ac:dyDescent="0.25"/>
  <cols>
    <col min="5" max="5" width="52.5703125" customWidth="1"/>
    <col min="6" max="6" width="22.28515625" customWidth="1"/>
    <col min="7" max="7" width="24" customWidth="1"/>
  </cols>
  <sheetData>
    <row r="2" spans="3:4" x14ac:dyDescent="0.25">
      <c r="C2" t="s">
        <v>33</v>
      </c>
    </row>
    <row r="7" spans="3:4" x14ac:dyDescent="0.25">
      <c r="D7" t="s">
        <v>223</v>
      </c>
    </row>
    <row r="8" spans="3:4" x14ac:dyDescent="0.25">
      <c r="D8" t="s">
        <v>224</v>
      </c>
    </row>
    <row r="11" spans="3:4" x14ac:dyDescent="0.25">
      <c r="D11" t="s">
        <v>253</v>
      </c>
    </row>
    <row r="13" spans="3:4" x14ac:dyDescent="0.25">
      <c r="D13" t="s">
        <v>254</v>
      </c>
    </row>
    <row r="14" spans="3:4" x14ac:dyDescent="0.25">
      <c r="D14" t="s">
        <v>255</v>
      </c>
    </row>
    <row r="15" spans="3:4" x14ac:dyDescent="0.25">
      <c r="D15" t="s">
        <v>256</v>
      </c>
    </row>
    <row r="18" spans="4:7" x14ac:dyDescent="0.25">
      <c r="D18" t="s">
        <v>257</v>
      </c>
    </row>
    <row r="25" spans="4:7" x14ac:dyDescent="0.25">
      <c r="F25" t="s">
        <v>258</v>
      </c>
    </row>
    <row r="26" spans="4:7" x14ac:dyDescent="0.25">
      <c r="E26" t="s">
        <v>259</v>
      </c>
      <c r="F26" t="s">
        <v>260</v>
      </c>
      <c r="G26" t="s">
        <v>261</v>
      </c>
    </row>
    <row r="27" spans="4:7" x14ac:dyDescent="0.25">
      <c r="E27" s="3" t="s">
        <v>264</v>
      </c>
    </row>
    <row r="28" spans="4:7" x14ac:dyDescent="0.25">
      <c r="E28" t="s">
        <v>262</v>
      </c>
      <c r="F28">
        <v>550</v>
      </c>
      <c r="G28">
        <v>550</v>
      </c>
    </row>
    <row r="29" spans="4:7" x14ac:dyDescent="0.25">
      <c r="E29" s="3" t="s">
        <v>263</v>
      </c>
    </row>
    <row r="30" spans="4:7" x14ac:dyDescent="0.25">
      <c r="E30" t="s">
        <v>265</v>
      </c>
      <c r="F30">
        <v>503</v>
      </c>
      <c r="G30">
        <v>503</v>
      </c>
    </row>
    <row r="31" spans="4:7" x14ac:dyDescent="0.25">
      <c r="E31" s="3" t="s">
        <v>19</v>
      </c>
      <c r="F31">
        <v>503</v>
      </c>
      <c r="G31">
        <v>503</v>
      </c>
    </row>
    <row r="34" spans="5:6" x14ac:dyDescent="0.25">
      <c r="E34" t="s">
        <v>266</v>
      </c>
    </row>
    <row r="37" spans="5:6" x14ac:dyDescent="0.25">
      <c r="E37" t="s">
        <v>267</v>
      </c>
    </row>
    <row r="38" spans="5:6" x14ac:dyDescent="0.25">
      <c r="E38" t="s">
        <v>259</v>
      </c>
      <c r="F38" t="s">
        <v>260</v>
      </c>
    </row>
    <row r="39" spans="5:6" x14ac:dyDescent="0.25">
      <c r="E39" t="s">
        <v>268</v>
      </c>
      <c r="F39" s="104">
        <v>2540000</v>
      </c>
    </row>
    <row r="40" spans="5:6" x14ac:dyDescent="0.25">
      <c r="F40" s="105">
        <v>0.505</v>
      </c>
    </row>
    <row r="41" spans="5:6" x14ac:dyDescent="0.25">
      <c r="E41" t="s">
        <v>269</v>
      </c>
      <c r="F41" s="104">
        <v>1770000</v>
      </c>
    </row>
    <row r="42" spans="5:6" x14ac:dyDescent="0.25">
      <c r="F42" s="105">
        <v>0.35189999999999999</v>
      </c>
    </row>
    <row r="43" spans="5:6" x14ac:dyDescent="0.25">
      <c r="E43" t="s">
        <v>270</v>
      </c>
      <c r="F43" s="104">
        <v>520000</v>
      </c>
    </row>
    <row r="44" spans="5:6" x14ac:dyDescent="0.25">
      <c r="F44" s="105">
        <v>0.10340000000000001</v>
      </c>
    </row>
    <row r="47" spans="5:6" ht="409.5" x14ac:dyDescent="0.25">
      <c r="E47" s="106" t="s">
        <v>271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36"/>
  <sheetViews>
    <sheetView workbookViewId="0">
      <selection activeCell="G35" sqref="G35"/>
    </sheetView>
  </sheetViews>
  <sheetFormatPr defaultRowHeight="15" x14ac:dyDescent="0.25"/>
  <cols>
    <col min="1" max="1" width="5" style="46" customWidth="1"/>
    <col min="2" max="2" width="7.85546875" style="46" customWidth="1"/>
    <col min="3" max="3" width="28.85546875" style="46" customWidth="1"/>
    <col min="4" max="4" width="23.5703125" style="46" customWidth="1"/>
    <col min="5" max="5" width="36" style="46" customWidth="1"/>
    <col min="6" max="6" width="24.85546875" style="46" customWidth="1"/>
    <col min="7" max="7" width="16.7109375" style="46" bestFit="1" customWidth="1"/>
    <col min="8" max="16384" width="9.140625" style="46"/>
  </cols>
  <sheetData>
    <row r="1" spans="2:6" ht="18" customHeight="1" x14ac:dyDescent="0.25"/>
    <row r="2" spans="2:6" ht="20.25" customHeight="1" x14ac:dyDescent="0.25">
      <c r="B2" s="122" t="s">
        <v>216</v>
      </c>
      <c r="C2" s="122"/>
      <c r="D2" s="122"/>
      <c r="E2" s="122"/>
      <c r="F2" s="108"/>
    </row>
    <row r="3" spans="2:6" ht="20.25" customHeight="1" x14ac:dyDescent="0.25">
      <c r="B3" s="73" t="s">
        <v>127</v>
      </c>
      <c r="C3" s="74" t="s">
        <v>212</v>
      </c>
      <c r="D3" s="74" t="s">
        <v>213</v>
      </c>
      <c r="E3" s="74" t="s">
        <v>214</v>
      </c>
      <c r="F3" s="74" t="s">
        <v>272</v>
      </c>
    </row>
    <row r="4" spans="2:6" ht="20.25" customHeight="1" x14ac:dyDescent="0.25">
      <c r="B4" s="70">
        <v>1</v>
      </c>
      <c r="C4" s="87" t="s">
        <v>215</v>
      </c>
      <c r="D4" s="85">
        <v>45575</v>
      </c>
      <c r="E4" s="86">
        <v>238100000</v>
      </c>
      <c r="F4" s="86">
        <v>214300000</v>
      </c>
    </row>
    <row r="5" spans="2:6" ht="20.25" customHeight="1" x14ac:dyDescent="0.25">
      <c r="B5" s="70">
        <f>B4+1</f>
        <v>2</v>
      </c>
      <c r="C5" s="87" t="s">
        <v>215</v>
      </c>
      <c r="D5" s="85">
        <v>45575</v>
      </c>
      <c r="E5" s="86">
        <v>6225000</v>
      </c>
      <c r="F5" s="86">
        <v>5600000</v>
      </c>
    </row>
    <row r="6" spans="2:6" ht="20.25" customHeight="1" x14ac:dyDescent="0.25">
      <c r="B6" s="70">
        <f t="shared" ref="B6:B33" si="0">B5+1</f>
        <v>3</v>
      </c>
      <c r="C6" s="87" t="s">
        <v>215</v>
      </c>
      <c r="D6" s="85">
        <v>45575</v>
      </c>
      <c r="E6" s="86">
        <v>6350000</v>
      </c>
      <c r="F6" s="86">
        <v>5715000</v>
      </c>
    </row>
    <row r="7" spans="2:6" ht="20.25" customHeight="1" x14ac:dyDescent="0.25">
      <c r="B7" s="70">
        <f t="shared" si="0"/>
        <v>4</v>
      </c>
      <c r="C7" s="87" t="s">
        <v>215</v>
      </c>
      <c r="D7" s="85">
        <v>45575</v>
      </c>
      <c r="E7" s="86">
        <v>35500000</v>
      </c>
      <c r="F7" s="86">
        <v>31950000</v>
      </c>
    </row>
    <row r="8" spans="2:6" ht="20.25" customHeight="1" x14ac:dyDescent="0.25">
      <c r="B8" s="70">
        <f t="shared" si="0"/>
        <v>5</v>
      </c>
      <c r="C8" s="87" t="s">
        <v>215</v>
      </c>
      <c r="D8" s="85">
        <v>45575</v>
      </c>
      <c r="E8" s="86">
        <v>13850000</v>
      </c>
      <c r="F8" s="86">
        <v>12465000</v>
      </c>
    </row>
    <row r="9" spans="2:6" ht="20.25" customHeight="1" x14ac:dyDescent="0.25">
      <c r="B9" s="70">
        <f t="shared" si="0"/>
        <v>6</v>
      </c>
      <c r="C9" s="87" t="s">
        <v>215</v>
      </c>
      <c r="D9" s="85">
        <v>45575</v>
      </c>
      <c r="E9" s="86">
        <v>3000000</v>
      </c>
      <c r="F9" s="86">
        <v>2700000</v>
      </c>
    </row>
    <row r="10" spans="2:6" ht="20.25" customHeight="1" x14ac:dyDescent="0.25">
      <c r="B10" s="70">
        <f t="shared" si="0"/>
        <v>7</v>
      </c>
      <c r="C10" s="87" t="s">
        <v>215</v>
      </c>
      <c r="D10" s="85">
        <v>45575</v>
      </c>
      <c r="E10" s="86">
        <v>5900000</v>
      </c>
      <c r="F10" s="86">
        <v>5310000</v>
      </c>
    </row>
    <row r="11" spans="2:6" ht="20.25" customHeight="1" x14ac:dyDescent="0.25">
      <c r="B11" s="70">
        <f t="shared" si="0"/>
        <v>8</v>
      </c>
      <c r="C11" s="87" t="s">
        <v>215</v>
      </c>
      <c r="D11" s="85">
        <v>45575</v>
      </c>
      <c r="E11" s="86">
        <v>221950000</v>
      </c>
      <c r="F11" s="86">
        <v>199750000</v>
      </c>
    </row>
    <row r="12" spans="2:6" ht="20.25" customHeight="1" x14ac:dyDescent="0.25">
      <c r="B12" s="70">
        <f t="shared" si="0"/>
        <v>9</v>
      </c>
      <c r="C12" s="87" t="s">
        <v>215</v>
      </c>
      <c r="D12" s="85">
        <v>45575</v>
      </c>
      <c r="E12" s="86">
        <v>5900000</v>
      </c>
      <c r="F12" s="86">
        <v>5300000</v>
      </c>
    </row>
    <row r="13" spans="2:6" ht="20.25" customHeight="1" x14ac:dyDescent="0.25">
      <c r="B13" s="70">
        <f t="shared" si="0"/>
        <v>10</v>
      </c>
      <c r="C13" s="87" t="s">
        <v>215</v>
      </c>
      <c r="D13" s="85">
        <v>45575</v>
      </c>
      <c r="E13" s="86">
        <v>6020000</v>
      </c>
      <c r="F13" s="86">
        <v>5420000</v>
      </c>
    </row>
    <row r="14" spans="2:6" ht="20.25" customHeight="1" x14ac:dyDescent="0.25">
      <c r="B14" s="70">
        <f t="shared" si="0"/>
        <v>11</v>
      </c>
      <c r="C14" s="87" t="s">
        <v>215</v>
      </c>
      <c r="D14" s="85">
        <v>45575</v>
      </c>
      <c r="E14" s="86">
        <v>5950000</v>
      </c>
      <c r="F14" s="86">
        <v>5700000</v>
      </c>
    </row>
    <row r="15" spans="2:6" ht="20.25" customHeight="1" x14ac:dyDescent="0.25">
      <c r="B15" s="70">
        <f t="shared" si="0"/>
        <v>12</v>
      </c>
      <c r="C15" s="87" t="s">
        <v>215</v>
      </c>
      <c r="D15" s="85">
        <v>45575</v>
      </c>
      <c r="E15" s="86">
        <v>5065000</v>
      </c>
      <c r="F15" s="86">
        <v>4560000</v>
      </c>
    </row>
    <row r="16" spans="2:6" ht="20.25" customHeight="1" x14ac:dyDescent="0.25">
      <c r="B16" s="70">
        <f t="shared" si="0"/>
        <v>13</v>
      </c>
      <c r="C16" s="87" t="s">
        <v>215</v>
      </c>
      <c r="D16" s="85">
        <v>45575</v>
      </c>
      <c r="E16" s="86">
        <v>2270000</v>
      </c>
      <c r="F16" s="86">
        <v>2045000</v>
      </c>
    </row>
    <row r="17" spans="2:6" ht="20.25" customHeight="1" x14ac:dyDescent="0.25">
      <c r="B17" s="70">
        <f t="shared" si="0"/>
        <v>14</v>
      </c>
      <c r="C17" s="87" t="s">
        <v>215</v>
      </c>
      <c r="D17" s="85">
        <v>45575</v>
      </c>
      <c r="E17" s="86">
        <v>1550000</v>
      </c>
      <c r="F17" s="86">
        <v>1400000</v>
      </c>
    </row>
    <row r="18" spans="2:6" ht="20.25" customHeight="1" x14ac:dyDescent="0.25">
      <c r="B18" s="70">
        <f t="shared" si="0"/>
        <v>15</v>
      </c>
      <c r="C18" s="87" t="s">
        <v>217</v>
      </c>
      <c r="D18" s="85">
        <v>45575</v>
      </c>
      <c r="E18" s="86">
        <v>3150000</v>
      </c>
      <c r="F18" s="86">
        <v>2835000</v>
      </c>
    </row>
    <row r="19" spans="2:6" ht="20.25" customHeight="1" x14ac:dyDescent="0.25">
      <c r="B19" s="70">
        <f t="shared" si="0"/>
        <v>16</v>
      </c>
      <c r="C19" s="87" t="s">
        <v>215</v>
      </c>
      <c r="D19" s="85">
        <v>45575</v>
      </c>
      <c r="E19" s="86">
        <v>5150000</v>
      </c>
      <c r="F19" s="86">
        <v>4635000</v>
      </c>
    </row>
    <row r="20" spans="2:6" ht="20.25" customHeight="1" x14ac:dyDescent="0.25">
      <c r="B20" s="70">
        <f t="shared" si="0"/>
        <v>17</v>
      </c>
      <c r="C20" s="87" t="s">
        <v>215</v>
      </c>
      <c r="D20" s="85">
        <v>45575</v>
      </c>
      <c r="E20" s="86">
        <v>3080000</v>
      </c>
      <c r="F20" s="86">
        <v>2770000</v>
      </c>
    </row>
    <row r="21" spans="2:6" ht="20.25" customHeight="1" x14ac:dyDescent="0.25">
      <c r="B21" s="70">
        <f t="shared" si="0"/>
        <v>18</v>
      </c>
      <c r="C21" s="87" t="s">
        <v>215</v>
      </c>
      <c r="D21" s="85">
        <v>45575</v>
      </c>
      <c r="E21" s="86">
        <v>2690000</v>
      </c>
      <c r="F21" s="86">
        <v>2420000</v>
      </c>
    </row>
    <row r="22" spans="2:6" ht="20.25" customHeight="1" x14ac:dyDescent="0.25">
      <c r="B22" s="70">
        <f t="shared" si="0"/>
        <v>19</v>
      </c>
      <c r="C22" s="87" t="s">
        <v>215</v>
      </c>
      <c r="D22" s="85">
        <v>45575</v>
      </c>
      <c r="E22" s="86">
        <v>2790000</v>
      </c>
      <c r="F22" s="86">
        <v>2510000</v>
      </c>
    </row>
    <row r="23" spans="2:6" ht="20.25" customHeight="1" x14ac:dyDescent="0.25">
      <c r="B23" s="70">
        <f t="shared" si="0"/>
        <v>20</v>
      </c>
      <c r="C23" s="87" t="s">
        <v>215</v>
      </c>
      <c r="D23" s="85">
        <v>45575</v>
      </c>
      <c r="E23" s="86">
        <v>2170000</v>
      </c>
      <c r="F23" s="86">
        <v>1950000</v>
      </c>
    </row>
    <row r="24" spans="2:6" ht="20.25" customHeight="1" x14ac:dyDescent="0.25">
      <c r="B24" s="70">
        <f t="shared" si="0"/>
        <v>21</v>
      </c>
      <c r="C24" s="87" t="s">
        <v>215</v>
      </c>
      <c r="D24" s="85">
        <v>45575</v>
      </c>
      <c r="E24" s="86">
        <v>1980000</v>
      </c>
      <c r="F24" s="86">
        <v>1780000</v>
      </c>
    </row>
    <row r="25" spans="2:6" ht="20.25" customHeight="1" x14ac:dyDescent="0.25">
      <c r="B25" s="70">
        <f t="shared" si="0"/>
        <v>22</v>
      </c>
      <c r="C25" s="87" t="s">
        <v>215</v>
      </c>
      <c r="D25" s="85">
        <v>45575</v>
      </c>
      <c r="E25" s="86">
        <v>2280000</v>
      </c>
      <c r="F25" s="86">
        <v>2050000</v>
      </c>
    </row>
    <row r="26" spans="2:6" ht="20.25" customHeight="1" x14ac:dyDescent="0.25">
      <c r="B26" s="70">
        <f t="shared" si="0"/>
        <v>23</v>
      </c>
      <c r="C26" s="87" t="s">
        <v>215</v>
      </c>
      <c r="D26" s="85">
        <v>45575</v>
      </c>
      <c r="E26" s="86">
        <v>2300000</v>
      </c>
      <c r="F26" s="86">
        <v>2070000</v>
      </c>
    </row>
    <row r="27" spans="2:6" ht="20.25" customHeight="1" x14ac:dyDescent="0.25">
      <c r="B27" s="70">
        <f t="shared" si="0"/>
        <v>24</v>
      </c>
      <c r="C27" s="87" t="s">
        <v>218</v>
      </c>
      <c r="D27" s="85">
        <v>45575</v>
      </c>
      <c r="E27" s="86">
        <v>5270000</v>
      </c>
      <c r="F27" s="86">
        <v>4750000</v>
      </c>
    </row>
    <row r="28" spans="2:6" ht="20.25" customHeight="1" x14ac:dyDescent="0.25">
      <c r="B28" s="70">
        <f t="shared" si="0"/>
        <v>25</v>
      </c>
      <c r="C28" s="87" t="s">
        <v>219</v>
      </c>
      <c r="D28" s="85">
        <v>45575</v>
      </c>
      <c r="E28" s="86">
        <v>1345000</v>
      </c>
      <c r="F28" s="86">
        <v>1210000</v>
      </c>
    </row>
    <row r="29" spans="2:6" ht="20.25" customHeight="1" x14ac:dyDescent="0.25">
      <c r="B29" s="70">
        <f t="shared" si="0"/>
        <v>26</v>
      </c>
      <c r="C29" s="87" t="s">
        <v>219</v>
      </c>
      <c r="D29" s="85">
        <v>45575</v>
      </c>
      <c r="E29" s="86">
        <v>1345000</v>
      </c>
      <c r="F29" s="86">
        <v>1210000</v>
      </c>
    </row>
    <row r="30" spans="2:6" ht="20.25" customHeight="1" x14ac:dyDescent="0.25">
      <c r="B30" s="70">
        <f t="shared" si="0"/>
        <v>27</v>
      </c>
      <c r="C30" s="87" t="s">
        <v>220</v>
      </c>
      <c r="D30" s="85">
        <v>45575</v>
      </c>
      <c r="E30" s="86">
        <v>11700000</v>
      </c>
      <c r="F30" s="86">
        <v>10530000</v>
      </c>
    </row>
    <row r="31" spans="2:6" ht="20.25" customHeight="1" x14ac:dyDescent="0.25">
      <c r="B31" s="70">
        <f t="shared" si="0"/>
        <v>28</v>
      </c>
      <c r="C31" s="87" t="s">
        <v>219</v>
      </c>
      <c r="D31" s="85">
        <v>45575</v>
      </c>
      <c r="E31" s="86">
        <v>1830000</v>
      </c>
      <c r="F31" s="86">
        <v>1650000</v>
      </c>
    </row>
    <row r="32" spans="2:6" ht="20.25" customHeight="1" x14ac:dyDescent="0.25">
      <c r="B32" s="70">
        <f t="shared" si="0"/>
        <v>29</v>
      </c>
      <c r="C32" s="87" t="s">
        <v>219</v>
      </c>
      <c r="D32" s="85">
        <v>45575</v>
      </c>
      <c r="E32" s="86">
        <v>1830000</v>
      </c>
      <c r="F32" s="86">
        <v>1650000</v>
      </c>
    </row>
    <row r="33" spans="2:7" ht="20.25" customHeight="1" x14ac:dyDescent="0.25">
      <c r="B33" s="70">
        <f t="shared" si="0"/>
        <v>30</v>
      </c>
      <c r="C33" s="87" t="s">
        <v>220</v>
      </c>
      <c r="D33" s="85">
        <v>45575</v>
      </c>
      <c r="E33" s="86">
        <v>3890000</v>
      </c>
      <c r="F33" s="86">
        <v>3500000</v>
      </c>
    </row>
    <row r="34" spans="2:7" ht="20.25" customHeight="1" x14ac:dyDescent="0.25">
      <c r="B34" s="70"/>
      <c r="C34" s="69" t="s">
        <v>144</v>
      </c>
      <c r="D34" s="72">
        <v>130.62</v>
      </c>
      <c r="E34" s="88">
        <f>SUM(E4:E33)</f>
        <v>610430000</v>
      </c>
      <c r="F34" s="88">
        <f>SUM(F4:F33)</f>
        <v>549735000</v>
      </c>
    </row>
    <row r="35" spans="2:7" ht="18.75" customHeight="1" x14ac:dyDescent="0.25">
      <c r="B35" s="2"/>
      <c r="C35" s="2"/>
      <c r="D35" s="2"/>
      <c r="E35" s="92">
        <f>E34/10^7</f>
        <v>61.042999999999999</v>
      </c>
      <c r="F35" s="92">
        <f>F34/10^7</f>
        <v>54.973500000000001</v>
      </c>
      <c r="G35" s="107">
        <f>E35+'NAV EV'!E67</f>
        <v>150.82123561562497</v>
      </c>
    </row>
    <row r="36" spans="2:7" x14ac:dyDescent="0.25">
      <c r="B36" s="119" t="s">
        <v>222</v>
      </c>
      <c r="C36" s="120"/>
      <c r="D36" s="120"/>
      <c r="E36" s="120"/>
      <c r="G36" s="107">
        <f>F35+'NAV EV'!E67</f>
        <v>144.75173561562497</v>
      </c>
    </row>
  </sheetData>
  <mergeCells count="2">
    <mergeCell ref="B2:E2"/>
    <mergeCell ref="B36:E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E55"/>
  <sheetViews>
    <sheetView showGridLines="0" topLeftCell="C33" workbookViewId="0">
      <selection activeCell="B6" sqref="B6:E28"/>
    </sheetView>
  </sheetViews>
  <sheetFormatPr defaultRowHeight="15" x14ac:dyDescent="0.25"/>
  <cols>
    <col min="1" max="1" width="5.42578125" style="18" customWidth="1"/>
    <col min="2" max="2" width="47" style="18" customWidth="1"/>
    <col min="3" max="3" width="6" style="18" customWidth="1"/>
    <col min="4" max="5" width="24.85546875" style="18" customWidth="1"/>
    <col min="6" max="16384" width="9.140625" style="18"/>
  </cols>
  <sheetData>
    <row r="2" spans="2:5" ht="19.5" customHeight="1" x14ac:dyDescent="0.25">
      <c r="B2" s="17" t="str">
        <f>'NAV EV'!B2</f>
        <v>M/s Kunal Structure (India) Private Limited</v>
      </c>
      <c r="C2" s="44"/>
      <c r="D2" s="44"/>
      <c r="E2" s="44"/>
    </row>
    <row r="3" spans="2:5" ht="10.5" customHeight="1" x14ac:dyDescent="0.25"/>
    <row r="4" spans="2:5" ht="18" customHeight="1" x14ac:dyDescent="0.25">
      <c r="B4" s="2" t="s">
        <v>225</v>
      </c>
      <c r="C4" s="2"/>
      <c r="D4" s="2"/>
      <c r="E4" s="2"/>
    </row>
    <row r="5" spans="2:5" ht="9.75" customHeight="1" x14ac:dyDescent="0.25"/>
    <row r="6" spans="2:5" ht="18" customHeight="1" x14ac:dyDescent="0.25">
      <c r="B6" s="2" t="s">
        <v>228</v>
      </c>
      <c r="C6" s="2"/>
      <c r="D6" s="98" t="s">
        <v>226</v>
      </c>
      <c r="E6" s="98" t="s">
        <v>227</v>
      </c>
    </row>
    <row r="7" spans="2:5" ht="18.75" customHeight="1" x14ac:dyDescent="0.25"/>
    <row r="8" spans="2:5" ht="18.75" customHeight="1" x14ac:dyDescent="0.25">
      <c r="B8" s="93" t="s">
        <v>229</v>
      </c>
    </row>
    <row r="9" spans="2:5" ht="18.75" customHeight="1" x14ac:dyDescent="0.25">
      <c r="B9" s="18" t="s">
        <v>230</v>
      </c>
      <c r="D9" s="94">
        <v>86223.9</v>
      </c>
      <c r="E9" s="94">
        <v>58944.81</v>
      </c>
    </row>
    <row r="10" spans="2:5" ht="18.75" customHeight="1" x14ac:dyDescent="0.25">
      <c r="B10" s="18" t="s">
        <v>231</v>
      </c>
      <c r="D10" s="94">
        <v>1929.82</v>
      </c>
      <c r="E10" s="94">
        <v>1063.8599999999999</v>
      </c>
    </row>
    <row r="11" spans="2:5" ht="18.75" customHeight="1" x14ac:dyDescent="0.25">
      <c r="B11" s="15" t="s">
        <v>232</v>
      </c>
      <c r="C11" s="15"/>
      <c r="D11" s="95">
        <f>SUM(D9:D10)</f>
        <v>88153.72</v>
      </c>
      <c r="E11" s="95">
        <f>SUM(E9:E10)</f>
        <v>60008.67</v>
      </c>
    </row>
    <row r="12" spans="2:5" ht="18.75" customHeight="1" x14ac:dyDescent="0.25"/>
    <row r="13" spans="2:5" ht="18.75" customHeight="1" x14ac:dyDescent="0.25">
      <c r="B13" s="93" t="s">
        <v>233</v>
      </c>
    </row>
    <row r="14" spans="2:5" ht="18.75" customHeight="1" x14ac:dyDescent="0.25">
      <c r="B14" s="18" t="s">
        <v>234</v>
      </c>
      <c r="D14" s="96">
        <v>69869.31</v>
      </c>
      <c r="E14" s="94">
        <v>53089.75</v>
      </c>
    </row>
    <row r="15" spans="2:5" ht="18.75" customHeight="1" x14ac:dyDescent="0.25">
      <c r="B15" s="18" t="s">
        <v>235</v>
      </c>
      <c r="D15" s="96">
        <v>5431.75</v>
      </c>
      <c r="E15" s="94">
        <v>4012.96</v>
      </c>
    </row>
    <row r="16" spans="2:5" ht="18.75" customHeight="1" x14ac:dyDescent="0.25">
      <c r="B16" s="18" t="s">
        <v>236</v>
      </c>
      <c r="D16" s="96">
        <v>4381.57</v>
      </c>
      <c r="E16" s="94">
        <v>4804.0200000000004</v>
      </c>
    </row>
    <row r="17" spans="2:5" ht="18.75" customHeight="1" x14ac:dyDescent="0.25">
      <c r="B17" s="18" t="s">
        <v>237</v>
      </c>
      <c r="D17" s="96">
        <v>2048.48</v>
      </c>
      <c r="E17" s="94">
        <v>2067.16</v>
      </c>
    </row>
    <row r="18" spans="2:5" ht="18.75" customHeight="1" x14ac:dyDescent="0.25">
      <c r="B18" s="18" t="s">
        <v>238</v>
      </c>
      <c r="D18" s="96">
        <v>3089.07</v>
      </c>
      <c r="E18" s="94">
        <v>2034.08</v>
      </c>
    </row>
    <row r="19" spans="2:5" ht="18.75" customHeight="1" x14ac:dyDescent="0.25">
      <c r="B19" s="15" t="s">
        <v>239</v>
      </c>
      <c r="C19" s="15"/>
      <c r="D19" s="95">
        <f>SUM(D14:D18)</f>
        <v>84820.180000000008</v>
      </c>
      <c r="E19" s="95">
        <f>SUM(E14:E18)</f>
        <v>66007.97</v>
      </c>
    </row>
    <row r="20" spans="2:5" ht="18.75" customHeight="1" x14ac:dyDescent="0.25"/>
    <row r="21" spans="2:5" ht="18.75" customHeight="1" x14ac:dyDescent="0.25">
      <c r="B21" s="15" t="s">
        <v>240</v>
      </c>
      <c r="C21" s="15"/>
      <c r="D21" s="100">
        <f>D11-D19</f>
        <v>3333.5399999999936</v>
      </c>
      <c r="E21" s="99">
        <f>E11-E19</f>
        <v>-5999.3000000000029</v>
      </c>
    </row>
    <row r="22" spans="2:5" ht="18.75" customHeight="1" x14ac:dyDescent="0.25"/>
    <row r="23" spans="2:5" ht="18.75" customHeight="1" x14ac:dyDescent="0.25">
      <c r="B23" s="93" t="s">
        <v>241</v>
      </c>
    </row>
    <row r="24" spans="2:5" ht="18.75" customHeight="1" x14ac:dyDescent="0.25">
      <c r="B24" s="18" t="s">
        <v>242</v>
      </c>
      <c r="D24" s="97">
        <v>936.99</v>
      </c>
      <c r="E24" s="101">
        <v>0</v>
      </c>
    </row>
    <row r="25" spans="2:5" ht="18.75" customHeight="1" x14ac:dyDescent="0.25">
      <c r="B25" s="18" t="s">
        <v>243</v>
      </c>
      <c r="D25" s="97">
        <v>-45.48</v>
      </c>
      <c r="E25" s="18">
        <v>-230.88</v>
      </c>
    </row>
    <row r="26" spans="2:5" ht="18.75" customHeight="1" x14ac:dyDescent="0.25">
      <c r="B26" s="18" t="s">
        <v>244</v>
      </c>
      <c r="D26" s="97">
        <v>-314.14</v>
      </c>
      <c r="E26" s="94">
        <v>-1438.18</v>
      </c>
    </row>
    <row r="27" spans="2:5" ht="18.75" customHeight="1" x14ac:dyDescent="0.25"/>
    <row r="28" spans="2:5" ht="18.75" customHeight="1" x14ac:dyDescent="0.25">
      <c r="B28" s="15" t="s">
        <v>245</v>
      </c>
      <c r="C28" s="15"/>
      <c r="D28" s="95">
        <f>D21-D24-D25-D26</f>
        <v>2756.1699999999937</v>
      </c>
      <c r="E28" s="95">
        <f>E21-E24-E25-E26</f>
        <v>-4330.2400000000025</v>
      </c>
    </row>
    <row r="29" spans="2:5" ht="18.75" customHeight="1" x14ac:dyDescent="0.25"/>
    <row r="30" spans="2:5" ht="18.75" customHeight="1" x14ac:dyDescent="0.25"/>
    <row r="31" spans="2:5" ht="18.75" customHeight="1" x14ac:dyDescent="0.25">
      <c r="B31" s="18" t="s">
        <v>229</v>
      </c>
      <c r="D31" s="94">
        <f>D11</f>
        <v>88153.72</v>
      </c>
      <c r="E31" s="94">
        <f>E11</f>
        <v>60008.67</v>
      </c>
    </row>
    <row r="32" spans="2:5" ht="18.75" customHeight="1" x14ac:dyDescent="0.25">
      <c r="B32" s="18" t="s">
        <v>246</v>
      </c>
      <c r="D32" s="94">
        <f>D11-D19</f>
        <v>3333.5399999999936</v>
      </c>
      <c r="E32" s="94">
        <f>E11-E19</f>
        <v>-5999.3000000000029</v>
      </c>
    </row>
    <row r="33" spans="2:5" ht="18.75" customHeight="1" x14ac:dyDescent="0.25">
      <c r="B33" s="18" t="s">
        <v>247</v>
      </c>
      <c r="D33" s="94">
        <f>D32-D17</f>
        <v>1285.0599999999936</v>
      </c>
      <c r="E33" s="94">
        <f>E32-E17</f>
        <v>-8066.4600000000028</v>
      </c>
    </row>
    <row r="34" spans="2:5" ht="18.75" customHeight="1" x14ac:dyDescent="0.25">
      <c r="B34" s="18" t="s">
        <v>248</v>
      </c>
      <c r="D34" s="94">
        <f>D28</f>
        <v>2756.1699999999937</v>
      </c>
      <c r="E34" s="94">
        <f>E28</f>
        <v>-4330.2400000000025</v>
      </c>
    </row>
    <row r="35" spans="2:5" ht="18.75" customHeight="1" x14ac:dyDescent="0.25"/>
    <row r="36" spans="2:5" ht="18.75" customHeight="1" x14ac:dyDescent="0.25">
      <c r="B36" s="18" t="s">
        <v>252</v>
      </c>
      <c r="E36" s="102">
        <f>E31/D31-1</f>
        <v>-0.31927240279820301</v>
      </c>
    </row>
    <row r="37" spans="2:5" ht="18.75" customHeight="1" x14ac:dyDescent="0.25">
      <c r="B37" s="18" t="s">
        <v>249</v>
      </c>
      <c r="D37" s="102">
        <f>D32/D31</f>
        <v>3.7815080293832112E-2</v>
      </c>
      <c r="E37" s="102">
        <f>E32/E31</f>
        <v>-9.9973887106646481E-2</v>
      </c>
    </row>
    <row r="38" spans="2:5" ht="18.75" customHeight="1" x14ac:dyDescent="0.25">
      <c r="B38" s="18" t="s">
        <v>250</v>
      </c>
      <c r="D38" s="102">
        <f>D33/D31</f>
        <v>1.4577490320317663E-2</v>
      </c>
      <c r="E38" s="102">
        <f>E33/E31</f>
        <v>-0.13442157608225616</v>
      </c>
    </row>
    <row r="39" spans="2:5" ht="18.75" customHeight="1" x14ac:dyDescent="0.25">
      <c r="B39" s="18" t="s">
        <v>251</v>
      </c>
      <c r="D39" s="102">
        <f>D34/D31</f>
        <v>3.1265498495128663E-2</v>
      </c>
      <c r="E39" s="102">
        <f>E34/E31</f>
        <v>-7.2160239512057217E-2</v>
      </c>
    </row>
    <row r="40" spans="2:5" ht="18.75" customHeight="1" x14ac:dyDescent="0.25"/>
    <row r="41" spans="2:5" ht="18.75" customHeight="1" x14ac:dyDescent="0.25"/>
    <row r="42" spans="2:5" ht="18.75" customHeight="1" x14ac:dyDescent="0.25"/>
    <row r="43" spans="2:5" ht="18.75" customHeight="1" x14ac:dyDescent="0.25"/>
    <row r="44" spans="2:5" ht="18.75" customHeight="1" x14ac:dyDescent="0.25"/>
    <row r="45" spans="2:5" ht="18.75" customHeight="1" x14ac:dyDescent="0.25"/>
    <row r="46" spans="2:5" ht="18.75" customHeight="1" x14ac:dyDescent="0.25"/>
    <row r="47" spans="2:5" ht="18.75" customHeight="1" x14ac:dyDescent="0.25"/>
    <row r="48" spans="2:5" ht="18.75" customHeight="1" x14ac:dyDescent="0.25"/>
    <row r="49" spans="4:4" ht="18.75" customHeight="1" x14ac:dyDescent="0.25"/>
    <row r="50" spans="4:4" ht="18.75" customHeight="1" x14ac:dyDescent="0.25"/>
    <row r="51" spans="4:4" ht="18.75" customHeight="1" x14ac:dyDescent="0.25"/>
    <row r="52" spans="4:4" ht="18.75" customHeight="1" x14ac:dyDescent="0.25"/>
    <row r="55" spans="4:4" x14ac:dyDescent="0.25">
      <c r="D55" s="10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2:F93"/>
  <sheetViews>
    <sheetView showGridLines="0" tabSelected="1" workbookViewId="0"/>
  </sheetViews>
  <sheetFormatPr defaultRowHeight="15" x14ac:dyDescent="0.25"/>
  <cols>
    <col min="1" max="1" width="5.7109375" style="18" customWidth="1"/>
    <col min="2" max="2" width="44.7109375" style="18" customWidth="1"/>
    <col min="3" max="3" width="6.7109375" style="18" customWidth="1"/>
    <col min="4" max="4" width="52.28515625" style="18" customWidth="1"/>
    <col min="5" max="5" width="41.5703125" style="18" customWidth="1"/>
    <col min="6" max="6" width="23.85546875" style="18" customWidth="1"/>
    <col min="7" max="16384" width="9.140625" style="18"/>
  </cols>
  <sheetData>
    <row r="2" spans="1:6" ht="19.5" customHeight="1" x14ac:dyDescent="0.25">
      <c r="B2" s="11" t="s">
        <v>103</v>
      </c>
      <c r="C2" s="11"/>
      <c r="D2" s="11"/>
      <c r="E2" s="11"/>
      <c r="F2" s="11"/>
    </row>
    <row r="4" spans="1:6" ht="18.75" customHeight="1" x14ac:dyDescent="0.25">
      <c r="B4" s="12" t="s">
        <v>0</v>
      </c>
      <c r="C4" s="12"/>
      <c r="D4" s="12"/>
      <c r="E4" s="12"/>
      <c r="F4" s="12"/>
    </row>
    <row r="6" spans="1:6" ht="20.25" customHeight="1" x14ac:dyDescent="0.25">
      <c r="B6" s="2" t="s">
        <v>4</v>
      </c>
      <c r="C6" s="2"/>
      <c r="D6" s="13" t="s">
        <v>100</v>
      </c>
      <c r="E6" s="10" t="s">
        <v>101</v>
      </c>
      <c r="F6" s="10" t="s">
        <v>102</v>
      </c>
    </row>
    <row r="7" spans="1:6" x14ac:dyDescent="0.25">
      <c r="D7" s="63">
        <f>10^2</f>
        <v>100</v>
      </c>
      <c r="E7" s="19"/>
    </row>
    <row r="8" spans="1:6" ht="20.25" customHeight="1" x14ac:dyDescent="0.25">
      <c r="B8" s="64" t="s">
        <v>2</v>
      </c>
      <c r="D8" s="19"/>
      <c r="E8" s="19"/>
    </row>
    <row r="9" spans="1:6" ht="22.5" customHeight="1" x14ac:dyDescent="0.25">
      <c r="A9" s="47">
        <v>1</v>
      </c>
      <c r="B9" s="7" t="s">
        <v>3</v>
      </c>
      <c r="D9" s="19"/>
      <c r="E9" s="19"/>
    </row>
    <row r="10" spans="1:6" ht="22.5" customHeight="1" x14ac:dyDescent="0.25">
      <c r="A10" s="19" t="s">
        <v>42</v>
      </c>
      <c r="B10" s="45" t="s">
        <v>34</v>
      </c>
      <c r="D10" s="65">
        <f>12407.47/$D$7</f>
        <v>124.07469999999999</v>
      </c>
      <c r="E10" s="4">
        <f>'Fixed Assets'!D81/D7</f>
        <v>78.926388498958346</v>
      </c>
    </row>
    <row r="11" spans="1:6" ht="22.5" customHeight="1" x14ac:dyDescent="0.25">
      <c r="A11" s="19" t="s">
        <v>43</v>
      </c>
      <c r="B11" s="45" t="s">
        <v>35</v>
      </c>
      <c r="D11" s="65">
        <f>232.29/$D$7</f>
        <v>2.3228999999999997</v>
      </c>
      <c r="E11" s="4">
        <f>'Fixed Assets'!D92/D7</f>
        <v>0.86089211666666676</v>
      </c>
    </row>
    <row r="12" spans="1:6" ht="22.5" customHeight="1" x14ac:dyDescent="0.25">
      <c r="A12" s="19" t="s">
        <v>45</v>
      </c>
      <c r="B12" s="45" t="s">
        <v>36</v>
      </c>
      <c r="D12" s="65">
        <f>100.68/D7</f>
        <v>1.0068000000000001</v>
      </c>
      <c r="E12" s="4">
        <f>D12*F12</f>
        <v>1.0068000000000001</v>
      </c>
      <c r="F12" s="24">
        <v>1</v>
      </c>
    </row>
    <row r="13" spans="1:6" ht="22.5" customHeight="1" x14ac:dyDescent="0.25">
      <c r="A13" s="19" t="s">
        <v>46</v>
      </c>
      <c r="B13" s="66" t="s">
        <v>37</v>
      </c>
      <c r="D13" s="19"/>
      <c r="E13" s="19"/>
    </row>
    <row r="14" spans="1:6" ht="22.5" customHeight="1" x14ac:dyDescent="0.25">
      <c r="A14" s="19"/>
      <c r="B14" s="45" t="s">
        <v>38</v>
      </c>
      <c r="D14" s="65">
        <f>49.06/D7</f>
        <v>0.49060000000000004</v>
      </c>
      <c r="E14" s="4">
        <f>'Non Current Financial Assets'!G20/D7</f>
        <v>0.49060000000000004</v>
      </c>
    </row>
    <row r="15" spans="1:6" ht="22.5" customHeight="1" x14ac:dyDescent="0.25">
      <c r="A15" s="19"/>
      <c r="B15" s="45" t="s">
        <v>39</v>
      </c>
      <c r="D15" s="65">
        <f>6426.22/D7</f>
        <v>64.262200000000007</v>
      </c>
      <c r="E15" s="4">
        <f>'Non Current Financial Assets'!G27/D7</f>
        <v>64.262199999999993</v>
      </c>
    </row>
    <row r="16" spans="1:6" ht="22.5" customHeight="1" x14ac:dyDescent="0.25">
      <c r="A16" s="19" t="s">
        <v>44</v>
      </c>
      <c r="B16" s="45" t="s">
        <v>40</v>
      </c>
      <c r="D16" s="65">
        <f>1023.92/D7</f>
        <v>10.2392</v>
      </c>
      <c r="E16" s="4">
        <f>D16*F16</f>
        <v>10.2392</v>
      </c>
      <c r="F16" s="24">
        <v>1</v>
      </c>
    </row>
    <row r="17" spans="1:6" ht="22.5" customHeight="1" x14ac:dyDescent="0.25">
      <c r="A17" s="19" t="s">
        <v>47</v>
      </c>
      <c r="B17" s="45" t="s">
        <v>41</v>
      </c>
      <c r="D17" s="65">
        <f>498.69/D7</f>
        <v>4.9869000000000003</v>
      </c>
      <c r="E17" s="4">
        <f>'Other Non Current Asset'!E15/'NAV EV'!D7</f>
        <v>3.3750900000000001</v>
      </c>
    </row>
    <row r="18" spans="1:6" ht="22.5" customHeight="1" x14ac:dyDescent="0.25">
      <c r="B18" s="40" t="s">
        <v>48</v>
      </c>
      <c r="C18" s="15"/>
      <c r="D18" s="41">
        <f>SUM(D10:D17)</f>
        <v>207.38329999999999</v>
      </c>
      <c r="E18" s="41">
        <f>SUM(E10:E17)</f>
        <v>159.16117061562502</v>
      </c>
    </row>
    <row r="19" spans="1:6" ht="13.5" customHeight="1" x14ac:dyDescent="0.25">
      <c r="B19" s="45"/>
      <c r="D19" s="19"/>
      <c r="E19" s="19"/>
    </row>
    <row r="20" spans="1:6" ht="22.5" customHeight="1" x14ac:dyDescent="0.25">
      <c r="A20" s="47">
        <v>2</v>
      </c>
      <c r="B20" s="7" t="s">
        <v>8</v>
      </c>
      <c r="D20" s="19"/>
      <c r="E20" s="19"/>
    </row>
    <row r="21" spans="1:6" ht="22.5" customHeight="1" x14ac:dyDescent="0.25">
      <c r="A21" s="19" t="s">
        <v>42</v>
      </c>
      <c r="B21" s="45" t="s">
        <v>9</v>
      </c>
      <c r="D21" s="65">
        <f>12942.25/D7</f>
        <v>129.42250000000001</v>
      </c>
      <c r="E21" s="4">
        <f>'Current Assets'!F12/'NAV EV'!D7</f>
        <v>8.0099</v>
      </c>
    </row>
    <row r="22" spans="1:6" ht="22.5" customHeight="1" x14ac:dyDescent="0.25">
      <c r="A22" s="19" t="s">
        <v>43</v>
      </c>
      <c r="B22" s="45" t="s">
        <v>37</v>
      </c>
      <c r="D22" s="65"/>
      <c r="E22" s="19"/>
    </row>
    <row r="23" spans="1:6" ht="22.5" customHeight="1" x14ac:dyDescent="0.25">
      <c r="A23" s="19"/>
      <c r="B23" s="45" t="s">
        <v>49</v>
      </c>
      <c r="D23" s="65">
        <f>12017.6/D7</f>
        <v>120.176</v>
      </c>
      <c r="E23" s="4">
        <f>'Current Assets'!F20/'NAV EV'!D7</f>
        <v>18.16591</v>
      </c>
    </row>
    <row r="24" spans="1:6" ht="22.5" customHeight="1" x14ac:dyDescent="0.25">
      <c r="A24" s="19"/>
      <c r="B24" s="45" t="s">
        <v>50</v>
      </c>
      <c r="D24" s="65">
        <f>211.55/D7</f>
        <v>2.1154999999999999</v>
      </c>
      <c r="E24" s="4">
        <f>'Current Assets'!F29/'NAV EV'!D7</f>
        <v>2.1154999999999999</v>
      </c>
      <c r="F24" s="24"/>
    </row>
    <row r="25" spans="1:6" ht="22.5" customHeight="1" x14ac:dyDescent="0.25">
      <c r="A25" s="19"/>
      <c r="B25" s="45" t="s">
        <v>51</v>
      </c>
      <c r="D25" s="65">
        <f>6657.54/D7</f>
        <v>66.575400000000002</v>
      </c>
      <c r="E25" s="4">
        <f>'Current Assets'!F33/'NAV EV'!D7</f>
        <v>0</v>
      </c>
      <c r="F25" s="24"/>
    </row>
    <row r="26" spans="1:6" ht="22.5" customHeight="1" x14ac:dyDescent="0.25">
      <c r="A26" s="19"/>
      <c r="B26" s="45" t="s">
        <v>52</v>
      </c>
      <c r="D26" s="65">
        <f>6308.32/D7</f>
        <v>63.083199999999998</v>
      </c>
      <c r="E26" s="4">
        <f>'Current Assets'!F43/'NAV EV'!D7</f>
        <v>62.713799999999999</v>
      </c>
      <c r="F26" s="24"/>
    </row>
    <row r="27" spans="1:6" ht="22.5" customHeight="1" x14ac:dyDescent="0.25">
      <c r="A27" s="19" t="s">
        <v>45</v>
      </c>
      <c r="B27" s="45" t="s">
        <v>53</v>
      </c>
      <c r="D27" s="65">
        <f>1734.21/D7</f>
        <v>17.342100000000002</v>
      </c>
      <c r="E27" s="4">
        <f>'Current Assets'!F47/'NAV EV'!D7</f>
        <v>17.342100000000002</v>
      </c>
      <c r="F27" s="24"/>
    </row>
    <row r="28" spans="1:6" ht="22.5" customHeight="1" x14ac:dyDescent="0.25">
      <c r="A28" s="19" t="s">
        <v>46</v>
      </c>
      <c r="B28" s="45" t="s">
        <v>54</v>
      </c>
      <c r="D28" s="65">
        <f>31117.21/D7</f>
        <v>311.1721</v>
      </c>
      <c r="E28" s="4">
        <f>'Current Assets'!F59/'NAV EV'!D7</f>
        <v>202.37945500000001</v>
      </c>
      <c r="F28" s="24"/>
    </row>
    <row r="29" spans="1:6" ht="22.5" customHeight="1" x14ac:dyDescent="0.25">
      <c r="B29" s="40" t="s">
        <v>55</v>
      </c>
      <c r="C29" s="15"/>
      <c r="D29" s="41">
        <f>SUM(D21:D28)</f>
        <v>709.88679999999999</v>
      </c>
      <c r="E29" s="41">
        <f>SUM(E21:E28)</f>
        <v>310.72666500000003</v>
      </c>
    </row>
    <row r="30" spans="1:6" ht="22.5" customHeight="1" x14ac:dyDescent="0.25">
      <c r="B30" s="45"/>
      <c r="D30" s="19"/>
      <c r="E30" s="19"/>
    </row>
    <row r="31" spans="1:6" ht="22.5" customHeight="1" x14ac:dyDescent="0.25">
      <c r="B31" s="40" t="s">
        <v>10</v>
      </c>
      <c r="C31" s="15"/>
      <c r="D31" s="41">
        <f>D18+D29</f>
        <v>917.27009999999996</v>
      </c>
      <c r="E31" s="41">
        <f>E18+E29</f>
        <v>469.88783561562502</v>
      </c>
    </row>
    <row r="32" spans="1:6" ht="22.5" customHeight="1" x14ac:dyDescent="0.25">
      <c r="B32" s="45"/>
      <c r="D32" s="19"/>
      <c r="E32" s="19"/>
    </row>
    <row r="33" spans="1:5" ht="22.5" customHeight="1" x14ac:dyDescent="0.25">
      <c r="B33" s="64" t="s">
        <v>56</v>
      </c>
      <c r="D33" s="19"/>
      <c r="E33" s="19"/>
    </row>
    <row r="34" spans="1:5" ht="22.5" customHeight="1" x14ac:dyDescent="0.25">
      <c r="A34" s="47">
        <v>1</v>
      </c>
      <c r="B34" s="7" t="s">
        <v>57</v>
      </c>
      <c r="D34" s="19"/>
      <c r="E34" s="19"/>
    </row>
    <row r="35" spans="1:5" ht="22.5" customHeight="1" x14ac:dyDescent="0.25">
      <c r="B35" s="45" t="s">
        <v>58</v>
      </c>
      <c r="D35" s="65">
        <f>503/D7</f>
        <v>5.03</v>
      </c>
      <c r="E35" s="19">
        <f>'Equity &amp; Liabilities'!H16/'NAV EV'!D7</f>
        <v>5.03</v>
      </c>
    </row>
    <row r="36" spans="1:5" ht="22.5" customHeight="1" x14ac:dyDescent="0.25">
      <c r="B36" s="45" t="s">
        <v>59</v>
      </c>
      <c r="D36" s="65">
        <f>27984.1/D7</f>
        <v>279.84100000000001</v>
      </c>
      <c r="E36" s="4">
        <f>'Equity &amp; Liabilities'!H34/'NAV EV'!D7</f>
        <v>279.0865</v>
      </c>
    </row>
    <row r="37" spans="1:5" ht="22.5" customHeight="1" x14ac:dyDescent="0.25">
      <c r="B37" s="40" t="s">
        <v>60</v>
      </c>
      <c r="C37" s="15"/>
      <c r="D37" s="41">
        <f>SUM(D35:D36)</f>
        <v>284.87099999999998</v>
      </c>
      <c r="E37" s="41">
        <f>SUM(E35:E36)</f>
        <v>284.11649999999997</v>
      </c>
    </row>
    <row r="38" spans="1:5" ht="22.5" customHeight="1" x14ac:dyDescent="0.25">
      <c r="B38" s="45"/>
      <c r="D38" s="19"/>
      <c r="E38" s="19"/>
    </row>
    <row r="39" spans="1:5" ht="22.5" customHeight="1" x14ac:dyDescent="0.25">
      <c r="A39" s="47">
        <v>2</v>
      </c>
      <c r="B39" s="7" t="s">
        <v>61</v>
      </c>
      <c r="D39" s="19"/>
      <c r="E39" s="19"/>
    </row>
    <row r="40" spans="1:5" ht="22.5" customHeight="1" x14ac:dyDescent="0.25">
      <c r="B40" s="7" t="s">
        <v>11</v>
      </c>
      <c r="D40" s="19"/>
      <c r="E40" s="19"/>
    </row>
    <row r="41" spans="1:5" ht="22.5" customHeight="1" x14ac:dyDescent="0.25">
      <c r="B41" s="45" t="s">
        <v>62</v>
      </c>
      <c r="D41" s="19"/>
      <c r="E41" s="19"/>
    </row>
    <row r="42" spans="1:5" ht="22.5" customHeight="1" x14ac:dyDescent="0.25">
      <c r="B42" s="45" t="s">
        <v>63</v>
      </c>
      <c r="D42" s="65">
        <f>10376.77/D7</f>
        <v>103.7677</v>
      </c>
      <c r="E42" s="4">
        <f>'Equity &amp; Liabilities'!H50/'NAV EV'!D7</f>
        <v>413.59260000000017</v>
      </c>
    </row>
    <row r="43" spans="1:5" ht="22.5" customHeight="1" x14ac:dyDescent="0.25">
      <c r="B43" s="45" t="s">
        <v>64</v>
      </c>
      <c r="D43" s="65">
        <f>2886.5/D7</f>
        <v>28.864999999999998</v>
      </c>
      <c r="E43" s="4">
        <f>'Equity &amp; Liabilities'!H54/'NAV EV'!D7</f>
        <v>28.864999999999998</v>
      </c>
    </row>
    <row r="44" spans="1:5" ht="22.5" customHeight="1" x14ac:dyDescent="0.25">
      <c r="B44" s="45" t="s">
        <v>65</v>
      </c>
      <c r="D44" s="65">
        <f>65.52/D7</f>
        <v>0.6552</v>
      </c>
      <c r="E44" s="4">
        <f>'Equity &amp; Liabilities'!H59/'NAV EV'!D7</f>
        <v>0.6552</v>
      </c>
    </row>
    <row r="45" spans="1:5" ht="22.5" customHeight="1" x14ac:dyDescent="0.25">
      <c r="B45" s="45" t="s">
        <v>66</v>
      </c>
      <c r="D45" s="65">
        <f>0/D7</f>
        <v>0</v>
      </c>
      <c r="E45" s="65">
        <v>0</v>
      </c>
    </row>
    <row r="46" spans="1:5" ht="22.5" customHeight="1" x14ac:dyDescent="0.25">
      <c r="B46" s="45" t="s">
        <v>67</v>
      </c>
      <c r="D46" s="65">
        <f>0/D7</f>
        <v>0</v>
      </c>
      <c r="E46" s="65">
        <v>0</v>
      </c>
    </row>
    <row r="47" spans="1:5" ht="22.5" customHeight="1" x14ac:dyDescent="0.25">
      <c r="B47" s="40" t="s">
        <v>68</v>
      </c>
      <c r="C47" s="15"/>
      <c r="D47" s="41">
        <f>SUM(D42:D46)</f>
        <v>133.28790000000001</v>
      </c>
      <c r="E47" s="41">
        <f>SUM(E42:E46)</f>
        <v>443.11280000000016</v>
      </c>
    </row>
    <row r="48" spans="1:5" ht="9" customHeight="1" x14ac:dyDescent="0.25">
      <c r="B48" s="45"/>
      <c r="D48" s="19"/>
      <c r="E48" s="19"/>
    </row>
    <row r="49" spans="2:5" ht="22.5" customHeight="1" x14ac:dyDescent="0.25">
      <c r="B49" s="7" t="s">
        <v>5</v>
      </c>
      <c r="D49" s="19"/>
      <c r="E49" s="19"/>
    </row>
    <row r="50" spans="2:5" ht="22.5" customHeight="1" x14ac:dyDescent="0.25">
      <c r="B50" s="45" t="s">
        <v>62</v>
      </c>
      <c r="D50" s="19"/>
      <c r="E50" s="19"/>
    </row>
    <row r="51" spans="2:5" ht="22.5" customHeight="1" x14ac:dyDescent="0.25">
      <c r="B51" s="45" t="s">
        <v>197</v>
      </c>
      <c r="D51" s="65">
        <f>21583.15/D7</f>
        <v>215.83150000000001</v>
      </c>
      <c r="E51" s="4">
        <f>'Equity &amp; Liabilities'!H68/'NAV EV'!D7</f>
        <v>122.12979999999999</v>
      </c>
    </row>
    <row r="52" spans="2:5" ht="22.5" customHeight="1" x14ac:dyDescent="0.25">
      <c r="B52" s="45" t="s">
        <v>69</v>
      </c>
      <c r="D52" s="19"/>
      <c r="E52" s="19"/>
    </row>
    <row r="53" spans="2:5" ht="22.5" customHeight="1" x14ac:dyDescent="0.25">
      <c r="B53" s="81" t="s">
        <v>73</v>
      </c>
      <c r="D53" s="65">
        <f>1678.97/D7</f>
        <v>16.7897</v>
      </c>
      <c r="E53" s="109">
        <f>'Equity &amp; Liabilities'!H74/'NAV EV'!D7</f>
        <v>181.31550000000004</v>
      </c>
    </row>
    <row r="54" spans="2:5" ht="22.5" customHeight="1" x14ac:dyDescent="0.25">
      <c r="B54" s="81" t="s">
        <v>74</v>
      </c>
      <c r="D54" s="65">
        <f>16452.58/D7</f>
        <v>164.5258</v>
      </c>
      <c r="E54" s="109"/>
    </row>
    <row r="55" spans="2:5" ht="22.5" customHeight="1" x14ac:dyDescent="0.25">
      <c r="B55" s="45" t="s">
        <v>70</v>
      </c>
      <c r="D55" s="65">
        <f>6878.07/D7</f>
        <v>68.780699999999996</v>
      </c>
      <c r="E55" s="80">
        <f>'Equity &amp; Liabilities'!H92/'NAV EV'!D7</f>
        <v>68.780699999999996</v>
      </c>
    </row>
    <row r="56" spans="2:5" ht="22.5" customHeight="1" x14ac:dyDescent="0.25">
      <c r="B56" s="45" t="s">
        <v>71</v>
      </c>
      <c r="D56" s="65">
        <f>44.17/D7</f>
        <v>0.44170000000000004</v>
      </c>
      <c r="E56" s="65">
        <v>0</v>
      </c>
    </row>
    <row r="57" spans="2:5" ht="22.5" customHeight="1" x14ac:dyDescent="0.25">
      <c r="B57" s="45" t="s">
        <v>72</v>
      </c>
      <c r="D57" s="65">
        <f>3274.17/D7</f>
        <v>32.741700000000002</v>
      </c>
      <c r="E57" s="65">
        <f>387.69/D7</f>
        <v>3.8769</v>
      </c>
    </row>
    <row r="58" spans="2:5" ht="22.5" customHeight="1" x14ac:dyDescent="0.25">
      <c r="B58" s="40" t="s">
        <v>6</v>
      </c>
      <c r="C58" s="15"/>
      <c r="D58" s="41">
        <f>SUM(D50:D57)</f>
        <v>499.11110000000008</v>
      </c>
      <c r="E58" s="41">
        <f>SUM(E50:E57)</f>
        <v>376.10289999999998</v>
      </c>
    </row>
    <row r="59" spans="2:5" ht="9.75" customHeight="1" x14ac:dyDescent="0.25">
      <c r="B59" s="45"/>
      <c r="D59" s="19"/>
      <c r="E59" s="19"/>
    </row>
    <row r="60" spans="2:5" ht="22.5" customHeight="1" x14ac:dyDescent="0.25">
      <c r="B60" s="40" t="s">
        <v>75</v>
      </c>
      <c r="C60" s="15"/>
      <c r="D60" s="41">
        <f>D47+D58</f>
        <v>632.39900000000011</v>
      </c>
      <c r="E60" s="41">
        <f>E47+E58</f>
        <v>819.2157000000002</v>
      </c>
    </row>
    <row r="61" spans="2:5" ht="12.75" customHeight="1" x14ac:dyDescent="0.25">
      <c r="B61" s="45"/>
      <c r="D61" s="19"/>
      <c r="E61" s="19"/>
    </row>
    <row r="62" spans="2:5" ht="22.5" customHeight="1" x14ac:dyDescent="0.25">
      <c r="B62" s="40" t="s">
        <v>76</v>
      </c>
      <c r="C62" s="15"/>
      <c r="D62" s="41">
        <f>D60+D37</f>
        <v>917.2700000000001</v>
      </c>
      <c r="E62" s="41">
        <f>E60+E37</f>
        <v>1103.3322000000003</v>
      </c>
    </row>
    <row r="63" spans="2:5" ht="22.5" customHeight="1" x14ac:dyDescent="0.25">
      <c r="B63" s="45"/>
      <c r="D63" s="19"/>
      <c r="E63" s="19"/>
    </row>
    <row r="64" spans="2:5" ht="22.5" customHeight="1" x14ac:dyDescent="0.25">
      <c r="B64" s="49" t="s">
        <v>7</v>
      </c>
      <c r="C64" s="46"/>
      <c r="D64" s="26"/>
      <c r="E64" s="26">
        <f>E53+E56+E57</f>
        <v>185.19240000000005</v>
      </c>
    </row>
    <row r="65" spans="2:5" ht="22.5" customHeight="1" x14ac:dyDescent="0.25">
      <c r="B65" s="49" t="s">
        <v>30</v>
      </c>
      <c r="C65" s="46"/>
      <c r="D65" s="26"/>
      <c r="E65" s="26">
        <f>'Equity &amp; Liabilities'!H99/'NAV EV'!D7</f>
        <v>194.91720000000001</v>
      </c>
    </row>
    <row r="66" spans="2:5" ht="22.5" customHeight="1" x14ac:dyDescent="0.25">
      <c r="B66" s="48" t="s">
        <v>31</v>
      </c>
      <c r="C66" s="7"/>
      <c r="D66" s="6"/>
      <c r="E66" s="6">
        <f>SUM(E64:E65)</f>
        <v>380.10960000000006</v>
      </c>
    </row>
    <row r="67" spans="2:5" ht="22.5" customHeight="1" x14ac:dyDescent="0.25">
      <c r="B67" s="2" t="s">
        <v>32</v>
      </c>
      <c r="C67" s="42"/>
      <c r="D67" s="42"/>
      <c r="E67" s="84">
        <f>E31-E66</f>
        <v>89.778235615624965</v>
      </c>
    </row>
    <row r="68" spans="2:5" ht="18.75" customHeight="1" x14ac:dyDescent="0.25">
      <c r="B68" s="7"/>
      <c r="C68" s="7"/>
      <c r="D68" s="6"/>
      <c r="E68" s="6"/>
    </row>
    <row r="69" spans="2:5" ht="29.25" customHeight="1" x14ac:dyDescent="0.25">
      <c r="B69" s="110" t="s">
        <v>274</v>
      </c>
      <c r="C69" s="111"/>
      <c r="D69" s="111"/>
      <c r="E69" s="112"/>
    </row>
    <row r="70" spans="2:5" ht="28.5" customHeight="1" x14ac:dyDescent="0.25">
      <c r="B70" s="113"/>
      <c r="C70" s="114"/>
      <c r="D70" s="114"/>
      <c r="E70" s="115"/>
    </row>
    <row r="71" spans="2:5" x14ac:dyDescent="0.25">
      <c r="B71" s="7"/>
      <c r="C71" s="7"/>
      <c r="D71" s="6"/>
      <c r="E71" s="6"/>
    </row>
    <row r="72" spans="2:5" ht="20.25" customHeight="1" x14ac:dyDescent="0.25">
      <c r="B72" s="7"/>
      <c r="C72" s="7"/>
      <c r="D72" s="6"/>
      <c r="E72" s="6"/>
    </row>
    <row r="73" spans="2:5" x14ac:dyDescent="0.25">
      <c r="B73" s="7"/>
      <c r="C73" s="7"/>
      <c r="D73" s="6"/>
      <c r="E73" s="6"/>
    </row>
    <row r="74" spans="2:5" x14ac:dyDescent="0.25">
      <c r="B74" s="7"/>
      <c r="C74" s="7"/>
      <c r="D74" s="6"/>
      <c r="E74" s="6"/>
    </row>
    <row r="75" spans="2:5" x14ac:dyDescent="0.25">
      <c r="B75" s="7"/>
      <c r="C75" s="7"/>
      <c r="D75" s="6"/>
      <c r="E75" s="6"/>
    </row>
    <row r="76" spans="2:5" x14ac:dyDescent="0.25">
      <c r="B76" s="7"/>
      <c r="C76" s="7"/>
      <c r="D76" s="6"/>
      <c r="E76" s="6"/>
    </row>
    <row r="77" spans="2:5" x14ac:dyDescent="0.25">
      <c r="B77" s="7"/>
      <c r="C77" s="7"/>
      <c r="D77" s="6"/>
      <c r="E77" s="6"/>
    </row>
    <row r="78" spans="2:5" x14ac:dyDescent="0.25">
      <c r="B78" s="7"/>
      <c r="C78" s="7"/>
      <c r="D78" s="6"/>
      <c r="E78" s="6"/>
    </row>
    <row r="79" spans="2:5" x14ac:dyDescent="0.25">
      <c r="B79" s="7"/>
      <c r="C79" s="7"/>
      <c r="D79" s="6"/>
      <c r="E79" s="6"/>
    </row>
    <row r="80" spans="2:5" x14ac:dyDescent="0.25">
      <c r="B80" s="7"/>
      <c r="C80" s="7"/>
      <c r="D80" s="6"/>
      <c r="E80" s="6"/>
    </row>
    <row r="81" spans="2:5" x14ac:dyDescent="0.25">
      <c r="B81" s="7"/>
      <c r="C81" s="7"/>
      <c r="D81" s="6"/>
      <c r="E81" s="6"/>
    </row>
    <row r="82" spans="2:5" ht="21.75" customHeight="1" x14ac:dyDescent="0.25">
      <c r="B82" s="7"/>
      <c r="C82" s="7"/>
      <c r="D82" s="6"/>
      <c r="E82" s="6"/>
    </row>
    <row r="83" spans="2:5" x14ac:dyDescent="0.25">
      <c r="B83" s="7"/>
      <c r="C83" s="7"/>
      <c r="D83" s="6"/>
      <c r="E83" s="6"/>
    </row>
    <row r="84" spans="2:5" x14ac:dyDescent="0.25">
      <c r="B84" s="7"/>
      <c r="C84" s="7"/>
      <c r="D84" s="6"/>
      <c r="E84" s="6"/>
    </row>
    <row r="85" spans="2:5" x14ac:dyDescent="0.25">
      <c r="B85" s="7"/>
      <c r="C85" s="7"/>
      <c r="D85" s="6"/>
      <c r="E85" s="6"/>
    </row>
    <row r="86" spans="2:5" x14ac:dyDescent="0.25">
      <c r="B86" s="7"/>
      <c r="C86" s="7"/>
      <c r="D86" s="6"/>
      <c r="E86" s="6"/>
    </row>
    <row r="87" spans="2:5" x14ac:dyDescent="0.25">
      <c r="B87" s="7"/>
      <c r="C87" s="7"/>
      <c r="D87" s="6"/>
      <c r="E87" s="6"/>
    </row>
    <row r="88" spans="2:5" ht="26.25" customHeight="1" x14ac:dyDescent="0.25">
      <c r="B88" s="7"/>
      <c r="C88" s="7"/>
      <c r="D88" s="6"/>
      <c r="E88" s="6"/>
    </row>
    <row r="89" spans="2:5" x14ac:dyDescent="0.25">
      <c r="B89" s="7"/>
      <c r="C89" s="7"/>
      <c r="D89" s="6"/>
      <c r="E89" s="6"/>
    </row>
    <row r="90" spans="2:5" x14ac:dyDescent="0.25">
      <c r="B90" s="7"/>
      <c r="C90" s="7"/>
      <c r="D90" s="6"/>
      <c r="E90" s="6"/>
    </row>
    <row r="91" spans="2:5" x14ac:dyDescent="0.25">
      <c r="B91" s="7"/>
      <c r="C91" s="7"/>
      <c r="D91" s="6"/>
      <c r="E91" s="6"/>
    </row>
    <row r="92" spans="2:5" x14ac:dyDescent="0.25">
      <c r="B92" s="7"/>
      <c r="C92" s="7"/>
      <c r="D92" s="6"/>
      <c r="E92" s="6"/>
    </row>
    <row r="93" spans="2:5" x14ac:dyDescent="0.25">
      <c r="B93" s="7"/>
      <c r="C93" s="7"/>
      <c r="D93" s="6"/>
      <c r="E93" s="6"/>
    </row>
  </sheetData>
  <mergeCells count="2">
    <mergeCell ref="E53:E54"/>
    <mergeCell ref="B69:E7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D93"/>
  <sheetViews>
    <sheetView showGridLines="0" topLeftCell="A82" zoomScaleNormal="100" workbookViewId="0">
      <selection activeCell="D85" sqref="D85:D92"/>
    </sheetView>
  </sheetViews>
  <sheetFormatPr defaultRowHeight="15" x14ac:dyDescent="0.25"/>
  <cols>
    <col min="1" max="1" width="5.85546875" style="18" customWidth="1"/>
    <col min="2" max="2" width="52" style="18" customWidth="1"/>
    <col min="3" max="3" width="6" style="18" customWidth="1"/>
    <col min="4" max="4" width="26.42578125" style="18" customWidth="1"/>
    <col min="5" max="11" width="16.7109375" style="18" customWidth="1"/>
    <col min="12" max="16384" width="9.140625" style="18"/>
  </cols>
  <sheetData>
    <row r="1" spans="2:4" ht="18" customHeight="1" x14ac:dyDescent="0.25"/>
    <row r="2" spans="2:4" ht="17.25" customHeight="1" x14ac:dyDescent="0.25">
      <c r="B2" s="17" t="str">
        <f>'NAV EV'!B2</f>
        <v>M/s Kunal Structure (India) Private Limited</v>
      </c>
      <c r="C2" s="44"/>
      <c r="D2" s="44"/>
    </row>
    <row r="3" spans="2:4" ht="10.5" customHeight="1" x14ac:dyDescent="0.25"/>
    <row r="4" spans="2:4" ht="18" customHeight="1" x14ac:dyDescent="0.25">
      <c r="B4" s="2" t="s">
        <v>12</v>
      </c>
      <c r="C4" s="2"/>
      <c r="D4" s="2"/>
    </row>
    <row r="5" spans="2:4" ht="20.25" customHeight="1" x14ac:dyDescent="0.25"/>
    <row r="6" spans="2:4" ht="20.25" customHeight="1" x14ac:dyDescent="0.25">
      <c r="B6" s="54" t="s">
        <v>78</v>
      </c>
      <c r="C6" s="43"/>
      <c r="D6" s="43"/>
    </row>
    <row r="7" spans="2:4" ht="20.25" customHeight="1" x14ac:dyDescent="0.25">
      <c r="B7" s="49" t="s">
        <v>79</v>
      </c>
      <c r="C7" s="50"/>
      <c r="D7" s="50"/>
    </row>
    <row r="8" spans="2:4" ht="20.25" customHeight="1" x14ac:dyDescent="0.25">
      <c r="B8" s="49" t="s">
        <v>80</v>
      </c>
      <c r="C8" s="50"/>
      <c r="D8" s="51">
        <v>0</v>
      </c>
    </row>
    <row r="9" spans="2:4" ht="20.25" customHeight="1" x14ac:dyDescent="0.25">
      <c r="B9" s="49" t="s">
        <v>81</v>
      </c>
      <c r="C9" s="50"/>
      <c r="D9" s="51">
        <v>0</v>
      </c>
    </row>
    <row r="10" spans="2:4" ht="20.25" customHeight="1" x14ac:dyDescent="0.25">
      <c r="B10" s="18" t="s">
        <v>85</v>
      </c>
      <c r="D10" s="19">
        <v>1453.77</v>
      </c>
    </row>
    <row r="11" spans="2:4" ht="20.25" customHeight="1" x14ac:dyDescent="0.25">
      <c r="B11" s="18" t="s">
        <v>86</v>
      </c>
      <c r="D11" s="4">
        <f>3+(7/12)</f>
        <v>3.5833333333333335</v>
      </c>
    </row>
    <row r="12" spans="2:4" ht="20.25" customHeight="1" x14ac:dyDescent="0.25">
      <c r="B12" s="18" t="s">
        <v>77</v>
      </c>
      <c r="D12" s="4">
        <f>D10*(1-D9)*D8*D11</f>
        <v>0</v>
      </c>
    </row>
    <row r="13" spans="2:4" ht="20.25" customHeight="1" x14ac:dyDescent="0.25">
      <c r="B13" s="55" t="s">
        <v>87</v>
      </c>
      <c r="C13" s="55"/>
      <c r="D13" s="56">
        <f>D10-D12</f>
        <v>1453.77</v>
      </c>
    </row>
    <row r="14" spans="2:4" ht="20.25" customHeight="1" x14ac:dyDescent="0.25"/>
    <row r="15" spans="2:4" ht="20.25" customHeight="1" x14ac:dyDescent="0.25"/>
    <row r="16" spans="2:4" ht="20.25" customHeight="1" x14ac:dyDescent="0.25">
      <c r="B16" s="54" t="s">
        <v>88</v>
      </c>
      <c r="C16" s="43"/>
      <c r="D16" s="43"/>
    </row>
    <row r="17" spans="2:4" ht="20.25" customHeight="1" x14ac:dyDescent="0.25">
      <c r="B17" s="49" t="s">
        <v>79</v>
      </c>
      <c r="C17" s="50"/>
      <c r="D17" s="52" t="s">
        <v>82</v>
      </c>
    </row>
    <row r="18" spans="2:4" ht="20.25" customHeight="1" x14ac:dyDescent="0.25">
      <c r="B18" s="49" t="s">
        <v>80</v>
      </c>
      <c r="C18" s="50"/>
      <c r="D18" s="53">
        <f>95%/60</f>
        <v>1.5833333333333331E-2</v>
      </c>
    </row>
    <row r="19" spans="2:4" ht="20.25" customHeight="1" x14ac:dyDescent="0.25">
      <c r="B19" s="49" t="s">
        <v>81</v>
      </c>
      <c r="C19" s="50"/>
      <c r="D19" s="51">
        <v>0.05</v>
      </c>
    </row>
    <row r="20" spans="2:4" ht="20.25" customHeight="1" x14ac:dyDescent="0.25">
      <c r="B20" s="49" t="s">
        <v>273</v>
      </c>
      <c r="C20" s="50"/>
      <c r="D20" s="19">
        <v>790.43</v>
      </c>
    </row>
    <row r="21" spans="2:4" ht="20.25" customHeight="1" x14ac:dyDescent="0.25">
      <c r="B21" s="18" t="s">
        <v>85</v>
      </c>
      <c r="D21" s="19">
        <v>691.32</v>
      </c>
    </row>
    <row r="22" spans="2:4" ht="20.25" customHeight="1" x14ac:dyDescent="0.25">
      <c r="B22" s="18" t="s">
        <v>86</v>
      </c>
      <c r="D22" s="4">
        <f>3+(7/12)</f>
        <v>3.5833333333333335</v>
      </c>
    </row>
    <row r="23" spans="2:4" ht="20.25" customHeight="1" x14ac:dyDescent="0.25">
      <c r="B23" s="18" t="s">
        <v>77</v>
      </c>
      <c r="D23" s="4">
        <f>D20*(1-D19)*D18*D22</f>
        <v>42.603628090277766</v>
      </c>
    </row>
    <row r="24" spans="2:4" ht="20.25" customHeight="1" x14ac:dyDescent="0.25">
      <c r="B24" s="55" t="s">
        <v>87</v>
      </c>
      <c r="C24" s="55"/>
      <c r="D24" s="56">
        <f>D21-D23</f>
        <v>648.71637190972228</v>
      </c>
    </row>
    <row r="25" spans="2:4" ht="20.25" customHeight="1" x14ac:dyDescent="0.25"/>
    <row r="26" spans="2:4" ht="20.25" customHeight="1" x14ac:dyDescent="0.25"/>
    <row r="27" spans="2:4" ht="20.25" customHeight="1" x14ac:dyDescent="0.25">
      <c r="B27" s="54" t="s">
        <v>89</v>
      </c>
      <c r="C27" s="43"/>
      <c r="D27" s="43"/>
    </row>
    <row r="28" spans="2:4" ht="20.25" customHeight="1" x14ac:dyDescent="0.25">
      <c r="B28" s="49" t="s">
        <v>79</v>
      </c>
      <c r="C28" s="50"/>
      <c r="D28" s="52" t="s">
        <v>90</v>
      </c>
    </row>
    <row r="29" spans="2:4" ht="20.25" customHeight="1" x14ac:dyDescent="0.25">
      <c r="B29" s="49" t="s">
        <v>80</v>
      </c>
      <c r="C29" s="50"/>
      <c r="D29" s="53">
        <f>95%/15</f>
        <v>6.3333333333333325E-2</v>
      </c>
    </row>
    <row r="30" spans="2:4" ht="20.25" customHeight="1" x14ac:dyDescent="0.25">
      <c r="B30" s="49" t="s">
        <v>81</v>
      </c>
      <c r="C30" s="50"/>
      <c r="D30" s="51">
        <v>0.05</v>
      </c>
    </row>
    <row r="31" spans="2:4" ht="20.25" customHeight="1" x14ac:dyDescent="0.25">
      <c r="B31" s="49" t="s">
        <v>273</v>
      </c>
      <c r="C31" s="50"/>
      <c r="D31" s="19">
        <v>17761.810000000001</v>
      </c>
    </row>
    <row r="32" spans="2:4" ht="20.25" customHeight="1" x14ac:dyDescent="0.25">
      <c r="B32" s="18" t="s">
        <v>85</v>
      </c>
      <c r="D32" s="19">
        <v>9291.2000000000007</v>
      </c>
    </row>
    <row r="33" spans="2:4" ht="20.25" customHeight="1" x14ac:dyDescent="0.25">
      <c r="B33" s="18" t="s">
        <v>86</v>
      </c>
      <c r="D33" s="4">
        <f>3+(7/12)</f>
        <v>3.5833333333333335</v>
      </c>
    </row>
    <row r="34" spans="2:4" ht="20.25" customHeight="1" x14ac:dyDescent="0.25">
      <c r="B34" s="18" t="s">
        <v>77</v>
      </c>
      <c r="D34" s="4">
        <f>D31*(1-D30)*D29*D33</f>
        <v>3829.3968976388883</v>
      </c>
    </row>
    <row r="35" spans="2:4" ht="20.25" customHeight="1" x14ac:dyDescent="0.25">
      <c r="B35" s="55" t="s">
        <v>87</v>
      </c>
      <c r="C35" s="55"/>
      <c r="D35" s="56">
        <f>D32-D34</f>
        <v>5461.8031023611129</v>
      </c>
    </row>
    <row r="36" spans="2:4" ht="20.25" customHeight="1" x14ac:dyDescent="0.25"/>
    <row r="37" spans="2:4" ht="20.25" customHeight="1" x14ac:dyDescent="0.25"/>
    <row r="38" spans="2:4" ht="20.25" customHeight="1" x14ac:dyDescent="0.25">
      <c r="B38" s="54" t="s">
        <v>83</v>
      </c>
      <c r="C38" s="43"/>
      <c r="D38" s="43"/>
    </row>
    <row r="39" spans="2:4" ht="20.25" customHeight="1" x14ac:dyDescent="0.25">
      <c r="B39" s="49" t="s">
        <v>79</v>
      </c>
      <c r="C39" s="50"/>
      <c r="D39" s="52" t="s">
        <v>91</v>
      </c>
    </row>
    <row r="40" spans="2:4" ht="20.25" customHeight="1" x14ac:dyDescent="0.25">
      <c r="B40" s="49" t="s">
        <v>80</v>
      </c>
      <c r="C40" s="50"/>
      <c r="D40" s="53">
        <f>95%/5</f>
        <v>0.19</v>
      </c>
    </row>
    <row r="41" spans="2:4" ht="20.25" customHeight="1" x14ac:dyDescent="0.25">
      <c r="B41" s="49" t="s">
        <v>81</v>
      </c>
      <c r="C41" s="50"/>
      <c r="D41" s="51">
        <v>0.05</v>
      </c>
    </row>
    <row r="42" spans="2:4" ht="20.25" customHeight="1" x14ac:dyDescent="0.25">
      <c r="B42" s="49" t="s">
        <v>273</v>
      </c>
      <c r="C42" s="50"/>
      <c r="D42" s="19">
        <v>155.16</v>
      </c>
    </row>
    <row r="43" spans="2:4" ht="20.25" customHeight="1" x14ac:dyDescent="0.25">
      <c r="B43" s="18" t="s">
        <v>85</v>
      </c>
      <c r="D43" s="19">
        <v>50.7</v>
      </c>
    </row>
    <row r="44" spans="2:4" ht="20.25" customHeight="1" x14ac:dyDescent="0.25">
      <c r="B44" s="18" t="s">
        <v>86</v>
      </c>
      <c r="D44" s="4">
        <f>3+(7/12)</f>
        <v>3.5833333333333335</v>
      </c>
    </row>
    <row r="45" spans="2:4" ht="20.25" customHeight="1" x14ac:dyDescent="0.25">
      <c r="B45" s="18" t="s">
        <v>77</v>
      </c>
      <c r="D45" s="4">
        <f>D42*(1-D41)*D40*D44</f>
        <v>100.35619499999999</v>
      </c>
    </row>
    <row r="46" spans="2:4" ht="20.25" customHeight="1" x14ac:dyDescent="0.25">
      <c r="B46" s="55" t="s">
        <v>87</v>
      </c>
      <c r="C46" s="55"/>
      <c r="D46" s="56">
        <f>D42*5%</f>
        <v>7.758</v>
      </c>
    </row>
    <row r="47" spans="2:4" ht="20.25" customHeight="1" x14ac:dyDescent="0.25"/>
    <row r="48" spans="2:4" ht="20.25" customHeight="1" x14ac:dyDescent="0.25"/>
    <row r="49" spans="2:4" ht="20.25" customHeight="1" x14ac:dyDescent="0.25">
      <c r="B49" s="54" t="s">
        <v>92</v>
      </c>
      <c r="C49" s="43"/>
      <c r="D49" s="43"/>
    </row>
    <row r="50" spans="2:4" ht="20.25" customHeight="1" x14ac:dyDescent="0.25">
      <c r="B50" s="49" t="s">
        <v>79</v>
      </c>
      <c r="C50" s="50"/>
      <c r="D50" s="52" t="s">
        <v>93</v>
      </c>
    </row>
    <row r="51" spans="2:4" ht="20.25" customHeight="1" x14ac:dyDescent="0.25">
      <c r="B51" s="49" t="s">
        <v>80</v>
      </c>
      <c r="C51" s="50"/>
      <c r="D51" s="53">
        <f>95%/10</f>
        <v>9.5000000000000001E-2</v>
      </c>
    </row>
    <row r="52" spans="2:4" ht="20.25" customHeight="1" x14ac:dyDescent="0.25">
      <c r="B52" s="49" t="s">
        <v>81</v>
      </c>
      <c r="C52" s="50"/>
      <c r="D52" s="51">
        <v>0.05</v>
      </c>
    </row>
    <row r="53" spans="2:4" ht="20.25" customHeight="1" x14ac:dyDescent="0.25">
      <c r="B53" s="49" t="s">
        <v>273</v>
      </c>
      <c r="C53" s="50"/>
      <c r="D53" s="19">
        <v>479.64</v>
      </c>
    </row>
    <row r="54" spans="2:4" ht="20.25" customHeight="1" x14ac:dyDescent="0.25">
      <c r="B54" s="18" t="s">
        <v>85</v>
      </c>
      <c r="D54" s="19">
        <v>214.01</v>
      </c>
    </row>
    <row r="55" spans="2:4" ht="20.25" customHeight="1" x14ac:dyDescent="0.25">
      <c r="B55" s="18" t="s">
        <v>86</v>
      </c>
      <c r="D55" s="4">
        <f>3+(7/12)</f>
        <v>3.5833333333333335</v>
      </c>
    </row>
    <row r="56" spans="2:4" ht="20.25" customHeight="1" x14ac:dyDescent="0.25">
      <c r="B56" s="18" t="s">
        <v>77</v>
      </c>
      <c r="D56" s="4">
        <f>D53*(1-D52)*D51*D55</f>
        <v>155.11357749999999</v>
      </c>
    </row>
    <row r="57" spans="2:4" ht="20.25" customHeight="1" x14ac:dyDescent="0.25">
      <c r="B57" s="55" t="s">
        <v>87</v>
      </c>
      <c r="C57" s="55"/>
      <c r="D57" s="56">
        <f>D54-D56</f>
        <v>58.8964225</v>
      </c>
    </row>
    <row r="58" spans="2:4" ht="20.25" customHeight="1" x14ac:dyDescent="0.25"/>
    <row r="59" spans="2:4" ht="20.25" customHeight="1" x14ac:dyDescent="0.25"/>
    <row r="60" spans="2:4" ht="20.25" customHeight="1" x14ac:dyDescent="0.25">
      <c r="B60" s="54" t="s">
        <v>84</v>
      </c>
      <c r="C60" s="43"/>
      <c r="D60" s="43"/>
    </row>
    <row r="61" spans="2:4" ht="20.25" customHeight="1" x14ac:dyDescent="0.25">
      <c r="B61" s="49" t="s">
        <v>79</v>
      </c>
      <c r="C61" s="50"/>
      <c r="D61" s="52" t="s">
        <v>94</v>
      </c>
    </row>
    <row r="62" spans="2:4" ht="20.25" customHeight="1" x14ac:dyDescent="0.25">
      <c r="B62" s="49" t="s">
        <v>80</v>
      </c>
      <c r="C62" s="50"/>
      <c r="D62" s="53">
        <f>95%/10</f>
        <v>9.5000000000000001E-2</v>
      </c>
    </row>
    <row r="63" spans="2:4" ht="20.25" customHeight="1" x14ac:dyDescent="0.25">
      <c r="B63" s="49" t="s">
        <v>81</v>
      </c>
      <c r="C63" s="50"/>
      <c r="D63" s="51">
        <v>0.05</v>
      </c>
    </row>
    <row r="64" spans="2:4" ht="20.25" customHeight="1" x14ac:dyDescent="0.25">
      <c r="B64" s="49" t="s">
        <v>273</v>
      </c>
      <c r="C64" s="50"/>
      <c r="D64" s="19">
        <v>1176.75</v>
      </c>
    </row>
    <row r="65" spans="2:4" ht="20.25" customHeight="1" x14ac:dyDescent="0.25">
      <c r="B65" s="18" t="s">
        <v>85</v>
      </c>
      <c r="D65" s="19">
        <v>613.20000000000005</v>
      </c>
    </row>
    <row r="66" spans="2:4" ht="20.25" customHeight="1" x14ac:dyDescent="0.25">
      <c r="B66" s="18" t="s">
        <v>86</v>
      </c>
      <c r="D66" s="4">
        <f>3+(7/12)</f>
        <v>3.5833333333333335</v>
      </c>
    </row>
    <row r="67" spans="2:4" ht="20.25" customHeight="1" x14ac:dyDescent="0.25">
      <c r="B67" s="18" t="s">
        <v>77</v>
      </c>
      <c r="D67" s="4">
        <f>D64*(1-D63)*D62*D66</f>
        <v>380.55604687499999</v>
      </c>
    </row>
    <row r="68" spans="2:4" ht="20.25" customHeight="1" x14ac:dyDescent="0.25">
      <c r="B68" s="55" t="s">
        <v>87</v>
      </c>
      <c r="C68" s="55"/>
      <c r="D68" s="56">
        <f>D65-D67</f>
        <v>232.64395312500005</v>
      </c>
    </row>
    <row r="69" spans="2:4" ht="20.25" customHeight="1" x14ac:dyDescent="0.25"/>
    <row r="70" spans="2:4" ht="20.25" customHeight="1" x14ac:dyDescent="0.25"/>
    <row r="71" spans="2:4" ht="20.25" customHeight="1" x14ac:dyDescent="0.25">
      <c r="B71" s="54" t="s">
        <v>95</v>
      </c>
      <c r="C71" s="43"/>
      <c r="D71" s="43"/>
    </row>
    <row r="72" spans="2:4" ht="20.25" customHeight="1" x14ac:dyDescent="0.25">
      <c r="B72" s="49" t="s">
        <v>79</v>
      </c>
      <c r="C72" s="50"/>
      <c r="D72" s="52" t="s">
        <v>96</v>
      </c>
    </row>
    <row r="73" spans="2:4" ht="20.25" customHeight="1" x14ac:dyDescent="0.25">
      <c r="B73" s="49" t="s">
        <v>80</v>
      </c>
      <c r="C73" s="50"/>
      <c r="D73" s="53">
        <f>95%/6</f>
        <v>0.15833333333333333</v>
      </c>
    </row>
    <row r="74" spans="2:4" ht="20.25" customHeight="1" x14ac:dyDescent="0.25">
      <c r="B74" s="49" t="s">
        <v>81</v>
      </c>
      <c r="C74" s="50"/>
      <c r="D74" s="51">
        <v>0.05</v>
      </c>
    </row>
    <row r="75" spans="2:4" ht="20.25" customHeight="1" x14ac:dyDescent="0.25">
      <c r="B75" s="49" t="s">
        <v>273</v>
      </c>
      <c r="C75" s="50"/>
      <c r="D75" s="19">
        <v>581.02</v>
      </c>
    </row>
    <row r="76" spans="2:4" ht="20.25" customHeight="1" x14ac:dyDescent="0.25">
      <c r="B76" s="18" t="s">
        <v>85</v>
      </c>
      <c r="D76" s="19">
        <v>93.22</v>
      </c>
    </row>
    <row r="77" spans="2:4" ht="20.25" customHeight="1" x14ac:dyDescent="0.25">
      <c r="B77" s="18" t="s">
        <v>86</v>
      </c>
      <c r="D77" s="4">
        <f>3+(7/12)</f>
        <v>3.5833333333333335</v>
      </c>
    </row>
    <row r="78" spans="2:4" ht="20.25" customHeight="1" x14ac:dyDescent="0.25">
      <c r="B78" s="18" t="s">
        <v>77</v>
      </c>
      <c r="D78" s="4">
        <f>D75*(1-D74)*D73*D77</f>
        <v>313.16574513888889</v>
      </c>
    </row>
    <row r="79" spans="2:4" ht="20.25" customHeight="1" x14ac:dyDescent="0.25">
      <c r="B79" s="55" t="s">
        <v>87</v>
      </c>
      <c r="C79" s="55"/>
      <c r="D79" s="56">
        <f>D75*5%</f>
        <v>29.051000000000002</v>
      </c>
    </row>
    <row r="80" spans="2:4" ht="20.25" customHeight="1" x14ac:dyDescent="0.25"/>
    <row r="81" spans="2:4" ht="20.25" customHeight="1" x14ac:dyDescent="0.25">
      <c r="B81" s="21" t="s">
        <v>97</v>
      </c>
      <c r="C81" s="21"/>
      <c r="D81" s="22">
        <f>D13+D24+D35+D46+D57+D68+D79</f>
        <v>7892.6388498958349</v>
      </c>
    </row>
    <row r="82" spans="2:4" ht="20.25" customHeight="1" x14ac:dyDescent="0.25"/>
    <row r="83" spans="2:4" ht="20.25" customHeight="1" x14ac:dyDescent="0.25"/>
    <row r="84" spans="2:4" ht="20.25" customHeight="1" x14ac:dyDescent="0.25">
      <c r="B84" s="54" t="s">
        <v>98</v>
      </c>
      <c r="C84" s="43"/>
      <c r="D84" s="43"/>
    </row>
    <row r="85" spans="2:4" ht="20.25" customHeight="1" x14ac:dyDescent="0.25">
      <c r="B85" s="49" t="s">
        <v>79</v>
      </c>
      <c r="C85" s="50"/>
      <c r="D85" s="52" t="s">
        <v>93</v>
      </c>
    </row>
    <row r="86" spans="2:4" ht="20.25" customHeight="1" x14ac:dyDescent="0.25">
      <c r="B86" s="49" t="s">
        <v>99</v>
      </c>
      <c r="C86" s="50"/>
      <c r="D86" s="53">
        <f>95%/10</f>
        <v>9.5000000000000001E-2</v>
      </c>
    </row>
    <row r="87" spans="2:4" ht="20.25" customHeight="1" x14ac:dyDescent="0.25">
      <c r="B87" s="49" t="s">
        <v>81</v>
      </c>
      <c r="C87" s="50"/>
      <c r="D87" s="51">
        <v>0.05</v>
      </c>
    </row>
    <row r="88" spans="2:4" ht="20.25" customHeight="1" x14ac:dyDescent="0.25">
      <c r="B88" s="49" t="s">
        <v>273</v>
      </c>
      <c r="C88" s="50"/>
      <c r="D88" s="19">
        <v>452.08</v>
      </c>
    </row>
    <row r="89" spans="2:4" ht="20.25" customHeight="1" x14ac:dyDescent="0.25">
      <c r="B89" s="18" t="s">
        <v>85</v>
      </c>
      <c r="D89" s="19">
        <v>232.29</v>
      </c>
    </row>
    <row r="90" spans="2:4" ht="20.25" customHeight="1" x14ac:dyDescent="0.25">
      <c r="B90" s="18" t="s">
        <v>86</v>
      </c>
      <c r="D90" s="4">
        <f>3+(7/12)</f>
        <v>3.5833333333333335</v>
      </c>
    </row>
    <row r="91" spans="2:4" ht="20.25" customHeight="1" x14ac:dyDescent="0.25">
      <c r="B91" s="18" t="s">
        <v>77</v>
      </c>
      <c r="D91" s="4">
        <f>D88*(1-D87)*D86*D90</f>
        <v>146.20078833333332</v>
      </c>
    </row>
    <row r="92" spans="2:4" ht="20.25" customHeight="1" x14ac:dyDescent="0.25">
      <c r="B92" s="55" t="s">
        <v>87</v>
      </c>
      <c r="C92" s="55"/>
      <c r="D92" s="56">
        <f>D89-D91</f>
        <v>86.089211666666671</v>
      </c>
    </row>
    <row r="93" spans="2:4" ht="20.25" customHeight="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I27"/>
  <sheetViews>
    <sheetView showGridLines="0" workbookViewId="0">
      <selection activeCell="G8" sqref="G8:G19"/>
    </sheetView>
  </sheetViews>
  <sheetFormatPr defaultRowHeight="15" x14ac:dyDescent="0.25"/>
  <cols>
    <col min="1" max="1" width="5.42578125" customWidth="1"/>
    <col min="2" max="2" width="44.85546875" customWidth="1"/>
    <col min="3" max="3" width="6.28515625" customWidth="1"/>
    <col min="4" max="4" width="30.5703125" customWidth="1"/>
    <col min="5" max="5" width="2.85546875" customWidth="1"/>
    <col min="6" max="6" width="1.7109375" customWidth="1"/>
    <col min="7" max="7" width="58.7109375" customWidth="1"/>
    <col min="9" max="9" width="12" customWidth="1"/>
  </cols>
  <sheetData>
    <row r="2" spans="1:9" ht="17.25" customHeight="1" x14ac:dyDescent="0.25">
      <c r="B2" s="17" t="str">
        <f>'NAV EV'!B2</f>
        <v>M/s Kunal Structure (India) Private Limited</v>
      </c>
      <c r="C2" s="16"/>
      <c r="D2" s="16"/>
      <c r="E2" s="16"/>
      <c r="F2" s="16"/>
      <c r="G2" s="16"/>
      <c r="H2" s="16"/>
      <c r="I2" s="16"/>
    </row>
    <row r="3" spans="1:9" ht="10.5" customHeight="1" x14ac:dyDescent="0.25"/>
    <row r="4" spans="1:9" ht="18" customHeight="1" x14ac:dyDescent="0.25">
      <c r="B4" s="2" t="s">
        <v>104</v>
      </c>
      <c r="C4" s="1"/>
      <c r="D4" s="1"/>
      <c r="E4" s="1"/>
      <c r="F4" s="1"/>
      <c r="G4" s="1"/>
      <c r="H4" s="1"/>
      <c r="I4" s="1"/>
    </row>
    <row r="5" spans="1:9" ht="9.75" customHeight="1" x14ac:dyDescent="0.25"/>
    <row r="6" spans="1:9" ht="18" customHeight="1" x14ac:dyDescent="0.25">
      <c r="B6" s="2" t="s">
        <v>13</v>
      </c>
      <c r="C6" s="2"/>
      <c r="D6" s="10" t="s">
        <v>105</v>
      </c>
      <c r="E6" s="2"/>
      <c r="F6" s="2"/>
      <c r="G6" s="10" t="s">
        <v>101</v>
      </c>
      <c r="H6" s="2"/>
      <c r="I6" s="9" t="s">
        <v>14</v>
      </c>
    </row>
    <row r="7" spans="1:9" ht="10.5" customHeight="1" x14ac:dyDescent="0.25">
      <c r="D7" s="19"/>
    </row>
    <row r="8" spans="1:9" ht="18.75" customHeight="1" x14ac:dyDescent="0.25">
      <c r="A8" s="47">
        <v>1</v>
      </c>
      <c r="B8" s="7" t="s">
        <v>16</v>
      </c>
      <c r="D8" s="19"/>
      <c r="G8" s="116" t="s">
        <v>116</v>
      </c>
    </row>
    <row r="9" spans="1:9" ht="18.75" customHeight="1" x14ac:dyDescent="0.25">
      <c r="B9" s="7" t="s">
        <v>111</v>
      </c>
      <c r="D9" s="47">
        <f>SUM(D11:D14)</f>
        <v>37.35</v>
      </c>
      <c r="G9" s="116"/>
    </row>
    <row r="10" spans="1:9" ht="18.75" customHeight="1" x14ac:dyDescent="0.25">
      <c r="B10" s="7" t="s">
        <v>106</v>
      </c>
      <c r="D10" s="19"/>
      <c r="G10" s="116"/>
    </row>
    <row r="11" spans="1:9" ht="18.75" customHeight="1" x14ac:dyDescent="0.25">
      <c r="B11" s="46" t="s">
        <v>110</v>
      </c>
      <c r="D11" s="19">
        <v>0.51</v>
      </c>
      <c r="G11" s="116"/>
    </row>
    <row r="12" spans="1:9" ht="18.75" customHeight="1" x14ac:dyDescent="0.25">
      <c r="B12" s="46" t="s">
        <v>107</v>
      </c>
      <c r="D12" s="19">
        <v>17.27</v>
      </c>
      <c r="G12" s="116"/>
    </row>
    <row r="13" spans="1:9" ht="18.75" customHeight="1" x14ac:dyDescent="0.25">
      <c r="B13" s="46" t="s">
        <v>108</v>
      </c>
      <c r="D13" s="19">
        <v>19.47</v>
      </c>
      <c r="G13" s="116"/>
    </row>
    <row r="14" spans="1:9" ht="18.75" customHeight="1" x14ac:dyDescent="0.25">
      <c r="B14" s="46" t="s">
        <v>109</v>
      </c>
      <c r="D14" s="4">
        <v>0.1</v>
      </c>
      <c r="G14" s="116"/>
    </row>
    <row r="15" spans="1:9" ht="14.25" customHeight="1" x14ac:dyDescent="0.25">
      <c r="B15" s="7"/>
      <c r="D15" s="19"/>
      <c r="G15" s="116"/>
    </row>
    <row r="16" spans="1:9" ht="18.75" customHeight="1" x14ac:dyDescent="0.25">
      <c r="B16" s="7" t="s">
        <v>113</v>
      </c>
      <c r="D16" s="19"/>
      <c r="G16" s="116"/>
    </row>
    <row r="17" spans="1:9" ht="18.75" customHeight="1" x14ac:dyDescent="0.25">
      <c r="B17" s="7" t="s">
        <v>112</v>
      </c>
      <c r="G17" s="116"/>
    </row>
    <row r="18" spans="1:9" ht="18.75" customHeight="1" x14ac:dyDescent="0.25">
      <c r="B18" s="46" t="s">
        <v>114</v>
      </c>
      <c r="D18" s="4">
        <v>0</v>
      </c>
      <c r="G18" s="116"/>
    </row>
    <row r="19" spans="1:9" ht="18.75" customHeight="1" x14ac:dyDescent="0.25">
      <c r="B19" s="46" t="s">
        <v>115</v>
      </c>
      <c r="D19" s="19">
        <v>11.71</v>
      </c>
      <c r="G19" s="117"/>
    </row>
    <row r="20" spans="1:9" s="3" customFormat="1" ht="18.75" customHeight="1" x14ac:dyDescent="0.25">
      <c r="B20" s="55" t="s">
        <v>19</v>
      </c>
      <c r="C20" s="57"/>
      <c r="D20" s="58">
        <f>D9+D19</f>
        <v>49.06</v>
      </c>
      <c r="E20" s="57"/>
      <c r="F20" s="57"/>
      <c r="G20" s="56">
        <f>D20*I20</f>
        <v>49.06</v>
      </c>
      <c r="H20" s="57"/>
      <c r="I20" s="61">
        <v>1</v>
      </c>
    </row>
    <row r="21" spans="1:9" ht="18.75" customHeight="1" x14ac:dyDescent="0.25">
      <c r="B21" s="7"/>
      <c r="D21" s="19"/>
    </row>
    <row r="22" spans="1:9" ht="18.75" customHeight="1" x14ac:dyDescent="0.25">
      <c r="A22" s="47">
        <v>2</v>
      </c>
      <c r="B22" s="7" t="s">
        <v>117</v>
      </c>
      <c r="D22" s="19"/>
    </row>
    <row r="23" spans="1:9" ht="141.75" customHeight="1" x14ac:dyDescent="0.25">
      <c r="B23" s="62" t="s">
        <v>118</v>
      </c>
      <c r="D23" s="19">
        <v>4286.7</v>
      </c>
      <c r="G23" s="59" t="s">
        <v>121</v>
      </c>
      <c r="I23" s="24">
        <v>1</v>
      </c>
    </row>
    <row r="24" spans="1:9" ht="105" x14ac:dyDescent="0.25">
      <c r="B24" s="62" t="s">
        <v>119</v>
      </c>
      <c r="D24" s="19">
        <v>2139.52</v>
      </c>
      <c r="G24" s="59" t="s">
        <v>120</v>
      </c>
      <c r="I24" s="24">
        <v>1</v>
      </c>
    </row>
    <row r="25" spans="1:9" s="3" customFormat="1" ht="18.75" customHeight="1" x14ac:dyDescent="0.25">
      <c r="B25" s="55" t="s">
        <v>19</v>
      </c>
      <c r="C25" s="57"/>
      <c r="D25" s="58">
        <f>SUM(D23:D24)</f>
        <v>6426.2199999999993</v>
      </c>
      <c r="E25" s="57"/>
      <c r="F25" s="57"/>
      <c r="G25" s="56">
        <f>D23*I23+D24*I24</f>
        <v>6426.2199999999993</v>
      </c>
      <c r="H25" s="57"/>
      <c r="I25" s="61"/>
    </row>
    <row r="26" spans="1:9" ht="18.75" customHeight="1" x14ac:dyDescent="0.25">
      <c r="B26" s="7"/>
      <c r="D26" s="19"/>
    </row>
    <row r="27" spans="1:9" ht="20.25" customHeight="1" x14ac:dyDescent="0.25">
      <c r="B27" s="21" t="s">
        <v>15</v>
      </c>
      <c r="C27" s="21"/>
      <c r="D27" s="22">
        <f>D25</f>
        <v>6426.2199999999993</v>
      </c>
      <c r="E27" s="22"/>
      <c r="F27" s="22"/>
      <c r="G27" s="22">
        <f>G25</f>
        <v>6426.2199999999993</v>
      </c>
      <c r="H27" s="23"/>
      <c r="I27" s="25"/>
    </row>
  </sheetData>
  <mergeCells count="1">
    <mergeCell ref="G8:G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H15"/>
  <sheetViews>
    <sheetView showGridLines="0" topLeftCell="A4" workbookViewId="0">
      <selection activeCell="F13" sqref="F13"/>
    </sheetView>
  </sheetViews>
  <sheetFormatPr defaultRowHeight="15" x14ac:dyDescent="0.25"/>
  <cols>
    <col min="1" max="1" width="5.42578125" customWidth="1"/>
    <col min="2" max="2" width="29.7109375" customWidth="1"/>
    <col min="3" max="3" width="4.7109375" customWidth="1"/>
    <col min="4" max="4" width="28.28515625" customWidth="1"/>
    <col min="5" max="5" width="34.28515625" customWidth="1"/>
    <col min="6" max="6" width="12.5703125" customWidth="1"/>
    <col min="8" max="8" width="57" customWidth="1"/>
  </cols>
  <sheetData>
    <row r="2" spans="1:8" ht="17.25" customHeight="1" x14ac:dyDescent="0.25">
      <c r="B2" s="17" t="str">
        <f>'NAV EV'!B2</f>
        <v>M/s Kunal Structure (India) Private Limited</v>
      </c>
      <c r="C2" s="16"/>
      <c r="D2" s="16"/>
      <c r="E2" s="16"/>
      <c r="F2" s="16"/>
    </row>
    <row r="3" spans="1:8" ht="10.5" customHeight="1" x14ac:dyDescent="0.25"/>
    <row r="4" spans="1:8" ht="18" customHeight="1" x14ac:dyDescent="0.25">
      <c r="B4" s="2" t="s">
        <v>122</v>
      </c>
      <c r="C4" s="1"/>
      <c r="D4" s="1"/>
      <c r="E4" s="1"/>
      <c r="F4" s="1"/>
    </row>
    <row r="5" spans="1:8" ht="9.75" customHeight="1" x14ac:dyDescent="0.25"/>
    <row r="6" spans="1:8" ht="18" customHeight="1" x14ac:dyDescent="0.25">
      <c r="B6" s="2" t="s">
        <v>13</v>
      </c>
      <c r="C6" s="2"/>
      <c r="D6" s="10" t="s">
        <v>105</v>
      </c>
      <c r="E6" s="10" t="s">
        <v>101</v>
      </c>
      <c r="F6" s="9" t="s">
        <v>14</v>
      </c>
    </row>
    <row r="7" spans="1:8" ht="10.5" customHeight="1" x14ac:dyDescent="0.25">
      <c r="D7" s="19"/>
    </row>
    <row r="8" spans="1:8" ht="18.75" customHeight="1" x14ac:dyDescent="0.25">
      <c r="A8" s="47">
        <v>1</v>
      </c>
      <c r="B8" s="7" t="s">
        <v>122</v>
      </c>
      <c r="D8" s="19"/>
      <c r="E8" s="59"/>
    </row>
    <row r="9" spans="1:8" ht="26.25" customHeight="1" x14ac:dyDescent="0.25">
      <c r="B9" s="46" t="s">
        <v>123</v>
      </c>
      <c r="D9" s="19">
        <v>148</v>
      </c>
      <c r="E9" s="60">
        <f>D9*F9</f>
        <v>148</v>
      </c>
      <c r="F9" s="24">
        <v>1</v>
      </c>
      <c r="H9" s="116" t="s">
        <v>126</v>
      </c>
    </row>
    <row r="10" spans="1:8" ht="27" customHeight="1" x14ac:dyDescent="0.25">
      <c r="B10" s="46" t="s">
        <v>124</v>
      </c>
      <c r="D10" s="19">
        <v>209.05</v>
      </c>
      <c r="E10" s="60">
        <f>D10*F10</f>
        <v>104.52500000000001</v>
      </c>
      <c r="F10" s="24">
        <v>0.5</v>
      </c>
      <c r="H10" s="116"/>
    </row>
    <row r="11" spans="1:8" ht="18.75" customHeight="1" x14ac:dyDescent="0.25">
      <c r="B11" s="46" t="s">
        <v>125</v>
      </c>
      <c r="D11" s="19">
        <v>118.94</v>
      </c>
      <c r="E11" s="60">
        <f>D11*F11</f>
        <v>71.36399999999999</v>
      </c>
      <c r="F11" s="24">
        <v>0.6</v>
      </c>
      <c r="H11" s="116"/>
    </row>
    <row r="12" spans="1:8" ht="33" customHeight="1" x14ac:dyDescent="0.25">
      <c r="B12" s="46" t="s">
        <v>41</v>
      </c>
      <c r="D12" s="19">
        <v>22.7</v>
      </c>
      <c r="E12" s="60">
        <f>D12*F12</f>
        <v>13.62</v>
      </c>
      <c r="F12" s="24">
        <v>0.6</v>
      </c>
      <c r="H12" s="116"/>
    </row>
    <row r="13" spans="1:8" s="3" customFormat="1" ht="18.75" customHeight="1" x14ac:dyDescent="0.25">
      <c r="B13" s="55" t="s">
        <v>19</v>
      </c>
      <c r="C13" s="57"/>
      <c r="D13" s="58">
        <f>SUM(D9:D12)</f>
        <v>498.69</v>
      </c>
      <c r="E13" s="56">
        <f>SUM(E9:E12)</f>
        <v>337.50900000000001</v>
      </c>
      <c r="F13" s="61">
        <v>0</v>
      </c>
    </row>
    <row r="14" spans="1:8" ht="18.75" customHeight="1" x14ac:dyDescent="0.25">
      <c r="B14" s="7"/>
      <c r="D14" s="19"/>
    </row>
    <row r="15" spans="1:8" ht="20.25" customHeight="1" x14ac:dyDescent="0.25">
      <c r="B15" s="21" t="s">
        <v>15</v>
      </c>
      <c r="C15" s="21"/>
      <c r="D15" s="22">
        <f>D13</f>
        <v>498.69</v>
      </c>
      <c r="E15" s="22">
        <f>E13</f>
        <v>337.50900000000001</v>
      </c>
      <c r="F15" s="25"/>
    </row>
  </sheetData>
  <mergeCells count="1">
    <mergeCell ref="H9:H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H62"/>
  <sheetViews>
    <sheetView showGridLines="0" topLeftCell="A40" workbookViewId="0">
      <selection activeCell="G53" sqref="G53:G57"/>
    </sheetView>
  </sheetViews>
  <sheetFormatPr defaultRowHeight="15" x14ac:dyDescent="0.25"/>
  <cols>
    <col min="1" max="1" width="5.140625" customWidth="1"/>
    <col min="2" max="2" width="47.140625" customWidth="1"/>
    <col min="3" max="3" width="4.5703125" customWidth="1"/>
    <col min="4" max="4" width="4.140625" customWidth="1"/>
    <col min="5" max="5" width="27.140625" customWidth="1"/>
    <col min="6" max="6" width="17.85546875" customWidth="1"/>
    <col min="7" max="7" width="14.5703125" customWidth="1"/>
    <col min="8" max="8" width="89.5703125" customWidth="1"/>
  </cols>
  <sheetData>
    <row r="1" spans="2:8" ht="20.25" customHeight="1" x14ac:dyDescent="0.25"/>
    <row r="2" spans="2:8" ht="17.25" customHeight="1" x14ac:dyDescent="0.25">
      <c r="B2" s="17" t="str">
        <f>'NAV EV'!B2</f>
        <v>M/s Kunal Structure (India) Private Limited</v>
      </c>
      <c r="C2" s="16"/>
      <c r="D2" s="16"/>
      <c r="E2" s="16"/>
      <c r="F2" s="16"/>
      <c r="G2" s="16"/>
      <c r="H2" s="16"/>
    </row>
    <row r="3" spans="2:8" ht="10.5" customHeight="1" x14ac:dyDescent="0.25"/>
    <row r="4" spans="2:8" ht="18" customHeight="1" x14ac:dyDescent="0.25">
      <c r="B4" s="2" t="s">
        <v>8</v>
      </c>
      <c r="C4" s="1"/>
      <c r="D4" s="1"/>
      <c r="E4" s="1"/>
      <c r="F4" s="1"/>
      <c r="G4" s="1"/>
      <c r="H4" s="1"/>
    </row>
    <row r="5" spans="2:8" ht="9.75" customHeight="1" x14ac:dyDescent="0.25"/>
    <row r="6" spans="2:8" s="18" customFormat="1" ht="20.25" customHeight="1" x14ac:dyDescent="0.25">
      <c r="B6" s="2" t="s">
        <v>13</v>
      </c>
      <c r="C6" s="2"/>
      <c r="D6" s="2"/>
      <c r="E6" s="10" t="s">
        <v>105</v>
      </c>
      <c r="F6" s="10" t="s">
        <v>1</v>
      </c>
      <c r="G6" s="10" t="s">
        <v>14</v>
      </c>
      <c r="H6" s="10" t="s">
        <v>147</v>
      </c>
    </row>
    <row r="7" spans="2:8" ht="10.5" customHeight="1" x14ac:dyDescent="0.25">
      <c r="E7" s="19"/>
    </row>
    <row r="8" spans="2:8" ht="22.5" customHeight="1" x14ac:dyDescent="0.25">
      <c r="B8" s="7" t="s">
        <v>17</v>
      </c>
      <c r="E8" s="19"/>
      <c r="H8" s="116" t="s">
        <v>148</v>
      </c>
    </row>
    <row r="9" spans="2:8" ht="38.25" customHeight="1" x14ac:dyDescent="0.25">
      <c r="B9" s="20" t="s">
        <v>18</v>
      </c>
      <c r="E9" s="19"/>
      <c r="H9" s="116"/>
    </row>
    <row r="10" spans="2:8" ht="33" customHeight="1" x14ac:dyDescent="0.25">
      <c r="B10" s="5" t="s">
        <v>146</v>
      </c>
      <c r="E10" s="19">
        <v>12942.25</v>
      </c>
      <c r="F10" s="18">
        <f>1601.98*G10</f>
        <v>800.99</v>
      </c>
      <c r="G10" s="24">
        <v>0.5</v>
      </c>
      <c r="H10" s="116"/>
    </row>
    <row r="11" spans="2:8" ht="42.75" customHeight="1" x14ac:dyDescent="0.25">
      <c r="B11" s="5"/>
      <c r="E11" s="4"/>
      <c r="F11" s="4"/>
      <c r="G11" s="24"/>
      <c r="H11" s="116"/>
    </row>
    <row r="12" spans="2:8" ht="20.25" customHeight="1" x14ac:dyDescent="0.25">
      <c r="B12" s="28" t="s">
        <v>19</v>
      </c>
      <c r="C12" s="28"/>
      <c r="D12" s="28"/>
      <c r="E12" s="8">
        <f>SUM(E10:E11)</f>
        <v>12942.25</v>
      </c>
      <c r="F12" s="8">
        <f>SUM(F10:F11)</f>
        <v>800.99</v>
      </c>
      <c r="G12" s="27"/>
    </row>
    <row r="13" spans="2:8" x14ac:dyDescent="0.25">
      <c r="B13" s="5"/>
      <c r="E13" s="4"/>
      <c r="F13" s="4"/>
      <c r="G13" s="24"/>
    </row>
    <row r="14" spans="2:8" x14ac:dyDescent="0.25">
      <c r="B14" s="7" t="s">
        <v>20</v>
      </c>
      <c r="E14" s="4"/>
      <c r="F14" s="4"/>
      <c r="G14" s="24"/>
    </row>
    <row r="15" spans="2:8" x14ac:dyDescent="0.25">
      <c r="B15" s="29"/>
      <c r="E15" s="4"/>
      <c r="F15" s="4"/>
      <c r="G15" s="24"/>
    </row>
    <row r="16" spans="2:8" x14ac:dyDescent="0.25">
      <c r="B16" s="30" t="s">
        <v>149</v>
      </c>
      <c r="E16" s="4">
        <v>12393.16</v>
      </c>
      <c r="F16" s="4"/>
      <c r="G16" s="24"/>
    </row>
    <row r="17" spans="2:7" x14ac:dyDescent="0.25">
      <c r="B17" s="5"/>
      <c r="F17" s="4"/>
      <c r="G17" s="24"/>
    </row>
    <row r="18" spans="2:7" x14ac:dyDescent="0.25">
      <c r="B18" s="30" t="s">
        <v>150</v>
      </c>
      <c r="E18" s="4">
        <v>375.56</v>
      </c>
      <c r="F18" s="4">
        <v>2595.13</v>
      </c>
      <c r="G18" s="24"/>
    </row>
    <row r="19" spans="2:7" x14ac:dyDescent="0.25">
      <c r="B19" s="5"/>
      <c r="E19" s="4"/>
      <c r="F19" s="4"/>
      <c r="G19" s="24"/>
    </row>
    <row r="20" spans="2:7" ht="15.75" customHeight="1" x14ac:dyDescent="0.25">
      <c r="B20" s="28" t="s">
        <v>19</v>
      </c>
      <c r="C20" s="28"/>
      <c r="D20" s="28"/>
      <c r="E20" s="8">
        <f>SUM(E16:E18)</f>
        <v>12768.72</v>
      </c>
      <c r="F20" s="8">
        <f>F18*G20</f>
        <v>1816.5909999999999</v>
      </c>
      <c r="G20" s="27">
        <v>0.7</v>
      </c>
    </row>
    <row r="21" spans="2:7" x14ac:dyDescent="0.25">
      <c r="B21" s="5"/>
      <c r="E21" s="4"/>
      <c r="F21" s="4"/>
      <c r="G21" s="24"/>
    </row>
    <row r="22" spans="2:7" x14ac:dyDescent="0.25">
      <c r="B22" s="7" t="s">
        <v>21</v>
      </c>
      <c r="E22" s="4"/>
      <c r="F22" s="4"/>
      <c r="G22" s="24"/>
    </row>
    <row r="23" spans="2:7" x14ac:dyDescent="0.25">
      <c r="B23" s="5" t="s">
        <v>151</v>
      </c>
      <c r="E23" s="4"/>
      <c r="F23" s="4"/>
      <c r="G23" s="24"/>
    </row>
    <row r="24" spans="2:7" x14ac:dyDescent="0.25">
      <c r="B24" s="37" t="s">
        <v>152</v>
      </c>
    </row>
    <row r="25" spans="2:7" x14ac:dyDescent="0.25">
      <c r="B25" s="39" t="s">
        <v>153</v>
      </c>
      <c r="E25" s="4">
        <v>32.880000000000003</v>
      </c>
      <c r="F25" s="4">
        <f>E25*G25</f>
        <v>32.880000000000003</v>
      </c>
      <c r="G25" s="24">
        <v>1</v>
      </c>
    </row>
    <row r="26" spans="2:7" x14ac:dyDescent="0.25">
      <c r="B26" s="39" t="s">
        <v>155</v>
      </c>
      <c r="E26" s="4">
        <v>155.79</v>
      </c>
      <c r="F26" s="4">
        <f>E26*G26</f>
        <v>155.79</v>
      </c>
      <c r="G26" s="24">
        <v>1</v>
      </c>
    </row>
    <row r="27" spans="2:7" x14ac:dyDescent="0.25">
      <c r="B27" s="39" t="s">
        <v>154</v>
      </c>
      <c r="E27" s="4">
        <v>0.37</v>
      </c>
      <c r="F27" s="4">
        <f>E27*G27</f>
        <v>0.37</v>
      </c>
      <c r="G27" s="24">
        <v>1</v>
      </c>
    </row>
    <row r="28" spans="2:7" x14ac:dyDescent="0.25">
      <c r="B28" s="37" t="s">
        <v>156</v>
      </c>
      <c r="E28" s="4">
        <v>22.51</v>
      </c>
      <c r="F28" s="4">
        <f>E28*G28</f>
        <v>22.51</v>
      </c>
      <c r="G28" s="24">
        <v>1</v>
      </c>
    </row>
    <row r="29" spans="2:7" x14ac:dyDescent="0.25">
      <c r="B29" s="28" t="s">
        <v>159</v>
      </c>
      <c r="C29" s="28"/>
      <c r="D29" s="28"/>
      <c r="E29" s="8">
        <f>SUM(E23:E28)</f>
        <v>211.54999999999998</v>
      </c>
      <c r="F29" s="8">
        <f>SUM(F23:F28)</f>
        <v>211.54999999999998</v>
      </c>
      <c r="G29" s="27"/>
    </row>
    <row r="30" spans="2:7" x14ac:dyDescent="0.25">
      <c r="B30" s="32"/>
      <c r="C30" s="32"/>
      <c r="D30" s="32"/>
      <c r="E30" s="33"/>
      <c r="F30" s="33"/>
      <c r="G30" s="34"/>
    </row>
    <row r="31" spans="2:7" x14ac:dyDescent="0.25">
      <c r="B31" s="5" t="s">
        <v>157</v>
      </c>
      <c r="C31" s="32"/>
      <c r="D31" s="32"/>
      <c r="E31" s="33"/>
      <c r="F31" s="33"/>
      <c r="G31" s="34"/>
    </row>
    <row r="32" spans="2:7" ht="30" x14ac:dyDescent="0.25">
      <c r="B32" s="75" t="s">
        <v>158</v>
      </c>
      <c r="C32" s="32"/>
      <c r="D32" s="32"/>
      <c r="E32" s="4">
        <v>6657.54</v>
      </c>
      <c r="F32" s="4">
        <f>E32*G32</f>
        <v>0</v>
      </c>
      <c r="G32" s="24">
        <v>0</v>
      </c>
    </row>
    <row r="33" spans="2:7" x14ac:dyDescent="0.25">
      <c r="B33" s="28" t="s">
        <v>160</v>
      </c>
      <c r="C33" s="28"/>
      <c r="D33" s="28"/>
      <c r="E33" s="8">
        <f>SUM(E32)</f>
        <v>6657.54</v>
      </c>
      <c r="F33" s="8">
        <f>SUM(F32)</f>
        <v>0</v>
      </c>
      <c r="G33" s="27"/>
    </row>
    <row r="34" spans="2:7" x14ac:dyDescent="0.25">
      <c r="B34" s="32"/>
      <c r="C34" s="32"/>
      <c r="D34" s="32"/>
      <c r="E34" s="33"/>
      <c r="F34" s="33"/>
      <c r="G34" s="34"/>
    </row>
    <row r="35" spans="2:7" x14ac:dyDescent="0.25">
      <c r="B35" s="28" t="s">
        <v>19</v>
      </c>
      <c r="C35" s="28"/>
      <c r="D35" s="28"/>
      <c r="E35" s="8"/>
      <c r="F35" s="8">
        <f>F29+F33</f>
        <v>211.54999999999998</v>
      </c>
      <c r="G35" s="27"/>
    </row>
    <row r="36" spans="2:7" x14ac:dyDescent="0.25">
      <c r="B36" s="32"/>
      <c r="C36" s="32"/>
      <c r="D36" s="32"/>
      <c r="E36" s="33"/>
      <c r="F36" s="33"/>
      <c r="G36" s="34"/>
    </row>
    <row r="37" spans="2:7" x14ac:dyDescent="0.25">
      <c r="B37" s="32"/>
      <c r="C37" s="32"/>
      <c r="D37" s="32"/>
      <c r="E37" s="33"/>
      <c r="F37" s="33"/>
      <c r="G37" s="34"/>
    </row>
    <row r="38" spans="2:7" x14ac:dyDescent="0.25">
      <c r="B38" s="7" t="s">
        <v>161</v>
      </c>
      <c r="E38" s="4"/>
      <c r="F38" s="4"/>
      <c r="G38" s="24"/>
    </row>
    <row r="39" spans="2:7" x14ac:dyDescent="0.25">
      <c r="B39" s="31" t="s">
        <v>118</v>
      </c>
      <c r="E39" s="4">
        <v>6227.5</v>
      </c>
      <c r="F39" s="4">
        <f>E39*G39</f>
        <v>6227.5</v>
      </c>
      <c r="G39" s="24">
        <v>1</v>
      </c>
    </row>
    <row r="40" spans="2:7" x14ac:dyDescent="0.25">
      <c r="B40" s="76" t="s">
        <v>162</v>
      </c>
      <c r="E40" s="4">
        <v>36.94</v>
      </c>
      <c r="F40" s="4">
        <f t="shared" ref="F40:F41" si="0">E40*G40</f>
        <v>0</v>
      </c>
      <c r="G40" s="24">
        <v>0</v>
      </c>
    </row>
    <row r="41" spans="2:7" x14ac:dyDescent="0.25">
      <c r="B41" s="31" t="s">
        <v>163</v>
      </c>
      <c r="E41" s="67">
        <v>43.88</v>
      </c>
      <c r="F41" s="4">
        <f t="shared" si="0"/>
        <v>43.88</v>
      </c>
      <c r="G41" s="24">
        <v>1</v>
      </c>
    </row>
    <row r="42" spans="2:7" x14ac:dyDescent="0.25">
      <c r="B42" s="5"/>
      <c r="E42" s="4"/>
      <c r="F42" s="4"/>
      <c r="G42" s="24"/>
    </row>
    <row r="43" spans="2:7" x14ac:dyDescent="0.25">
      <c r="B43" s="28" t="s">
        <v>19</v>
      </c>
      <c r="C43" s="28"/>
      <c r="D43" s="28"/>
      <c r="E43" s="8">
        <f>SUM(E39:E41)</f>
        <v>6308.32</v>
      </c>
      <c r="F43" s="8">
        <f>SUM(F39:F42)</f>
        <v>6271.38</v>
      </c>
      <c r="G43" s="27"/>
    </row>
    <row r="44" spans="2:7" x14ac:dyDescent="0.25">
      <c r="B44" s="32"/>
      <c r="C44" s="32"/>
      <c r="D44" s="32"/>
      <c r="E44" s="33"/>
      <c r="F44" s="33"/>
      <c r="G44" s="34"/>
    </row>
    <row r="45" spans="2:7" x14ac:dyDescent="0.25">
      <c r="B45" s="32"/>
      <c r="C45" s="32"/>
      <c r="D45" s="32"/>
      <c r="E45" s="33"/>
      <c r="F45" s="33"/>
      <c r="G45" s="34"/>
    </row>
    <row r="46" spans="2:7" x14ac:dyDescent="0.25">
      <c r="B46" s="7" t="s">
        <v>164</v>
      </c>
      <c r="E46" s="4"/>
      <c r="F46" s="4"/>
      <c r="G46" s="24"/>
    </row>
    <row r="47" spans="2:7" x14ac:dyDescent="0.25">
      <c r="B47" s="31" t="s">
        <v>165</v>
      </c>
      <c r="E47" s="4">
        <v>1734.21</v>
      </c>
      <c r="F47" s="4">
        <f>E47*G47</f>
        <v>1734.21</v>
      </c>
      <c r="G47" s="24">
        <v>1</v>
      </c>
    </row>
    <row r="48" spans="2:7" x14ac:dyDescent="0.25">
      <c r="B48" s="5"/>
      <c r="E48" s="4"/>
      <c r="F48" s="4"/>
      <c r="G48" s="24"/>
    </row>
    <row r="49" spans="2:7" x14ac:dyDescent="0.25">
      <c r="B49" s="28" t="s">
        <v>53</v>
      </c>
      <c r="C49" s="28"/>
      <c r="D49" s="28"/>
      <c r="E49" s="8">
        <f>SUM(E47:E47)</f>
        <v>1734.21</v>
      </c>
      <c r="F49" s="8">
        <f>SUM(F47:F48)</f>
        <v>1734.21</v>
      </c>
      <c r="G49" s="27"/>
    </row>
    <row r="50" spans="2:7" x14ac:dyDescent="0.25">
      <c r="B50" s="32"/>
      <c r="C50" s="32"/>
      <c r="D50" s="32"/>
      <c r="E50" s="33"/>
      <c r="F50" s="33"/>
      <c r="G50" s="34"/>
    </row>
    <row r="51" spans="2:7" x14ac:dyDescent="0.25">
      <c r="B51" s="32"/>
      <c r="C51" s="32"/>
      <c r="D51" s="32"/>
      <c r="E51" s="33"/>
      <c r="F51" s="33"/>
      <c r="G51" s="34"/>
    </row>
    <row r="52" spans="2:7" x14ac:dyDescent="0.25">
      <c r="B52" s="7" t="s">
        <v>166</v>
      </c>
      <c r="E52" s="4"/>
      <c r="F52" s="4"/>
      <c r="G52" s="24"/>
    </row>
    <row r="53" spans="2:7" x14ac:dyDescent="0.25">
      <c r="B53" s="31" t="s">
        <v>124</v>
      </c>
      <c r="E53" s="4">
        <v>527.51</v>
      </c>
      <c r="F53" s="4">
        <f>E53*G53</f>
        <v>263.755</v>
      </c>
      <c r="G53" s="24">
        <v>0.5</v>
      </c>
    </row>
    <row r="54" spans="2:7" x14ac:dyDescent="0.25">
      <c r="B54" s="31" t="s">
        <v>167</v>
      </c>
      <c r="E54" s="4">
        <v>4282.87</v>
      </c>
      <c r="F54" s="4">
        <f t="shared" ref="F54:F57" si="1">E54*G54</f>
        <v>3640.4395</v>
      </c>
      <c r="G54" s="24">
        <v>0.85</v>
      </c>
    </row>
    <row r="55" spans="2:7" x14ac:dyDescent="0.25">
      <c r="B55" s="31" t="s">
        <v>168</v>
      </c>
      <c r="E55" s="4">
        <v>5695.4</v>
      </c>
      <c r="F55" s="4">
        <f t="shared" si="1"/>
        <v>2847.7</v>
      </c>
      <c r="G55" s="24">
        <v>0.5</v>
      </c>
    </row>
    <row r="56" spans="2:7" x14ac:dyDescent="0.25">
      <c r="B56" s="31" t="s">
        <v>169</v>
      </c>
      <c r="E56" s="4">
        <v>18839</v>
      </c>
      <c r="F56" s="4">
        <f t="shared" si="1"/>
        <v>12245.35</v>
      </c>
      <c r="G56" s="24">
        <v>0.65</v>
      </c>
    </row>
    <row r="57" spans="2:7" x14ac:dyDescent="0.25">
      <c r="B57" s="31" t="s">
        <v>54</v>
      </c>
      <c r="E57" s="4">
        <v>1772.43</v>
      </c>
      <c r="F57" s="4">
        <f t="shared" si="1"/>
        <v>1240.701</v>
      </c>
      <c r="G57" s="24">
        <v>0.7</v>
      </c>
    </row>
    <row r="58" spans="2:7" x14ac:dyDescent="0.25">
      <c r="B58" s="5"/>
      <c r="E58" s="4"/>
      <c r="F58" s="4"/>
      <c r="G58" s="24"/>
    </row>
    <row r="59" spans="2:7" x14ac:dyDescent="0.25">
      <c r="B59" s="28" t="s">
        <v>53</v>
      </c>
      <c r="C59" s="28"/>
      <c r="D59" s="28"/>
      <c r="E59" s="8">
        <f>SUM(E53:E58)</f>
        <v>31117.21</v>
      </c>
      <c r="F59" s="8">
        <f>SUM(F53:F58)</f>
        <v>20237.945500000002</v>
      </c>
      <c r="G59" s="27"/>
    </row>
    <row r="60" spans="2:7" x14ac:dyDescent="0.25">
      <c r="B60" s="32"/>
      <c r="C60" s="32"/>
      <c r="D60" s="32"/>
      <c r="E60" s="33"/>
      <c r="F60" s="33"/>
      <c r="G60" s="34"/>
    </row>
    <row r="61" spans="2:7" x14ac:dyDescent="0.25">
      <c r="B61" s="32"/>
      <c r="C61" s="32"/>
      <c r="D61" s="32"/>
      <c r="E61" s="33"/>
      <c r="F61" s="33"/>
      <c r="G61" s="34"/>
    </row>
    <row r="62" spans="2:7" x14ac:dyDescent="0.25">
      <c r="B62" s="32"/>
      <c r="C62" s="32"/>
      <c r="D62" s="32"/>
      <c r="E62" s="33"/>
      <c r="F62" s="33"/>
      <c r="G62" s="34"/>
    </row>
  </sheetData>
  <mergeCells count="1">
    <mergeCell ref="H8:H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F17"/>
  <sheetViews>
    <sheetView topLeftCell="A7" workbookViewId="0">
      <selection activeCell="B2" sqref="B2:F17"/>
    </sheetView>
  </sheetViews>
  <sheetFormatPr defaultRowHeight="15" x14ac:dyDescent="0.25"/>
  <cols>
    <col min="1" max="1" width="4.7109375" style="46" customWidth="1"/>
    <col min="2" max="2" width="7.85546875" style="46" customWidth="1"/>
    <col min="3" max="3" width="28.85546875" style="46" customWidth="1"/>
    <col min="4" max="4" width="20.140625" style="46" customWidth="1"/>
    <col min="5" max="5" width="19.7109375" style="46" customWidth="1"/>
    <col min="6" max="6" width="29.7109375" style="46" customWidth="1"/>
    <col min="7" max="16384" width="9.140625" style="46"/>
  </cols>
  <sheetData>
    <row r="1" spans="2:6" ht="20.25" customHeight="1" x14ac:dyDescent="0.25"/>
    <row r="2" spans="2:6" ht="20.25" customHeight="1" x14ac:dyDescent="0.25">
      <c r="B2" s="118" t="s">
        <v>145</v>
      </c>
      <c r="C2" s="118"/>
      <c r="D2" s="118"/>
      <c r="E2" s="118"/>
      <c r="F2" s="118"/>
    </row>
    <row r="3" spans="2:6" ht="20.25" customHeight="1" x14ac:dyDescent="0.25">
      <c r="B3" s="73" t="s">
        <v>127</v>
      </c>
      <c r="C3" s="74" t="s">
        <v>128</v>
      </c>
      <c r="D3" s="74" t="s">
        <v>129</v>
      </c>
      <c r="E3" s="74" t="s">
        <v>130</v>
      </c>
      <c r="F3" s="74" t="s">
        <v>131</v>
      </c>
    </row>
    <row r="4" spans="2:6" ht="20.25" customHeight="1" x14ac:dyDescent="0.25">
      <c r="B4" s="70">
        <v>1</v>
      </c>
      <c r="C4" s="68" t="s">
        <v>132</v>
      </c>
      <c r="D4" s="71">
        <v>2.4700000000000002</v>
      </c>
      <c r="E4" s="71">
        <v>18.440000000000001</v>
      </c>
      <c r="F4" s="71">
        <v>20.91</v>
      </c>
    </row>
    <row r="5" spans="2:6" ht="20.25" customHeight="1" x14ac:dyDescent="0.25">
      <c r="B5" s="70">
        <v>2</v>
      </c>
      <c r="C5" s="68" t="s">
        <v>133</v>
      </c>
      <c r="D5" s="71">
        <v>1.76</v>
      </c>
      <c r="E5" s="71">
        <v>3</v>
      </c>
      <c r="F5" s="71">
        <v>4.76</v>
      </c>
    </row>
    <row r="6" spans="2:6" ht="20.25" customHeight="1" x14ac:dyDescent="0.25">
      <c r="B6" s="70">
        <v>3</v>
      </c>
      <c r="C6" s="68" t="s">
        <v>134</v>
      </c>
      <c r="D6" s="71">
        <v>22.53</v>
      </c>
      <c r="E6" s="71">
        <v>0</v>
      </c>
      <c r="F6" s="71">
        <v>22.53</v>
      </c>
    </row>
    <row r="7" spans="2:6" ht="20.25" customHeight="1" x14ac:dyDescent="0.25">
      <c r="B7" s="70">
        <v>4</v>
      </c>
      <c r="C7" s="68" t="s">
        <v>135</v>
      </c>
      <c r="D7" s="71">
        <v>17.510000000000002</v>
      </c>
      <c r="E7" s="71">
        <v>17.27</v>
      </c>
      <c r="F7" s="71">
        <v>34.78</v>
      </c>
    </row>
    <row r="8" spans="2:6" ht="20.25" customHeight="1" x14ac:dyDescent="0.25">
      <c r="B8" s="70">
        <v>5</v>
      </c>
      <c r="C8" s="68" t="s">
        <v>136</v>
      </c>
      <c r="D8" s="71">
        <v>20.97</v>
      </c>
      <c r="E8" s="71">
        <v>8.27</v>
      </c>
      <c r="F8" s="71">
        <v>29.24</v>
      </c>
    </row>
    <row r="9" spans="2:6" ht="20.25" customHeight="1" x14ac:dyDescent="0.25">
      <c r="B9" s="70">
        <v>6</v>
      </c>
      <c r="C9" s="68" t="s">
        <v>137</v>
      </c>
      <c r="D9" s="71">
        <v>24.39</v>
      </c>
      <c r="E9" s="71">
        <v>21.07</v>
      </c>
      <c r="F9" s="71">
        <v>45.46</v>
      </c>
    </row>
    <row r="10" spans="2:6" ht="20.25" customHeight="1" x14ac:dyDescent="0.25">
      <c r="B10" s="70">
        <v>7</v>
      </c>
      <c r="C10" s="68" t="s">
        <v>138</v>
      </c>
      <c r="D10" s="71">
        <v>9.31</v>
      </c>
      <c r="E10" s="71">
        <v>11.52</v>
      </c>
      <c r="F10" s="71">
        <v>20.83</v>
      </c>
    </row>
    <row r="11" spans="2:6" ht="20.25" customHeight="1" x14ac:dyDescent="0.25">
      <c r="B11" s="70">
        <v>8</v>
      </c>
      <c r="C11" s="68" t="s">
        <v>139</v>
      </c>
      <c r="D11" s="71">
        <v>19.32</v>
      </c>
      <c r="E11" s="71">
        <v>1.6</v>
      </c>
      <c r="F11" s="71">
        <v>20.92</v>
      </c>
    </row>
    <row r="12" spans="2:6" ht="20.25" customHeight="1" x14ac:dyDescent="0.25">
      <c r="B12" s="70">
        <v>9</v>
      </c>
      <c r="C12" s="68" t="s">
        <v>140</v>
      </c>
      <c r="D12" s="71">
        <v>14.41</v>
      </c>
      <c r="E12" s="71">
        <v>0</v>
      </c>
      <c r="F12" s="71">
        <v>14.41</v>
      </c>
    </row>
    <row r="13" spans="2:6" ht="20.25" customHeight="1" x14ac:dyDescent="0.25">
      <c r="B13" s="70">
        <v>10</v>
      </c>
      <c r="C13" s="68" t="s">
        <v>141</v>
      </c>
      <c r="D13" s="71">
        <v>9.77</v>
      </c>
      <c r="E13" s="71">
        <v>20.6</v>
      </c>
      <c r="F13" s="71">
        <v>30.37</v>
      </c>
    </row>
    <row r="14" spans="2:6" ht="20.25" customHeight="1" x14ac:dyDescent="0.25">
      <c r="B14" s="70">
        <v>11</v>
      </c>
      <c r="C14" s="68" t="s">
        <v>142</v>
      </c>
      <c r="D14" s="71">
        <v>20.2</v>
      </c>
      <c r="E14" s="71">
        <v>10.51</v>
      </c>
      <c r="F14" s="71">
        <v>30.71</v>
      </c>
    </row>
    <row r="15" spans="2:6" ht="20.25" customHeight="1" x14ac:dyDescent="0.25">
      <c r="B15" s="70">
        <v>12</v>
      </c>
      <c r="C15" s="68" t="s">
        <v>143</v>
      </c>
      <c r="D15" s="71">
        <v>6.73</v>
      </c>
      <c r="E15" s="71">
        <v>18.34</v>
      </c>
      <c r="F15" s="71">
        <v>25.07</v>
      </c>
    </row>
    <row r="16" spans="2:6" ht="20.25" customHeight="1" x14ac:dyDescent="0.25">
      <c r="B16" s="89"/>
      <c r="C16" s="90" t="s">
        <v>144</v>
      </c>
      <c r="D16" s="91">
        <v>169.38</v>
      </c>
      <c r="E16" s="91">
        <v>130.62</v>
      </c>
      <c r="F16" s="91">
        <v>300</v>
      </c>
    </row>
    <row r="17" spans="2:6" ht="18" customHeight="1" x14ac:dyDescent="0.25">
      <c r="B17" s="119" t="s">
        <v>221</v>
      </c>
      <c r="C17" s="120"/>
      <c r="D17" s="120"/>
      <c r="E17" s="120"/>
      <c r="F17" s="121"/>
    </row>
  </sheetData>
  <mergeCells count="2">
    <mergeCell ref="B2:F2"/>
    <mergeCell ref="B17:F1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B1:J99"/>
  <sheetViews>
    <sheetView showGridLines="0" topLeftCell="A16" zoomScaleNormal="100" workbookViewId="0">
      <selection activeCell="J21" sqref="J21"/>
    </sheetView>
  </sheetViews>
  <sheetFormatPr defaultRowHeight="15" x14ac:dyDescent="0.25"/>
  <cols>
    <col min="1" max="1" width="4.42578125" customWidth="1"/>
    <col min="2" max="2" width="45.140625" customWidth="1"/>
    <col min="3" max="3" width="4.5703125" customWidth="1"/>
    <col min="4" max="4" width="4.140625" customWidth="1"/>
    <col min="5" max="5" width="37" customWidth="1"/>
    <col min="6" max="6" width="5.7109375" customWidth="1"/>
    <col min="7" max="7" width="3.85546875" customWidth="1"/>
    <col min="8" max="8" width="25" customWidth="1"/>
    <col min="10" max="10" width="12" customWidth="1"/>
  </cols>
  <sheetData>
    <row r="1" spans="2:10" ht="15.75" customHeight="1" x14ac:dyDescent="0.25"/>
    <row r="2" spans="2:10" ht="17.25" customHeight="1" x14ac:dyDescent="0.25">
      <c r="B2" s="17" t="str">
        <f>'NAV EV'!B2</f>
        <v>M/s Kunal Structure (India) Private Limited</v>
      </c>
      <c r="C2" s="16"/>
      <c r="D2" s="16"/>
      <c r="E2" s="16"/>
      <c r="F2" s="16"/>
      <c r="G2" s="16"/>
      <c r="H2" s="16"/>
      <c r="I2" s="16"/>
      <c r="J2" s="16"/>
    </row>
    <row r="3" spans="2:10" ht="10.5" customHeight="1" x14ac:dyDescent="0.25"/>
    <row r="4" spans="2:10" ht="18" customHeight="1" x14ac:dyDescent="0.25">
      <c r="B4" s="2" t="s">
        <v>22</v>
      </c>
      <c r="C4" s="1"/>
      <c r="D4" s="1"/>
      <c r="E4" s="1"/>
      <c r="F4" s="1"/>
      <c r="G4" s="1"/>
      <c r="H4" s="1"/>
      <c r="I4" s="1"/>
      <c r="J4" s="1"/>
    </row>
    <row r="5" spans="2:10" ht="9.75" customHeight="1" x14ac:dyDescent="0.25"/>
    <row r="6" spans="2:10" ht="18" customHeight="1" x14ac:dyDescent="0.25">
      <c r="B6" s="2" t="s">
        <v>13</v>
      </c>
      <c r="C6" s="2"/>
      <c r="D6" s="2"/>
      <c r="E6" s="10" t="s">
        <v>105</v>
      </c>
      <c r="F6" s="2"/>
      <c r="G6" s="2"/>
      <c r="H6" s="10" t="s">
        <v>1</v>
      </c>
      <c r="I6" s="2"/>
      <c r="J6" s="9" t="s">
        <v>14</v>
      </c>
    </row>
    <row r="7" spans="2:10" ht="10.5" customHeight="1" x14ac:dyDescent="0.25">
      <c r="E7" s="19"/>
    </row>
    <row r="8" spans="2:10" ht="16.5" customHeight="1" x14ac:dyDescent="0.25">
      <c r="B8" s="3" t="s">
        <v>26</v>
      </c>
      <c r="E8" s="19"/>
    </row>
    <row r="9" spans="2:10" ht="18.75" customHeight="1" x14ac:dyDescent="0.25">
      <c r="B9" s="20" t="s">
        <v>25</v>
      </c>
      <c r="E9" s="19"/>
    </row>
    <row r="10" spans="2:10" ht="18.75" customHeight="1" x14ac:dyDescent="0.25">
      <c r="B10" s="36" t="s">
        <v>23</v>
      </c>
      <c r="E10" s="19"/>
    </row>
    <row r="11" spans="2:10" ht="18.75" customHeight="1" x14ac:dyDescent="0.25">
      <c r="B11" s="37" t="s">
        <v>170</v>
      </c>
      <c r="E11" s="4">
        <f>5500000*10/10^5</f>
        <v>550</v>
      </c>
      <c r="H11" s="4">
        <f>E11*J11</f>
        <v>550</v>
      </c>
      <c r="J11" s="24">
        <v>1</v>
      </c>
    </row>
    <row r="12" spans="2:10" ht="18.75" customHeight="1" x14ac:dyDescent="0.25">
      <c r="B12" s="20"/>
      <c r="E12" s="4"/>
      <c r="H12" s="4"/>
      <c r="J12" s="24"/>
    </row>
    <row r="13" spans="2:10" ht="18.75" customHeight="1" x14ac:dyDescent="0.25">
      <c r="B13" s="35" t="s">
        <v>24</v>
      </c>
    </row>
    <row r="14" spans="2:10" ht="30" x14ac:dyDescent="0.25">
      <c r="B14" s="75" t="s">
        <v>171</v>
      </c>
      <c r="E14" s="4">
        <f>5030000*10/10^5</f>
        <v>503</v>
      </c>
      <c r="H14" s="4">
        <f t="shared" ref="H14" si="0">E14*J14</f>
        <v>503</v>
      </c>
      <c r="J14" s="24">
        <v>1</v>
      </c>
    </row>
    <row r="15" spans="2:10" x14ac:dyDescent="0.25">
      <c r="B15" s="5"/>
      <c r="E15" s="4"/>
      <c r="H15" s="4"/>
      <c r="J15" s="24"/>
    </row>
    <row r="16" spans="2:10" ht="17.25" customHeight="1" x14ac:dyDescent="0.25">
      <c r="B16" s="28" t="s">
        <v>19</v>
      </c>
      <c r="C16" s="28"/>
      <c r="D16" s="28"/>
      <c r="E16" s="8">
        <f>SUM(E14)</f>
        <v>503</v>
      </c>
      <c r="F16" s="8"/>
      <c r="G16" s="8"/>
      <c r="H16" s="8">
        <f>SUM(H14)</f>
        <v>503</v>
      </c>
      <c r="I16" s="28"/>
      <c r="J16" s="27"/>
    </row>
    <row r="17" spans="2:10" x14ac:dyDescent="0.25">
      <c r="B17" s="5"/>
      <c r="E17" s="4"/>
      <c r="H17" s="4"/>
      <c r="J17" s="24"/>
    </row>
    <row r="18" spans="2:10" x14ac:dyDescent="0.25">
      <c r="B18" s="7" t="s">
        <v>172</v>
      </c>
      <c r="E18" s="4"/>
      <c r="H18" s="4"/>
      <c r="J18" s="24"/>
    </row>
    <row r="19" spans="2:10" ht="30" x14ac:dyDescent="0.25">
      <c r="B19" s="77" t="s">
        <v>173</v>
      </c>
      <c r="E19" s="4"/>
      <c r="H19" s="4"/>
      <c r="J19" s="24"/>
    </row>
    <row r="20" spans="2:10" x14ac:dyDescent="0.25">
      <c r="B20" s="75" t="s">
        <v>174</v>
      </c>
      <c r="E20" s="4">
        <v>30851.89</v>
      </c>
      <c r="H20" s="4">
        <f t="shared" ref="H20:H21" si="1">E20*J20</f>
        <v>30851.89</v>
      </c>
      <c r="J20" s="24">
        <v>1</v>
      </c>
    </row>
    <row r="21" spans="2:10" ht="30" x14ac:dyDescent="0.25">
      <c r="B21" s="75" t="s">
        <v>175</v>
      </c>
      <c r="E21" s="4">
        <v>-4330.24</v>
      </c>
      <c r="H21" s="4">
        <f t="shared" si="1"/>
        <v>-4330.24</v>
      </c>
      <c r="J21" s="24">
        <v>1</v>
      </c>
    </row>
    <row r="22" spans="2:10" ht="17.25" customHeight="1" x14ac:dyDescent="0.25">
      <c r="B22" s="28" t="s">
        <v>176</v>
      </c>
      <c r="C22" s="28"/>
      <c r="D22" s="28"/>
      <c r="E22" s="8">
        <f>SUM(E20:E21)</f>
        <v>26521.65</v>
      </c>
      <c r="F22" s="8"/>
      <c r="G22" s="8"/>
      <c r="H22" s="8">
        <f t="shared" ref="H22" si="2">SUM(H20:H21)</f>
        <v>26521.65</v>
      </c>
      <c r="I22" s="28"/>
      <c r="J22" s="27"/>
    </row>
    <row r="23" spans="2:10" x14ac:dyDescent="0.25">
      <c r="B23" s="7"/>
      <c r="E23" s="4"/>
      <c r="H23" s="4"/>
      <c r="J23" s="24"/>
    </row>
    <row r="24" spans="2:10" ht="30" x14ac:dyDescent="0.25">
      <c r="B24" s="77" t="s">
        <v>177</v>
      </c>
      <c r="E24" s="4"/>
      <c r="H24" s="4"/>
      <c r="J24" s="24"/>
    </row>
    <row r="25" spans="2:10" x14ac:dyDescent="0.25">
      <c r="B25" s="75" t="s">
        <v>174</v>
      </c>
      <c r="E25" s="4">
        <v>17.22</v>
      </c>
      <c r="H25" s="4">
        <f t="shared" ref="H25:H26" si="3">E25*J25</f>
        <v>0</v>
      </c>
      <c r="J25" s="24">
        <v>0</v>
      </c>
    </row>
    <row r="26" spans="2:10" ht="30" x14ac:dyDescent="0.25">
      <c r="B26" s="75" t="s">
        <v>178</v>
      </c>
      <c r="E26" s="4">
        <v>58.23</v>
      </c>
      <c r="H26" s="4">
        <f t="shared" si="3"/>
        <v>0</v>
      </c>
      <c r="J26" s="24">
        <v>0</v>
      </c>
    </row>
    <row r="27" spans="2:10" ht="17.25" customHeight="1" x14ac:dyDescent="0.25">
      <c r="B27" s="28" t="s">
        <v>176</v>
      </c>
      <c r="C27" s="28"/>
      <c r="D27" s="28"/>
      <c r="E27" s="8">
        <f>SUM(E25:E26)</f>
        <v>75.449999999999989</v>
      </c>
      <c r="F27" s="8"/>
      <c r="G27" s="8"/>
      <c r="H27" s="8">
        <f>SUM(H25:H26)</f>
        <v>0</v>
      </c>
      <c r="I27" s="28"/>
      <c r="J27" s="27"/>
    </row>
    <row r="28" spans="2:10" x14ac:dyDescent="0.25">
      <c r="B28" s="7"/>
      <c r="E28" s="4"/>
      <c r="H28" s="4"/>
      <c r="J28" s="24"/>
    </row>
    <row r="29" spans="2:10" x14ac:dyDescent="0.25">
      <c r="B29" s="77" t="s">
        <v>179</v>
      </c>
      <c r="E29" s="4"/>
      <c r="H29" s="4"/>
      <c r="J29" s="24"/>
    </row>
    <row r="30" spans="2:10" x14ac:dyDescent="0.25">
      <c r="B30" s="75" t="s">
        <v>174</v>
      </c>
      <c r="E30" s="4">
        <v>1387</v>
      </c>
      <c r="H30" s="4">
        <f t="shared" ref="H30:H31" si="4">E30*J30</f>
        <v>1387</v>
      </c>
      <c r="J30" s="24">
        <v>1</v>
      </c>
    </row>
    <row r="31" spans="2:10" x14ac:dyDescent="0.25">
      <c r="B31" s="75" t="s">
        <v>180</v>
      </c>
      <c r="E31" s="4">
        <v>0</v>
      </c>
      <c r="H31" s="4">
        <f t="shared" si="4"/>
        <v>0</v>
      </c>
      <c r="J31" s="24">
        <v>1</v>
      </c>
    </row>
    <row r="32" spans="2:10" ht="17.25" customHeight="1" x14ac:dyDescent="0.25">
      <c r="B32" s="28" t="s">
        <v>176</v>
      </c>
      <c r="C32" s="28"/>
      <c r="D32" s="28"/>
      <c r="E32" s="8">
        <f>SUM(E30:E31)</f>
        <v>1387</v>
      </c>
      <c r="F32" s="8"/>
      <c r="G32" s="8"/>
      <c r="H32" s="8">
        <f>SUM(H30:H31)</f>
        <v>1387</v>
      </c>
      <c r="I32" s="28"/>
      <c r="J32" s="27"/>
    </row>
    <row r="33" spans="2:10" x14ac:dyDescent="0.25">
      <c r="B33" s="7"/>
      <c r="E33" s="4"/>
      <c r="H33" s="4"/>
      <c r="J33" s="24"/>
    </row>
    <row r="34" spans="2:10" ht="17.25" customHeight="1" x14ac:dyDescent="0.25">
      <c r="B34" s="28" t="s">
        <v>181</v>
      </c>
      <c r="C34" s="28"/>
      <c r="D34" s="28"/>
      <c r="E34" s="8">
        <f>E22+E27+E32</f>
        <v>27984.100000000002</v>
      </c>
      <c r="F34" s="8"/>
      <c r="G34" s="8"/>
      <c r="H34" s="8">
        <f>H22+H27+H32</f>
        <v>27908.65</v>
      </c>
      <c r="I34" s="28"/>
      <c r="J34" s="27"/>
    </row>
    <row r="35" spans="2:10" x14ac:dyDescent="0.25">
      <c r="B35" s="7"/>
      <c r="E35" s="4"/>
      <c r="H35" s="4"/>
      <c r="J35" s="24"/>
    </row>
    <row r="36" spans="2:10" x14ac:dyDescent="0.25">
      <c r="B36" s="32"/>
      <c r="C36" s="32"/>
      <c r="D36" s="32"/>
      <c r="E36" s="33"/>
      <c r="F36" s="33"/>
      <c r="G36" s="33"/>
      <c r="H36" s="33"/>
      <c r="I36" s="32"/>
      <c r="J36" s="34"/>
    </row>
    <row r="37" spans="2:10" x14ac:dyDescent="0.25">
      <c r="B37" s="3" t="s">
        <v>27</v>
      </c>
      <c r="C37" s="32"/>
      <c r="D37" s="32"/>
      <c r="E37" s="33"/>
      <c r="F37" s="33"/>
      <c r="G37" s="33"/>
      <c r="H37" s="33"/>
      <c r="I37" s="32"/>
      <c r="J37" s="34"/>
    </row>
    <row r="38" spans="2:10" x14ac:dyDescent="0.25">
      <c r="B38" s="14" t="s">
        <v>182</v>
      </c>
      <c r="C38" s="32"/>
      <c r="D38" s="32"/>
      <c r="E38" s="33"/>
      <c r="F38" s="33"/>
      <c r="G38" s="33"/>
      <c r="H38" s="33"/>
      <c r="I38" s="32"/>
      <c r="J38" s="34"/>
    </row>
    <row r="39" spans="2:10" x14ac:dyDescent="0.25">
      <c r="B39" s="38" t="s">
        <v>28</v>
      </c>
      <c r="C39" s="32"/>
      <c r="D39" s="32"/>
      <c r="E39" s="33"/>
      <c r="F39" s="33"/>
      <c r="G39" s="33"/>
      <c r="H39" s="33"/>
      <c r="I39" s="32"/>
      <c r="J39" s="34"/>
    </row>
    <row r="40" spans="2:10" x14ac:dyDescent="0.25">
      <c r="B40" s="39" t="s">
        <v>183</v>
      </c>
      <c r="C40" s="32"/>
      <c r="D40" s="32"/>
      <c r="E40" s="4">
        <v>3711.17</v>
      </c>
      <c r="F40" s="33"/>
      <c r="G40" s="33"/>
      <c r="H40" s="33"/>
      <c r="I40" s="32"/>
      <c r="J40" s="34"/>
    </row>
    <row r="41" spans="2:10" x14ac:dyDescent="0.25">
      <c r="B41" s="39" t="s">
        <v>184</v>
      </c>
      <c r="C41" s="32"/>
      <c r="D41" s="32"/>
      <c r="E41" s="4">
        <v>2671.83</v>
      </c>
      <c r="F41" s="33"/>
      <c r="G41" s="33"/>
      <c r="H41" s="33"/>
      <c r="I41" s="32"/>
      <c r="J41" s="34"/>
    </row>
    <row r="42" spans="2:10" x14ac:dyDescent="0.25">
      <c r="B42" s="39" t="s">
        <v>185</v>
      </c>
      <c r="C42" s="32"/>
      <c r="D42" s="32"/>
      <c r="E42" s="4">
        <v>0</v>
      </c>
      <c r="F42" s="33"/>
      <c r="G42" s="33"/>
      <c r="H42" s="33"/>
      <c r="I42" s="32"/>
      <c r="J42" s="34"/>
    </row>
    <row r="43" spans="2:10" ht="17.25" customHeight="1" x14ac:dyDescent="0.25">
      <c r="B43" s="28" t="s">
        <v>19</v>
      </c>
      <c r="C43" s="28"/>
      <c r="D43" s="28"/>
      <c r="E43" s="8">
        <f>SUM(E40:E42)</f>
        <v>6383</v>
      </c>
      <c r="F43" s="8"/>
      <c r="G43" s="8"/>
      <c r="H43" s="8"/>
      <c r="I43" s="28"/>
      <c r="J43" s="27"/>
    </row>
    <row r="44" spans="2:10" x14ac:dyDescent="0.25">
      <c r="B44" s="39"/>
      <c r="C44" s="32"/>
      <c r="D44" s="32"/>
      <c r="E44" s="33"/>
      <c r="F44" s="33"/>
      <c r="G44" s="33"/>
      <c r="H44" s="33"/>
      <c r="I44" s="32"/>
      <c r="J44" s="34"/>
    </row>
    <row r="45" spans="2:10" ht="30" x14ac:dyDescent="0.25">
      <c r="B45" s="76" t="s">
        <v>186</v>
      </c>
      <c r="C45" s="32"/>
      <c r="D45" s="32"/>
      <c r="E45" s="4">
        <v>6.97</v>
      </c>
      <c r="F45" s="33"/>
      <c r="G45" s="33"/>
      <c r="H45" s="33"/>
      <c r="I45" s="32"/>
      <c r="J45" s="34"/>
    </row>
    <row r="46" spans="2:10" x14ac:dyDescent="0.25">
      <c r="B46" s="79" t="s">
        <v>19</v>
      </c>
      <c r="C46" s="32"/>
      <c r="D46" s="32"/>
      <c r="E46" s="33">
        <f>E43-E45</f>
        <v>6376.03</v>
      </c>
      <c r="F46" s="33"/>
      <c r="G46" s="33"/>
      <c r="H46" s="33"/>
      <c r="I46" s="32"/>
      <c r="J46" s="34"/>
    </row>
    <row r="47" spans="2:10" x14ac:dyDescent="0.25">
      <c r="B47" s="39"/>
      <c r="C47" s="32"/>
      <c r="D47" s="32"/>
      <c r="E47" s="33"/>
      <c r="F47" s="33"/>
      <c r="G47" s="33"/>
      <c r="H47" s="33"/>
      <c r="I47" s="32"/>
      <c r="J47" s="34"/>
    </row>
    <row r="48" spans="2:10" x14ac:dyDescent="0.25">
      <c r="B48" s="78" t="s">
        <v>187</v>
      </c>
      <c r="C48" s="32"/>
      <c r="D48" s="32"/>
      <c r="E48" s="4">
        <v>2500.75</v>
      </c>
      <c r="F48" s="33"/>
      <c r="G48" s="33"/>
      <c r="H48" s="33"/>
      <c r="I48" s="32"/>
      <c r="J48" s="34"/>
    </row>
    <row r="49" spans="2:10" x14ac:dyDescent="0.25">
      <c r="B49" s="78" t="s">
        <v>188</v>
      </c>
      <c r="C49" s="32"/>
      <c r="D49" s="32"/>
      <c r="E49" s="4">
        <v>1500</v>
      </c>
      <c r="F49" s="33"/>
      <c r="G49" s="33"/>
      <c r="H49" s="33"/>
      <c r="I49" s="32"/>
      <c r="J49" s="34"/>
    </row>
    <row r="50" spans="2:10" x14ac:dyDescent="0.25">
      <c r="B50" s="28" t="s">
        <v>19</v>
      </c>
      <c r="C50" s="28"/>
      <c r="D50" s="28"/>
      <c r="E50" s="8">
        <f>E46+E48+E49</f>
        <v>10376.779999999999</v>
      </c>
      <c r="F50" s="8"/>
      <c r="G50" s="8"/>
      <c r="H50" s="8">
        <f>'Total Outstanding '!F16*10^7/10^5+50.11+406.55+700.31+144.96+385.34+1467.52+130.01+1386.53+1164.69+269.23+750.44+162.72+32.23+307.88+1005.87+1363.55+131.32+1500</f>
        <v>41359.260000000017</v>
      </c>
      <c r="I50" s="28"/>
      <c r="J50" s="27"/>
    </row>
    <row r="51" spans="2:10" x14ac:dyDescent="0.25">
      <c r="B51" s="29"/>
      <c r="C51" s="32"/>
      <c r="D51" s="32"/>
      <c r="E51" s="33"/>
      <c r="F51" s="33"/>
      <c r="G51" s="33"/>
      <c r="H51" s="33"/>
      <c r="I51" s="32"/>
      <c r="J51" s="34"/>
    </row>
    <row r="52" spans="2:10" x14ac:dyDescent="0.25">
      <c r="B52" s="14" t="s">
        <v>189</v>
      </c>
      <c r="C52" s="32"/>
      <c r="D52" s="32"/>
      <c r="E52" s="33"/>
      <c r="F52" s="33"/>
      <c r="G52" s="33"/>
      <c r="H52" s="33"/>
      <c r="I52" s="32"/>
      <c r="J52" s="34"/>
    </row>
    <row r="53" spans="2:10" x14ac:dyDescent="0.25">
      <c r="B53" s="39" t="s">
        <v>190</v>
      </c>
      <c r="C53" s="32"/>
      <c r="D53" s="32"/>
      <c r="E53" s="4">
        <v>2886.5</v>
      </c>
      <c r="F53" s="33"/>
      <c r="G53" s="33"/>
      <c r="H53" s="4">
        <f>E53*J53</f>
        <v>2886.5</v>
      </c>
      <c r="I53" s="32"/>
      <c r="J53" s="24">
        <v>1</v>
      </c>
    </row>
    <row r="54" spans="2:10" x14ac:dyDescent="0.25">
      <c r="B54" s="28" t="s">
        <v>19</v>
      </c>
      <c r="C54" s="28"/>
      <c r="D54" s="28"/>
      <c r="E54" s="8">
        <f>SUM(E53)</f>
        <v>2886.5</v>
      </c>
      <c r="F54" s="8"/>
      <c r="G54" s="8"/>
      <c r="H54" s="8">
        <f>SUM(H53)</f>
        <v>2886.5</v>
      </c>
      <c r="I54" s="28"/>
      <c r="J54" s="27"/>
    </row>
    <row r="55" spans="2:10" x14ac:dyDescent="0.25">
      <c r="B55" s="29"/>
      <c r="C55" s="32"/>
      <c r="D55" s="32"/>
      <c r="E55" s="33"/>
      <c r="F55" s="33"/>
      <c r="G55" s="33"/>
      <c r="H55" s="33"/>
      <c r="I55" s="32"/>
      <c r="J55" s="34"/>
    </row>
    <row r="56" spans="2:10" x14ac:dyDescent="0.25">
      <c r="B56" s="29"/>
      <c r="C56" s="32"/>
      <c r="D56" s="32"/>
      <c r="E56" s="33"/>
      <c r="F56" s="33"/>
      <c r="G56" s="33"/>
      <c r="H56" s="33"/>
      <c r="I56" s="32"/>
      <c r="J56" s="34"/>
    </row>
    <row r="57" spans="2:10" x14ac:dyDescent="0.25">
      <c r="B57" s="14" t="s">
        <v>191</v>
      </c>
      <c r="C57" s="32"/>
      <c r="D57" s="32"/>
      <c r="E57" s="33"/>
      <c r="F57" s="33"/>
      <c r="G57" s="33"/>
      <c r="H57" s="33"/>
      <c r="I57" s="32"/>
      <c r="J57" s="34"/>
    </row>
    <row r="58" spans="2:10" x14ac:dyDescent="0.25">
      <c r="B58" s="39" t="s">
        <v>192</v>
      </c>
      <c r="C58" s="32"/>
      <c r="D58" s="32"/>
      <c r="E58" s="4">
        <v>65.52</v>
      </c>
      <c r="F58" s="33"/>
      <c r="G58" s="33"/>
      <c r="H58" s="4">
        <f>E58*J58</f>
        <v>65.52</v>
      </c>
      <c r="I58" s="32"/>
      <c r="J58" s="24">
        <v>1</v>
      </c>
    </row>
    <row r="59" spans="2:10" x14ac:dyDescent="0.25">
      <c r="B59" s="28" t="s">
        <v>19</v>
      </c>
      <c r="C59" s="28"/>
      <c r="D59" s="28"/>
      <c r="E59" s="8">
        <f>SUM(E58)</f>
        <v>65.52</v>
      </c>
      <c r="F59" s="8"/>
      <c r="G59" s="8"/>
      <c r="H59" s="8">
        <f>SUM(H58)</f>
        <v>65.52</v>
      </c>
      <c r="I59" s="28"/>
      <c r="J59" s="27"/>
    </row>
    <row r="60" spans="2:10" x14ac:dyDescent="0.25">
      <c r="B60" s="29"/>
      <c r="C60" s="32"/>
      <c r="D60" s="32"/>
      <c r="E60" s="33"/>
      <c r="F60" s="33"/>
      <c r="G60" s="33"/>
      <c r="H60" s="33"/>
      <c r="I60" s="32"/>
      <c r="J60" s="34"/>
    </row>
    <row r="61" spans="2:10" x14ac:dyDescent="0.25">
      <c r="B61" s="29"/>
      <c r="C61" s="32"/>
      <c r="D61" s="32"/>
      <c r="E61" s="33"/>
      <c r="F61" s="33"/>
      <c r="G61" s="33"/>
      <c r="H61" s="33"/>
      <c r="I61" s="32"/>
      <c r="J61" s="34"/>
    </row>
    <row r="62" spans="2:10" x14ac:dyDescent="0.25">
      <c r="B62" s="3" t="s">
        <v>29</v>
      </c>
      <c r="C62" s="32"/>
      <c r="D62" s="32"/>
      <c r="E62" s="33"/>
      <c r="F62" s="33"/>
      <c r="G62" s="33"/>
      <c r="H62" s="33"/>
      <c r="I62" s="32"/>
      <c r="J62" s="34"/>
    </row>
    <row r="63" spans="2:10" x14ac:dyDescent="0.25">
      <c r="B63" s="14" t="s">
        <v>182</v>
      </c>
      <c r="C63" s="32"/>
      <c r="D63" s="32"/>
      <c r="E63" s="33"/>
      <c r="F63" s="33"/>
      <c r="G63" s="33"/>
      <c r="H63" s="33"/>
      <c r="I63" s="32"/>
      <c r="J63" s="34"/>
    </row>
    <row r="64" spans="2:10" x14ac:dyDescent="0.25">
      <c r="B64" s="38" t="s">
        <v>194</v>
      </c>
      <c r="C64" s="32"/>
      <c r="D64" s="32"/>
      <c r="E64" s="33"/>
      <c r="F64" s="33"/>
      <c r="G64" s="33"/>
      <c r="H64" s="33"/>
      <c r="I64" s="32"/>
      <c r="J64" s="34"/>
    </row>
    <row r="65" spans="2:10" x14ac:dyDescent="0.25">
      <c r="B65" s="39" t="s">
        <v>193</v>
      </c>
      <c r="C65" s="32"/>
      <c r="D65" s="32"/>
      <c r="E65" s="4">
        <v>17493.71</v>
      </c>
      <c r="F65" s="33"/>
      <c r="G65" s="33"/>
      <c r="H65" s="33"/>
      <c r="I65" s="32"/>
      <c r="J65" s="34"/>
    </row>
    <row r="66" spans="2:10" x14ac:dyDescent="0.25">
      <c r="B66" s="39" t="s">
        <v>195</v>
      </c>
      <c r="C66" s="32"/>
      <c r="D66" s="32"/>
      <c r="E66" s="4">
        <v>3502.68</v>
      </c>
      <c r="F66" s="33"/>
      <c r="G66" s="33"/>
      <c r="H66" s="33"/>
      <c r="I66" s="32"/>
      <c r="J66" s="34"/>
    </row>
    <row r="67" spans="2:10" x14ac:dyDescent="0.25">
      <c r="B67" s="39" t="s">
        <v>196</v>
      </c>
      <c r="C67" s="32"/>
      <c r="D67" s="32"/>
      <c r="E67" s="4">
        <v>586.76</v>
      </c>
      <c r="F67" s="33"/>
      <c r="G67" s="33"/>
      <c r="H67" s="33"/>
      <c r="I67" s="32"/>
      <c r="J67" s="34"/>
    </row>
    <row r="68" spans="2:10" x14ac:dyDescent="0.25">
      <c r="B68" s="28" t="s">
        <v>19</v>
      </c>
      <c r="C68" s="28"/>
      <c r="D68" s="28"/>
      <c r="E68" s="8">
        <f>SUM(E65:E67)</f>
        <v>21583.149999999998</v>
      </c>
      <c r="F68" s="8"/>
      <c r="G68" s="8"/>
      <c r="H68" s="8">
        <f>2114.12+1439.7+1320+786.45+1260+820.29+969.75+891.06+2611.61</f>
        <v>12212.98</v>
      </c>
      <c r="I68" s="28"/>
      <c r="J68" s="27"/>
    </row>
    <row r="69" spans="2:10" x14ac:dyDescent="0.25">
      <c r="B69" s="29"/>
      <c r="C69" s="32"/>
      <c r="D69" s="32"/>
      <c r="E69" s="33"/>
      <c r="F69" s="33"/>
      <c r="G69" s="33"/>
      <c r="H69" s="33"/>
      <c r="I69" s="32"/>
      <c r="J69" s="34"/>
    </row>
    <row r="70" spans="2:10" x14ac:dyDescent="0.25">
      <c r="B70" s="29"/>
      <c r="C70" s="32"/>
      <c r="D70" s="32"/>
      <c r="E70" s="33"/>
      <c r="F70" s="33"/>
      <c r="G70" s="33"/>
      <c r="H70" s="33"/>
      <c r="I70" s="32"/>
      <c r="J70" s="34"/>
    </row>
    <row r="71" spans="2:10" x14ac:dyDescent="0.25">
      <c r="B71" s="14" t="s">
        <v>198</v>
      </c>
      <c r="C71" s="32"/>
      <c r="D71" s="32"/>
      <c r="E71" s="33"/>
      <c r="F71" s="33"/>
      <c r="G71" s="33"/>
      <c r="H71" s="33"/>
      <c r="I71" s="32"/>
      <c r="J71" s="34"/>
    </row>
    <row r="72" spans="2:10" ht="30" x14ac:dyDescent="0.25">
      <c r="B72" s="82" t="s">
        <v>199</v>
      </c>
      <c r="C72" s="32"/>
      <c r="D72" s="32"/>
      <c r="E72" s="4">
        <v>1678.97</v>
      </c>
      <c r="F72" s="33"/>
      <c r="G72" s="33"/>
      <c r="H72" s="4">
        <f t="shared" ref="H72:H73" si="5">E72*J72</f>
        <v>1678.97</v>
      </c>
      <c r="I72" s="32"/>
      <c r="J72" s="24">
        <v>1</v>
      </c>
    </row>
    <row r="73" spans="2:10" ht="30" x14ac:dyDescent="0.25">
      <c r="B73" s="82" t="s">
        <v>200</v>
      </c>
      <c r="C73" s="32"/>
      <c r="D73" s="32"/>
      <c r="E73" s="4">
        <v>16452.580000000002</v>
      </c>
      <c r="F73" s="33"/>
      <c r="G73" s="33"/>
      <c r="H73" s="4">
        <f t="shared" si="5"/>
        <v>16452.580000000002</v>
      </c>
      <c r="I73" s="32"/>
      <c r="J73" s="24">
        <v>1</v>
      </c>
    </row>
    <row r="74" spans="2:10" x14ac:dyDescent="0.25">
      <c r="B74" s="28" t="s">
        <v>19</v>
      </c>
      <c r="C74" s="28"/>
      <c r="D74" s="28"/>
      <c r="E74" s="8">
        <f>SUM(E72:E73)</f>
        <v>18131.550000000003</v>
      </c>
      <c r="F74" s="8"/>
      <c r="G74" s="8"/>
      <c r="H74" s="8">
        <f>SUM(H72:H73)</f>
        <v>18131.550000000003</v>
      </c>
      <c r="I74" s="28"/>
      <c r="J74" s="27"/>
    </row>
    <row r="75" spans="2:10" x14ac:dyDescent="0.25">
      <c r="B75" s="29"/>
      <c r="C75" s="32"/>
      <c r="D75" s="32"/>
      <c r="E75" s="33"/>
      <c r="F75" s="33"/>
      <c r="G75" s="33"/>
      <c r="H75" s="33"/>
      <c r="I75" s="32"/>
      <c r="J75" s="34"/>
    </row>
    <row r="76" spans="2:10" x14ac:dyDescent="0.25">
      <c r="B76" s="29"/>
      <c r="C76" s="32"/>
      <c r="D76" s="32"/>
      <c r="E76" s="33"/>
      <c r="F76" s="33"/>
      <c r="G76" s="33"/>
      <c r="H76" s="33"/>
      <c r="I76" s="32"/>
      <c r="J76" s="34"/>
    </row>
    <row r="77" spans="2:10" x14ac:dyDescent="0.25">
      <c r="B77" s="14" t="s">
        <v>201</v>
      </c>
      <c r="C77" s="32"/>
      <c r="D77" s="32"/>
      <c r="E77" s="33"/>
      <c r="F77" s="33"/>
      <c r="G77" s="33"/>
      <c r="H77" s="33"/>
      <c r="I77" s="32"/>
      <c r="J77" s="34"/>
    </row>
    <row r="78" spans="2:10" x14ac:dyDescent="0.25">
      <c r="B78" s="77" t="s">
        <v>202</v>
      </c>
      <c r="C78" s="32"/>
      <c r="D78" s="32"/>
      <c r="E78" s="4"/>
      <c r="F78" s="33"/>
      <c r="G78" s="33"/>
      <c r="H78" s="4"/>
      <c r="I78" s="32"/>
      <c r="J78" s="24"/>
    </row>
    <row r="79" spans="2:10" x14ac:dyDescent="0.25">
      <c r="B79" s="82" t="s">
        <v>203</v>
      </c>
      <c r="C79" s="32"/>
      <c r="D79" s="32"/>
      <c r="E79" s="4"/>
      <c r="F79" s="33"/>
      <c r="G79" s="33"/>
      <c r="H79" s="4"/>
      <c r="I79" s="32"/>
      <c r="J79" s="24"/>
    </row>
    <row r="80" spans="2:10" x14ac:dyDescent="0.25">
      <c r="B80" s="83" t="s">
        <v>205</v>
      </c>
      <c r="C80" s="32"/>
      <c r="D80" s="32"/>
      <c r="E80" s="4">
        <v>912.81</v>
      </c>
      <c r="F80" s="33"/>
      <c r="G80" s="33"/>
      <c r="H80" s="4">
        <f t="shared" ref="H80:H81" si="6">E80*J80</f>
        <v>912.81</v>
      </c>
      <c r="I80" s="32"/>
      <c r="J80" s="24">
        <v>1</v>
      </c>
    </row>
    <row r="81" spans="2:10" x14ac:dyDescent="0.25">
      <c r="B81" s="83" t="s">
        <v>206</v>
      </c>
      <c r="C81" s="32"/>
      <c r="D81" s="32"/>
      <c r="E81" s="4">
        <v>1598.33</v>
      </c>
      <c r="F81" s="33"/>
      <c r="G81" s="33"/>
      <c r="H81" s="4">
        <f t="shared" si="6"/>
        <v>1598.33</v>
      </c>
      <c r="I81" s="32"/>
      <c r="J81" s="24">
        <v>1</v>
      </c>
    </row>
    <row r="82" spans="2:10" x14ac:dyDescent="0.25">
      <c r="B82" s="82" t="s">
        <v>204</v>
      </c>
      <c r="C82" s="32"/>
      <c r="D82" s="32"/>
      <c r="E82" s="4"/>
      <c r="F82" s="33"/>
      <c r="G82" s="33"/>
      <c r="H82" s="4"/>
      <c r="I82" s="32"/>
      <c r="J82" s="24"/>
    </row>
    <row r="83" spans="2:10" x14ac:dyDescent="0.25">
      <c r="B83" s="83" t="s">
        <v>205</v>
      </c>
      <c r="C83" s="32"/>
      <c r="D83" s="32"/>
      <c r="E83" s="4">
        <v>340.11</v>
      </c>
      <c r="F83" s="33"/>
      <c r="G83" s="33"/>
      <c r="H83" s="4">
        <f t="shared" ref="H83" si="7">E83*J83</f>
        <v>340.11</v>
      </c>
      <c r="I83" s="32"/>
      <c r="J83" s="24">
        <v>1</v>
      </c>
    </row>
    <row r="84" spans="2:10" x14ac:dyDescent="0.25">
      <c r="B84" s="82" t="s">
        <v>19</v>
      </c>
      <c r="C84" s="32"/>
      <c r="D84" s="32"/>
      <c r="E84" s="4">
        <f>SUM(E80:E83)</f>
        <v>2851.25</v>
      </c>
      <c r="F84" s="33"/>
      <c r="G84" s="33"/>
      <c r="H84" s="4">
        <f>SUM(H80:H83)</f>
        <v>2851.25</v>
      </c>
      <c r="I84" s="32"/>
      <c r="J84" s="24"/>
    </row>
    <row r="85" spans="2:10" x14ac:dyDescent="0.25">
      <c r="B85" s="75" t="s">
        <v>207</v>
      </c>
      <c r="C85" s="32"/>
      <c r="D85" s="32"/>
      <c r="E85" s="4">
        <v>10.82</v>
      </c>
      <c r="F85" s="33"/>
      <c r="G85" s="33"/>
      <c r="H85" s="4">
        <f t="shared" ref="H85" si="8">E85*J85</f>
        <v>10.82</v>
      </c>
      <c r="I85" s="32"/>
      <c r="J85" s="24">
        <v>1</v>
      </c>
    </row>
    <row r="86" spans="2:10" x14ac:dyDescent="0.25">
      <c r="B86" s="75" t="s">
        <v>19</v>
      </c>
      <c r="C86" s="32"/>
      <c r="D86" s="32"/>
      <c r="E86" s="4">
        <f>E84-E85</f>
        <v>2840.43</v>
      </c>
      <c r="F86" s="33"/>
      <c r="G86" s="33"/>
      <c r="H86" s="4">
        <f>H84-H85</f>
        <v>2840.43</v>
      </c>
      <c r="I86" s="32"/>
      <c r="J86" s="24"/>
    </row>
    <row r="87" spans="2:10" x14ac:dyDescent="0.25">
      <c r="B87" s="75"/>
      <c r="C87" s="32"/>
      <c r="D87" s="32"/>
      <c r="E87" s="4"/>
      <c r="F87" s="33"/>
      <c r="G87" s="33"/>
      <c r="H87" s="4"/>
      <c r="I87" s="32"/>
      <c r="J87" s="24"/>
    </row>
    <row r="88" spans="2:10" x14ac:dyDescent="0.25">
      <c r="B88" s="75" t="s">
        <v>208</v>
      </c>
      <c r="C88" s="32"/>
      <c r="D88" s="32"/>
      <c r="E88" s="4">
        <v>488.59</v>
      </c>
      <c r="F88" s="33"/>
      <c r="G88" s="33"/>
      <c r="H88" s="4">
        <f t="shared" ref="H88:H91" si="9">E88*J88</f>
        <v>488.59</v>
      </c>
      <c r="I88" s="32"/>
      <c r="J88" s="24">
        <v>1</v>
      </c>
    </row>
    <row r="89" spans="2:10" x14ac:dyDescent="0.25">
      <c r="B89" s="75" t="s">
        <v>209</v>
      </c>
      <c r="C89" s="32"/>
      <c r="D89" s="32"/>
      <c r="E89" s="4">
        <v>94.89</v>
      </c>
      <c r="F89" s="33"/>
      <c r="G89" s="33"/>
      <c r="H89" s="4">
        <f t="shared" si="9"/>
        <v>94.89</v>
      </c>
      <c r="I89" s="32"/>
      <c r="J89" s="24">
        <v>1</v>
      </c>
    </row>
    <row r="90" spans="2:10" x14ac:dyDescent="0.25">
      <c r="B90" s="75" t="s">
        <v>190</v>
      </c>
      <c r="C90" s="32"/>
      <c r="D90" s="32"/>
      <c r="E90" s="4">
        <v>3388.06</v>
      </c>
      <c r="F90" s="33"/>
      <c r="G90" s="33"/>
      <c r="H90" s="4">
        <f t="shared" si="9"/>
        <v>3388.06</v>
      </c>
      <c r="I90" s="32"/>
      <c r="J90" s="24">
        <v>1</v>
      </c>
    </row>
    <row r="91" spans="2:10" x14ac:dyDescent="0.25">
      <c r="B91" s="75" t="s">
        <v>210</v>
      </c>
      <c r="C91" s="32"/>
      <c r="D91" s="32"/>
      <c r="E91" s="4">
        <v>66.099999999999994</v>
      </c>
      <c r="F91" s="33"/>
      <c r="G91" s="33"/>
      <c r="H91" s="4">
        <f t="shared" si="9"/>
        <v>66.099999999999994</v>
      </c>
      <c r="I91" s="32"/>
      <c r="J91" s="24">
        <v>1</v>
      </c>
    </row>
    <row r="92" spans="2:10" x14ac:dyDescent="0.25">
      <c r="B92" s="28" t="s">
        <v>19</v>
      </c>
      <c r="C92" s="28"/>
      <c r="D92" s="28"/>
      <c r="E92" s="8">
        <f>E86+SUM(E88:E91)</f>
        <v>6878.07</v>
      </c>
      <c r="F92" s="8"/>
      <c r="G92" s="8"/>
      <c r="H92" s="8">
        <f>H86+SUM(H88:H91)</f>
        <v>6878.07</v>
      </c>
      <c r="I92" s="28"/>
      <c r="J92" s="27"/>
    </row>
    <row r="93" spans="2:10" x14ac:dyDescent="0.25">
      <c r="B93" s="75"/>
      <c r="C93" s="32"/>
      <c r="D93" s="32"/>
      <c r="E93" s="4"/>
      <c r="F93" s="33"/>
      <c r="G93" s="33"/>
      <c r="H93" s="4"/>
      <c r="I93" s="32"/>
      <c r="J93" s="24"/>
    </row>
    <row r="96" spans="2:10" x14ac:dyDescent="0.25">
      <c r="B96" s="14" t="s">
        <v>211</v>
      </c>
      <c r="C96" s="32"/>
      <c r="D96" s="32"/>
      <c r="E96" s="33"/>
      <c r="F96" s="33"/>
      <c r="G96" s="33"/>
      <c r="H96" s="33"/>
      <c r="I96" s="32"/>
      <c r="J96" s="34"/>
    </row>
    <row r="97" spans="2:10" x14ac:dyDescent="0.25">
      <c r="B97" s="82"/>
      <c r="C97" s="32"/>
      <c r="D97" s="32"/>
      <c r="E97" s="4"/>
      <c r="F97" s="33"/>
      <c r="G97" s="33"/>
      <c r="H97" s="4"/>
      <c r="I97" s="32"/>
      <c r="J97" s="24"/>
    </row>
    <row r="98" spans="2:10" x14ac:dyDescent="0.25">
      <c r="B98" s="82"/>
      <c r="C98" s="32"/>
      <c r="D98" s="32"/>
      <c r="E98" s="4"/>
      <c r="F98" s="33"/>
      <c r="G98" s="33"/>
      <c r="H98" s="4"/>
      <c r="I98" s="32"/>
      <c r="J98" s="24"/>
    </row>
    <row r="99" spans="2:10" x14ac:dyDescent="0.25">
      <c r="B99" s="28" t="s">
        <v>19</v>
      </c>
      <c r="C99" s="28"/>
      <c r="D99" s="28"/>
      <c r="E99" s="8">
        <f>36501.5/2+2441.22/2+20.36</f>
        <v>19491.72</v>
      </c>
      <c r="F99" s="8"/>
      <c r="G99" s="8"/>
      <c r="H99" s="8">
        <f>E99</f>
        <v>19491.72</v>
      </c>
      <c r="I99" s="28"/>
      <c r="J99" s="27"/>
    </row>
  </sheetData>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NAV EV</vt:lpstr>
      <vt:lpstr>Fixed Assets</vt:lpstr>
      <vt:lpstr>Non Current Financial Assets</vt:lpstr>
      <vt:lpstr>Other Non Current Asset</vt:lpstr>
      <vt:lpstr>Current Assets</vt:lpstr>
      <vt:lpstr>Total Outstanding </vt:lpstr>
      <vt:lpstr>Equity &amp; Liabilities</vt:lpstr>
      <vt:lpstr>Sheet3</vt:lpstr>
      <vt:lpstr>Collateral Securities</vt:lpstr>
      <vt:lpstr>Historical Performance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2024-10-29T11:54:45Z</dcterms:modified>
</cp:coreProperties>
</file>