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9705" windowHeight="3270" tabRatio="870" firstSheet="3" activeTab="9"/>
  </bookViews>
  <sheets>
    <sheet name="Sheet1" sheetId="9" r:id="rId1"/>
    <sheet name="NAV EV" sheetId="1" r:id="rId2"/>
    <sheet name="Fixed Assets" sheetId="3" r:id="rId3"/>
    <sheet name="Non Current Financial Assets" sheetId="5" r:id="rId4"/>
    <sheet name="Other Non Current Asset" sheetId="10" r:id="rId5"/>
    <sheet name="Current Assets" sheetId="7" r:id="rId6"/>
    <sheet name="Total Outstanding " sheetId="11" r:id="rId7"/>
    <sheet name="Equity &amp; Liabilities" sheetId="8" r:id="rId8"/>
    <sheet name="Sheet3" sheetId="14" r:id="rId9"/>
    <sheet name="Collateral Securities" sheetId="12" r:id="rId10"/>
    <sheet name="Historical Performance" sheetId="13" r:id="rId11"/>
  </sheets>
  <calcPr calcId="152511" iterate="1"/>
</workbook>
</file>

<file path=xl/calcChain.xml><?xml version="1.0" encoding="utf-8"?>
<calcChain xmlns="http://schemas.openxmlformats.org/spreadsheetml/2006/main">
  <c r="G36" i="12" l="1"/>
  <c r="F34" i="12"/>
  <c r="F35" i="12" s="1"/>
  <c r="G35" i="12"/>
  <c r="E36" i="13" l="1"/>
  <c r="E19" i="13"/>
  <c r="E21" i="13" s="1"/>
  <c r="E28" i="13" s="1"/>
  <c r="E34" i="13" s="1"/>
  <c r="E11" i="13"/>
  <c r="E31" i="13" s="1"/>
  <c r="D19" i="13"/>
  <c r="D11" i="13"/>
  <c r="D31" i="13" s="1"/>
  <c r="B2" i="13"/>
  <c r="D32" i="13" l="1"/>
  <c r="D37" i="13" s="1"/>
  <c r="D21" i="13"/>
  <c r="D28" i="13" s="1"/>
  <c r="D34" i="13" s="1"/>
  <c r="D39" i="13" s="1"/>
  <c r="E32" i="13"/>
  <c r="E37" i="13" s="1"/>
  <c r="E39" i="13"/>
  <c r="E33" i="13"/>
  <c r="E38" i="13" s="1"/>
  <c r="B15" i="12"/>
  <c r="B16" i="12" s="1"/>
  <c r="B17" i="12" s="1"/>
  <c r="B18" i="12" s="1"/>
  <c r="B19" i="12" s="1"/>
  <c r="B20" i="12" s="1"/>
  <c r="B21" i="12" s="1"/>
  <c r="B22" i="12" s="1"/>
  <c r="B23" i="12" s="1"/>
  <c r="B24" i="12" s="1"/>
  <c r="B25" i="12" s="1"/>
  <c r="B26" i="12" s="1"/>
  <c r="B27" i="12" s="1"/>
  <c r="B28" i="12" s="1"/>
  <c r="B29" i="12" s="1"/>
  <c r="B30" i="12" s="1"/>
  <c r="B31" i="12" s="1"/>
  <c r="B32" i="12" s="1"/>
  <c r="B33" i="12" s="1"/>
  <c r="E35" i="12"/>
  <c r="E34" i="12"/>
  <c r="B5" i="12"/>
  <c r="B6" i="12" s="1"/>
  <c r="B7" i="12" s="1"/>
  <c r="B8" i="12" s="1"/>
  <c r="B9" i="12" s="1"/>
  <c r="B10" i="12" s="1"/>
  <c r="B11" i="12" s="1"/>
  <c r="B12" i="12" s="1"/>
  <c r="B13" i="12" s="1"/>
  <c r="B14" i="12" s="1"/>
  <c r="E99" i="8"/>
  <c r="H99" i="8" s="1"/>
  <c r="H91" i="8"/>
  <c r="H90" i="8"/>
  <c r="H89" i="8"/>
  <c r="H88" i="8"/>
  <c r="H85" i="8"/>
  <c r="H83" i="8"/>
  <c r="H81" i="8"/>
  <c r="H84" i="8" s="1"/>
  <c r="H86" i="8" s="1"/>
  <c r="H92" i="8" s="1"/>
  <c r="H80" i="8"/>
  <c r="E84" i="8"/>
  <c r="E86" i="8" s="1"/>
  <c r="E92" i="8" s="1"/>
  <c r="H73" i="8"/>
  <c r="H72" i="8"/>
  <c r="H74" i="8" s="1"/>
  <c r="E74" i="8"/>
  <c r="H68" i="8"/>
  <c r="E68" i="8"/>
  <c r="E59" i="8"/>
  <c r="H58" i="8"/>
  <c r="H59" i="8" s="1"/>
  <c r="H53" i="8"/>
  <c r="H54" i="8" s="1"/>
  <c r="E54" i="8"/>
  <c r="H50" i="8"/>
  <c r="E43" i="8"/>
  <c r="E46" i="8" s="1"/>
  <c r="E50" i="8" s="1"/>
  <c r="D33" i="13" l="1"/>
  <c r="D38" i="13" s="1"/>
  <c r="H31" i="8"/>
  <c r="H30" i="8"/>
  <c r="H32" i="8" s="1"/>
  <c r="H26" i="8"/>
  <c r="H25" i="8"/>
  <c r="H21" i="8"/>
  <c r="H20" i="8"/>
  <c r="E32" i="8"/>
  <c r="E27" i="8"/>
  <c r="E22" i="8"/>
  <c r="E14" i="8"/>
  <c r="E11" i="8"/>
  <c r="B2" i="8"/>
  <c r="F54" i="7"/>
  <c r="F55" i="7"/>
  <c r="F56" i="7"/>
  <c r="F57" i="7"/>
  <c r="E59" i="7"/>
  <c r="F53" i="7"/>
  <c r="E49" i="7"/>
  <c r="F47" i="7"/>
  <c r="F49" i="7" s="1"/>
  <c r="F40" i="7"/>
  <c r="F41" i="7"/>
  <c r="F39" i="7"/>
  <c r="E43" i="7"/>
  <c r="F26" i="7"/>
  <c r="F27" i="7"/>
  <c r="F28" i="7"/>
  <c r="F25" i="7"/>
  <c r="F32" i="7"/>
  <c r="F33" i="7" s="1"/>
  <c r="E33" i="7"/>
  <c r="F20" i="7"/>
  <c r="F10" i="7"/>
  <c r="F12" i="7" s="1"/>
  <c r="B2" i="7"/>
  <c r="E12" i="7"/>
  <c r="H22" i="8" l="1"/>
  <c r="E34" i="8"/>
  <c r="H27" i="8"/>
  <c r="F59" i="7"/>
  <c r="F43" i="7"/>
  <c r="E10" i="10"/>
  <c r="E11" i="10"/>
  <c r="E12" i="10"/>
  <c r="E9" i="10"/>
  <c r="D13" i="10"/>
  <c r="D15" i="10" s="1"/>
  <c r="B2" i="10"/>
  <c r="E13" i="10" l="1"/>
  <c r="E15" i="10" s="1"/>
  <c r="H34" i="8"/>
  <c r="D27" i="5"/>
  <c r="G25" i="5"/>
  <c r="G27" i="5" s="1"/>
  <c r="D25" i="5"/>
  <c r="D9" i="5"/>
  <c r="D20" i="5" s="1"/>
  <c r="G20" i="5" s="1"/>
  <c r="B2" i="5"/>
  <c r="D25" i="1"/>
  <c r="D7" i="1"/>
  <c r="E65" i="1" s="1"/>
  <c r="D80" i="3"/>
  <c r="D84" i="3" s="1"/>
  <c r="D85" i="3" s="1"/>
  <c r="D83" i="3"/>
  <c r="D68" i="3"/>
  <c r="D72" i="3" s="1"/>
  <c r="D73" i="3" s="1"/>
  <c r="D71" i="3"/>
  <c r="D61" i="3"/>
  <c r="D58" i="3"/>
  <c r="D48" i="3"/>
  <c r="D51" i="3"/>
  <c r="D52" i="3" s="1"/>
  <c r="D53" i="3" s="1"/>
  <c r="D38" i="3"/>
  <c r="D42" i="3" s="1"/>
  <c r="D43" i="3" s="1"/>
  <c r="D41" i="3"/>
  <c r="D28" i="3"/>
  <c r="D31" i="3"/>
  <c r="D18" i="3"/>
  <c r="D21" i="3"/>
  <c r="D11" i="3"/>
  <c r="D12" i="3" s="1"/>
  <c r="D13" i="3" s="1"/>
  <c r="D57" i="1" l="1"/>
  <c r="D12" i="1"/>
  <c r="E12" i="1" s="1"/>
  <c r="D44" i="1"/>
  <c r="D35" i="1"/>
  <c r="D17" i="1"/>
  <c r="D53" i="1"/>
  <c r="E55" i="1"/>
  <c r="E57" i="1"/>
  <c r="E53" i="1"/>
  <c r="E51" i="1"/>
  <c r="E44" i="1"/>
  <c r="E43" i="1"/>
  <c r="E27" i="1"/>
  <c r="E42" i="1"/>
  <c r="E28" i="1"/>
  <c r="E21" i="1"/>
  <c r="E14" i="1"/>
  <c r="E23" i="1"/>
  <c r="E15" i="1"/>
  <c r="E25" i="1"/>
  <c r="E17" i="1"/>
  <c r="D14" i="1"/>
  <c r="D21" i="1"/>
  <c r="D26" i="1"/>
  <c r="D36" i="1"/>
  <c r="D45" i="1"/>
  <c r="D54" i="1"/>
  <c r="D10" i="1"/>
  <c r="D15" i="1"/>
  <c r="D23" i="1"/>
  <c r="D27" i="1"/>
  <c r="D42" i="1"/>
  <c r="D46" i="1"/>
  <c r="D55" i="1"/>
  <c r="E11" i="1"/>
  <c r="E36" i="1"/>
  <c r="D11" i="1"/>
  <c r="D16" i="1"/>
  <c r="E16" i="1" s="1"/>
  <c r="D24" i="1"/>
  <c r="D28" i="1"/>
  <c r="D43" i="1"/>
  <c r="D51" i="1"/>
  <c r="D56" i="1"/>
  <c r="E26" i="1"/>
  <c r="D32" i="3"/>
  <c r="D33" i="3" s="1"/>
  <c r="D22" i="3"/>
  <c r="D62" i="3"/>
  <c r="D63" i="3" s="1"/>
  <c r="D23" i="3"/>
  <c r="E47" i="1" l="1"/>
  <c r="E58" i="1"/>
  <c r="E64" i="1"/>
  <c r="E66" i="1" s="1"/>
  <c r="D75" i="3"/>
  <c r="E10" i="1" s="1"/>
  <c r="E18" i="1" s="1"/>
  <c r="B2" i="3"/>
  <c r="D58" i="1"/>
  <c r="D47" i="1"/>
  <c r="D37" i="1"/>
  <c r="D29" i="1"/>
  <c r="D18" i="1"/>
  <c r="E60" i="1" l="1"/>
  <c r="E62" i="1" s="1"/>
  <c r="D60" i="1"/>
  <c r="D62" i="1" s="1"/>
  <c r="D31" i="1"/>
  <c r="H14" i="8" l="1"/>
  <c r="H16" i="8" s="1"/>
  <c r="E35" i="1" l="1"/>
  <c r="E29" i="7"/>
  <c r="E20" i="7"/>
  <c r="E16" i="8"/>
  <c r="H11" i="8"/>
  <c r="F29" i="7"/>
  <c r="E24" i="1" l="1"/>
  <c r="E29" i="1" s="1"/>
  <c r="E31" i="1" s="1"/>
  <c r="E67" i="1" s="1"/>
  <c r="F35" i="7"/>
</calcChain>
</file>

<file path=xl/comments1.xml><?xml version="1.0" encoding="utf-8"?>
<comments xmlns="http://schemas.openxmlformats.org/spreadsheetml/2006/main">
  <authors>
    <author>Author</author>
  </authors>
  <commentList>
    <comment ref="H50" authorId="0" shapeId="0">
      <text>
        <r>
          <rPr>
            <b/>
            <sz val="9"/>
            <color indexed="81"/>
            <rFont val="Tahoma"/>
            <family val="2"/>
          </rPr>
          <t>Author:</t>
        </r>
        <r>
          <rPr>
            <sz val="9"/>
            <color indexed="81"/>
            <rFont val="Tahoma"/>
            <family val="2"/>
          </rPr>
          <t xml:space="preserve">
300 cr. Consortium current + non-consortium as per 31st march 2021</t>
        </r>
      </text>
    </comment>
  </commentList>
</comments>
</file>

<file path=xl/sharedStrings.xml><?xml version="1.0" encoding="utf-8"?>
<sst xmlns="http://schemas.openxmlformats.org/spreadsheetml/2006/main" count="406" uniqueCount="274">
  <si>
    <t>NET ASSET VALUE (NAV)</t>
  </si>
  <si>
    <t>Fair Market Value</t>
  </si>
  <si>
    <t>Assets:</t>
  </si>
  <si>
    <t>Non-Current Assets</t>
  </si>
  <si>
    <t>Particular (Values in INR Crores)</t>
  </si>
  <si>
    <t>Current Liabilities</t>
  </si>
  <si>
    <t>Total Current Liabilities</t>
  </si>
  <si>
    <t>Operational Liabilities</t>
  </si>
  <si>
    <t>Current Assets</t>
  </si>
  <si>
    <t>Inventories</t>
  </si>
  <si>
    <t>Total Assets</t>
  </si>
  <si>
    <t>Non-Current Liabilities</t>
  </si>
  <si>
    <t>FIXED ASSETS</t>
  </si>
  <si>
    <t>PARTICULARS</t>
  </si>
  <si>
    <t>Factor</t>
  </si>
  <si>
    <t>TOTAL</t>
  </si>
  <si>
    <t>NON CURRENT INVESTMENTS</t>
  </si>
  <si>
    <t>(A) Inventories</t>
  </si>
  <si>
    <t>INVENTORIES</t>
  </si>
  <si>
    <t>Total</t>
  </si>
  <si>
    <t>(B) TRADE RECEIVABLES</t>
  </si>
  <si>
    <t>(C). CASH &amp; CASH EQUIVALAENTS</t>
  </si>
  <si>
    <t>Shareholder's Equity and Liabilities</t>
  </si>
  <si>
    <t>Authorised :</t>
  </si>
  <si>
    <t xml:space="preserve">Issued, Subscribed &amp; Paid up : </t>
  </si>
  <si>
    <t>(A) SHARE CAPITAL</t>
  </si>
  <si>
    <t>1. SHARE HOLDERS' FUNDS</t>
  </si>
  <si>
    <t>2. NON CURRENT LIABITIES</t>
  </si>
  <si>
    <t>LONG TERM BORROWINGS</t>
  </si>
  <si>
    <t>2. CURRENT LIABITIES</t>
  </si>
  <si>
    <t>Contingent Liabilities</t>
  </si>
  <si>
    <t>Total Adjustable Liabilities</t>
  </si>
  <si>
    <t>Adjusted NAV</t>
  </si>
  <si>
    <t>VIS (2022-23)-PL046-Q007-032-056</t>
  </si>
  <si>
    <t>Property, Plant and Equipment</t>
  </si>
  <si>
    <t>Other Intangible assets</t>
  </si>
  <si>
    <t>Capital Work in Progress</t>
  </si>
  <si>
    <t>Financial Assets</t>
  </si>
  <si>
    <t>Investments</t>
  </si>
  <si>
    <t>Other Non-current financial assets</t>
  </si>
  <si>
    <t>Deferred tax Asset (Net)</t>
  </si>
  <si>
    <t>Other non-current assets</t>
  </si>
  <si>
    <t>a</t>
  </si>
  <si>
    <t>b</t>
  </si>
  <si>
    <t>e</t>
  </si>
  <si>
    <t>c</t>
  </si>
  <si>
    <t>d</t>
  </si>
  <si>
    <t>f</t>
  </si>
  <si>
    <t>Total Non-Current Asset</t>
  </si>
  <si>
    <t>(i) Trade receivables</t>
  </si>
  <si>
    <t>(ii) Cash and cash equivalents</t>
  </si>
  <si>
    <t>(iii) Bank balances other than (ii) above</t>
  </si>
  <si>
    <t>(iv) Other current financial assets</t>
  </si>
  <si>
    <t>Current tax assets (Net)</t>
  </si>
  <si>
    <t>Other current assets</t>
  </si>
  <si>
    <t>Total Current Asset</t>
  </si>
  <si>
    <t>Equity &amp; Liabilities:</t>
  </si>
  <si>
    <t>Equity</t>
  </si>
  <si>
    <t>(a) Equity share capital</t>
  </si>
  <si>
    <t>(b) Other Equity</t>
  </si>
  <si>
    <t>Total Equity</t>
  </si>
  <si>
    <t>Liabilities</t>
  </si>
  <si>
    <t>(a) Financial Liabilities</t>
  </si>
  <si>
    <t>(i) Long term borrowings</t>
  </si>
  <si>
    <t>(ii) Other non-current financial liabilities</t>
  </si>
  <si>
    <t>(b) Long-term provisions</t>
  </si>
  <si>
    <t>(c) Deferred tax liabilities (Net)</t>
  </si>
  <si>
    <t>(d) Other non-current liabilities</t>
  </si>
  <si>
    <t>Total Non-current liabilities</t>
  </si>
  <si>
    <t>(ii) Trade payables</t>
  </si>
  <si>
    <t>(iii) Other current financial liabilities</t>
  </si>
  <si>
    <t>(b) Short term provisions</t>
  </si>
  <si>
    <t>(c) Other current liabilities</t>
  </si>
  <si>
    <t>Outstanding dues of Micro and Small Enterprises</t>
  </si>
  <si>
    <t>Outstanding dues of Others</t>
  </si>
  <si>
    <t>Total Liabilities</t>
  </si>
  <si>
    <t>Total Equity &amp; Liabilities</t>
  </si>
  <si>
    <t>Accumulated Depreciation</t>
  </si>
  <si>
    <t>Land</t>
  </si>
  <si>
    <t>Useful Life</t>
  </si>
  <si>
    <t>SLM Depreciation as per Companies Act</t>
  </si>
  <si>
    <t>Salvage Value</t>
  </si>
  <si>
    <t>3-60 Years</t>
  </si>
  <si>
    <t>Office Equipment</t>
  </si>
  <si>
    <t>Vehicles</t>
  </si>
  <si>
    <t>Net Block as on 31st March 2021</t>
  </si>
  <si>
    <t>Years</t>
  </si>
  <si>
    <t>Net Block as on 20th Oct 2024</t>
  </si>
  <si>
    <t>Building &amp; Civil Works</t>
  </si>
  <si>
    <t>Plant &amp; Machinery</t>
  </si>
  <si>
    <t>3-15 Years</t>
  </si>
  <si>
    <t>5 Years</t>
  </si>
  <si>
    <t>Furniture &amp; Fixture</t>
  </si>
  <si>
    <t>10 Years</t>
  </si>
  <si>
    <t>8-10 Years</t>
  </si>
  <si>
    <t>Computer &amp; Printers</t>
  </si>
  <si>
    <t>3-6 Years</t>
  </si>
  <si>
    <t>PP&amp;E (Net) as on 20th Oct 2024</t>
  </si>
  <si>
    <t>Other Intangible Assets (Computer Software)</t>
  </si>
  <si>
    <t>SLM Amortization as per Companies Act</t>
  </si>
  <si>
    <t>Value as per Audited Balance sheet as at 31.03.2021</t>
  </si>
  <si>
    <t>Fair Market Value as on 20th Oct 2024</t>
  </si>
  <si>
    <t>Factor to be considered</t>
  </si>
  <si>
    <t>M/s Kunal Structure (India) Private Limited</t>
  </si>
  <si>
    <t>Non Current Financial Assets</t>
  </si>
  <si>
    <t>Value as on 31st March 2021</t>
  </si>
  <si>
    <t>Unquoted</t>
  </si>
  <si>
    <t>CLASSIC NETWORK KSIPLJV</t>
  </si>
  <si>
    <t>KSIPL SACHIN JV</t>
  </si>
  <si>
    <t>MCL KSIPL Gurjanpalli (JV)</t>
  </si>
  <si>
    <t>5000 Equity Shares in Kunal BSBK JV Private Limited, of Rs, 10 fully paid up</t>
  </si>
  <si>
    <t xml:space="preserve">Investment In equity Instruments of Joint Ventures </t>
  </si>
  <si>
    <t>Quoted</t>
  </si>
  <si>
    <t>Investment In Mutual Funds measured at Fair Value Through Profit &amp; Loss</t>
  </si>
  <si>
    <t>1,00,000 units of SBI Dual Advantage Fund (G)</t>
  </si>
  <si>
    <t>97567.639 units of Union Corporate Fund Regular-Growth</t>
  </si>
  <si>
    <t>Data/Information regarding current status, net worth etc. of these investee companies/JV/Firms is not available and due to data limitation we can not assign any value to it.</t>
  </si>
  <si>
    <t>Other Non Current Financial Assets</t>
  </si>
  <si>
    <t>Security Deposits and monies retained by customers</t>
  </si>
  <si>
    <t>*Fixed Deposits - Maturing after 12 months of reporting date</t>
  </si>
  <si>
    <t>As per data/information available in audited balance sheet as on 31st March 2021,  Above fixed deposit made with banks given to customer as security and earnest money deposit or lien marked with bank for working capital facilities.
It has been 3.58 years  and due to data limitation regarding the current status of the fixed deposit made with bank by customers we can not assign any value to it at present.</t>
  </si>
  <si>
    <t>As per data/information available in audited balance sheet as on 31st March 2021, Security deposits and monies retained by customers include deposit of INR 146.36 lakhs of Rajkot Municiple Corporation againstcompany was in arbitration and the decision was given in the favour of company.
It has been 3.58 years since the decision was given. Due to data limitation regarding the current status of the security deposits and monies retained by customers we can not assign any value to it at present.</t>
  </si>
  <si>
    <t>Other Non Current Asset</t>
  </si>
  <si>
    <t>Security Deposit</t>
  </si>
  <si>
    <t>Prepaid expenses</t>
  </si>
  <si>
    <t>Advance for capital goods</t>
  </si>
  <si>
    <t>Due to lack of information regarding the bifurcation of balance sheet items and no information regarding their aging, marketability, terms &amp; conditions etc. The fair market value is determined as per the information provided by the client/company referring the provisional balance sheet as on 31st March 2022.</t>
  </si>
  <si>
    <t>Sr No</t>
  </si>
  <si>
    <t>BANK NAME</t>
  </si>
  <si>
    <t>FB</t>
  </si>
  <si>
    <t>NFB</t>
  </si>
  <si>
    <t>Total FB &amp; NFB Outstanding</t>
  </si>
  <si>
    <t>ICICI BANK</t>
  </si>
  <si>
    <t>IDFC BANK</t>
  </si>
  <si>
    <t>INDIAN BANK</t>
  </si>
  <si>
    <t>PUNJAB &amp; SINDH BANK</t>
  </si>
  <si>
    <t>STATE BANK OF INDIA</t>
  </si>
  <si>
    <t>UNION BANK OF INDIA</t>
  </si>
  <si>
    <t>AXIS BANK</t>
  </si>
  <si>
    <t>BANK OF BARODA</t>
  </si>
  <si>
    <t>BANK OF INDIA</t>
  </si>
  <si>
    <t>HDFC BANK</t>
  </si>
  <si>
    <t>IDBI BANK</t>
  </si>
  <si>
    <t>YES BANK</t>
  </si>
  <si>
    <t>Total :-</t>
  </si>
  <si>
    <t>    (Amount in Crores as on 31.07.2024)</t>
  </si>
  <si>
    <t>Construction Material</t>
  </si>
  <si>
    <t>Remarks</t>
  </si>
  <si>
    <t>As per stack statement dated 30th April 2022 shared by bank/client, Market value of inventory was INR 1601.98 lakhs which inculdes Raw material, Outstandin sundry creditors inaccess of level accepted in CMA, Store &amp; Spares, Stock-in-progress and finished goods etc.
we have considered to discount this value by an appropeiate factor to get the current FMV of stock after considering the various factors such as aging, detorioration etc. As mentioned in audited balance sheet as on t 31st March 2021, it seems that there is only construction material in inventory and no other bifurcation is availbale. It is to be noted that Construction material was hypothecated to bank against working capital facility at that time.</t>
  </si>
  <si>
    <t>Unsecured, considered good</t>
  </si>
  <si>
    <t>Allowance for expected credit loss</t>
  </si>
  <si>
    <t>(A) Cash and Cash Equivalents</t>
  </si>
  <si>
    <t>a) Balance with banks</t>
  </si>
  <si>
    <t>In Current Accounts</t>
  </si>
  <si>
    <t>In Credit Card Accounts</t>
  </si>
  <si>
    <t>In Cash Credit Accounts</t>
  </si>
  <si>
    <t>b) Cash on hand</t>
  </si>
  <si>
    <t>(B) Bank balances other than Cash and Cash equivalents</t>
  </si>
  <si>
    <t>Fixed Deposits - Maturing within 12 months from reporting date*</t>
  </si>
  <si>
    <t>Total (A)</t>
  </si>
  <si>
    <t>Total (B)</t>
  </si>
  <si>
    <t>(D) Other Financial Assets</t>
  </si>
  <si>
    <t>Loans &amp; Advances to Employees</t>
  </si>
  <si>
    <t>Other Interest Receivable</t>
  </si>
  <si>
    <t>(E) Current tax assets (Net)</t>
  </si>
  <si>
    <t>Current tax assets (Net of provisions for taxes)</t>
  </si>
  <si>
    <t>(F) Other current assets</t>
  </si>
  <si>
    <t>Balance with Government Authorities</t>
  </si>
  <si>
    <t>Advance to Suppliers</t>
  </si>
  <si>
    <t>Unbilled Revenue</t>
  </si>
  <si>
    <t>55,00,000 equity share capital of Rs. 10 Each</t>
  </si>
  <si>
    <t>50,30,000 equity share capital of Rs. 10 Each fuliv oaid up</t>
  </si>
  <si>
    <t>(B) Other Equity</t>
  </si>
  <si>
    <t>Retained earnings - Surplus of Profit and Loss</t>
  </si>
  <si>
    <t>Balance at the beginning of the year</t>
  </si>
  <si>
    <t>Profit attributable to owners of the Company</t>
  </si>
  <si>
    <t>Balance at the end of the year</t>
  </si>
  <si>
    <t>Other Comprehensive Income - Remeasurement of Defined Benefit</t>
  </si>
  <si>
    <t>Actuarial Gain / Loss on Defined Benefit Plans</t>
  </si>
  <si>
    <t>Securities Premium</t>
  </si>
  <si>
    <t>Addition / Utilisation during the year</t>
  </si>
  <si>
    <t>Total Other Equity</t>
  </si>
  <si>
    <t>(a)  Financial liabilities</t>
  </si>
  <si>
    <t>Secured Term loan from banks</t>
  </si>
  <si>
    <t>Secured Term loan from Others</t>
  </si>
  <si>
    <t>Unsecured Term loan from banks</t>
  </si>
  <si>
    <t>Less : Transaction costs in accordance with Ind AS 109</t>
  </si>
  <si>
    <t>Unsecured loans from related parties</t>
  </si>
  <si>
    <t>Unsecured Loans from Inter-Corporate</t>
  </si>
  <si>
    <t>(b)  Other Non current financial liabilities</t>
  </si>
  <si>
    <t>Security deposits and retention money</t>
  </si>
  <si>
    <t>(c)  Long term provisions</t>
  </si>
  <si>
    <t>Provision for Compensated Absences</t>
  </si>
  <si>
    <t>Secured borrowing from banks</t>
  </si>
  <si>
    <t>SHORT TERM BORROWINGS</t>
  </si>
  <si>
    <t>Secured borrowing from Others</t>
  </si>
  <si>
    <t>Unsecured borrowing from banks</t>
  </si>
  <si>
    <t>(i) Short term borrowings</t>
  </si>
  <si>
    <t>(b)  Trade Payable</t>
  </si>
  <si>
    <t>Outstanding Dues of Micro and Small Enterprises</t>
  </si>
  <si>
    <t xml:space="preserve">Outstanding Dues of Others than Micro and Small Enterprises </t>
  </si>
  <si>
    <t>(b)  Other current financial liabilities</t>
  </si>
  <si>
    <t>Current maturities of long term borrowings</t>
  </si>
  <si>
    <t>Secured</t>
  </si>
  <si>
    <t>Unsecured</t>
  </si>
  <si>
    <t>From Banks</t>
  </si>
  <si>
    <t>From Financial Institutions</t>
  </si>
  <si>
    <t>Less : Transaction Cost as per Ind AS 109</t>
  </si>
  <si>
    <t>Employee related dues</t>
  </si>
  <si>
    <t>Creditors for capital goods</t>
  </si>
  <si>
    <t>Interest Accrued but not due</t>
  </si>
  <si>
    <t>Contingent liabilities and commitments</t>
  </si>
  <si>
    <t>Prperty location</t>
  </si>
  <si>
    <t>Valuation Date</t>
  </si>
  <si>
    <t>FMV</t>
  </si>
  <si>
    <t>Surat</t>
  </si>
  <si>
    <t>    (30 Collateral Securities Value as on 10.10.2024)</t>
  </si>
  <si>
    <t>Daman</t>
  </si>
  <si>
    <t>Gandhinagar</t>
  </si>
  <si>
    <t>Rajkot</t>
  </si>
  <si>
    <t>Paiki</t>
  </si>
  <si>
    <t>As per data/information provided by bank/client.</t>
  </si>
  <si>
    <t>As per the latest property valuation report provided by bank/client.</t>
  </si>
  <si>
    <t>Thus the adjusted NAV of the Company is considered as a proxy of Enterprise Valuation of the company. Hence EV of the company is INR 91.50 Cr. As on 22nd Oct 2024. It is to be noted here that the valuation is done based on the latest audited Balance sheet available dated 31st March 2021.</t>
  </si>
  <si>
    <t>1010, 10th Floor, Shilp Epitome, B/s. Infostrech, Behind Rajpath Club Road, , Ahmadabad City, Gujarat, India - 380054.</t>
  </si>
  <si>
    <t>Kunal Structure (India) Private Limitedwas incorporated in April 2006. The Company came into existence on conversion of  partnership firm  M/s.  Kunal  Construction  (1992).The  firm  was  promoted  mainly  to  act  as  a  civil  contractor  to undertake  various  engineering  works  related  to  infrastructure  development  like  roads,  canals,  bridges,  building  works, pipe  line  &amp;  water  supply,  storm  drainage  works,etc. It  also  worked  as  contractorfor civil  works  like  construction  of housing  societies,  hospitals,etc.  on  behalf  of  the  Government.The  company  is  promoted by  Mr.  ArvindDomadia  and Mr. Kunal Domadia and is based out of Rajkot, Gujarat.</t>
  </si>
  <si>
    <t>Historical Performance of the Company</t>
  </si>
  <si>
    <t>31st March 2020</t>
  </si>
  <si>
    <t>31st March 2021</t>
  </si>
  <si>
    <t>Particular</t>
  </si>
  <si>
    <t>Revenue</t>
  </si>
  <si>
    <t>Revenue from Operations</t>
  </si>
  <si>
    <t>Other Income</t>
  </si>
  <si>
    <t>Total Income</t>
  </si>
  <si>
    <t>Expenses</t>
  </si>
  <si>
    <t>Construction Expenses</t>
  </si>
  <si>
    <t>Employee Benefits Expense</t>
  </si>
  <si>
    <t>Finance costs</t>
  </si>
  <si>
    <t>Depreciation and Amortization Expenses</t>
  </si>
  <si>
    <t>Other Expenses</t>
  </si>
  <si>
    <t>Total Expenses</t>
  </si>
  <si>
    <t>Profit Before Tax</t>
  </si>
  <si>
    <t>Tax expense:</t>
  </si>
  <si>
    <t>Current Tax</t>
  </si>
  <si>
    <t>(Excess) / Short provision of earlier periods</t>
  </si>
  <si>
    <t>Deferred Tax</t>
  </si>
  <si>
    <t>Profit/Loss After Tax</t>
  </si>
  <si>
    <t>EBITDA</t>
  </si>
  <si>
    <t>EBIT</t>
  </si>
  <si>
    <t>PAT</t>
  </si>
  <si>
    <t>EBITDA Margin %</t>
  </si>
  <si>
    <t>EBIT Margin %</t>
  </si>
  <si>
    <t>PAT Margin %</t>
  </si>
  <si>
    <t>Revenue Growth rate %</t>
  </si>
  <si>
    <t>State Bank of India, Stressed Assets Management Branch, Ahmedabad, 2nd Floor, Paramsiddhi Complex, Opp. VS Hospital, Ellisbridge | Ahmedabad - 380006</t>
  </si>
  <si>
    <t>Kunal Structure (I) Private Limited (previously known as Kunal Construction Company) was established by Mr. Arvind Domadia (Chairman) on 1st April 1992.</t>
  </si>
  <si>
    <t>The captioned account is under consortium arragement led by SBI. Credit facilities availed by captioned unit are NPA.</t>
  </si>
  <si>
    <t>Valuations of collateral securities which already mortgaged to the Banks will not be part of scope of work.</t>
  </si>
  <si>
    <t>Kunal Structure (india) Private Limited is a Private company incorporated on 05 April 2006. It is classified as Non-government company and is registered at Registrar of Companies, Ahmedabad. Its authorized share capital is Rs. 55,000,000 and its paid up capital is Rs. 50,300,000. It's NIC code is 452 (which is part of its CIN). As per the NIC code, it is inolved in Building of complete constructions or parts thereof; civil engineering. Kunal Structure (india)'s Annual General Meeting (AGM) was last held on N/A and as per records from Ministry of Corporate Affairs (MCA), its balance sheet was last filed on 31 March 2021. Directors of Kunal Structure (india) are ARVINDBHAI AMRUTLAL DOMADIA and KUNAL ARVINDBHAI DOMADIA. Kunal Structure (india)'s Corporate Identification Number (CIN) is U45200GJ2006PTC048080 and its registration number is 48080. Users may contact Kunal Structure (india) on its Email address - roc@kunalsipl.com. Registered address of Kunal Structure (india) is 1010, 10th Floor, Shilp Epitome, B/s. Infostrech, Behind Rajpath Club Road, , Ahmadabad City, Gujarat, India - 380054. Current status of Kunal Structure (india) Private Limited is - Active.</t>
  </si>
  <si>
    <t>Authorized, Issued, Subscribed &amp; Paid up Share Capital</t>
  </si>
  <si>
    <t>Particulars</t>
  </si>
  <si>
    <t>As at March 31, 2021</t>
  </si>
  <si>
    <t>As at March 31, 2020</t>
  </si>
  <si>
    <t>55,00,000 equity share capital of Rs.lO Each</t>
  </si>
  <si>
    <t>Issued, Subscribed &amp; fully Paid u d :</t>
  </si>
  <si>
    <t>Authorised:</t>
  </si>
  <si>
    <t>50,30,000 equity share capital of Rs.lO Each fully paid up</t>
  </si>
  <si>
    <t xml:space="preserve">The Company has only one class of equity shares having a par value of Rs. 10 per share. Each holder of equity shares is entitled for one vote per share. In the event of liquidation of the Company, the holders of the equity shares will be entitled to receive remaining assets of the company after distribution to all prefrencial amount if any. The distribution will be in the propostion to the number of equity shares held by the shareholders. </t>
  </si>
  <si>
    <t>Share with voting right held by each share holder holding more than 5% equity shares of the company:</t>
  </si>
  <si>
    <t>Arvindbhai Amrutlal Domadia</t>
  </si>
  <si>
    <t>Kunal Arvindbhai Domadia</t>
  </si>
  <si>
    <t>Shantamrut Infrastructure Pvt Ltd</t>
  </si>
  <si>
    <t>With a 37% increase in the current fiscal year, capital expenditures (capex) are on the rise, which bolsters ongoing infrastructure development and fits with 2027 goals for India's economic growth to become a US$ 5 trillion economy. In order to anticipate private sector investment and to address employment and consumption in rural India, the budget places a strong emphasis on the development of roads, shipping, and railways.
Global investment and partnerships in infrastructure, such as the India-Japan forum for development in the Northeast are also indicative of more investments. These initiatives come at a momentous juncture as the country aims for self-reliance in future-ready and sustainable critical infrastructure.India, it is estimated, needs to invest US$ 840 billion over the next 15 years into urban infrastructure to meet the needs of its fast-growing population. This investment will only be rational as well as sustainable, if we additionally focus on long-term maintenance and strength of our buildings, bridges, ports, and airports.
As a result of digitalisation and opportunities that tier II and III cities present for economic growth, the divide between metro and non-metros is blurring, moving to the new era of infrastructure growth. Commercial real estate properties have witnessed exponential growth in demand across Tier II &amp; III cities as Information technology and Information technology enabled services and banking financial services and insurance focused organizations are increasingly decentralizing their operations to adapt to the new normal.
The residential sector has witnessed good sales, and launches have also shown signs of an uptick during 2022, total sales in the top-7 cities was projected to exceed 360,000 units in 2022.
Civil Aviation Ministry’s “Vision 2040” report states that there will be 190-200 functioning airports in India by 2040. Delhi and Mumbai will have three international airports each, while top 31 Indian cities will have two operational airports each.
220 destinations (airports/heliports/water aerodromes) under UDAN are targeted to be completed by 2026 with 1000 routes to provide air connectivity to unconnected destinations in India.
India's Infrastructure forms an integral part of the country's economic ecosystem. There has been a significant shift in the industry that is leading to the development of world-class facilities across the country in the areas of roads, waterways, railways, airports, and ports, among others. The country-wide smart cities programmes have proven to be industry game-changers. Given its critical role in the growth of the nation, the infrastructure sector has experienced a tremendous boom because of India's necessity and desire for rapid development. The expansion has been aided by urbanisation and an increase in foreign investment in the sector.
The infrastructure sector has become the biggest focus area for the Government of India. India's GDP is expected to grow by 8% over the next three fiscal years, one of the quickest rates among major, developing economies, according to S&amp;P Global Ratings. India and Japan have joined hands for infrastructure development in India's Northeast states and are also setting up an India-Japan Coordination Forum for development of Northeast to undertake strategic infrastructure projects for the region.
India being a developing nation is set to take full advantage of the opportunity for the expansion of the infrastructure sector, and it is reasonable to conclude that India's infrastructure has a bright future ahead of it.</t>
  </si>
  <si>
    <t>RVV</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</si>
</sst>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43" formatCode="_ * #,##0.00_ ;_ * \-#,##0.00_ ;_ * &quot;-&quot;??_ ;_ @_ "/>
    <numFmt numFmtId="164" formatCode="_ * #,##0_ ;_ * \-#,##0_ ;_ * &quot;-&quot;??_ ;_ @_ "/>
    <numFmt numFmtId="165" formatCode="0.000"/>
    <numFmt numFmtId="166" formatCode="&quot;INR&quot;\ 0.00\ &quot;Cr.&quot;"/>
  </numFmts>
  <fonts count="20" x14ac:knownFonts="1">
    <font>
      <sz val="11"/>
      <color theme="1"/>
      <name val="Calibri"/>
      <family val="2"/>
      <scheme val="minor"/>
    </font>
    <font>
      <b/>
      <sz val="11"/>
      <color theme="0"/>
      <name val="Calibri"/>
      <family val="2"/>
      <scheme val="minor"/>
    </font>
    <font>
      <b/>
      <sz val="11"/>
      <color theme="1"/>
      <name val="Calibri"/>
      <family val="2"/>
      <scheme val="minor"/>
    </font>
    <font>
      <b/>
      <sz val="14"/>
      <color rgb="FFC00000"/>
      <name val="Calibri"/>
      <family val="2"/>
      <scheme val="minor"/>
    </font>
    <font>
      <b/>
      <sz val="13"/>
      <color theme="1"/>
      <name val="Calibri"/>
      <family val="2"/>
      <scheme val="minor"/>
    </font>
    <font>
      <sz val="11"/>
      <color theme="0"/>
      <name val="Calibri"/>
      <family val="2"/>
      <scheme val="minor"/>
    </font>
    <font>
      <b/>
      <sz val="12"/>
      <color theme="0"/>
      <name val="Calibri"/>
      <family val="2"/>
      <scheme val="minor"/>
    </font>
    <font>
      <b/>
      <sz val="11"/>
      <color rgb="FFC00000"/>
      <name val="Calibri"/>
      <family val="2"/>
      <scheme val="minor"/>
    </font>
    <font>
      <b/>
      <sz val="12"/>
      <color rgb="FFC00000"/>
      <name val="Calibri"/>
      <family val="2"/>
      <scheme val="minor"/>
    </font>
    <font>
      <b/>
      <u/>
      <sz val="11"/>
      <name val="Verdana"/>
      <family val="2"/>
    </font>
    <font>
      <sz val="11"/>
      <color theme="1"/>
      <name val="Calibri"/>
      <family val="2"/>
      <scheme val="minor"/>
    </font>
    <font>
      <b/>
      <u/>
      <sz val="11"/>
      <color theme="0"/>
      <name val="Calibri"/>
      <family val="2"/>
      <scheme val="minor"/>
    </font>
    <font>
      <b/>
      <sz val="11"/>
      <name val="Calibri"/>
      <family val="2"/>
      <scheme val="minor"/>
    </font>
    <font>
      <sz val="11"/>
      <color rgb="FF000000"/>
      <name val="Calibri"/>
      <family val="2"/>
      <scheme val="minor"/>
    </font>
    <font>
      <b/>
      <sz val="11"/>
      <color rgb="FF000000"/>
      <name val="Calibri"/>
      <family val="2"/>
      <scheme val="minor"/>
    </font>
    <font>
      <sz val="9"/>
      <color indexed="81"/>
      <name val="Tahoma"/>
      <family val="2"/>
    </font>
    <font>
      <b/>
      <sz val="9"/>
      <color indexed="81"/>
      <name val="Tahoma"/>
      <family val="2"/>
    </font>
    <font>
      <b/>
      <i/>
      <sz val="11"/>
      <color theme="1"/>
      <name val="Calibri"/>
      <family val="2"/>
      <scheme val="minor"/>
    </font>
    <font>
      <b/>
      <sz val="14"/>
      <color theme="1"/>
      <name val="Calibri"/>
      <family val="2"/>
      <scheme val="minor"/>
    </font>
    <font>
      <b/>
      <u/>
      <sz val="11"/>
      <color theme="1"/>
      <name val="Calibri"/>
      <family val="2"/>
      <scheme val="minor"/>
    </font>
  </fonts>
  <fills count="6">
    <fill>
      <patternFill patternType="none"/>
    </fill>
    <fill>
      <patternFill patternType="gray125"/>
    </fill>
    <fill>
      <patternFill patternType="solid">
        <fgColor rgb="FF002060"/>
        <bgColor indexed="64"/>
      </patternFill>
    </fill>
    <fill>
      <patternFill patternType="solid">
        <fgColor theme="9" tint="0.39997558519241921"/>
        <bgColor indexed="64"/>
      </patternFill>
    </fill>
    <fill>
      <patternFill patternType="solid">
        <fgColor theme="0"/>
        <bgColor indexed="64"/>
      </patternFill>
    </fill>
    <fill>
      <patternFill patternType="solid">
        <fgColor theme="4" tint="0.79998168889431442"/>
        <bgColor indexed="64"/>
      </patternFill>
    </fill>
  </fills>
  <borders count="17">
    <border>
      <left/>
      <right/>
      <top/>
      <bottom/>
      <diagonal/>
    </border>
    <border>
      <left/>
      <right/>
      <top style="thin">
        <color indexed="64"/>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
      <left/>
      <right/>
      <top/>
      <bottom style="thin">
        <color rgb="FF000000"/>
      </bottom>
      <diagonal/>
    </border>
    <border>
      <left style="thin">
        <color rgb="FF000000"/>
      </left>
      <right style="thin">
        <color rgb="FF000000"/>
      </right>
      <top/>
      <bottom/>
      <diagonal/>
    </border>
    <border>
      <left/>
      <right style="thin">
        <color rgb="FF000000"/>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s>
  <cellStyleXfs count="3">
    <xf numFmtId="0" fontId="0" fillId="0" borderId="0"/>
    <xf numFmtId="43" fontId="10" fillId="0" borderId="0" applyFont="0" applyFill="0" applyBorder="0" applyAlignment="0" applyProtection="0"/>
    <xf numFmtId="9" fontId="10" fillId="0" borderId="0" applyFont="0" applyFill="0" applyBorder="0" applyAlignment="0" applyProtection="0"/>
  </cellStyleXfs>
  <cellXfs count="123">
    <xf numFmtId="0" fontId="0" fillId="0" borderId="0" xfId="0"/>
    <xf numFmtId="0" fontId="1" fillId="2" borderId="0" xfId="0" applyFont="1" applyFill="1"/>
    <xf numFmtId="0" fontId="1" fillId="2" borderId="0" xfId="0" applyFont="1" applyFill="1" applyAlignment="1">
      <alignment vertical="center"/>
    </xf>
    <xf numFmtId="0" fontId="2" fillId="0" borderId="0" xfId="0" applyFont="1"/>
    <xf numFmtId="2" fontId="0" fillId="0" borderId="0" xfId="0" applyNumberFormat="1" applyAlignment="1">
      <alignment horizontal="center" vertical="center"/>
    </xf>
    <xf numFmtId="0" fontId="0" fillId="0" borderId="0" xfId="0" applyAlignment="1">
      <alignment horizontal="left" indent="2"/>
    </xf>
    <xf numFmtId="2" fontId="2" fillId="0" borderId="0" xfId="0" applyNumberFormat="1" applyFont="1" applyAlignment="1">
      <alignment horizontal="center" vertical="center"/>
    </xf>
    <xf numFmtId="0" fontId="2" fillId="0" borderId="0" xfId="0" applyFont="1" applyAlignment="1">
      <alignment vertical="center"/>
    </xf>
    <xf numFmtId="2" fontId="2" fillId="0" borderId="1" xfId="0" applyNumberFormat="1" applyFont="1" applyBorder="1" applyAlignment="1">
      <alignment horizontal="center" vertical="center"/>
    </xf>
    <xf numFmtId="0" fontId="1" fillId="2" borderId="0" xfId="0" applyFont="1" applyFill="1" applyAlignment="1">
      <alignment horizontal="center"/>
    </xf>
    <xf numFmtId="0" fontId="1" fillId="2" borderId="0" xfId="0" applyFont="1" applyFill="1" applyAlignment="1">
      <alignment horizontal="center" vertical="center"/>
    </xf>
    <xf numFmtId="0" fontId="3" fillId="3" borderId="0" xfId="0" applyFont="1" applyFill="1" applyAlignment="1">
      <alignment vertical="center"/>
    </xf>
    <xf numFmtId="0" fontId="6" fillId="2" borderId="0" xfId="0" applyFont="1" applyFill="1" applyAlignment="1">
      <alignment vertical="center"/>
    </xf>
    <xf numFmtId="0" fontId="1" fillId="2" borderId="0" xfId="0" applyFont="1" applyFill="1" applyAlignment="1">
      <alignment horizontal="center" vertical="center" wrapText="1"/>
    </xf>
    <xf numFmtId="0" fontId="2" fillId="0" borderId="0" xfId="0" applyFont="1" applyAlignment="1">
      <alignment horizontal="left" indent="2"/>
    </xf>
    <xf numFmtId="0" fontId="2" fillId="0" borderId="1" xfId="0" applyFont="1" applyBorder="1" applyAlignment="1">
      <alignment vertical="center"/>
    </xf>
    <xf numFmtId="0" fontId="7" fillId="3" borderId="0" xfId="0" applyFont="1" applyFill="1"/>
    <xf numFmtId="0" fontId="8" fillId="3" borderId="0" xfId="0" applyFont="1" applyFill="1" applyAlignment="1">
      <alignment vertical="center"/>
    </xf>
    <xf numFmtId="0" fontId="0" fillId="0" borderId="0" xfId="0" applyAlignment="1">
      <alignment vertical="center"/>
    </xf>
    <xf numFmtId="0" fontId="0" fillId="0" borderId="0" xfId="0" applyAlignment="1">
      <alignment horizontal="center" vertical="center"/>
    </xf>
    <xf numFmtId="0" fontId="2" fillId="0" borderId="0" xfId="0" applyFont="1" applyAlignment="1">
      <alignment horizontal="left" vertical="center" indent="1"/>
    </xf>
    <xf numFmtId="0" fontId="1" fillId="2" borderId="1" xfId="0" applyFont="1" applyFill="1" applyBorder="1" applyAlignment="1">
      <alignment vertical="center"/>
    </xf>
    <xf numFmtId="2" fontId="1" fillId="2" borderId="1" xfId="0" applyNumberFormat="1" applyFont="1" applyFill="1" applyBorder="1" applyAlignment="1">
      <alignment horizontal="center" vertical="center"/>
    </xf>
    <xf numFmtId="0" fontId="5" fillId="2" borderId="1" xfId="0" applyFont="1" applyFill="1" applyBorder="1"/>
    <xf numFmtId="9" fontId="0" fillId="0" borderId="0" xfId="0" applyNumberFormat="1" applyAlignment="1">
      <alignment horizontal="center" vertical="center"/>
    </xf>
    <xf numFmtId="0" fontId="5" fillId="2" borderId="1" xfId="0" applyFont="1" applyFill="1" applyBorder="1" applyAlignment="1">
      <alignment horizontal="center" vertical="center"/>
    </xf>
    <xf numFmtId="2" fontId="0" fillId="0" borderId="0" xfId="0" applyNumberFormat="1" applyFont="1" applyAlignment="1">
      <alignment horizontal="center" vertical="center"/>
    </xf>
    <xf numFmtId="9" fontId="2" fillId="0" borderId="1" xfId="0" applyNumberFormat="1" applyFont="1" applyBorder="1" applyAlignment="1">
      <alignment horizontal="center" vertical="center"/>
    </xf>
    <xf numFmtId="0" fontId="2" fillId="0" borderId="1" xfId="0" applyFont="1" applyBorder="1" applyAlignment="1">
      <alignment horizontal="center" vertical="center"/>
    </xf>
    <xf numFmtId="0" fontId="9" fillId="4" borderId="0" xfId="0" applyFont="1" applyFill="1" applyBorder="1"/>
    <xf numFmtId="0" fontId="0" fillId="0" borderId="0" xfId="0" applyAlignment="1">
      <alignment horizontal="left" wrapText="1" indent="2"/>
    </xf>
    <xf numFmtId="0" fontId="0" fillId="0" borderId="0" xfId="0" applyAlignment="1">
      <alignment horizontal="left" indent="3"/>
    </xf>
    <xf numFmtId="0" fontId="2" fillId="0" borderId="0" xfId="0" applyFont="1" applyBorder="1" applyAlignment="1">
      <alignment horizontal="center" vertical="center"/>
    </xf>
    <xf numFmtId="2" fontId="2" fillId="0" borderId="0" xfId="0" applyNumberFormat="1" applyFont="1" applyBorder="1" applyAlignment="1">
      <alignment horizontal="center" vertical="center"/>
    </xf>
    <xf numFmtId="9" fontId="2" fillId="0" borderId="0" xfId="0" applyNumberFormat="1" applyFont="1" applyBorder="1" applyAlignment="1">
      <alignment horizontal="center" vertical="center"/>
    </xf>
    <xf numFmtId="0" fontId="2" fillId="0" borderId="0" xfId="0" applyFont="1" applyAlignment="1">
      <alignment horizontal="left" vertical="center" indent="2"/>
    </xf>
    <xf numFmtId="0" fontId="2" fillId="0" borderId="0" xfId="0" applyFont="1" applyAlignment="1">
      <alignment horizontal="left" vertical="center" indent="3"/>
    </xf>
    <xf numFmtId="0" fontId="0" fillId="0" borderId="0" xfId="0" applyAlignment="1">
      <alignment horizontal="left" indent="4"/>
    </xf>
    <xf numFmtId="0" fontId="2" fillId="0" borderId="0" xfId="0" applyFont="1" applyAlignment="1">
      <alignment horizontal="left" indent="5"/>
    </xf>
    <xf numFmtId="0" fontId="0" fillId="0" borderId="0" xfId="0" applyAlignment="1">
      <alignment horizontal="left" indent="6"/>
    </xf>
    <xf numFmtId="0" fontId="2" fillId="0" borderId="1" xfId="0" applyFont="1" applyBorder="1" applyAlignment="1">
      <alignment horizontal="left" vertical="center"/>
    </xf>
    <xf numFmtId="4" fontId="2" fillId="0" borderId="1" xfId="0" applyNumberFormat="1" applyFont="1" applyBorder="1" applyAlignment="1">
      <alignment horizontal="center" vertical="center"/>
    </xf>
    <xf numFmtId="0" fontId="0" fillId="2" borderId="0" xfId="0" applyFill="1" applyAlignment="1">
      <alignment vertical="center"/>
    </xf>
    <xf numFmtId="0" fontId="5" fillId="2" borderId="0" xfId="0" applyFont="1" applyFill="1" applyAlignment="1">
      <alignment vertical="center"/>
    </xf>
    <xf numFmtId="0" fontId="7" fillId="3" borderId="0" xfId="0" applyFont="1" applyFill="1" applyAlignment="1">
      <alignment vertical="center"/>
    </xf>
    <xf numFmtId="0" fontId="0" fillId="0" borderId="0" xfId="0" applyAlignment="1">
      <alignment horizontal="left" vertical="center"/>
    </xf>
    <xf numFmtId="0" fontId="0" fillId="0" borderId="0" xfId="0" applyFont="1" applyAlignment="1">
      <alignment vertical="center"/>
    </xf>
    <xf numFmtId="0" fontId="2" fillId="0" borderId="0" xfId="0" applyFont="1" applyAlignment="1">
      <alignment horizontal="center" vertical="center"/>
    </xf>
    <xf numFmtId="0" fontId="2" fillId="0" borderId="0" xfId="0" applyFont="1" applyBorder="1" applyAlignment="1">
      <alignment vertical="center"/>
    </xf>
    <xf numFmtId="0" fontId="0" fillId="0" borderId="0" xfId="0" applyFont="1" applyBorder="1" applyAlignment="1">
      <alignment vertical="center"/>
    </xf>
    <xf numFmtId="0" fontId="0" fillId="0" borderId="0" xfId="0" applyBorder="1" applyAlignment="1">
      <alignment vertical="center"/>
    </xf>
    <xf numFmtId="9" fontId="0" fillId="0" borderId="0" xfId="0" applyNumberFormat="1" applyBorder="1" applyAlignment="1">
      <alignment horizontal="center" vertical="center"/>
    </xf>
    <xf numFmtId="0" fontId="0" fillId="0" borderId="0" xfId="0" applyBorder="1" applyAlignment="1">
      <alignment horizontal="center" vertical="center"/>
    </xf>
    <xf numFmtId="10" fontId="0" fillId="0" borderId="0" xfId="2" applyNumberFormat="1" applyFont="1" applyBorder="1" applyAlignment="1">
      <alignment horizontal="center" vertical="center"/>
    </xf>
    <xf numFmtId="0" fontId="11" fillId="2" borderId="0" xfId="0" applyFont="1" applyFill="1" applyAlignment="1">
      <alignment vertical="center"/>
    </xf>
    <xf numFmtId="0" fontId="12" fillId="5" borderId="1" xfId="0" applyFont="1" applyFill="1" applyBorder="1" applyAlignment="1">
      <alignment vertical="center"/>
    </xf>
    <xf numFmtId="2" fontId="12" fillId="5" borderId="1" xfId="0" applyNumberFormat="1" applyFont="1" applyFill="1" applyBorder="1" applyAlignment="1">
      <alignment horizontal="center" vertical="center"/>
    </xf>
    <xf numFmtId="0" fontId="12" fillId="5" borderId="1" xfId="0" applyFont="1" applyFill="1" applyBorder="1"/>
    <xf numFmtId="0" fontId="12" fillId="5" borderId="1" xfId="0" applyFont="1" applyFill="1" applyBorder="1" applyAlignment="1">
      <alignment horizontal="center" vertical="center"/>
    </xf>
    <xf numFmtId="0" fontId="0" fillId="0" borderId="0" xfId="0" applyAlignment="1">
      <alignment vertical="center" wrapText="1"/>
    </xf>
    <xf numFmtId="0" fontId="0" fillId="0" borderId="0" xfId="0" applyAlignment="1">
      <alignment horizontal="center" vertical="center" wrapText="1"/>
    </xf>
    <xf numFmtId="9" fontId="12" fillId="5" borderId="1" xfId="0" applyNumberFormat="1" applyFont="1" applyFill="1" applyBorder="1"/>
    <xf numFmtId="0" fontId="0" fillId="0" borderId="0" xfId="0" applyFont="1" applyAlignment="1">
      <alignment vertical="center" wrapText="1"/>
    </xf>
    <xf numFmtId="164" fontId="0" fillId="0" borderId="0" xfId="1" applyNumberFormat="1" applyFont="1" applyAlignment="1">
      <alignment vertical="center"/>
    </xf>
    <xf numFmtId="0" fontId="4" fillId="0" borderId="0" xfId="0" applyFont="1" applyAlignment="1">
      <alignment vertical="center"/>
    </xf>
    <xf numFmtId="4" fontId="0" fillId="0" borderId="0" xfId="0" applyNumberFormat="1" applyAlignment="1">
      <alignment horizontal="center" vertical="center"/>
    </xf>
    <xf numFmtId="0" fontId="0" fillId="0" borderId="0" xfId="0" applyFont="1" applyAlignment="1">
      <alignment horizontal="left" vertical="center"/>
    </xf>
    <xf numFmtId="0" fontId="0" fillId="0" borderId="0" xfId="0" applyAlignment="1">
      <alignment horizontal="center"/>
    </xf>
    <xf numFmtId="0" fontId="13" fillId="0" borderId="6" xfId="0" applyFont="1" applyBorder="1" applyAlignment="1">
      <alignment vertical="center"/>
    </xf>
    <xf numFmtId="0" fontId="14" fillId="5" borderId="6" xfId="0" applyFont="1" applyFill="1" applyBorder="1" applyAlignment="1">
      <alignment horizontal="left" vertical="center"/>
    </xf>
    <xf numFmtId="0" fontId="14" fillId="5" borderId="5" xfId="0" applyFont="1" applyFill="1" applyBorder="1" applyAlignment="1">
      <alignment horizontal="center" vertical="center"/>
    </xf>
    <xf numFmtId="2" fontId="13" fillId="0" borderId="6" xfId="0" applyNumberFormat="1" applyFont="1" applyBorder="1" applyAlignment="1">
      <alignment horizontal="center" vertical="center"/>
    </xf>
    <xf numFmtId="2" fontId="14" fillId="5" borderId="6" xfId="0" applyNumberFormat="1" applyFont="1" applyFill="1" applyBorder="1" applyAlignment="1">
      <alignment horizontal="center" vertical="center"/>
    </xf>
    <xf numFmtId="0" fontId="12" fillId="5" borderId="3" xfId="0" applyFont="1" applyFill="1" applyBorder="1" applyAlignment="1">
      <alignment horizontal="center" vertical="center" wrapText="1"/>
    </xf>
    <xf numFmtId="0" fontId="12" fillId="5" borderId="4" xfId="0" applyFont="1" applyFill="1" applyBorder="1" applyAlignment="1">
      <alignment horizontal="center" vertical="center" wrapText="1"/>
    </xf>
    <xf numFmtId="0" fontId="0" fillId="0" borderId="0" xfId="0" applyAlignment="1">
      <alignment horizontal="left" wrapText="1" indent="4"/>
    </xf>
    <xf numFmtId="0" fontId="0" fillId="0" borderId="0" xfId="0" applyAlignment="1">
      <alignment horizontal="left" wrapText="1" indent="3"/>
    </xf>
    <xf numFmtId="0" fontId="2" fillId="0" borderId="0" xfId="0" applyFont="1" applyAlignment="1">
      <alignment horizontal="left" wrapText="1" indent="4"/>
    </xf>
    <xf numFmtId="0" fontId="0" fillId="0" borderId="0" xfId="0" applyAlignment="1">
      <alignment horizontal="left" indent="1"/>
    </xf>
    <xf numFmtId="0" fontId="2" fillId="0" borderId="0" xfId="0" applyFont="1" applyAlignment="1">
      <alignment horizontal="left" indent="6"/>
    </xf>
    <xf numFmtId="165" fontId="0" fillId="0" borderId="0" xfId="0" applyNumberFormat="1" applyAlignment="1">
      <alignment horizontal="center" vertical="center"/>
    </xf>
    <xf numFmtId="0" fontId="0" fillId="0" borderId="0" xfId="0" applyAlignment="1">
      <alignment horizontal="left" vertical="center" indent="2"/>
    </xf>
    <xf numFmtId="0" fontId="0" fillId="0" borderId="0" xfId="0" applyAlignment="1">
      <alignment horizontal="left" wrapText="1" indent="6"/>
    </xf>
    <xf numFmtId="0" fontId="0" fillId="0" borderId="0" xfId="0" applyAlignment="1">
      <alignment horizontal="left" wrapText="1" indent="7"/>
    </xf>
    <xf numFmtId="166" fontId="1" fillId="2" borderId="0" xfId="0" applyNumberFormat="1" applyFont="1" applyFill="1" applyAlignment="1">
      <alignment horizontal="center" vertical="center"/>
    </xf>
    <xf numFmtId="14" fontId="13" fillId="0" borderId="6" xfId="0" applyNumberFormat="1" applyFont="1" applyBorder="1" applyAlignment="1">
      <alignment horizontal="center" vertical="center"/>
    </xf>
    <xf numFmtId="164" fontId="13" fillId="0" borderId="6" xfId="1" applyNumberFormat="1" applyFont="1" applyBorder="1" applyAlignment="1">
      <alignment horizontal="center" vertical="center"/>
    </xf>
    <xf numFmtId="0" fontId="13" fillId="0" borderId="6" xfId="0" applyFont="1" applyBorder="1" applyAlignment="1">
      <alignment horizontal="center" vertical="center"/>
    </xf>
    <xf numFmtId="164" fontId="14" fillId="5" borderId="6" xfId="1" applyNumberFormat="1" applyFont="1" applyFill="1" applyBorder="1" applyAlignment="1">
      <alignment vertical="center"/>
    </xf>
    <xf numFmtId="0" fontId="14" fillId="5" borderId="8" xfId="0" applyFont="1" applyFill="1" applyBorder="1" applyAlignment="1">
      <alignment horizontal="center" vertical="center"/>
    </xf>
    <xf numFmtId="0" fontId="14" fillId="5" borderId="9" xfId="0" applyFont="1" applyFill="1" applyBorder="1" applyAlignment="1">
      <alignment horizontal="left" vertical="center"/>
    </xf>
    <xf numFmtId="2" fontId="14" fillId="5" borderId="9" xfId="0" applyNumberFormat="1" applyFont="1" applyFill="1" applyBorder="1" applyAlignment="1">
      <alignment horizontal="center" vertical="center"/>
    </xf>
    <xf numFmtId="166" fontId="1" fillId="2" borderId="0" xfId="1" applyNumberFormat="1" applyFont="1" applyFill="1" applyAlignment="1">
      <alignment vertical="center"/>
    </xf>
    <xf numFmtId="0" fontId="19" fillId="0" borderId="0" xfId="0" applyFont="1" applyAlignment="1">
      <alignment vertical="center"/>
    </xf>
    <xf numFmtId="4" fontId="0" fillId="0" borderId="0" xfId="0" applyNumberFormat="1" applyAlignment="1">
      <alignment vertical="center"/>
    </xf>
    <xf numFmtId="4" fontId="2" fillId="0" borderId="1" xfId="0" applyNumberFormat="1" applyFont="1" applyBorder="1" applyAlignment="1">
      <alignment vertical="center"/>
    </xf>
    <xf numFmtId="4" fontId="0" fillId="0" borderId="0" xfId="0" applyNumberFormat="1" applyAlignment="1">
      <alignment horizontal="right" vertical="center"/>
    </xf>
    <xf numFmtId="0" fontId="0" fillId="0" borderId="0" xfId="0" applyAlignment="1">
      <alignment horizontal="right" vertical="center"/>
    </xf>
    <xf numFmtId="0" fontId="1" fillId="2" borderId="0" xfId="0" applyFont="1" applyFill="1" applyAlignment="1">
      <alignment horizontal="right" vertical="center"/>
    </xf>
    <xf numFmtId="43" fontId="2" fillId="0" borderId="1" xfId="1" applyFont="1" applyBorder="1" applyAlignment="1">
      <alignment vertical="center"/>
    </xf>
    <xf numFmtId="43" fontId="2" fillId="0" borderId="1" xfId="1" applyNumberFormat="1" applyFont="1" applyBorder="1" applyAlignment="1">
      <alignment vertical="center"/>
    </xf>
    <xf numFmtId="2" fontId="0" fillId="0" borderId="0" xfId="0" applyNumberFormat="1" applyAlignment="1">
      <alignment vertical="center"/>
    </xf>
    <xf numFmtId="10" fontId="0" fillId="0" borderId="0" xfId="2" applyNumberFormat="1" applyFont="1" applyAlignment="1">
      <alignment vertical="center"/>
    </xf>
    <xf numFmtId="0" fontId="5" fillId="0" borderId="0" xfId="0" applyFont="1" applyAlignment="1">
      <alignment vertical="center"/>
    </xf>
    <xf numFmtId="3" fontId="0" fillId="0" borderId="0" xfId="0" applyNumberFormat="1"/>
    <xf numFmtId="10" fontId="0" fillId="0" borderId="0" xfId="0" applyNumberFormat="1"/>
    <xf numFmtId="0" fontId="0" fillId="0" borderId="0" xfId="0" applyAlignment="1">
      <alignment wrapText="1"/>
    </xf>
    <xf numFmtId="2" fontId="0" fillId="0" borderId="0" xfId="0" applyNumberFormat="1" applyAlignment="1">
      <alignment horizontal="center" vertical="center"/>
    </xf>
    <xf numFmtId="0" fontId="18" fillId="0" borderId="12" xfId="0" applyFont="1" applyBorder="1" applyAlignment="1">
      <alignment horizontal="center" vertical="center" wrapText="1"/>
    </xf>
    <xf numFmtId="0" fontId="18" fillId="0" borderId="13" xfId="0" applyFont="1" applyBorder="1" applyAlignment="1">
      <alignment horizontal="center" vertical="center" wrapText="1"/>
    </xf>
    <xf numFmtId="0" fontId="18" fillId="0" borderId="14" xfId="0" applyFont="1" applyBorder="1" applyAlignment="1">
      <alignment horizontal="center" vertical="center" wrapText="1"/>
    </xf>
    <xf numFmtId="0" fontId="18" fillId="0" borderId="15"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16" xfId="0" applyFont="1" applyBorder="1" applyAlignment="1">
      <alignment horizontal="center" vertical="center" wrapText="1"/>
    </xf>
    <xf numFmtId="0" fontId="0" fillId="0" borderId="0" xfId="0" applyAlignment="1">
      <alignment horizontal="center" vertical="center" wrapText="1"/>
    </xf>
    <xf numFmtId="0" fontId="0" fillId="0" borderId="2" xfId="0" applyBorder="1" applyAlignment="1">
      <alignment horizontal="center" vertical="center" wrapText="1"/>
    </xf>
    <xf numFmtId="0" fontId="1" fillId="2" borderId="7" xfId="0" applyFont="1" applyFill="1" applyBorder="1" applyAlignment="1">
      <alignment horizontal="center" vertical="center"/>
    </xf>
    <xf numFmtId="0" fontId="17" fillId="0" borderId="10" xfId="0" applyFont="1" applyBorder="1" applyAlignment="1">
      <alignment horizontal="right" vertical="center"/>
    </xf>
    <xf numFmtId="0" fontId="17" fillId="0" borderId="1" xfId="0" applyFont="1" applyBorder="1" applyAlignment="1">
      <alignment horizontal="right" vertical="center"/>
    </xf>
    <xf numFmtId="0" fontId="17" fillId="0" borderId="11" xfId="0" applyFont="1" applyBorder="1" applyAlignment="1">
      <alignment horizontal="right" vertical="center"/>
    </xf>
    <xf numFmtId="0" fontId="1" fillId="2" borderId="7" xfId="0" applyFont="1" applyFill="1" applyBorder="1" applyAlignment="1">
      <alignment horizontal="left" vertical="center"/>
    </xf>
    <xf numFmtId="2" fontId="0" fillId="0" borderId="0" xfId="0" applyNumberFormat="1" applyFont="1" applyAlignment="1">
      <alignment vertical="center"/>
    </xf>
    <xf numFmtId="0" fontId="1" fillId="2" borderId="7" xfId="0" applyFont="1" applyFill="1" applyBorder="1" applyAlignment="1">
      <alignment vertical="center"/>
    </xf>
  </cellXfs>
  <cellStyles count="3">
    <cellStyle name="Comma" xfId="1" builtinId="3"/>
    <cellStyle name="Normal" xfId="0" builtinId="0"/>
    <cellStyle name="Percent" xfId="2" builtinId="5"/>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3"/>
    </mc:Choice>
    <mc:Fallback>
      <c:style val="3"/>
    </mc:Fallback>
  </mc:AlternateContent>
  <c:chart>
    <c:title>
      <c:tx>
        <c:rich>
          <a:bodyPr rot="0" spcFirstLastPara="1" vertOverflow="ellipsis" vert="horz" wrap="square" anchor="ctr" anchorCtr="1"/>
          <a:lstStyle/>
          <a:p>
            <a:pPr>
              <a:defRPr sz="1100" b="1" i="0" u="none" strike="noStrike" kern="1200" cap="none" spc="50" normalizeH="0" baseline="0">
                <a:solidFill>
                  <a:schemeClr val="bg1"/>
                </a:solidFill>
                <a:latin typeface="+mn-lt"/>
                <a:ea typeface="+mj-ea"/>
                <a:cs typeface="+mj-cs"/>
              </a:defRPr>
            </a:pPr>
            <a:r>
              <a:rPr lang="en-IN" sz="1100" b="1">
                <a:latin typeface="+mn-lt"/>
              </a:rPr>
              <a:t>Historical Performance</a:t>
            </a:r>
          </a:p>
        </c:rich>
      </c:tx>
      <c:layout>
        <c:manualLayout>
          <c:xMode val="edge"/>
          <c:yMode val="edge"/>
          <c:x val="0.33489647127442401"/>
          <c:y val="4.1666666666666664E-2"/>
        </c:manualLayout>
      </c:layout>
      <c:overlay val="0"/>
      <c:spPr>
        <a:solidFill>
          <a:srgbClr val="002060"/>
        </a:solidFill>
        <a:ln>
          <a:noFill/>
        </a:ln>
        <a:effectLst/>
      </c:spPr>
      <c:txPr>
        <a:bodyPr rot="0" spcFirstLastPara="1" vertOverflow="ellipsis" vert="horz" wrap="square" anchor="ctr" anchorCtr="1"/>
        <a:lstStyle/>
        <a:p>
          <a:pPr>
            <a:defRPr sz="1100" b="1" i="0" u="none" strike="noStrike" kern="1200" cap="none" spc="50" normalizeH="0" baseline="0">
              <a:solidFill>
                <a:schemeClr val="bg1"/>
              </a:solidFill>
              <a:latin typeface="+mn-lt"/>
              <a:ea typeface="+mj-ea"/>
              <a:cs typeface="+mj-cs"/>
            </a:defRPr>
          </a:pPr>
          <a:endParaRPr lang="en-US"/>
        </a:p>
      </c:txPr>
    </c:title>
    <c:autoTitleDeleted val="0"/>
    <c:plotArea>
      <c:layout/>
      <c:barChart>
        <c:barDir val="col"/>
        <c:grouping val="clustered"/>
        <c:varyColors val="0"/>
        <c:ser>
          <c:idx val="1"/>
          <c:order val="1"/>
          <c:tx>
            <c:strRef>
              <c:f>'Historical Performance'!$D$6:$D$8</c:f>
              <c:strCache>
                <c:ptCount val="3"/>
                <c:pt idx="0">
                  <c:v>31st March 2020</c:v>
                </c:pt>
              </c:strCache>
            </c:strRef>
          </c:tx>
          <c:spPr>
            <a:solidFill>
              <a:schemeClr val="accent1">
                <a:alpha val="70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'Historical Performance'!$B$37:$B$39</c:f>
              <c:strCache>
                <c:ptCount val="3"/>
                <c:pt idx="0">
                  <c:v>EBITDA Margin %</c:v>
                </c:pt>
                <c:pt idx="1">
                  <c:v>EBIT Margin %</c:v>
                </c:pt>
                <c:pt idx="2">
                  <c:v>PAT Margin %</c:v>
                </c:pt>
              </c:strCache>
            </c:strRef>
          </c:cat>
          <c:val>
            <c:numRef>
              <c:f>'Historical Performance'!$D$37:$D$39</c:f>
              <c:numCache>
                <c:formatCode>0.00%</c:formatCode>
                <c:ptCount val="3"/>
                <c:pt idx="0">
                  <c:v>3.7815080293832112E-2</c:v>
                </c:pt>
                <c:pt idx="1">
                  <c:v>1.4577490320317663E-2</c:v>
                </c:pt>
                <c:pt idx="2">
                  <c:v>3.1265498495128663E-2</c:v>
                </c:pt>
              </c:numCache>
            </c:numRef>
          </c:val>
        </c:ser>
        <c:ser>
          <c:idx val="2"/>
          <c:order val="2"/>
          <c:tx>
            <c:strRef>
              <c:f>'Historical Performance'!$E$6:$E$8</c:f>
              <c:strCache>
                <c:ptCount val="3"/>
                <c:pt idx="0">
                  <c:v>31st March 2021</c:v>
                </c:pt>
              </c:strCache>
            </c:strRef>
          </c:tx>
          <c:spPr>
            <a:solidFill>
              <a:schemeClr val="accent1">
                <a:tint val="65000"/>
                <a:alpha val="70000"/>
              </a:schemeClr>
            </a:solidFill>
            <a:ln>
              <a:noFill/>
            </a:ln>
            <a:effectLst/>
          </c:spPr>
          <c:invertIfNegative val="0"/>
          <c:dLbls>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layout/>
                <c15:showLeaderLines val="1"/>
                <c15:leaderLines>
                  <c:spPr>
                    <a:ln w="9525">
                      <a:solidFill>
                        <a:schemeClr val="tx1">
                          <a:lumMod val="35000"/>
                          <a:lumOff val="65000"/>
                        </a:schemeClr>
                      </a:solidFill>
                    </a:ln>
                    <a:effectLst/>
                  </c:spPr>
                </c15:leaderLines>
              </c:ext>
            </c:extLst>
          </c:dLbls>
          <c:cat>
            <c:strRef>
              <c:f>'Historical Performance'!$B$37:$B$39</c:f>
              <c:strCache>
                <c:ptCount val="3"/>
                <c:pt idx="0">
                  <c:v>EBITDA Margin %</c:v>
                </c:pt>
                <c:pt idx="1">
                  <c:v>EBIT Margin %</c:v>
                </c:pt>
                <c:pt idx="2">
                  <c:v>PAT Margin %</c:v>
                </c:pt>
              </c:strCache>
            </c:strRef>
          </c:cat>
          <c:val>
            <c:numRef>
              <c:f>'Historical Performance'!$E$37:$E$39</c:f>
              <c:numCache>
                <c:formatCode>0.00%</c:formatCode>
                <c:ptCount val="3"/>
                <c:pt idx="0">
                  <c:v>-9.9973887106646481E-2</c:v>
                </c:pt>
                <c:pt idx="1">
                  <c:v>-0.13442157608225616</c:v>
                </c:pt>
                <c:pt idx="2">
                  <c:v>-7.2160239512057217E-2</c:v>
                </c:pt>
              </c:numCache>
            </c:numRef>
          </c:val>
        </c:ser>
        <c:dLbls>
          <c:dLblPos val="outEnd"/>
          <c:showLegendKey val="0"/>
          <c:showVal val="1"/>
          <c:showCatName val="0"/>
          <c:showSerName val="0"/>
          <c:showPercent val="0"/>
          <c:showBubbleSize val="0"/>
        </c:dLbls>
        <c:gapWidth val="80"/>
        <c:overlap val="25"/>
        <c:axId val="345824808"/>
        <c:axId val="344836416"/>
        <c:extLst>
          <c:ext xmlns:c15="http://schemas.microsoft.com/office/drawing/2012/chart" uri="{02D57815-91ED-43cb-92C2-25804820EDAC}">
            <c15:filteredBarSeries>
              <c15:ser>
                <c:idx val="0"/>
                <c:order val="0"/>
                <c:tx>
                  <c:strRef>
                    <c:extLst>
                      <c:ext uri="{02D57815-91ED-43cb-92C2-25804820EDAC}">
                        <c15:formulaRef>
                          <c15:sqref>'Historical Performance'!$C$6:$C$8</c15:sqref>
                        </c15:formulaRef>
                      </c:ext>
                    </c:extLst>
                    <c:strCache>
                      <c:ptCount val="3"/>
                      <c:pt idx="0">
                        <c:v>Particular</c:v>
                      </c:pt>
                      <c:pt idx="2">
                        <c:v>Revenue</c:v>
                      </c:pt>
                    </c:strCache>
                  </c:strRef>
                </c:tx>
                <c:spPr>
                  <a:solidFill>
                    <a:schemeClr val="accent1">
                      <a:shade val="65000"/>
                      <a:alpha val="70000"/>
                    </a:schemeClr>
                  </a:solidFill>
                  <a:ln>
                    <a:noFill/>
                  </a:ln>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bg1"/>
                          </a:solidFill>
                          <a:latin typeface="+mn-lt"/>
                          <a:ea typeface="+mn-ea"/>
                          <a:cs typeface="+mn-cs"/>
                        </a:defRPr>
                      </a:pPr>
                      <a:endParaRPr lang="en-US"/>
                    </a:p>
                  </c:txPr>
                  <c:dLblPos val="outEnd"/>
                  <c:showLegendKey val="0"/>
                  <c:showVal val="1"/>
                  <c:showCatName val="0"/>
                  <c:showSerName val="0"/>
                  <c:showPercent val="0"/>
                  <c:showBubbleSize val="0"/>
                  <c:showLeaderLines val="0"/>
                  <c:extLst>
                    <c:ext uri="{CE6537A1-D6FC-4f65-9D91-7224C49458BB}">
                      <c15:showLeaderLines val="1"/>
                      <c15:leaderLines>
                        <c:spPr>
                          <a:ln w="9525">
                            <a:solidFill>
                              <a:schemeClr val="tx1">
                                <a:lumMod val="35000"/>
                                <a:lumOff val="65000"/>
                              </a:schemeClr>
                            </a:solidFill>
                          </a:ln>
                          <a:effectLst/>
                        </c:spPr>
                      </c15:leaderLines>
                    </c:ext>
                  </c:extLst>
                </c:dLbls>
                <c:cat>
                  <c:strRef>
                    <c:extLst>
                      <c:ext uri="{02D57815-91ED-43cb-92C2-25804820EDAC}">
                        <c15:formulaRef>
                          <c15:sqref>'Historical Performance'!$B$37:$B$39</c15:sqref>
                        </c15:formulaRef>
                      </c:ext>
                    </c:extLst>
                    <c:strCache>
                      <c:ptCount val="3"/>
                      <c:pt idx="0">
                        <c:v>EBITDA Margin %</c:v>
                      </c:pt>
                      <c:pt idx="1">
                        <c:v>EBIT Margin %</c:v>
                      </c:pt>
                      <c:pt idx="2">
                        <c:v>PAT Margin %</c:v>
                      </c:pt>
                    </c:strCache>
                  </c:strRef>
                </c:cat>
                <c:val>
                  <c:numRef>
                    <c:extLst>
                      <c:ext uri="{02D57815-91ED-43cb-92C2-25804820EDAC}">
                        <c15:formulaRef>
                          <c15:sqref>'Historical Performance'!$C$37:$C$39</c15:sqref>
                        </c15:formulaRef>
                      </c:ext>
                    </c:extLst>
                    <c:numCache>
                      <c:formatCode>General</c:formatCode>
                      <c:ptCount val="3"/>
                    </c:numCache>
                  </c:numRef>
                </c:val>
              </c15:ser>
            </c15:filteredBarSeries>
          </c:ext>
        </c:extLst>
      </c:barChart>
      <c:catAx>
        <c:axId val="345824808"/>
        <c:scaling>
          <c:orientation val="minMax"/>
        </c:scaling>
        <c:delete val="0"/>
        <c:axPos val="b"/>
        <c:numFmt formatCode="General" sourceLinked="1"/>
        <c:majorTickMark val="none"/>
        <c:minorTickMark val="none"/>
        <c:tickLblPos val="nextTo"/>
        <c:spPr>
          <a:noFill/>
          <a:ln w="15875" cap="flat" cmpd="sng" algn="ctr">
            <a:solidFill>
              <a:schemeClr val="tx1">
                <a:lumMod val="25000"/>
                <a:lumOff val="75000"/>
              </a:schemeClr>
            </a:solidFill>
            <a:round/>
          </a:ln>
          <a:effectLst/>
        </c:spPr>
        <c:txPr>
          <a:bodyPr rot="-60000000" spcFirstLastPara="1" vertOverflow="ellipsis" vert="horz" wrap="square" anchor="ctr" anchorCtr="1"/>
          <a:lstStyle/>
          <a:p>
            <a:pPr>
              <a:defRPr sz="900" b="0" i="0" u="none" strike="noStrike" kern="1200" cap="none" spc="20" normalizeH="0" baseline="0">
                <a:solidFill>
                  <a:schemeClr val="bg1"/>
                </a:solidFill>
                <a:latin typeface="+mn-lt"/>
                <a:ea typeface="+mn-ea"/>
                <a:cs typeface="+mn-cs"/>
              </a:defRPr>
            </a:pPr>
            <a:endParaRPr lang="en-US"/>
          </a:p>
        </c:txPr>
        <c:crossAx val="344836416"/>
        <c:crosses val="autoZero"/>
        <c:auto val="1"/>
        <c:lblAlgn val="ctr"/>
        <c:lblOffset val="100"/>
        <c:noMultiLvlLbl val="0"/>
      </c:catAx>
      <c:valAx>
        <c:axId val="344836416"/>
        <c:scaling>
          <c:orientation val="minMax"/>
        </c:scaling>
        <c:delete val="0"/>
        <c:axPos val="l"/>
        <c:numFmt formatCode="0.00%"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spc="20" baseline="0">
                <a:solidFill>
                  <a:schemeClr val="bg1"/>
                </a:solidFill>
                <a:latin typeface="+mn-lt"/>
                <a:ea typeface="+mn-ea"/>
                <a:cs typeface="+mn-cs"/>
              </a:defRPr>
            </a:pPr>
            <a:endParaRPr lang="en-US"/>
          </a:p>
        </c:txPr>
        <c:crossAx val="345824808"/>
        <c:crosses val="autoZero"/>
        <c:crossBetween val="between"/>
      </c:valAx>
      <c:spPr>
        <a:noFill/>
        <a:ln>
          <a:noFill/>
        </a:ln>
        <a:effectLst/>
      </c:spPr>
    </c:plotArea>
    <c:legend>
      <c:legendPos val="b"/>
      <c:layout/>
      <c:overlay val="0"/>
      <c:spPr>
        <a:noFill/>
        <a:ln>
          <a:noFill/>
        </a:ln>
        <a:effectLst/>
      </c:spPr>
      <c:txPr>
        <a:bodyPr rot="0" spcFirstLastPara="1" vertOverflow="ellipsis" vert="horz" wrap="square" anchor="ctr" anchorCtr="1"/>
        <a:lstStyle/>
        <a:p>
          <a:pPr>
            <a:defRPr sz="900" b="0" i="0" u="none" strike="noStrike" kern="1200" baseline="0">
              <a:solidFill>
                <a:schemeClr val="bg1"/>
              </a:solidFill>
              <a:latin typeface="+mn-lt"/>
              <a:ea typeface="+mn-ea"/>
              <a:cs typeface="+mn-cs"/>
            </a:defRPr>
          </a:pPr>
          <a:endParaRPr lang="en-US"/>
        </a:p>
      </c:txPr>
    </c:legend>
    <c:plotVisOnly val="1"/>
    <c:dispBlanksAs val="gap"/>
    <c:showDLblsOverMax val="0"/>
  </c:chart>
  <c:spPr>
    <a:solidFill>
      <a:srgbClr val="002060"/>
    </a:solidFill>
    <a:ln w="9525" cap="flat" cmpd="sng" algn="ctr">
      <a:solidFill>
        <a:schemeClr val="tx1">
          <a:lumMod val="15000"/>
          <a:lumOff val="85000"/>
        </a:schemeClr>
      </a:solidFill>
      <a:round/>
    </a:ln>
    <a:effectLst/>
  </c:spPr>
  <c:txPr>
    <a:bodyPr/>
    <a:lstStyle/>
    <a:p>
      <a:pPr>
        <a:defRPr>
          <a:solidFill>
            <a:schemeClr val="bg1"/>
          </a:solidFill>
        </a:defRPr>
      </a:pPr>
      <a:endParaRPr lang="en-US"/>
    </a:p>
  </c:txPr>
  <c:printSettings>
    <c:headerFooter/>
    <c:pageMargins b="0.75" l="0.7" r="0.7" t="0.75" header="0.3" footer="0.3"/>
    <c:pageSetup/>
  </c:printSettings>
</c:chartSpace>
</file>

<file path=xl/charts/colors1.xml><?xml version="1.0" encoding="utf-8"?>
<cs:colorStyle xmlns:cs="http://schemas.microsoft.com/office/drawing/2012/chartStyle" xmlns:a="http://schemas.openxmlformats.org/drawingml/2006/main" meth="withinLinear" id="14">
  <a:schemeClr val="accent1"/>
</cs:colorStyle>
</file>

<file path=xl/charts/style1.xml><?xml version="1.0" encoding="utf-8"?>
<cs:chartStyle xmlns:cs="http://schemas.microsoft.com/office/drawing/2012/chartStyle" xmlns:a="http://schemas.openxmlformats.org/drawingml/2006/main" id="215">
  <cs:axisTitle>
    <cs:lnRef idx="0"/>
    <cs:fillRef idx="0"/>
    <cs:effectRef idx="0"/>
    <cs:fontRef idx="minor">
      <a:schemeClr val="tx1">
        <a:lumMod val="65000"/>
        <a:lumOff val="35000"/>
      </a:schemeClr>
    </cs:fontRef>
    <cs:defRPr sz="900" kern="1200" cap="all"/>
  </cs:axisTitle>
  <cs:categoryAxis>
    <cs:lnRef idx="0"/>
    <cs:fillRef idx="0"/>
    <cs:effectRef idx="0"/>
    <cs:fontRef idx="minor">
      <a:schemeClr val="tx1">
        <a:lumMod val="65000"/>
        <a:lumOff val="35000"/>
      </a:schemeClr>
    </cs:fontRef>
    <cs:spPr>
      <a:ln w="15875" cap="flat" cmpd="sng" algn="ctr">
        <a:solidFill>
          <a:schemeClr val="tx1">
            <a:lumMod val="25000"/>
            <a:lumOff val="75000"/>
          </a:schemeClr>
        </a:solidFill>
        <a:round/>
      </a:ln>
    </cs:spPr>
    <cs:defRPr sz="900" kern="1200" cap="none" spc="20" normalizeH="0" baseline="0"/>
  </cs:categoryAxis>
  <cs:chartArea mods="allowNoFillOverride allowNoLineOverride">
    <cs:lnRef idx="0"/>
    <cs:fillRef idx="0"/>
    <cs:effectRef idx="0"/>
    <cs:fontRef idx="minor">
      <a:schemeClr val="dk1"/>
    </cs:fontRef>
    <cs:spPr>
      <a:solidFill>
        <a:schemeClr val="lt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bg1"/>
    </cs:fontRef>
    <cs:spPr>
      <a:solidFill>
        <a:schemeClr val="tx1">
          <a:lumMod val="50000"/>
          <a:lumOff val="50000"/>
        </a:schemeClr>
      </a:solidFill>
    </cs:spPr>
    <cs:defRPr sz="900" kern="1200"/>
    <cs:bodyPr rot="0" spcFirstLastPara="1" vertOverflow="clip" horzOverflow="clip" vert="horz" wrap="square" lIns="36576" tIns="18288" rIns="36576" bIns="18288" anchor="ctr" anchorCtr="1">
      <a:spAutoFit/>
    </cs:bodyPr>
  </cs:dataLabelCallout>
  <cs:dataPoint>
    <cs:lnRef idx="0"/>
    <cs:fillRef idx="0">
      <cs:styleClr val="auto"/>
    </cs:fillRef>
    <cs:effectRef idx="0"/>
    <cs:fontRef idx="minor">
      <a:schemeClr val="dk1"/>
    </cs:fontRef>
    <cs:spPr>
      <a:solidFill>
        <a:schemeClr val="phClr">
          <a:alpha val="70000"/>
        </a:schemeClr>
      </a:solidFill>
    </cs:spPr>
  </cs:dataPoint>
  <cs:dataPoint3D>
    <cs:lnRef idx="0"/>
    <cs:fillRef idx="0">
      <cs:styleClr val="auto"/>
    </cs:fillRef>
    <cs:effectRef idx="0"/>
    <cs:fontRef idx="minor">
      <a:schemeClr val="dk1"/>
    </cs:fontRef>
    <cs:spPr>
      <a:solidFill>
        <a:schemeClr val="phClr">
          <a:alpha val="70000"/>
        </a:schemeClr>
      </a:solidFill>
    </cs:spPr>
  </cs:dataPoint3D>
  <cs:dataPointLine>
    <cs:lnRef idx="0">
      <cs:styleClr val="auto"/>
    </cs:lnRef>
    <cs:fillRef idx="0"/>
    <cs:effectRef idx="0"/>
    <cs:fontRef idx="minor">
      <a:schemeClr val="dk1"/>
    </cs:fontRef>
    <cs:spPr>
      <a:ln w="28575" cap="rnd">
        <a:solidFill>
          <a:schemeClr val="phClr">
            <a:alpha val="70000"/>
          </a:schemeClr>
        </a:solidFill>
        <a:round/>
      </a:ln>
    </cs:spPr>
  </cs:dataPointLine>
  <cs:dataPointMarker>
    <cs:lnRef idx="0"/>
    <cs:fillRef idx="0">
      <cs:styleClr val="auto"/>
    </cs:fillRef>
    <cs:effectRef idx="0"/>
    <cs:fontRef idx="minor">
      <a:schemeClr val="dk1"/>
    </cs:fontRef>
    <cs:spPr>
      <a:solidFill>
        <a:schemeClr val="phClr">
          <a:alpha val="70000"/>
        </a:schemeClr>
      </a:solidFill>
    </cs:spPr>
  </cs:dataPointMarker>
  <cs:dataPointMarkerLayout symbol="circle" size="6"/>
  <cs:dataPointWireframe>
    <cs:lnRef idx="0">
      <cs:styleClr val="auto"/>
    </cs:lnRef>
    <cs:fillRef idx="0"/>
    <cs:effectRef idx="0"/>
    <cs:fontRef idx="minor">
      <a:schemeClr val="dk1"/>
    </cs:fontRef>
    <cs:spPr>
      <a:ln w="9525" cap="rnd">
        <a:solidFill>
          <a:schemeClr val="phClr"/>
        </a:solidFill>
        <a:round/>
      </a:ln>
    </cs:spPr>
  </cs:dataPointWireframe>
  <cs:dataTable>
    <cs:lnRef idx="0"/>
    <cs:fillRef idx="0"/>
    <cs:effectRef idx="0"/>
    <cs:fontRef idx="minor">
      <a:schemeClr val="tx1">
        <a:lumMod val="65000"/>
        <a:lumOff val="35000"/>
      </a:schemeClr>
    </cs:fontRef>
    <cs:spPr>
      <a:ln w="9525">
        <a:solidFill>
          <a:schemeClr val="tx1">
            <a:lumMod val="15000"/>
            <a:lumOff val="85000"/>
          </a:schemeClr>
        </a:solidFill>
      </a:ln>
    </cs:spPr>
    <cs:defRPr sz="900" kern="1200"/>
  </cs:dataTable>
  <cs:downBar>
    <cs:lnRef idx="0"/>
    <cs:fillRef idx="0"/>
    <cs:effectRef idx="0"/>
    <cs:fontRef idx="minor">
      <a:schemeClr val="dk1"/>
    </cs:fontRef>
    <cs:spPr>
      <a:solidFill>
        <a:schemeClr val="dk1">
          <a:lumMod val="75000"/>
          <a:lumOff val="25000"/>
        </a:schemeClr>
      </a:solidFill>
      <a:ln w="9525">
        <a:solidFill>
          <a:schemeClr val="tx1">
            <a:lumMod val="65000"/>
            <a:lumOff val="35000"/>
          </a:schemeClr>
        </a:solidFill>
      </a:ln>
    </cs:spPr>
  </cs:downBar>
  <cs:dropLine>
    <cs:lnRef idx="0"/>
    <cs:fillRef idx="0"/>
    <cs:effectRef idx="0"/>
    <cs:fontRef idx="minor">
      <a:schemeClr val="dk1"/>
    </cs:fontRef>
    <cs:spPr>
      <a:ln w="9525">
        <a:solidFill>
          <a:schemeClr val="tx1">
            <a:lumMod val="35000"/>
            <a:lumOff val="65000"/>
          </a:schemeClr>
        </a:solidFill>
        <a:round/>
      </a:ln>
    </cs:spPr>
  </cs:dropLine>
  <cs:errorBar>
    <cs:lnRef idx="0"/>
    <cs:fillRef idx="0"/>
    <cs:effectRef idx="0"/>
    <cs:fontRef idx="minor">
      <a:schemeClr val="dk1"/>
    </cs:fontRef>
    <cs:spPr>
      <a:ln w="9525">
        <a:solidFill>
          <a:schemeClr val="tx1">
            <a:lumMod val="65000"/>
            <a:lumOff val="35000"/>
          </a:schemeClr>
        </a:solidFill>
        <a:round/>
      </a:ln>
    </cs:spPr>
  </cs:errorBar>
  <cs:floor>
    <cs:lnRef idx="0"/>
    <cs:fillRef idx="0"/>
    <cs:effectRef idx="0"/>
    <cs:fontRef idx="minor">
      <a:schemeClr val="dk1"/>
    </cs:fontRef>
  </cs:floor>
  <cs:gridlineMajor>
    <cs:lnRef idx="0"/>
    <cs:fillRef idx="0"/>
    <cs:effectRef idx="0"/>
    <cs:fontRef idx="minor">
      <a:schemeClr val="dk1"/>
    </cs:fontRef>
    <cs:spPr>
      <a:ln w="9525" cap="flat" cmpd="sng" algn="ctr">
        <a:solidFill>
          <a:schemeClr val="tx1">
            <a:lumMod val="5000"/>
            <a:lumOff val="95000"/>
          </a:schemeClr>
        </a:solidFill>
        <a:round/>
      </a:ln>
    </cs:spPr>
  </cs:gridlineMajor>
  <cs:gridlineMinor>
    <cs:lnRef idx="0"/>
    <cs:fillRef idx="0"/>
    <cs:effectRef idx="0"/>
    <cs:fontRef idx="minor">
      <a:schemeClr val="dk1"/>
    </cs:fontRef>
    <cs:spPr>
      <a:ln>
        <a:solidFill>
          <a:schemeClr val="tx1">
            <a:lumMod val="5000"/>
            <a:lumOff val="95000"/>
          </a:schemeClr>
        </a:solidFill>
      </a:ln>
    </cs:spPr>
  </cs:gridlineMinor>
  <cs:hiLoLine>
    <cs:lnRef idx="0"/>
    <cs:fillRef idx="0"/>
    <cs:effectRef idx="0"/>
    <cs:fontRef idx="minor">
      <a:schemeClr val="dk1"/>
    </cs:fontRef>
    <cs:spPr>
      <a:ln w="9525">
        <a:solidFill>
          <a:schemeClr val="tx1">
            <a:lumMod val="35000"/>
            <a:lumOff val="65000"/>
          </a:schemeClr>
        </a:solidFill>
        <a:round/>
      </a:ln>
    </cs:spPr>
  </cs:hiLoLine>
  <cs:leaderLine>
    <cs:lnRef idx="0"/>
    <cs:fillRef idx="0"/>
    <cs:effectRef idx="0"/>
    <cs:fontRef idx="minor">
      <a:schemeClr val="dk1"/>
    </cs:fontRef>
    <cs:spPr>
      <a:ln w="9525">
        <a:solidFill>
          <a:schemeClr val="tx1">
            <a:lumMod val="35000"/>
            <a:lumOff val="65000"/>
          </a:schemeClr>
        </a:solidFill>
      </a:ln>
    </cs:spPr>
  </cs:leaderLine>
  <cs:legend>
    <cs:lnRef idx="0"/>
    <cs:fillRef idx="0"/>
    <cs:effectRef idx="0"/>
    <cs:fontRef idx="minor">
      <a:schemeClr val="tx1">
        <a:lumMod val="65000"/>
        <a:lumOff val="35000"/>
      </a:schemeClr>
    </cs:fontRef>
    <cs:defRPr sz="900" kern="1200" baseline="0"/>
  </cs:legend>
  <cs:plotArea mods="allowNoFillOverride allowNoLineOverride">
    <cs:lnRef idx="0"/>
    <cs:fillRef idx="0"/>
    <cs:effectRef idx="0"/>
    <cs:fontRef idx="minor">
      <a:schemeClr val="dk1"/>
    </cs:fontRef>
  </cs:plotArea>
  <cs:plotArea3D mods="allowNoFillOverride allowNoLineOverride">
    <cs:lnRef idx="0"/>
    <cs:fillRef idx="0"/>
    <cs:effectRef idx="0"/>
    <cs:fontRef idx="minor">
      <a:schemeClr val="dk1"/>
    </cs:fontRef>
  </cs:plotArea3D>
  <cs:seriesAxis>
    <cs:lnRef idx="0"/>
    <cs:fillRef idx="0"/>
    <cs:effectRef idx="0"/>
    <cs:fontRef idx="minor">
      <a:schemeClr val="tx1">
        <a:lumMod val="65000"/>
        <a:lumOff val="35000"/>
      </a:schemeClr>
    </cs:fontRef>
    <cs:defRPr sz="900" kern="1200"/>
  </cs:seriesAxis>
  <cs:seriesLine>
    <cs:lnRef idx="0"/>
    <cs:fillRef idx="0"/>
    <cs:effectRef idx="0"/>
    <cs:fontRef idx="minor">
      <a:schemeClr val="dk1"/>
    </cs:fontRef>
    <cs:spPr>
      <a:ln w="9525">
        <a:solidFill>
          <a:schemeClr val="tx1">
            <a:lumMod val="35000"/>
            <a:lumOff val="65000"/>
          </a:schemeClr>
        </a:solidFill>
        <a:round/>
      </a:ln>
    </cs:spPr>
  </cs:seriesLine>
  <cs:title>
    <cs:lnRef idx="0"/>
    <cs:fillRef idx="0"/>
    <cs:effectRef idx="0"/>
    <cs:fontRef idx="major">
      <a:schemeClr val="tx1">
        <a:lumMod val="65000"/>
        <a:lumOff val="35000"/>
      </a:schemeClr>
    </cs:fontRef>
    <cs:defRPr sz="1600" b="0" i="0" kern="1200" cap="none" spc="50" normalizeH="0" baseline="0"/>
  </cs:title>
  <cs:trendline>
    <cs:lnRef idx="0">
      <cs:styleClr val="auto"/>
    </cs:lnRef>
    <cs:fillRef idx="0"/>
    <cs:effectRef idx="0"/>
    <cs:fontRef idx="minor">
      <a:schemeClr val="dk1"/>
    </cs:fontRef>
    <cs:spPr>
      <a:ln w="15875"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65000"/>
            <a:lumOff val="35000"/>
          </a:schemeClr>
        </a:solidFill>
      </a:ln>
    </cs:spPr>
  </cs:upBar>
  <cs:valueAxis>
    <cs:lnRef idx="0"/>
    <cs:fillRef idx="0"/>
    <cs:effectRef idx="0"/>
    <cs:fontRef idx="minor">
      <a:schemeClr val="tx1">
        <a:lumMod val="65000"/>
        <a:lumOff val="35000"/>
      </a:schemeClr>
    </cs:fontRef>
    <cs:defRPr sz="900" kern="1200" spc="20" baseline="0"/>
  </cs:valueAxis>
  <cs:wall>
    <cs:lnRef idx="0"/>
    <cs:fillRef idx="0"/>
    <cs:effectRef idx="0"/>
    <cs:fontRef idx="minor">
      <a:schemeClr val="dk1"/>
    </cs:fontRef>
  </cs:wall>
</cs:chartStyle>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emf"/></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editAs="oneCell">
    <xdr:from>
      <xdr:col>8</xdr:col>
      <xdr:colOff>247650</xdr:colOff>
      <xdr:row>0</xdr:row>
      <xdr:rowOff>28575</xdr:rowOff>
    </xdr:from>
    <xdr:to>
      <xdr:col>13</xdr:col>
      <xdr:colOff>19050</xdr:colOff>
      <xdr:row>9</xdr:row>
      <xdr:rowOff>16881</xdr:rowOff>
    </xdr:to>
    <xdr:pic>
      <xdr:nvPicPr>
        <xdr:cNvPr id="2" name="Picture 1"/>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9124950" y="28575"/>
          <a:ext cx="4333875" cy="208380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twoCellAnchor editAs="oneCell">
    <xdr:from>
      <xdr:col>8</xdr:col>
      <xdr:colOff>200025</xdr:colOff>
      <xdr:row>9</xdr:row>
      <xdr:rowOff>142875</xdr:rowOff>
    </xdr:from>
    <xdr:to>
      <xdr:col>13</xdr:col>
      <xdr:colOff>414193</xdr:colOff>
      <xdr:row>12</xdr:row>
      <xdr:rowOff>9525</xdr:rowOff>
    </xdr:to>
    <xdr:pic>
      <xdr:nvPicPr>
        <xdr:cNvPr id="3" name="Picture 2"/>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9077325" y="2200275"/>
          <a:ext cx="4776643" cy="6381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276225</xdr:colOff>
      <xdr:row>37</xdr:row>
      <xdr:rowOff>14287</xdr:rowOff>
    </xdr:from>
    <xdr:to>
      <xdr:col>18</xdr:col>
      <xdr:colOff>9525</xdr:colOff>
      <xdr:row>48</xdr:row>
      <xdr:rowOff>138112</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8.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C2:G47"/>
  <sheetViews>
    <sheetView workbookViewId="0">
      <selection activeCell="D11" sqref="D11"/>
    </sheetView>
  </sheetViews>
  <sheetFormatPr defaultRowHeight="15" x14ac:dyDescent="0.25"/>
  <cols>
    <col min="5" max="5" width="52.5703125" customWidth="1"/>
    <col min="6" max="6" width="22.28515625" customWidth="1"/>
    <col min="7" max="7" width="24" customWidth="1"/>
  </cols>
  <sheetData>
    <row r="2" spans="3:4" x14ac:dyDescent="0.25">
      <c r="C2" t="s">
        <v>33</v>
      </c>
    </row>
    <row r="7" spans="3:4" x14ac:dyDescent="0.25">
      <c r="D7" t="s">
        <v>224</v>
      </c>
    </row>
    <row r="8" spans="3:4" x14ac:dyDescent="0.25">
      <c r="D8" t="s">
        <v>225</v>
      </c>
    </row>
    <row r="11" spans="3:4" x14ac:dyDescent="0.25">
      <c r="D11" t="s">
        <v>254</v>
      </c>
    </row>
    <row r="13" spans="3:4" x14ac:dyDescent="0.25">
      <c r="D13" t="s">
        <v>255</v>
      </c>
    </row>
    <row r="14" spans="3:4" x14ac:dyDescent="0.25">
      <c r="D14" t="s">
        <v>256</v>
      </c>
    </row>
    <row r="15" spans="3:4" x14ac:dyDescent="0.25">
      <c r="D15" t="s">
        <v>257</v>
      </c>
    </row>
    <row r="18" spans="4:7" x14ac:dyDescent="0.25">
      <c r="D18" t="s">
        <v>258</v>
      </c>
    </row>
    <row r="25" spans="4:7" x14ac:dyDescent="0.25">
      <c r="F25" t="s">
        <v>259</v>
      </c>
    </row>
    <row r="26" spans="4:7" x14ac:dyDescent="0.25">
      <c r="E26" t="s">
        <v>260</v>
      </c>
      <c r="F26" t="s">
        <v>261</v>
      </c>
      <c r="G26" t="s">
        <v>262</v>
      </c>
    </row>
    <row r="27" spans="4:7" x14ac:dyDescent="0.25">
      <c r="E27" s="3" t="s">
        <v>265</v>
      </c>
    </row>
    <row r="28" spans="4:7" x14ac:dyDescent="0.25">
      <c r="E28" t="s">
        <v>263</v>
      </c>
      <c r="F28">
        <v>550</v>
      </c>
      <c r="G28">
        <v>550</v>
      </c>
    </row>
    <row r="29" spans="4:7" x14ac:dyDescent="0.25">
      <c r="E29" s="3" t="s">
        <v>264</v>
      </c>
    </row>
    <row r="30" spans="4:7" x14ac:dyDescent="0.25">
      <c r="E30" t="s">
        <v>266</v>
      </c>
      <c r="F30">
        <v>503</v>
      </c>
      <c r="G30">
        <v>503</v>
      </c>
    </row>
    <row r="31" spans="4:7" x14ac:dyDescent="0.25">
      <c r="E31" s="3" t="s">
        <v>19</v>
      </c>
      <c r="F31">
        <v>503</v>
      </c>
      <c r="G31">
        <v>503</v>
      </c>
    </row>
    <row r="34" spans="5:6" x14ac:dyDescent="0.25">
      <c r="E34" t="s">
        <v>267</v>
      </c>
    </row>
    <row r="37" spans="5:6" x14ac:dyDescent="0.25">
      <c r="E37" t="s">
        <v>268</v>
      </c>
    </row>
    <row r="38" spans="5:6" x14ac:dyDescent="0.25">
      <c r="E38" t="s">
        <v>260</v>
      </c>
      <c r="F38" t="s">
        <v>261</v>
      </c>
    </row>
    <row r="39" spans="5:6" x14ac:dyDescent="0.25">
      <c r="E39" t="s">
        <v>269</v>
      </c>
      <c r="F39" s="104">
        <v>2540000</v>
      </c>
    </row>
    <row r="40" spans="5:6" x14ac:dyDescent="0.25">
      <c r="F40" s="105">
        <v>0.505</v>
      </c>
    </row>
    <row r="41" spans="5:6" x14ac:dyDescent="0.25">
      <c r="E41" t="s">
        <v>270</v>
      </c>
      <c r="F41" s="104">
        <v>1770000</v>
      </c>
    </row>
    <row r="42" spans="5:6" x14ac:dyDescent="0.25">
      <c r="F42" s="105">
        <v>0.35189999999999999</v>
      </c>
    </row>
    <row r="43" spans="5:6" x14ac:dyDescent="0.25">
      <c r="E43" t="s">
        <v>271</v>
      </c>
      <c r="F43" s="104">
        <v>520000</v>
      </c>
    </row>
    <row r="44" spans="5:6" x14ac:dyDescent="0.25">
      <c r="F44" s="105">
        <v>0.10340000000000001</v>
      </c>
    </row>
    <row r="47" spans="5:6" ht="409.5" x14ac:dyDescent="0.25">
      <c r="E47" s="106" t="s">
        <v>272</v>
      </c>
    </row>
  </sheetData>
  <pageMargins left="0.7" right="0.7" top="0.75" bottom="0.75"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B1:G36"/>
  <sheetViews>
    <sheetView tabSelected="1" workbookViewId="0"/>
  </sheetViews>
  <sheetFormatPr defaultRowHeight="15" x14ac:dyDescent="0.25"/>
  <cols>
    <col min="1" max="1" width="5" style="46" customWidth="1"/>
    <col min="2" max="2" width="7.85546875" style="46" customWidth="1"/>
    <col min="3" max="3" width="28.85546875" style="46" customWidth="1"/>
    <col min="4" max="4" width="23.5703125" style="46" customWidth="1"/>
    <col min="5" max="5" width="36" style="46" customWidth="1"/>
    <col min="6" max="6" width="24.85546875" style="46" customWidth="1"/>
    <col min="7" max="7" width="16.7109375" style="46" bestFit="1" customWidth="1"/>
    <col min="8" max="16384" width="9.140625" style="46"/>
  </cols>
  <sheetData>
    <row r="1" spans="2:6" ht="18" customHeight="1" x14ac:dyDescent="0.25"/>
    <row r="2" spans="2:6" ht="20.25" customHeight="1" x14ac:dyDescent="0.25">
      <c r="B2" s="120" t="s">
        <v>216</v>
      </c>
      <c r="C2" s="120"/>
      <c r="D2" s="120"/>
      <c r="E2" s="120"/>
      <c r="F2" s="122"/>
    </row>
    <row r="3" spans="2:6" ht="20.25" customHeight="1" x14ac:dyDescent="0.25">
      <c r="B3" s="73" t="s">
        <v>127</v>
      </c>
      <c r="C3" s="74" t="s">
        <v>212</v>
      </c>
      <c r="D3" s="74" t="s">
        <v>213</v>
      </c>
      <c r="E3" s="74" t="s">
        <v>214</v>
      </c>
      <c r="F3" s="74" t="s">
        <v>273</v>
      </c>
    </row>
    <row r="4" spans="2:6" ht="20.25" customHeight="1" x14ac:dyDescent="0.25">
      <c r="B4" s="70">
        <v>1</v>
      </c>
      <c r="C4" s="87" t="s">
        <v>215</v>
      </c>
      <c r="D4" s="85">
        <v>45575</v>
      </c>
      <c r="E4" s="86">
        <v>238100000</v>
      </c>
      <c r="F4" s="86">
        <v>214300000</v>
      </c>
    </row>
    <row r="5" spans="2:6" ht="20.25" customHeight="1" x14ac:dyDescent="0.25">
      <c r="B5" s="70">
        <f>B4+1</f>
        <v>2</v>
      </c>
      <c r="C5" s="87" t="s">
        <v>215</v>
      </c>
      <c r="D5" s="85">
        <v>45575</v>
      </c>
      <c r="E5" s="86">
        <v>6225000</v>
      </c>
      <c r="F5" s="86">
        <v>5600000</v>
      </c>
    </row>
    <row r="6" spans="2:6" ht="20.25" customHeight="1" x14ac:dyDescent="0.25">
      <c r="B6" s="70">
        <f t="shared" ref="B6:B33" si="0">B5+1</f>
        <v>3</v>
      </c>
      <c r="C6" s="87" t="s">
        <v>215</v>
      </c>
      <c r="D6" s="85">
        <v>45575</v>
      </c>
      <c r="E6" s="86">
        <v>6350000</v>
      </c>
      <c r="F6" s="86">
        <v>5715000</v>
      </c>
    </row>
    <row r="7" spans="2:6" ht="20.25" customHeight="1" x14ac:dyDescent="0.25">
      <c r="B7" s="70">
        <f t="shared" si="0"/>
        <v>4</v>
      </c>
      <c r="C7" s="87" t="s">
        <v>215</v>
      </c>
      <c r="D7" s="85">
        <v>45575</v>
      </c>
      <c r="E7" s="86">
        <v>35500000</v>
      </c>
      <c r="F7" s="86">
        <v>31950000</v>
      </c>
    </row>
    <row r="8" spans="2:6" ht="20.25" customHeight="1" x14ac:dyDescent="0.25">
      <c r="B8" s="70">
        <f t="shared" si="0"/>
        <v>5</v>
      </c>
      <c r="C8" s="87" t="s">
        <v>215</v>
      </c>
      <c r="D8" s="85">
        <v>45575</v>
      </c>
      <c r="E8" s="86">
        <v>13850000</v>
      </c>
      <c r="F8" s="86">
        <v>12465000</v>
      </c>
    </row>
    <row r="9" spans="2:6" ht="20.25" customHeight="1" x14ac:dyDescent="0.25">
      <c r="B9" s="70">
        <f t="shared" si="0"/>
        <v>6</v>
      </c>
      <c r="C9" s="87" t="s">
        <v>215</v>
      </c>
      <c r="D9" s="85">
        <v>45575</v>
      </c>
      <c r="E9" s="86">
        <v>3000000</v>
      </c>
      <c r="F9" s="86">
        <v>2700000</v>
      </c>
    </row>
    <row r="10" spans="2:6" ht="20.25" customHeight="1" x14ac:dyDescent="0.25">
      <c r="B10" s="70">
        <f t="shared" si="0"/>
        <v>7</v>
      </c>
      <c r="C10" s="87" t="s">
        <v>215</v>
      </c>
      <c r="D10" s="85">
        <v>45575</v>
      </c>
      <c r="E10" s="86">
        <v>5900000</v>
      </c>
      <c r="F10" s="86">
        <v>5310000</v>
      </c>
    </row>
    <row r="11" spans="2:6" ht="20.25" customHeight="1" x14ac:dyDescent="0.25">
      <c r="B11" s="70">
        <f t="shared" si="0"/>
        <v>8</v>
      </c>
      <c r="C11" s="87" t="s">
        <v>215</v>
      </c>
      <c r="D11" s="85">
        <v>45575</v>
      </c>
      <c r="E11" s="86">
        <v>221950000</v>
      </c>
      <c r="F11" s="86">
        <v>199750000</v>
      </c>
    </row>
    <row r="12" spans="2:6" ht="20.25" customHeight="1" x14ac:dyDescent="0.25">
      <c r="B12" s="70">
        <f t="shared" si="0"/>
        <v>9</v>
      </c>
      <c r="C12" s="87" t="s">
        <v>215</v>
      </c>
      <c r="D12" s="85">
        <v>45575</v>
      </c>
      <c r="E12" s="86">
        <v>5900000</v>
      </c>
      <c r="F12" s="86">
        <v>5300000</v>
      </c>
    </row>
    <row r="13" spans="2:6" ht="20.25" customHeight="1" x14ac:dyDescent="0.25">
      <c r="B13" s="70">
        <f t="shared" si="0"/>
        <v>10</v>
      </c>
      <c r="C13" s="87" t="s">
        <v>215</v>
      </c>
      <c r="D13" s="85">
        <v>45575</v>
      </c>
      <c r="E13" s="86">
        <v>6020000</v>
      </c>
      <c r="F13" s="86">
        <v>5420000</v>
      </c>
    </row>
    <row r="14" spans="2:6" ht="20.25" customHeight="1" x14ac:dyDescent="0.25">
      <c r="B14" s="70">
        <f t="shared" si="0"/>
        <v>11</v>
      </c>
      <c r="C14" s="87" t="s">
        <v>215</v>
      </c>
      <c r="D14" s="85">
        <v>45575</v>
      </c>
      <c r="E14" s="86">
        <v>5950000</v>
      </c>
      <c r="F14" s="86">
        <v>5700000</v>
      </c>
    </row>
    <row r="15" spans="2:6" ht="20.25" customHeight="1" x14ac:dyDescent="0.25">
      <c r="B15" s="70">
        <f t="shared" si="0"/>
        <v>12</v>
      </c>
      <c r="C15" s="87" t="s">
        <v>215</v>
      </c>
      <c r="D15" s="85">
        <v>45575</v>
      </c>
      <c r="E15" s="86">
        <v>5065000</v>
      </c>
      <c r="F15" s="86">
        <v>4560000</v>
      </c>
    </row>
    <row r="16" spans="2:6" ht="20.25" customHeight="1" x14ac:dyDescent="0.25">
      <c r="B16" s="70">
        <f t="shared" si="0"/>
        <v>13</v>
      </c>
      <c r="C16" s="87" t="s">
        <v>215</v>
      </c>
      <c r="D16" s="85">
        <v>45575</v>
      </c>
      <c r="E16" s="86">
        <v>2270000</v>
      </c>
      <c r="F16" s="86">
        <v>2045000</v>
      </c>
    </row>
    <row r="17" spans="2:6" ht="20.25" customHeight="1" x14ac:dyDescent="0.25">
      <c r="B17" s="70">
        <f t="shared" si="0"/>
        <v>14</v>
      </c>
      <c r="C17" s="87" t="s">
        <v>215</v>
      </c>
      <c r="D17" s="85">
        <v>45575</v>
      </c>
      <c r="E17" s="86">
        <v>1550000</v>
      </c>
      <c r="F17" s="86">
        <v>1400000</v>
      </c>
    </row>
    <row r="18" spans="2:6" ht="20.25" customHeight="1" x14ac:dyDescent="0.25">
      <c r="B18" s="70">
        <f t="shared" si="0"/>
        <v>15</v>
      </c>
      <c r="C18" s="87" t="s">
        <v>217</v>
      </c>
      <c r="D18" s="85">
        <v>45575</v>
      </c>
      <c r="E18" s="86">
        <v>3150000</v>
      </c>
      <c r="F18" s="86">
        <v>2835000</v>
      </c>
    </row>
    <row r="19" spans="2:6" ht="20.25" customHeight="1" x14ac:dyDescent="0.25">
      <c r="B19" s="70">
        <f t="shared" si="0"/>
        <v>16</v>
      </c>
      <c r="C19" s="87" t="s">
        <v>215</v>
      </c>
      <c r="D19" s="85">
        <v>45575</v>
      </c>
      <c r="E19" s="86">
        <v>5150000</v>
      </c>
      <c r="F19" s="86">
        <v>4635000</v>
      </c>
    </row>
    <row r="20" spans="2:6" ht="20.25" customHeight="1" x14ac:dyDescent="0.25">
      <c r="B20" s="70">
        <f t="shared" si="0"/>
        <v>17</v>
      </c>
      <c r="C20" s="87" t="s">
        <v>215</v>
      </c>
      <c r="D20" s="85">
        <v>45575</v>
      </c>
      <c r="E20" s="86">
        <v>3080000</v>
      </c>
      <c r="F20" s="86">
        <v>2770000</v>
      </c>
    </row>
    <row r="21" spans="2:6" ht="20.25" customHeight="1" x14ac:dyDescent="0.25">
      <c r="B21" s="70">
        <f t="shared" si="0"/>
        <v>18</v>
      </c>
      <c r="C21" s="87" t="s">
        <v>215</v>
      </c>
      <c r="D21" s="85">
        <v>45575</v>
      </c>
      <c r="E21" s="86">
        <v>2690000</v>
      </c>
      <c r="F21" s="86">
        <v>2420000</v>
      </c>
    </row>
    <row r="22" spans="2:6" ht="20.25" customHeight="1" x14ac:dyDescent="0.25">
      <c r="B22" s="70">
        <f t="shared" si="0"/>
        <v>19</v>
      </c>
      <c r="C22" s="87" t="s">
        <v>215</v>
      </c>
      <c r="D22" s="85">
        <v>45575</v>
      </c>
      <c r="E22" s="86">
        <v>2790000</v>
      </c>
      <c r="F22" s="86">
        <v>2510000</v>
      </c>
    </row>
    <row r="23" spans="2:6" ht="20.25" customHeight="1" x14ac:dyDescent="0.25">
      <c r="B23" s="70">
        <f t="shared" si="0"/>
        <v>20</v>
      </c>
      <c r="C23" s="87" t="s">
        <v>215</v>
      </c>
      <c r="D23" s="85">
        <v>45575</v>
      </c>
      <c r="E23" s="86">
        <v>2170000</v>
      </c>
      <c r="F23" s="86">
        <v>1950000</v>
      </c>
    </row>
    <row r="24" spans="2:6" ht="20.25" customHeight="1" x14ac:dyDescent="0.25">
      <c r="B24" s="70">
        <f t="shared" si="0"/>
        <v>21</v>
      </c>
      <c r="C24" s="87" t="s">
        <v>215</v>
      </c>
      <c r="D24" s="85">
        <v>45575</v>
      </c>
      <c r="E24" s="86">
        <v>1980000</v>
      </c>
      <c r="F24" s="86">
        <v>1780000</v>
      </c>
    </row>
    <row r="25" spans="2:6" ht="20.25" customHeight="1" x14ac:dyDescent="0.25">
      <c r="B25" s="70">
        <f t="shared" si="0"/>
        <v>22</v>
      </c>
      <c r="C25" s="87" t="s">
        <v>215</v>
      </c>
      <c r="D25" s="85">
        <v>45575</v>
      </c>
      <c r="E25" s="86">
        <v>2280000</v>
      </c>
      <c r="F25" s="86">
        <v>2050000</v>
      </c>
    </row>
    <row r="26" spans="2:6" ht="20.25" customHeight="1" x14ac:dyDescent="0.25">
      <c r="B26" s="70">
        <f t="shared" si="0"/>
        <v>23</v>
      </c>
      <c r="C26" s="87" t="s">
        <v>215</v>
      </c>
      <c r="D26" s="85">
        <v>45575</v>
      </c>
      <c r="E26" s="86">
        <v>2300000</v>
      </c>
      <c r="F26" s="86">
        <v>2070000</v>
      </c>
    </row>
    <row r="27" spans="2:6" ht="20.25" customHeight="1" x14ac:dyDescent="0.25">
      <c r="B27" s="70">
        <f t="shared" si="0"/>
        <v>24</v>
      </c>
      <c r="C27" s="87" t="s">
        <v>218</v>
      </c>
      <c r="D27" s="85">
        <v>45575</v>
      </c>
      <c r="E27" s="86">
        <v>5270000</v>
      </c>
      <c r="F27" s="86">
        <v>4750000</v>
      </c>
    </row>
    <row r="28" spans="2:6" ht="20.25" customHeight="1" x14ac:dyDescent="0.25">
      <c r="B28" s="70">
        <f t="shared" si="0"/>
        <v>25</v>
      </c>
      <c r="C28" s="87" t="s">
        <v>219</v>
      </c>
      <c r="D28" s="85">
        <v>45575</v>
      </c>
      <c r="E28" s="86">
        <v>1345000</v>
      </c>
      <c r="F28" s="86">
        <v>1210000</v>
      </c>
    </row>
    <row r="29" spans="2:6" ht="20.25" customHeight="1" x14ac:dyDescent="0.25">
      <c r="B29" s="70">
        <f t="shared" si="0"/>
        <v>26</v>
      </c>
      <c r="C29" s="87" t="s">
        <v>219</v>
      </c>
      <c r="D29" s="85">
        <v>45575</v>
      </c>
      <c r="E29" s="86">
        <v>1345000</v>
      </c>
      <c r="F29" s="86">
        <v>1210000</v>
      </c>
    </row>
    <row r="30" spans="2:6" ht="20.25" customHeight="1" x14ac:dyDescent="0.25">
      <c r="B30" s="70">
        <f t="shared" si="0"/>
        <v>27</v>
      </c>
      <c r="C30" s="87" t="s">
        <v>220</v>
      </c>
      <c r="D30" s="85">
        <v>45575</v>
      </c>
      <c r="E30" s="86">
        <v>11700000</v>
      </c>
      <c r="F30" s="86">
        <v>10530000</v>
      </c>
    </row>
    <row r="31" spans="2:6" ht="20.25" customHeight="1" x14ac:dyDescent="0.25">
      <c r="B31" s="70">
        <f t="shared" si="0"/>
        <v>28</v>
      </c>
      <c r="C31" s="87" t="s">
        <v>219</v>
      </c>
      <c r="D31" s="85">
        <v>45575</v>
      </c>
      <c r="E31" s="86">
        <v>1830000</v>
      </c>
      <c r="F31" s="86">
        <v>1650000</v>
      </c>
    </row>
    <row r="32" spans="2:6" ht="20.25" customHeight="1" x14ac:dyDescent="0.25">
      <c r="B32" s="70">
        <f t="shared" si="0"/>
        <v>29</v>
      </c>
      <c r="C32" s="87" t="s">
        <v>219</v>
      </c>
      <c r="D32" s="85">
        <v>45575</v>
      </c>
      <c r="E32" s="86">
        <v>1830000</v>
      </c>
      <c r="F32" s="86">
        <v>1650000</v>
      </c>
    </row>
    <row r="33" spans="2:7" ht="20.25" customHeight="1" x14ac:dyDescent="0.25">
      <c r="B33" s="70">
        <f t="shared" si="0"/>
        <v>30</v>
      </c>
      <c r="C33" s="87" t="s">
        <v>220</v>
      </c>
      <c r="D33" s="85">
        <v>45575</v>
      </c>
      <c r="E33" s="86">
        <v>3890000</v>
      </c>
      <c r="F33" s="86">
        <v>3500000</v>
      </c>
    </row>
    <row r="34" spans="2:7" ht="20.25" customHeight="1" x14ac:dyDescent="0.25">
      <c r="B34" s="70"/>
      <c r="C34" s="69" t="s">
        <v>144</v>
      </c>
      <c r="D34" s="72">
        <v>130.62</v>
      </c>
      <c r="E34" s="88">
        <f>SUM(E4:E33)</f>
        <v>610430000</v>
      </c>
      <c r="F34" s="88">
        <f>SUM(F4:F33)</f>
        <v>549735000</v>
      </c>
    </row>
    <row r="35" spans="2:7" ht="18.75" customHeight="1" x14ac:dyDescent="0.25">
      <c r="B35" s="2"/>
      <c r="C35" s="2"/>
      <c r="D35" s="2"/>
      <c r="E35" s="92">
        <f>E34/10^7</f>
        <v>61.042999999999999</v>
      </c>
      <c r="F35" s="92">
        <f>F34/10^7</f>
        <v>54.973500000000001</v>
      </c>
      <c r="G35" s="121">
        <f>E35+'NAV EV'!E67</f>
        <v>152.53832265416662</v>
      </c>
    </row>
    <row r="36" spans="2:7" x14ac:dyDescent="0.25">
      <c r="B36" s="117" t="s">
        <v>222</v>
      </c>
      <c r="C36" s="118"/>
      <c r="D36" s="118"/>
      <c r="E36" s="118"/>
      <c r="G36" s="121">
        <f>F35+'NAV EV'!E67</f>
        <v>146.46882265416662</v>
      </c>
    </row>
  </sheetData>
  <mergeCells count="2">
    <mergeCell ref="B2:E2"/>
    <mergeCell ref="B36:E36"/>
  </mergeCells>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00B0F0"/>
  </sheetPr>
  <dimension ref="B2:E55"/>
  <sheetViews>
    <sheetView showGridLines="0" topLeftCell="C33" workbookViewId="0">
      <selection activeCell="B6" sqref="B6:E28"/>
    </sheetView>
  </sheetViews>
  <sheetFormatPr defaultRowHeight="15" x14ac:dyDescent="0.25"/>
  <cols>
    <col min="1" max="1" width="5.42578125" style="18" customWidth="1"/>
    <col min="2" max="2" width="47" style="18" customWidth="1"/>
    <col min="3" max="3" width="6" style="18" customWidth="1"/>
    <col min="4" max="5" width="24.85546875" style="18" customWidth="1"/>
    <col min="6" max="16384" width="9.140625" style="18"/>
  </cols>
  <sheetData>
    <row r="2" spans="2:5" ht="19.5" customHeight="1" x14ac:dyDescent="0.25">
      <c r="B2" s="17" t="str">
        <f>'NAV EV'!B2</f>
        <v>M/s Kunal Structure (India) Private Limited</v>
      </c>
      <c r="C2" s="44"/>
      <c r="D2" s="44"/>
      <c r="E2" s="44"/>
    </row>
    <row r="3" spans="2:5" ht="10.5" customHeight="1" x14ac:dyDescent="0.25"/>
    <row r="4" spans="2:5" ht="18" customHeight="1" x14ac:dyDescent="0.25">
      <c r="B4" s="2" t="s">
        <v>226</v>
      </c>
      <c r="C4" s="2"/>
      <c r="D4" s="2"/>
      <c r="E4" s="2"/>
    </row>
    <row r="5" spans="2:5" ht="9.75" customHeight="1" x14ac:dyDescent="0.25"/>
    <row r="6" spans="2:5" ht="18" customHeight="1" x14ac:dyDescent="0.25">
      <c r="B6" s="2" t="s">
        <v>229</v>
      </c>
      <c r="C6" s="2"/>
      <c r="D6" s="98" t="s">
        <v>227</v>
      </c>
      <c r="E6" s="98" t="s">
        <v>228</v>
      </c>
    </row>
    <row r="7" spans="2:5" ht="18.75" customHeight="1" x14ac:dyDescent="0.25"/>
    <row r="8" spans="2:5" ht="18.75" customHeight="1" x14ac:dyDescent="0.25">
      <c r="B8" s="93" t="s">
        <v>230</v>
      </c>
    </row>
    <row r="9" spans="2:5" ht="18.75" customHeight="1" x14ac:dyDescent="0.25">
      <c r="B9" s="18" t="s">
        <v>231</v>
      </c>
      <c r="D9" s="94">
        <v>86223.9</v>
      </c>
      <c r="E9" s="94">
        <v>58944.81</v>
      </c>
    </row>
    <row r="10" spans="2:5" ht="18.75" customHeight="1" x14ac:dyDescent="0.25">
      <c r="B10" s="18" t="s">
        <v>232</v>
      </c>
      <c r="D10" s="94">
        <v>1929.82</v>
      </c>
      <c r="E10" s="94">
        <v>1063.8599999999999</v>
      </c>
    </row>
    <row r="11" spans="2:5" ht="18.75" customHeight="1" x14ac:dyDescent="0.25">
      <c r="B11" s="15" t="s">
        <v>233</v>
      </c>
      <c r="C11" s="15"/>
      <c r="D11" s="95">
        <f>SUM(D9:D10)</f>
        <v>88153.72</v>
      </c>
      <c r="E11" s="95">
        <f>SUM(E9:E10)</f>
        <v>60008.67</v>
      </c>
    </row>
    <row r="12" spans="2:5" ht="18.75" customHeight="1" x14ac:dyDescent="0.25"/>
    <row r="13" spans="2:5" ht="18.75" customHeight="1" x14ac:dyDescent="0.25">
      <c r="B13" s="93" t="s">
        <v>234</v>
      </c>
    </row>
    <row r="14" spans="2:5" ht="18.75" customHeight="1" x14ac:dyDescent="0.25">
      <c r="B14" s="18" t="s">
        <v>235</v>
      </c>
      <c r="D14" s="96">
        <v>69869.31</v>
      </c>
      <c r="E14" s="94">
        <v>53089.75</v>
      </c>
    </row>
    <row r="15" spans="2:5" ht="18.75" customHeight="1" x14ac:dyDescent="0.25">
      <c r="B15" s="18" t="s">
        <v>236</v>
      </c>
      <c r="D15" s="96">
        <v>5431.75</v>
      </c>
      <c r="E15" s="94">
        <v>4012.96</v>
      </c>
    </row>
    <row r="16" spans="2:5" ht="18.75" customHeight="1" x14ac:dyDescent="0.25">
      <c r="B16" s="18" t="s">
        <v>237</v>
      </c>
      <c r="D16" s="96">
        <v>4381.57</v>
      </c>
      <c r="E16" s="94">
        <v>4804.0200000000004</v>
      </c>
    </row>
    <row r="17" spans="2:5" ht="18.75" customHeight="1" x14ac:dyDescent="0.25">
      <c r="B17" s="18" t="s">
        <v>238</v>
      </c>
      <c r="D17" s="96">
        <v>2048.48</v>
      </c>
      <c r="E17" s="94">
        <v>2067.16</v>
      </c>
    </row>
    <row r="18" spans="2:5" ht="18.75" customHeight="1" x14ac:dyDescent="0.25">
      <c r="B18" s="18" t="s">
        <v>239</v>
      </c>
      <c r="D18" s="96">
        <v>3089.07</v>
      </c>
      <c r="E18" s="94">
        <v>2034.08</v>
      </c>
    </row>
    <row r="19" spans="2:5" ht="18.75" customHeight="1" x14ac:dyDescent="0.25">
      <c r="B19" s="15" t="s">
        <v>240</v>
      </c>
      <c r="C19" s="15"/>
      <c r="D19" s="95">
        <f>SUM(D14:D18)</f>
        <v>84820.180000000008</v>
      </c>
      <c r="E19" s="95">
        <f>SUM(E14:E18)</f>
        <v>66007.97</v>
      </c>
    </row>
    <row r="20" spans="2:5" ht="18.75" customHeight="1" x14ac:dyDescent="0.25"/>
    <row r="21" spans="2:5" ht="18.75" customHeight="1" x14ac:dyDescent="0.25">
      <c r="B21" s="15" t="s">
        <v>241</v>
      </c>
      <c r="C21" s="15"/>
      <c r="D21" s="100">
        <f>D11-D19</f>
        <v>3333.5399999999936</v>
      </c>
      <c r="E21" s="99">
        <f>E11-E19</f>
        <v>-5999.3000000000029</v>
      </c>
    </row>
    <row r="22" spans="2:5" ht="18.75" customHeight="1" x14ac:dyDescent="0.25"/>
    <row r="23" spans="2:5" ht="18.75" customHeight="1" x14ac:dyDescent="0.25">
      <c r="B23" s="93" t="s">
        <v>242</v>
      </c>
    </row>
    <row r="24" spans="2:5" ht="18.75" customHeight="1" x14ac:dyDescent="0.25">
      <c r="B24" s="18" t="s">
        <v>243</v>
      </c>
      <c r="D24" s="97">
        <v>936.99</v>
      </c>
      <c r="E24" s="101">
        <v>0</v>
      </c>
    </row>
    <row r="25" spans="2:5" ht="18.75" customHeight="1" x14ac:dyDescent="0.25">
      <c r="B25" s="18" t="s">
        <v>244</v>
      </c>
      <c r="D25" s="97">
        <v>-45.48</v>
      </c>
      <c r="E25" s="18">
        <v>-230.88</v>
      </c>
    </row>
    <row r="26" spans="2:5" ht="18.75" customHeight="1" x14ac:dyDescent="0.25">
      <c r="B26" s="18" t="s">
        <v>245</v>
      </c>
      <c r="D26" s="97">
        <v>-314.14</v>
      </c>
      <c r="E26" s="94">
        <v>-1438.18</v>
      </c>
    </row>
    <row r="27" spans="2:5" ht="18.75" customHeight="1" x14ac:dyDescent="0.25"/>
    <row r="28" spans="2:5" ht="18.75" customHeight="1" x14ac:dyDescent="0.25">
      <c r="B28" s="15" t="s">
        <v>246</v>
      </c>
      <c r="C28" s="15"/>
      <c r="D28" s="95">
        <f>D21-D24-D25-D26</f>
        <v>2756.1699999999937</v>
      </c>
      <c r="E28" s="95">
        <f>E21-E24-E25-E26</f>
        <v>-4330.2400000000025</v>
      </c>
    </row>
    <row r="29" spans="2:5" ht="18.75" customHeight="1" x14ac:dyDescent="0.25"/>
    <row r="30" spans="2:5" ht="18.75" customHeight="1" x14ac:dyDescent="0.25"/>
    <row r="31" spans="2:5" ht="18.75" customHeight="1" x14ac:dyDescent="0.25">
      <c r="B31" s="18" t="s">
        <v>230</v>
      </c>
      <c r="D31" s="94">
        <f>D11</f>
        <v>88153.72</v>
      </c>
      <c r="E31" s="94">
        <f>E11</f>
        <v>60008.67</v>
      </c>
    </row>
    <row r="32" spans="2:5" ht="18.75" customHeight="1" x14ac:dyDescent="0.25">
      <c r="B32" s="18" t="s">
        <v>247</v>
      </c>
      <c r="D32" s="94">
        <f>D11-D19</f>
        <v>3333.5399999999936</v>
      </c>
      <c r="E32" s="94">
        <f>E11-E19</f>
        <v>-5999.3000000000029</v>
      </c>
    </row>
    <row r="33" spans="2:5" ht="18.75" customHeight="1" x14ac:dyDescent="0.25">
      <c r="B33" s="18" t="s">
        <v>248</v>
      </c>
      <c r="D33" s="94">
        <f>D32-D17</f>
        <v>1285.0599999999936</v>
      </c>
      <c r="E33" s="94">
        <f>E32-E17</f>
        <v>-8066.4600000000028</v>
      </c>
    </row>
    <row r="34" spans="2:5" ht="18.75" customHeight="1" x14ac:dyDescent="0.25">
      <c r="B34" s="18" t="s">
        <v>249</v>
      </c>
      <c r="D34" s="94">
        <f>D28</f>
        <v>2756.1699999999937</v>
      </c>
      <c r="E34" s="94">
        <f>E28</f>
        <v>-4330.2400000000025</v>
      </c>
    </row>
    <row r="35" spans="2:5" ht="18.75" customHeight="1" x14ac:dyDescent="0.25"/>
    <row r="36" spans="2:5" ht="18.75" customHeight="1" x14ac:dyDescent="0.25">
      <c r="B36" s="18" t="s">
        <v>253</v>
      </c>
      <c r="E36" s="102">
        <f>E31/D31-1</f>
        <v>-0.31927240279820301</v>
      </c>
    </row>
    <row r="37" spans="2:5" ht="18.75" customHeight="1" x14ac:dyDescent="0.25">
      <c r="B37" s="18" t="s">
        <v>250</v>
      </c>
      <c r="D37" s="102">
        <f>D32/D31</f>
        <v>3.7815080293832112E-2</v>
      </c>
      <c r="E37" s="102">
        <f>E32/E31</f>
        <v>-9.9973887106646481E-2</v>
      </c>
    </row>
    <row r="38" spans="2:5" ht="18.75" customHeight="1" x14ac:dyDescent="0.25">
      <c r="B38" s="18" t="s">
        <v>251</v>
      </c>
      <c r="D38" s="102">
        <f>D33/D31</f>
        <v>1.4577490320317663E-2</v>
      </c>
      <c r="E38" s="102">
        <f>E33/E31</f>
        <v>-0.13442157608225616</v>
      </c>
    </row>
    <row r="39" spans="2:5" ht="18.75" customHeight="1" x14ac:dyDescent="0.25">
      <c r="B39" s="18" t="s">
        <v>252</v>
      </c>
      <c r="D39" s="102">
        <f>D34/D31</f>
        <v>3.1265498495128663E-2</v>
      </c>
      <c r="E39" s="102">
        <f>E34/E31</f>
        <v>-7.2160239512057217E-2</v>
      </c>
    </row>
    <row r="40" spans="2:5" ht="18.75" customHeight="1" x14ac:dyDescent="0.25"/>
    <row r="41" spans="2:5" ht="18.75" customHeight="1" x14ac:dyDescent="0.25"/>
    <row r="42" spans="2:5" ht="18.75" customHeight="1" x14ac:dyDescent="0.25"/>
    <row r="43" spans="2:5" ht="18.75" customHeight="1" x14ac:dyDescent="0.25"/>
    <row r="44" spans="2:5" ht="18.75" customHeight="1" x14ac:dyDescent="0.25"/>
    <row r="45" spans="2:5" ht="18.75" customHeight="1" x14ac:dyDescent="0.25"/>
    <row r="46" spans="2:5" ht="18.75" customHeight="1" x14ac:dyDescent="0.25"/>
    <row r="47" spans="2:5" ht="18.75" customHeight="1" x14ac:dyDescent="0.25"/>
    <row r="48" spans="2:5" ht="18.75" customHeight="1" x14ac:dyDescent="0.25"/>
    <row r="49" spans="4:4" ht="18.75" customHeight="1" x14ac:dyDescent="0.25"/>
    <row r="50" spans="4:4" ht="18.75" customHeight="1" x14ac:dyDescent="0.25"/>
    <row r="51" spans="4:4" ht="18.75" customHeight="1" x14ac:dyDescent="0.25"/>
    <row r="52" spans="4:4" ht="18.75" customHeight="1" x14ac:dyDescent="0.25"/>
    <row r="55" spans="4:4" x14ac:dyDescent="0.25">
      <c r="D55" s="103"/>
    </row>
  </sheetData>
  <pageMargins left="0.7" right="0.7" top="0.75" bottom="0.75" header="0.3" footer="0.3"/>
  <pageSetup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6" tint="-0.499984740745262"/>
  </sheetPr>
  <dimension ref="A2:F93"/>
  <sheetViews>
    <sheetView showGridLines="0" topLeftCell="A56" workbookViewId="0">
      <selection activeCell="E64" sqref="E64:E65"/>
    </sheetView>
  </sheetViews>
  <sheetFormatPr defaultRowHeight="15" x14ac:dyDescent="0.25"/>
  <cols>
    <col min="1" max="1" width="5.7109375" style="18" customWidth="1"/>
    <col min="2" max="2" width="44.7109375" style="18" customWidth="1"/>
    <col min="3" max="3" width="6.7109375" style="18" customWidth="1"/>
    <col min="4" max="4" width="52.28515625" style="18" customWidth="1"/>
    <col min="5" max="5" width="41.5703125" style="18" customWidth="1"/>
    <col min="6" max="6" width="23.85546875" style="18" customWidth="1"/>
    <col min="7" max="16384" width="9.140625" style="18"/>
  </cols>
  <sheetData>
    <row r="2" spans="1:6" ht="19.5" customHeight="1" x14ac:dyDescent="0.25">
      <c r="B2" s="11" t="s">
        <v>103</v>
      </c>
      <c r="C2" s="11"/>
      <c r="D2" s="11"/>
      <c r="E2" s="11"/>
      <c r="F2" s="11"/>
    </row>
    <row r="4" spans="1:6" ht="18.75" customHeight="1" x14ac:dyDescent="0.25">
      <c r="B4" s="12" t="s">
        <v>0</v>
      </c>
      <c r="C4" s="12"/>
      <c r="D4" s="12"/>
      <c r="E4" s="12"/>
      <c r="F4" s="12"/>
    </row>
    <row r="6" spans="1:6" ht="20.25" customHeight="1" x14ac:dyDescent="0.25">
      <c r="B6" s="2" t="s">
        <v>4</v>
      </c>
      <c r="C6" s="2"/>
      <c r="D6" s="13" t="s">
        <v>100</v>
      </c>
      <c r="E6" s="10" t="s">
        <v>101</v>
      </c>
      <c r="F6" s="10" t="s">
        <v>102</v>
      </c>
    </row>
    <row r="7" spans="1:6" x14ac:dyDescent="0.25">
      <c r="D7" s="63">
        <f>10^2</f>
        <v>100</v>
      </c>
      <c r="E7" s="19"/>
    </row>
    <row r="8" spans="1:6" ht="20.25" customHeight="1" x14ac:dyDescent="0.25">
      <c r="B8" s="64" t="s">
        <v>2</v>
      </c>
      <c r="D8" s="19"/>
      <c r="E8" s="19"/>
    </row>
    <row r="9" spans="1:6" ht="22.5" customHeight="1" x14ac:dyDescent="0.25">
      <c r="A9" s="47">
        <v>1</v>
      </c>
      <c r="B9" s="7" t="s">
        <v>3</v>
      </c>
      <c r="D9" s="19"/>
      <c r="E9" s="19"/>
    </row>
    <row r="10" spans="1:6" ht="22.5" customHeight="1" x14ac:dyDescent="0.25">
      <c r="A10" s="19" t="s">
        <v>42</v>
      </c>
      <c r="B10" s="45" t="s">
        <v>34</v>
      </c>
      <c r="D10" s="65">
        <f>12407.47/$D$7</f>
        <v>124.07469999999999</v>
      </c>
      <c r="E10" s="4">
        <f>'Fixed Assets'!D75/D7</f>
        <v>100.16447883541667</v>
      </c>
    </row>
    <row r="11" spans="1:6" ht="22.5" customHeight="1" x14ac:dyDescent="0.25">
      <c r="A11" s="19" t="s">
        <v>43</v>
      </c>
      <c r="B11" s="45" t="s">
        <v>35</v>
      </c>
      <c r="D11" s="65">
        <f>232.29/$D$7</f>
        <v>2.3228999999999997</v>
      </c>
      <c r="E11" s="4">
        <f>'Fixed Assets'!D85/D7</f>
        <v>1.57168381875</v>
      </c>
    </row>
    <row r="12" spans="1:6" ht="22.5" customHeight="1" x14ac:dyDescent="0.25">
      <c r="A12" s="19" t="s">
        <v>45</v>
      </c>
      <c r="B12" s="45" t="s">
        <v>36</v>
      </c>
      <c r="D12" s="65">
        <f>100.68/D7</f>
        <v>1.0068000000000001</v>
      </c>
      <c r="E12" s="4">
        <f>D12*F12</f>
        <v>1.0068000000000001</v>
      </c>
      <c r="F12" s="24">
        <v>1</v>
      </c>
    </row>
    <row r="13" spans="1:6" ht="22.5" customHeight="1" x14ac:dyDescent="0.25">
      <c r="A13" s="19" t="s">
        <v>46</v>
      </c>
      <c r="B13" s="66" t="s">
        <v>37</v>
      </c>
      <c r="D13" s="19"/>
      <c r="E13" s="19"/>
    </row>
    <row r="14" spans="1:6" ht="22.5" customHeight="1" x14ac:dyDescent="0.25">
      <c r="A14" s="19"/>
      <c r="B14" s="45" t="s">
        <v>38</v>
      </c>
      <c r="D14" s="65">
        <f>49.06/D7</f>
        <v>0.49060000000000004</v>
      </c>
      <c r="E14" s="4">
        <f>'Non Current Financial Assets'!G20/D7</f>
        <v>0.49060000000000004</v>
      </c>
    </row>
    <row r="15" spans="1:6" ht="22.5" customHeight="1" x14ac:dyDescent="0.25">
      <c r="A15" s="19"/>
      <c r="B15" s="45" t="s">
        <v>39</v>
      </c>
      <c r="D15" s="65">
        <f>6426.22/D7</f>
        <v>64.262200000000007</v>
      </c>
      <c r="E15" s="4">
        <f>'Non Current Financial Assets'!G27/D7</f>
        <v>64.262199999999993</v>
      </c>
    </row>
    <row r="16" spans="1:6" ht="22.5" customHeight="1" x14ac:dyDescent="0.25">
      <c r="A16" s="19" t="s">
        <v>44</v>
      </c>
      <c r="B16" s="45" t="s">
        <v>40</v>
      </c>
      <c r="D16" s="65">
        <f>1023.92/D7</f>
        <v>10.2392</v>
      </c>
      <c r="E16" s="4">
        <f>D16*F16</f>
        <v>10.2392</v>
      </c>
      <c r="F16" s="24">
        <v>1</v>
      </c>
    </row>
    <row r="17" spans="1:6" ht="22.5" customHeight="1" x14ac:dyDescent="0.25">
      <c r="A17" s="19" t="s">
        <v>47</v>
      </c>
      <c r="B17" s="45" t="s">
        <v>41</v>
      </c>
      <c r="D17" s="65">
        <f>498.69/D7</f>
        <v>4.9869000000000003</v>
      </c>
      <c r="E17" s="4">
        <f>'Other Non Current Asset'!E15/'NAV EV'!D7</f>
        <v>2.9569900000000002</v>
      </c>
    </row>
    <row r="18" spans="1:6" ht="22.5" customHeight="1" x14ac:dyDescent="0.25">
      <c r="B18" s="40" t="s">
        <v>48</v>
      </c>
      <c r="C18" s="15"/>
      <c r="D18" s="41">
        <f>SUM(D10:D17)</f>
        <v>207.38329999999999</v>
      </c>
      <c r="E18" s="41">
        <f>SUM(E10:E17)</f>
        <v>180.69195265416667</v>
      </c>
    </row>
    <row r="19" spans="1:6" ht="13.5" customHeight="1" x14ac:dyDescent="0.25">
      <c r="B19" s="45"/>
      <c r="D19" s="19"/>
      <c r="E19" s="19"/>
    </row>
    <row r="20" spans="1:6" ht="22.5" customHeight="1" x14ac:dyDescent="0.25">
      <c r="A20" s="47">
        <v>2</v>
      </c>
      <c r="B20" s="7" t="s">
        <v>8</v>
      </c>
      <c r="D20" s="19"/>
      <c r="E20" s="19"/>
    </row>
    <row r="21" spans="1:6" ht="22.5" customHeight="1" x14ac:dyDescent="0.25">
      <c r="A21" s="19" t="s">
        <v>42</v>
      </c>
      <c r="B21" s="45" t="s">
        <v>9</v>
      </c>
      <c r="D21" s="65">
        <f>12942.25/D7</f>
        <v>129.42250000000001</v>
      </c>
      <c r="E21" s="4">
        <f>'Current Assets'!F12/'NAV EV'!D7</f>
        <v>8.0099</v>
      </c>
    </row>
    <row r="22" spans="1:6" ht="22.5" customHeight="1" x14ac:dyDescent="0.25">
      <c r="A22" s="19" t="s">
        <v>43</v>
      </c>
      <c r="B22" s="45" t="s">
        <v>37</v>
      </c>
      <c r="D22" s="65"/>
      <c r="E22" s="19"/>
    </row>
    <row r="23" spans="1:6" ht="22.5" customHeight="1" x14ac:dyDescent="0.25">
      <c r="A23" s="19"/>
      <c r="B23" s="45" t="s">
        <v>49</v>
      </c>
      <c r="D23" s="65">
        <f>12017.6/D7</f>
        <v>120.176</v>
      </c>
      <c r="E23" s="4">
        <f>'Current Assets'!F20/'NAV EV'!D7</f>
        <v>15.570779999999999</v>
      </c>
    </row>
    <row r="24" spans="1:6" ht="22.5" customHeight="1" x14ac:dyDescent="0.25">
      <c r="A24" s="19"/>
      <c r="B24" s="45" t="s">
        <v>50</v>
      </c>
      <c r="D24" s="65">
        <f>211.55/D7</f>
        <v>2.1154999999999999</v>
      </c>
      <c r="E24" s="4">
        <f>'Current Assets'!F29/'NAV EV'!D7</f>
        <v>1.05775</v>
      </c>
      <c r="F24" s="24"/>
    </row>
    <row r="25" spans="1:6" ht="22.5" customHeight="1" x14ac:dyDescent="0.25">
      <c r="A25" s="19"/>
      <c r="B25" s="45" t="s">
        <v>51</v>
      </c>
      <c r="D25" s="65">
        <f>6657.54/D7</f>
        <v>66.575400000000002</v>
      </c>
      <c r="E25" s="4">
        <f>'Current Assets'!F33/'NAV EV'!D7</f>
        <v>0</v>
      </c>
      <c r="F25" s="24"/>
    </row>
    <row r="26" spans="1:6" ht="22.5" customHeight="1" x14ac:dyDescent="0.25">
      <c r="A26" s="19"/>
      <c r="B26" s="45" t="s">
        <v>52</v>
      </c>
      <c r="D26" s="65">
        <f>6308.32/D7</f>
        <v>63.083199999999998</v>
      </c>
      <c r="E26" s="4">
        <f>'Current Assets'!F43/'NAV EV'!D7</f>
        <v>62.713799999999999</v>
      </c>
      <c r="F26" s="24"/>
    </row>
    <row r="27" spans="1:6" ht="22.5" customHeight="1" x14ac:dyDescent="0.25">
      <c r="A27" s="19" t="s">
        <v>45</v>
      </c>
      <c r="B27" s="45" t="s">
        <v>53</v>
      </c>
      <c r="D27" s="65">
        <f>1734.21/D7</f>
        <v>17.342100000000002</v>
      </c>
      <c r="E27" s="4">
        <f>'Current Assets'!F47/'NAV EV'!D7</f>
        <v>17.342100000000002</v>
      </c>
      <c r="F27" s="24"/>
    </row>
    <row r="28" spans="1:6" ht="22.5" customHeight="1" x14ac:dyDescent="0.25">
      <c r="A28" s="19" t="s">
        <v>46</v>
      </c>
      <c r="B28" s="45" t="s">
        <v>54</v>
      </c>
      <c r="D28" s="65">
        <f>31117.21/D7</f>
        <v>311.1721</v>
      </c>
      <c r="E28" s="4">
        <f>'Current Assets'!F59/'NAV EV'!D7</f>
        <v>186.21863999999997</v>
      </c>
      <c r="F28" s="24"/>
    </row>
    <row r="29" spans="1:6" ht="22.5" customHeight="1" x14ac:dyDescent="0.25">
      <c r="B29" s="40" t="s">
        <v>55</v>
      </c>
      <c r="C29" s="15"/>
      <c r="D29" s="41">
        <f>SUM(D21:D28)</f>
        <v>709.88679999999999</v>
      </c>
      <c r="E29" s="41">
        <f>SUM(E21:E28)</f>
        <v>290.91296999999997</v>
      </c>
    </row>
    <row r="30" spans="1:6" ht="22.5" customHeight="1" x14ac:dyDescent="0.25">
      <c r="B30" s="45"/>
      <c r="D30" s="19"/>
      <c r="E30" s="19"/>
    </row>
    <row r="31" spans="1:6" ht="22.5" customHeight="1" x14ac:dyDescent="0.25">
      <c r="B31" s="40" t="s">
        <v>10</v>
      </c>
      <c r="C31" s="15"/>
      <c r="D31" s="41">
        <f>D18+D29</f>
        <v>917.27009999999996</v>
      </c>
      <c r="E31" s="41">
        <f>E18+E29</f>
        <v>471.60492265416667</v>
      </c>
    </row>
    <row r="32" spans="1:6" ht="22.5" customHeight="1" x14ac:dyDescent="0.25">
      <c r="B32" s="45"/>
      <c r="D32" s="19"/>
      <c r="E32" s="19"/>
    </row>
    <row r="33" spans="1:5" ht="22.5" customHeight="1" x14ac:dyDescent="0.25">
      <c r="B33" s="64" t="s">
        <v>56</v>
      </c>
      <c r="D33" s="19"/>
      <c r="E33" s="19"/>
    </row>
    <row r="34" spans="1:5" ht="22.5" customHeight="1" x14ac:dyDescent="0.25">
      <c r="A34" s="47">
        <v>1</v>
      </c>
      <c r="B34" s="7" t="s">
        <v>57</v>
      </c>
      <c r="D34" s="19"/>
      <c r="E34" s="19"/>
    </row>
    <row r="35" spans="1:5" ht="22.5" customHeight="1" x14ac:dyDescent="0.25">
      <c r="B35" s="45" t="s">
        <v>58</v>
      </c>
      <c r="D35" s="65">
        <f>503/D7</f>
        <v>5.03</v>
      </c>
      <c r="E35" s="19">
        <f>'Equity &amp; Liabilities'!H16/'NAV EV'!D7</f>
        <v>5.03</v>
      </c>
    </row>
    <row r="36" spans="1:5" ht="22.5" customHeight="1" x14ac:dyDescent="0.25">
      <c r="B36" s="45" t="s">
        <v>59</v>
      </c>
      <c r="D36" s="65">
        <f>27984.1/D7</f>
        <v>279.84100000000001</v>
      </c>
      <c r="E36" s="4">
        <f>'Equity &amp; Liabilities'!H34/'NAV EV'!D7</f>
        <v>279.0865</v>
      </c>
    </row>
    <row r="37" spans="1:5" ht="22.5" customHeight="1" x14ac:dyDescent="0.25">
      <c r="B37" s="40" t="s">
        <v>60</v>
      </c>
      <c r="C37" s="15"/>
      <c r="D37" s="41">
        <f>SUM(D35:D36)</f>
        <v>284.87099999999998</v>
      </c>
      <c r="E37" s="28"/>
    </row>
    <row r="38" spans="1:5" ht="22.5" customHeight="1" x14ac:dyDescent="0.25">
      <c r="B38" s="45"/>
      <c r="D38" s="19"/>
      <c r="E38" s="19"/>
    </row>
    <row r="39" spans="1:5" ht="22.5" customHeight="1" x14ac:dyDescent="0.25">
      <c r="A39" s="47">
        <v>2</v>
      </c>
      <c r="B39" s="7" t="s">
        <v>61</v>
      </c>
      <c r="D39" s="19"/>
      <c r="E39" s="19"/>
    </row>
    <row r="40" spans="1:5" ht="22.5" customHeight="1" x14ac:dyDescent="0.25">
      <c r="B40" s="7" t="s">
        <v>11</v>
      </c>
      <c r="D40" s="19"/>
      <c r="E40" s="19"/>
    </row>
    <row r="41" spans="1:5" ht="22.5" customHeight="1" x14ac:dyDescent="0.25">
      <c r="B41" s="45" t="s">
        <v>62</v>
      </c>
      <c r="D41" s="19"/>
      <c r="E41" s="19"/>
    </row>
    <row r="42" spans="1:5" ht="22.5" customHeight="1" x14ac:dyDescent="0.25">
      <c r="B42" s="45" t="s">
        <v>63</v>
      </c>
      <c r="D42" s="65">
        <f>10376.77/D7</f>
        <v>103.7677</v>
      </c>
      <c r="E42" s="4">
        <f>'Equity &amp; Liabilities'!H50/'NAV EV'!D7</f>
        <v>413.59260000000017</v>
      </c>
    </row>
    <row r="43" spans="1:5" ht="22.5" customHeight="1" x14ac:dyDescent="0.25">
      <c r="B43" s="45" t="s">
        <v>64</v>
      </c>
      <c r="D43" s="65">
        <f>2886.5/D7</f>
        <v>28.864999999999998</v>
      </c>
      <c r="E43" s="4">
        <f>'Equity &amp; Liabilities'!H54/'NAV EV'!D7</f>
        <v>28.864999999999998</v>
      </c>
    </row>
    <row r="44" spans="1:5" ht="22.5" customHeight="1" x14ac:dyDescent="0.25">
      <c r="B44" s="45" t="s">
        <v>65</v>
      </c>
      <c r="D44" s="65">
        <f>65.52/D7</f>
        <v>0.6552</v>
      </c>
      <c r="E44" s="4">
        <f>'Equity &amp; Liabilities'!H59/'NAV EV'!D7</f>
        <v>0.6552</v>
      </c>
    </row>
    <row r="45" spans="1:5" ht="22.5" customHeight="1" x14ac:dyDescent="0.25">
      <c r="B45" s="45" t="s">
        <v>66</v>
      </c>
      <c r="D45" s="65">
        <f>0/D7</f>
        <v>0</v>
      </c>
      <c r="E45" s="65">
        <v>0</v>
      </c>
    </row>
    <row r="46" spans="1:5" ht="22.5" customHeight="1" x14ac:dyDescent="0.25">
      <c r="B46" s="45" t="s">
        <v>67</v>
      </c>
      <c r="D46" s="65">
        <f>0/D7</f>
        <v>0</v>
      </c>
      <c r="E46" s="65">
        <v>0</v>
      </c>
    </row>
    <row r="47" spans="1:5" ht="22.5" customHeight="1" x14ac:dyDescent="0.25">
      <c r="B47" s="40" t="s">
        <v>68</v>
      </c>
      <c r="C47" s="15"/>
      <c r="D47" s="41">
        <f>SUM(D42:D46)</f>
        <v>133.28790000000001</v>
      </c>
      <c r="E47" s="41">
        <f>SUM(E42:E46)</f>
        <v>443.11280000000016</v>
      </c>
    </row>
    <row r="48" spans="1:5" ht="9" customHeight="1" x14ac:dyDescent="0.25">
      <c r="B48" s="45"/>
      <c r="D48" s="19"/>
      <c r="E48" s="19"/>
    </row>
    <row r="49" spans="2:5" ht="22.5" customHeight="1" x14ac:dyDescent="0.25">
      <c r="B49" s="7" t="s">
        <v>5</v>
      </c>
      <c r="D49" s="19"/>
      <c r="E49" s="19"/>
    </row>
    <row r="50" spans="2:5" ht="22.5" customHeight="1" x14ac:dyDescent="0.25">
      <c r="B50" s="45" t="s">
        <v>62</v>
      </c>
      <c r="D50" s="19"/>
      <c r="E50" s="19"/>
    </row>
    <row r="51" spans="2:5" ht="22.5" customHeight="1" x14ac:dyDescent="0.25">
      <c r="B51" s="45" t="s">
        <v>197</v>
      </c>
      <c r="D51" s="65">
        <f>21583.15/D7</f>
        <v>215.83150000000001</v>
      </c>
      <c r="E51" s="4">
        <f>'Equity &amp; Liabilities'!H68/'NAV EV'!D7</f>
        <v>122.12979999999999</v>
      </c>
    </row>
    <row r="52" spans="2:5" ht="22.5" customHeight="1" x14ac:dyDescent="0.25">
      <c r="B52" s="45" t="s">
        <v>69</v>
      </c>
      <c r="D52" s="19"/>
      <c r="E52" s="19"/>
    </row>
    <row r="53" spans="2:5" ht="22.5" customHeight="1" x14ac:dyDescent="0.25">
      <c r="B53" s="81" t="s">
        <v>73</v>
      </c>
      <c r="D53" s="65">
        <f>1678.97/D7</f>
        <v>16.7897</v>
      </c>
      <c r="E53" s="107">
        <f>'Equity &amp; Liabilities'!H74/'NAV EV'!D7</f>
        <v>181.31550000000004</v>
      </c>
    </row>
    <row r="54" spans="2:5" ht="22.5" customHeight="1" x14ac:dyDescent="0.25">
      <c r="B54" s="81" t="s">
        <v>74</v>
      </c>
      <c r="D54" s="65">
        <f>16452.58/D7</f>
        <v>164.5258</v>
      </c>
      <c r="E54" s="107"/>
    </row>
    <row r="55" spans="2:5" ht="22.5" customHeight="1" x14ac:dyDescent="0.25">
      <c r="B55" s="45" t="s">
        <v>70</v>
      </c>
      <c r="D55" s="65">
        <f>6878.07/D7</f>
        <v>68.780699999999996</v>
      </c>
      <c r="E55" s="80">
        <f>'Equity &amp; Liabilities'!H92/'NAV EV'!D7</f>
        <v>68.780699999999996</v>
      </c>
    </row>
    <row r="56" spans="2:5" ht="22.5" customHeight="1" x14ac:dyDescent="0.25">
      <c r="B56" s="45" t="s">
        <v>71</v>
      </c>
      <c r="D56" s="65">
        <f>44.17/D7</f>
        <v>0.44170000000000004</v>
      </c>
      <c r="E56" s="65">
        <v>0</v>
      </c>
    </row>
    <row r="57" spans="2:5" ht="22.5" customHeight="1" x14ac:dyDescent="0.25">
      <c r="B57" s="45" t="s">
        <v>72</v>
      </c>
      <c r="D57" s="65">
        <f>3274.17/D7</f>
        <v>32.741700000000002</v>
      </c>
      <c r="E57" s="65">
        <f>387.69/D7</f>
        <v>3.8769</v>
      </c>
    </row>
    <row r="58" spans="2:5" ht="22.5" customHeight="1" x14ac:dyDescent="0.25">
      <c r="B58" s="40" t="s">
        <v>6</v>
      </c>
      <c r="C58" s="15"/>
      <c r="D58" s="41">
        <f>SUM(D50:D57)</f>
        <v>499.11110000000008</v>
      </c>
      <c r="E58" s="41">
        <f>SUM(E50:E57)</f>
        <v>376.10289999999998</v>
      </c>
    </row>
    <row r="59" spans="2:5" ht="9.75" customHeight="1" x14ac:dyDescent="0.25">
      <c r="B59" s="45"/>
      <c r="D59" s="19"/>
      <c r="E59" s="19"/>
    </row>
    <row r="60" spans="2:5" ht="22.5" customHeight="1" x14ac:dyDescent="0.25">
      <c r="B60" s="40" t="s">
        <v>75</v>
      </c>
      <c r="C60" s="15"/>
      <c r="D60" s="41">
        <f>D47+D58</f>
        <v>632.39900000000011</v>
      </c>
      <c r="E60" s="41">
        <f>E47+E58</f>
        <v>819.2157000000002</v>
      </c>
    </row>
    <row r="61" spans="2:5" ht="12.75" customHeight="1" x14ac:dyDescent="0.25">
      <c r="B61" s="45"/>
      <c r="D61" s="19"/>
      <c r="E61" s="19"/>
    </row>
    <row r="62" spans="2:5" ht="22.5" customHeight="1" x14ac:dyDescent="0.25">
      <c r="B62" s="40" t="s">
        <v>76</v>
      </c>
      <c r="C62" s="15"/>
      <c r="D62" s="41">
        <f>D60+D37</f>
        <v>917.2700000000001</v>
      </c>
      <c r="E62" s="41">
        <f>E60+E37</f>
        <v>819.2157000000002</v>
      </c>
    </row>
    <row r="63" spans="2:5" ht="22.5" customHeight="1" x14ac:dyDescent="0.25">
      <c r="B63" s="45"/>
      <c r="D63" s="19"/>
      <c r="E63" s="19"/>
    </row>
    <row r="64" spans="2:5" ht="22.5" customHeight="1" x14ac:dyDescent="0.25">
      <c r="B64" s="49" t="s">
        <v>7</v>
      </c>
      <c r="C64" s="46"/>
      <c r="D64" s="26"/>
      <c r="E64" s="26">
        <f>E53+E56+E57</f>
        <v>185.19240000000005</v>
      </c>
    </row>
    <row r="65" spans="2:5" ht="22.5" customHeight="1" x14ac:dyDescent="0.25">
      <c r="B65" s="49" t="s">
        <v>30</v>
      </c>
      <c r="C65" s="46"/>
      <c r="D65" s="26"/>
      <c r="E65" s="26">
        <f>'Equity &amp; Liabilities'!H99/'NAV EV'!D7</f>
        <v>194.91720000000001</v>
      </c>
    </row>
    <row r="66" spans="2:5" ht="22.5" customHeight="1" x14ac:dyDescent="0.25">
      <c r="B66" s="48" t="s">
        <v>31</v>
      </c>
      <c r="C66" s="7"/>
      <c r="D66" s="6"/>
      <c r="E66" s="6">
        <f>SUM(E64:E65)</f>
        <v>380.10960000000006</v>
      </c>
    </row>
    <row r="67" spans="2:5" ht="22.5" customHeight="1" x14ac:dyDescent="0.25">
      <c r="B67" s="2" t="s">
        <v>32</v>
      </c>
      <c r="C67" s="42"/>
      <c r="D67" s="42"/>
      <c r="E67" s="84">
        <f>E31-E66</f>
        <v>91.495322654166614</v>
      </c>
    </row>
    <row r="68" spans="2:5" ht="18.75" customHeight="1" x14ac:dyDescent="0.25">
      <c r="B68" s="7"/>
      <c r="C68" s="7"/>
      <c r="D68" s="6"/>
      <c r="E68" s="6"/>
    </row>
    <row r="69" spans="2:5" ht="29.25" customHeight="1" x14ac:dyDescent="0.25">
      <c r="B69" s="108" t="s">
        <v>223</v>
      </c>
      <c r="C69" s="109"/>
      <c r="D69" s="109"/>
      <c r="E69" s="110"/>
    </row>
    <row r="70" spans="2:5" ht="28.5" customHeight="1" x14ac:dyDescent="0.25">
      <c r="B70" s="111"/>
      <c r="C70" s="112"/>
      <c r="D70" s="112"/>
      <c r="E70" s="113"/>
    </row>
    <row r="71" spans="2:5" x14ac:dyDescent="0.25">
      <c r="B71" s="7"/>
      <c r="C71" s="7"/>
      <c r="D71" s="6"/>
      <c r="E71" s="6"/>
    </row>
    <row r="72" spans="2:5" ht="20.25" customHeight="1" x14ac:dyDescent="0.25">
      <c r="B72" s="7"/>
      <c r="C72" s="7"/>
      <c r="D72" s="6"/>
      <c r="E72" s="6"/>
    </row>
    <row r="73" spans="2:5" x14ac:dyDescent="0.25">
      <c r="B73" s="7"/>
      <c r="C73" s="7"/>
      <c r="D73" s="6"/>
      <c r="E73" s="6"/>
    </row>
    <row r="74" spans="2:5" x14ac:dyDescent="0.25">
      <c r="B74" s="7"/>
      <c r="C74" s="7"/>
      <c r="D74" s="6"/>
      <c r="E74" s="6"/>
    </row>
    <row r="75" spans="2:5" x14ac:dyDescent="0.25">
      <c r="B75" s="7"/>
      <c r="C75" s="7"/>
      <c r="D75" s="6"/>
      <c r="E75" s="6"/>
    </row>
    <row r="76" spans="2:5" x14ac:dyDescent="0.25">
      <c r="B76" s="7"/>
      <c r="C76" s="7"/>
      <c r="D76" s="6"/>
      <c r="E76" s="6"/>
    </row>
    <row r="77" spans="2:5" x14ac:dyDescent="0.25">
      <c r="B77" s="7"/>
      <c r="C77" s="7"/>
      <c r="D77" s="6"/>
      <c r="E77" s="6"/>
    </row>
    <row r="78" spans="2:5" x14ac:dyDescent="0.25">
      <c r="B78" s="7"/>
      <c r="C78" s="7"/>
      <c r="D78" s="6"/>
      <c r="E78" s="6"/>
    </row>
    <row r="79" spans="2:5" x14ac:dyDescent="0.25">
      <c r="B79" s="7"/>
      <c r="C79" s="7"/>
      <c r="D79" s="6"/>
      <c r="E79" s="6"/>
    </row>
    <row r="80" spans="2:5" x14ac:dyDescent="0.25">
      <c r="B80" s="7"/>
      <c r="C80" s="7"/>
      <c r="D80" s="6"/>
      <c r="E80" s="6"/>
    </row>
    <row r="81" spans="2:5" x14ac:dyDescent="0.25">
      <c r="B81" s="7"/>
      <c r="C81" s="7"/>
      <c r="D81" s="6"/>
      <c r="E81" s="6"/>
    </row>
    <row r="82" spans="2:5" ht="21.75" customHeight="1" x14ac:dyDescent="0.25">
      <c r="B82" s="7"/>
      <c r="C82" s="7"/>
      <c r="D82" s="6"/>
      <c r="E82" s="6"/>
    </row>
    <row r="83" spans="2:5" x14ac:dyDescent="0.25">
      <c r="B83" s="7"/>
      <c r="C83" s="7"/>
      <c r="D83" s="6"/>
      <c r="E83" s="6"/>
    </row>
    <row r="84" spans="2:5" x14ac:dyDescent="0.25">
      <c r="B84" s="7"/>
      <c r="C84" s="7"/>
      <c r="D84" s="6"/>
      <c r="E84" s="6"/>
    </row>
    <row r="85" spans="2:5" x14ac:dyDescent="0.25">
      <c r="B85" s="7"/>
      <c r="C85" s="7"/>
      <c r="D85" s="6"/>
      <c r="E85" s="6"/>
    </row>
    <row r="86" spans="2:5" x14ac:dyDescent="0.25">
      <c r="B86" s="7"/>
      <c r="C86" s="7"/>
      <c r="D86" s="6"/>
      <c r="E86" s="6"/>
    </row>
    <row r="87" spans="2:5" x14ac:dyDescent="0.25">
      <c r="B87" s="7"/>
      <c r="C87" s="7"/>
      <c r="D87" s="6"/>
      <c r="E87" s="6"/>
    </row>
    <row r="88" spans="2:5" ht="26.25" customHeight="1" x14ac:dyDescent="0.25">
      <c r="B88" s="7"/>
      <c r="C88" s="7"/>
      <c r="D88" s="6"/>
      <c r="E88" s="6"/>
    </row>
    <row r="89" spans="2:5" x14ac:dyDescent="0.25">
      <c r="B89" s="7"/>
      <c r="C89" s="7"/>
      <c r="D89" s="6"/>
      <c r="E89" s="6"/>
    </row>
    <row r="90" spans="2:5" x14ac:dyDescent="0.25">
      <c r="B90" s="7"/>
      <c r="C90" s="7"/>
      <c r="D90" s="6"/>
      <c r="E90" s="6"/>
    </row>
    <row r="91" spans="2:5" x14ac:dyDescent="0.25">
      <c r="B91" s="7"/>
      <c r="C91" s="7"/>
      <c r="D91" s="6"/>
      <c r="E91" s="6"/>
    </row>
    <row r="92" spans="2:5" x14ac:dyDescent="0.25">
      <c r="B92" s="7"/>
      <c r="C92" s="7"/>
      <c r="D92" s="6"/>
      <c r="E92" s="6"/>
    </row>
    <row r="93" spans="2:5" x14ac:dyDescent="0.25">
      <c r="B93" s="7"/>
      <c r="C93" s="7"/>
      <c r="D93" s="6"/>
      <c r="E93" s="6"/>
    </row>
  </sheetData>
  <mergeCells count="2">
    <mergeCell ref="E53:E54"/>
    <mergeCell ref="B69:E70"/>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B1:D86"/>
  <sheetViews>
    <sheetView showGridLines="0" topLeftCell="A71" zoomScaleNormal="100" workbookViewId="0">
      <selection activeCell="B4" sqref="B4:D85"/>
    </sheetView>
  </sheetViews>
  <sheetFormatPr defaultRowHeight="15" x14ac:dyDescent="0.25"/>
  <cols>
    <col min="1" max="1" width="5.85546875" style="18" customWidth="1"/>
    <col min="2" max="2" width="52" style="18" customWidth="1"/>
    <col min="3" max="3" width="6" style="18" customWidth="1"/>
    <col min="4" max="4" width="26.42578125" style="18" customWidth="1"/>
    <col min="5" max="11" width="16.7109375" style="18" customWidth="1"/>
    <col min="12" max="16384" width="9.140625" style="18"/>
  </cols>
  <sheetData>
    <row r="1" spans="2:4" ht="18" customHeight="1" x14ac:dyDescent="0.25"/>
    <row r="2" spans="2:4" ht="17.25" customHeight="1" x14ac:dyDescent="0.25">
      <c r="B2" s="17" t="str">
        <f>'NAV EV'!B2</f>
        <v>M/s Kunal Structure (India) Private Limited</v>
      </c>
      <c r="C2" s="44"/>
      <c r="D2" s="44"/>
    </row>
    <row r="3" spans="2:4" ht="10.5" customHeight="1" x14ac:dyDescent="0.25"/>
    <row r="4" spans="2:4" ht="18" customHeight="1" x14ac:dyDescent="0.25">
      <c r="B4" s="2" t="s">
        <v>12</v>
      </c>
      <c r="C4" s="2"/>
      <c r="D4" s="2"/>
    </row>
    <row r="5" spans="2:4" ht="20.25" customHeight="1" x14ac:dyDescent="0.25"/>
    <row r="6" spans="2:4" ht="20.25" customHeight="1" x14ac:dyDescent="0.25">
      <c r="B6" s="54" t="s">
        <v>78</v>
      </c>
      <c r="C6" s="43"/>
      <c r="D6" s="43"/>
    </row>
    <row r="7" spans="2:4" ht="20.25" customHeight="1" x14ac:dyDescent="0.25">
      <c r="B7" s="49" t="s">
        <v>79</v>
      </c>
      <c r="C7" s="50"/>
      <c r="D7" s="50"/>
    </row>
    <row r="8" spans="2:4" ht="20.25" customHeight="1" x14ac:dyDescent="0.25">
      <c r="B8" s="49" t="s">
        <v>80</v>
      </c>
      <c r="C8" s="50"/>
      <c r="D8" s="51">
        <v>0</v>
      </c>
    </row>
    <row r="9" spans="2:4" ht="20.25" customHeight="1" x14ac:dyDescent="0.25">
      <c r="B9" s="49" t="s">
        <v>81</v>
      </c>
      <c r="C9" s="50"/>
      <c r="D9" s="51">
        <v>0</v>
      </c>
    </row>
    <row r="10" spans="2:4" ht="20.25" customHeight="1" x14ac:dyDescent="0.25">
      <c r="B10" s="18" t="s">
        <v>85</v>
      </c>
      <c r="D10" s="19">
        <v>1453.77</v>
      </c>
    </row>
    <row r="11" spans="2:4" ht="20.25" customHeight="1" x14ac:dyDescent="0.25">
      <c r="B11" s="18" t="s">
        <v>86</v>
      </c>
      <c r="D11" s="4">
        <f>3+(7/12)</f>
        <v>3.5833333333333335</v>
      </c>
    </row>
    <row r="12" spans="2:4" ht="20.25" customHeight="1" x14ac:dyDescent="0.25">
      <c r="B12" s="18" t="s">
        <v>77</v>
      </c>
      <c r="D12" s="4">
        <f>D10*(1-D9)*D8*D11</f>
        <v>0</v>
      </c>
    </row>
    <row r="13" spans="2:4" ht="20.25" customHeight="1" x14ac:dyDescent="0.25">
      <c r="B13" s="55" t="s">
        <v>87</v>
      </c>
      <c r="C13" s="55"/>
      <c r="D13" s="56">
        <f>D10-D12</f>
        <v>1453.77</v>
      </c>
    </row>
    <row r="14" spans="2:4" ht="20.25" customHeight="1" x14ac:dyDescent="0.25"/>
    <row r="15" spans="2:4" ht="20.25" customHeight="1" x14ac:dyDescent="0.25"/>
    <row r="16" spans="2:4" ht="20.25" customHeight="1" x14ac:dyDescent="0.25">
      <c r="B16" s="54" t="s">
        <v>88</v>
      </c>
      <c r="C16" s="43"/>
      <c r="D16" s="43"/>
    </row>
    <row r="17" spans="2:4" ht="20.25" customHeight="1" x14ac:dyDescent="0.25">
      <c r="B17" s="49" t="s">
        <v>79</v>
      </c>
      <c r="C17" s="50"/>
      <c r="D17" s="52" t="s">
        <v>82</v>
      </c>
    </row>
    <row r="18" spans="2:4" ht="20.25" customHeight="1" x14ac:dyDescent="0.25">
      <c r="B18" s="49" t="s">
        <v>80</v>
      </c>
      <c r="C18" s="50"/>
      <c r="D18" s="53">
        <f>95%/60</f>
        <v>1.5833333333333331E-2</v>
      </c>
    </row>
    <row r="19" spans="2:4" ht="20.25" customHeight="1" x14ac:dyDescent="0.25">
      <c r="B19" s="49" t="s">
        <v>81</v>
      </c>
      <c r="C19" s="50"/>
      <c r="D19" s="51">
        <v>0.05</v>
      </c>
    </row>
    <row r="20" spans="2:4" ht="20.25" customHeight="1" x14ac:dyDescent="0.25">
      <c r="B20" s="18" t="s">
        <v>85</v>
      </c>
      <c r="D20" s="19">
        <v>691.32</v>
      </c>
    </row>
    <row r="21" spans="2:4" ht="20.25" customHeight="1" x14ac:dyDescent="0.25">
      <c r="B21" s="18" t="s">
        <v>86</v>
      </c>
      <c r="D21" s="4">
        <f>3+(7/12)</f>
        <v>3.5833333333333335</v>
      </c>
    </row>
    <row r="22" spans="2:4" ht="20.25" customHeight="1" x14ac:dyDescent="0.25">
      <c r="B22" s="18" t="s">
        <v>77</v>
      </c>
      <c r="D22" s="4">
        <f>D20*(1-D19)*D18*D21</f>
        <v>37.26166791666666</v>
      </c>
    </row>
    <row r="23" spans="2:4" ht="20.25" customHeight="1" x14ac:dyDescent="0.25">
      <c r="B23" s="55" t="s">
        <v>87</v>
      </c>
      <c r="C23" s="55"/>
      <c r="D23" s="56">
        <f>D20-D22</f>
        <v>654.05833208333343</v>
      </c>
    </row>
    <row r="24" spans="2:4" ht="20.25" customHeight="1" x14ac:dyDescent="0.25"/>
    <row r="25" spans="2:4" ht="20.25" customHeight="1" x14ac:dyDescent="0.25"/>
    <row r="26" spans="2:4" ht="20.25" customHeight="1" x14ac:dyDescent="0.25">
      <c r="B26" s="54" t="s">
        <v>89</v>
      </c>
      <c r="C26" s="43"/>
      <c r="D26" s="43"/>
    </row>
    <row r="27" spans="2:4" ht="20.25" customHeight="1" x14ac:dyDescent="0.25">
      <c r="B27" s="49" t="s">
        <v>79</v>
      </c>
      <c r="C27" s="50"/>
      <c r="D27" s="52" t="s">
        <v>90</v>
      </c>
    </row>
    <row r="28" spans="2:4" ht="20.25" customHeight="1" x14ac:dyDescent="0.25">
      <c r="B28" s="49" t="s">
        <v>80</v>
      </c>
      <c r="C28" s="50"/>
      <c r="D28" s="53">
        <f>95%/15</f>
        <v>6.3333333333333325E-2</v>
      </c>
    </row>
    <row r="29" spans="2:4" ht="20.25" customHeight="1" x14ac:dyDescent="0.25">
      <c r="B29" s="49" t="s">
        <v>81</v>
      </c>
      <c r="C29" s="50"/>
      <c r="D29" s="51">
        <v>0.05</v>
      </c>
    </row>
    <row r="30" spans="2:4" ht="20.25" customHeight="1" x14ac:dyDescent="0.25">
      <c r="B30" s="18" t="s">
        <v>85</v>
      </c>
      <c r="D30" s="19">
        <v>9291.2000000000007</v>
      </c>
    </row>
    <row r="31" spans="2:4" ht="20.25" customHeight="1" x14ac:dyDescent="0.25">
      <c r="B31" s="18" t="s">
        <v>86</v>
      </c>
      <c r="D31" s="4">
        <f>3+(7/12)</f>
        <v>3.5833333333333335</v>
      </c>
    </row>
    <row r="32" spans="2:4" ht="20.25" customHeight="1" x14ac:dyDescent="0.25">
      <c r="B32" s="18" t="s">
        <v>77</v>
      </c>
      <c r="D32" s="4">
        <f>D30*(1-D29)*D28*D31</f>
        <v>2003.1569111111107</v>
      </c>
    </row>
    <row r="33" spans="2:4" ht="20.25" customHeight="1" x14ac:dyDescent="0.25">
      <c r="B33" s="55" t="s">
        <v>87</v>
      </c>
      <c r="C33" s="55"/>
      <c r="D33" s="56">
        <f>D30-D32</f>
        <v>7288.0430888888895</v>
      </c>
    </row>
    <row r="34" spans="2:4" ht="20.25" customHeight="1" x14ac:dyDescent="0.25"/>
    <row r="35" spans="2:4" ht="20.25" customHeight="1" x14ac:dyDescent="0.25"/>
    <row r="36" spans="2:4" ht="20.25" customHeight="1" x14ac:dyDescent="0.25">
      <c r="B36" s="54" t="s">
        <v>83</v>
      </c>
      <c r="C36" s="43"/>
      <c r="D36" s="43"/>
    </row>
    <row r="37" spans="2:4" ht="20.25" customHeight="1" x14ac:dyDescent="0.25">
      <c r="B37" s="49" t="s">
        <v>79</v>
      </c>
      <c r="C37" s="50"/>
      <c r="D37" s="52" t="s">
        <v>91</v>
      </c>
    </row>
    <row r="38" spans="2:4" ht="20.25" customHeight="1" x14ac:dyDescent="0.25">
      <c r="B38" s="49" t="s">
        <v>80</v>
      </c>
      <c r="C38" s="50"/>
      <c r="D38" s="53">
        <f>95%/5</f>
        <v>0.19</v>
      </c>
    </row>
    <row r="39" spans="2:4" ht="20.25" customHeight="1" x14ac:dyDescent="0.25">
      <c r="B39" s="49" t="s">
        <v>81</v>
      </c>
      <c r="C39" s="50"/>
      <c r="D39" s="51">
        <v>0.05</v>
      </c>
    </row>
    <row r="40" spans="2:4" ht="20.25" customHeight="1" x14ac:dyDescent="0.25">
      <c r="B40" s="18" t="s">
        <v>85</v>
      </c>
      <c r="D40" s="19">
        <v>50.7</v>
      </c>
    </row>
    <row r="41" spans="2:4" ht="20.25" customHeight="1" x14ac:dyDescent="0.25">
      <c r="B41" s="18" t="s">
        <v>86</v>
      </c>
      <c r="D41" s="4">
        <f>3+(7/12)</f>
        <v>3.5833333333333335</v>
      </c>
    </row>
    <row r="42" spans="2:4" ht="20.25" customHeight="1" x14ac:dyDescent="0.25">
      <c r="B42" s="18" t="s">
        <v>77</v>
      </c>
      <c r="D42" s="4">
        <f>D40*(1-D39)*D38*D41</f>
        <v>32.792337500000002</v>
      </c>
    </row>
    <row r="43" spans="2:4" ht="20.25" customHeight="1" x14ac:dyDescent="0.25">
      <c r="B43" s="55" t="s">
        <v>87</v>
      </c>
      <c r="C43" s="55"/>
      <c r="D43" s="56">
        <f>D40-D42</f>
        <v>17.907662500000001</v>
      </c>
    </row>
    <row r="44" spans="2:4" ht="20.25" customHeight="1" x14ac:dyDescent="0.25"/>
    <row r="45" spans="2:4" ht="20.25" customHeight="1" x14ac:dyDescent="0.25"/>
    <row r="46" spans="2:4" ht="20.25" customHeight="1" x14ac:dyDescent="0.25">
      <c r="B46" s="54" t="s">
        <v>92</v>
      </c>
      <c r="C46" s="43"/>
      <c r="D46" s="43"/>
    </row>
    <row r="47" spans="2:4" ht="20.25" customHeight="1" x14ac:dyDescent="0.25">
      <c r="B47" s="49" t="s">
        <v>79</v>
      </c>
      <c r="C47" s="50"/>
      <c r="D47" s="52" t="s">
        <v>93</v>
      </c>
    </row>
    <row r="48" spans="2:4" ht="20.25" customHeight="1" x14ac:dyDescent="0.25">
      <c r="B48" s="49" t="s">
        <v>80</v>
      </c>
      <c r="C48" s="50"/>
      <c r="D48" s="53">
        <f>95%/10</f>
        <v>9.5000000000000001E-2</v>
      </c>
    </row>
    <row r="49" spans="2:4" ht="20.25" customHeight="1" x14ac:dyDescent="0.25">
      <c r="B49" s="49" t="s">
        <v>81</v>
      </c>
      <c r="C49" s="50"/>
      <c r="D49" s="51">
        <v>0.05</v>
      </c>
    </row>
    <row r="50" spans="2:4" ht="20.25" customHeight="1" x14ac:dyDescent="0.25">
      <c r="B50" s="18" t="s">
        <v>85</v>
      </c>
      <c r="D50" s="19">
        <v>214.01</v>
      </c>
    </row>
    <row r="51" spans="2:4" ht="20.25" customHeight="1" x14ac:dyDescent="0.25">
      <c r="B51" s="18" t="s">
        <v>86</v>
      </c>
      <c r="D51" s="4">
        <f>3+(7/12)</f>
        <v>3.5833333333333335</v>
      </c>
    </row>
    <row r="52" spans="2:4" ht="20.25" customHeight="1" x14ac:dyDescent="0.25">
      <c r="B52" s="18" t="s">
        <v>77</v>
      </c>
      <c r="D52" s="4">
        <f>D50*(1-D49)*D48*D51</f>
        <v>69.209942291666664</v>
      </c>
    </row>
    <row r="53" spans="2:4" ht="20.25" customHeight="1" x14ac:dyDescent="0.25">
      <c r="B53" s="55" t="s">
        <v>87</v>
      </c>
      <c r="C53" s="55"/>
      <c r="D53" s="56">
        <f>D50-D52</f>
        <v>144.80005770833333</v>
      </c>
    </row>
    <row r="54" spans="2:4" ht="20.25" customHeight="1" x14ac:dyDescent="0.25"/>
    <row r="55" spans="2:4" ht="20.25" customHeight="1" x14ac:dyDescent="0.25"/>
    <row r="56" spans="2:4" ht="20.25" customHeight="1" x14ac:dyDescent="0.25">
      <c r="B56" s="54" t="s">
        <v>84</v>
      </c>
      <c r="C56" s="43"/>
      <c r="D56" s="43"/>
    </row>
    <row r="57" spans="2:4" ht="20.25" customHeight="1" x14ac:dyDescent="0.25">
      <c r="B57" s="49" t="s">
        <v>79</v>
      </c>
      <c r="C57" s="50"/>
      <c r="D57" s="52" t="s">
        <v>94</v>
      </c>
    </row>
    <row r="58" spans="2:4" ht="20.25" customHeight="1" x14ac:dyDescent="0.25">
      <c r="B58" s="49" t="s">
        <v>80</v>
      </c>
      <c r="C58" s="50"/>
      <c r="D58" s="53">
        <f>95%/10</f>
        <v>9.5000000000000001E-2</v>
      </c>
    </row>
    <row r="59" spans="2:4" ht="20.25" customHeight="1" x14ac:dyDescent="0.25">
      <c r="B59" s="49" t="s">
        <v>81</v>
      </c>
      <c r="C59" s="50"/>
      <c r="D59" s="51">
        <v>0.05</v>
      </c>
    </row>
    <row r="60" spans="2:4" ht="20.25" customHeight="1" x14ac:dyDescent="0.25">
      <c r="B60" s="18" t="s">
        <v>85</v>
      </c>
      <c r="D60" s="19">
        <v>613.20000000000005</v>
      </c>
    </row>
    <row r="61" spans="2:4" ht="20.25" customHeight="1" x14ac:dyDescent="0.25">
      <c r="B61" s="18" t="s">
        <v>86</v>
      </c>
      <c r="D61" s="4">
        <f>3+(7/12)</f>
        <v>3.5833333333333335</v>
      </c>
    </row>
    <row r="62" spans="2:4" ht="20.25" customHeight="1" x14ac:dyDescent="0.25">
      <c r="B62" s="18" t="s">
        <v>77</v>
      </c>
      <c r="D62" s="4">
        <f>D60*(1-D59)*D58*D61</f>
        <v>198.30632499999999</v>
      </c>
    </row>
    <row r="63" spans="2:4" ht="20.25" customHeight="1" x14ac:dyDescent="0.25">
      <c r="B63" s="55" t="s">
        <v>87</v>
      </c>
      <c r="C63" s="55"/>
      <c r="D63" s="56">
        <f>D60-D62</f>
        <v>414.89367500000003</v>
      </c>
    </row>
    <row r="64" spans="2:4" ht="20.25" customHeight="1" x14ac:dyDescent="0.25"/>
    <row r="65" spans="2:4" ht="20.25" customHeight="1" x14ac:dyDescent="0.25"/>
    <row r="66" spans="2:4" ht="20.25" customHeight="1" x14ac:dyDescent="0.25">
      <c r="B66" s="54" t="s">
        <v>95</v>
      </c>
      <c r="C66" s="43"/>
      <c r="D66" s="43"/>
    </row>
    <row r="67" spans="2:4" ht="20.25" customHeight="1" x14ac:dyDescent="0.25">
      <c r="B67" s="49" t="s">
        <v>79</v>
      </c>
      <c r="C67" s="50"/>
      <c r="D67" s="52" t="s">
        <v>96</v>
      </c>
    </row>
    <row r="68" spans="2:4" ht="20.25" customHeight="1" x14ac:dyDescent="0.25">
      <c r="B68" s="49" t="s">
        <v>80</v>
      </c>
      <c r="C68" s="50"/>
      <c r="D68" s="53">
        <f>95%/6</f>
        <v>0.15833333333333333</v>
      </c>
    </row>
    <row r="69" spans="2:4" ht="20.25" customHeight="1" x14ac:dyDescent="0.25">
      <c r="B69" s="49" t="s">
        <v>81</v>
      </c>
      <c r="C69" s="50"/>
      <c r="D69" s="51">
        <v>0.05</v>
      </c>
    </row>
    <row r="70" spans="2:4" ht="20.25" customHeight="1" x14ac:dyDescent="0.25">
      <c r="B70" s="18" t="s">
        <v>85</v>
      </c>
      <c r="D70" s="19">
        <v>93.22</v>
      </c>
    </row>
    <row r="71" spans="2:4" ht="20.25" customHeight="1" x14ac:dyDescent="0.25">
      <c r="B71" s="18" t="s">
        <v>86</v>
      </c>
      <c r="D71" s="4">
        <f>3+(7/12)</f>
        <v>3.5833333333333335</v>
      </c>
    </row>
    <row r="72" spans="2:4" ht="20.25" customHeight="1" x14ac:dyDescent="0.25">
      <c r="B72" s="18" t="s">
        <v>77</v>
      </c>
      <c r="D72" s="4">
        <f>D70*(1-D69)*D68*D71</f>
        <v>50.244932638888884</v>
      </c>
    </row>
    <row r="73" spans="2:4" ht="20.25" customHeight="1" x14ac:dyDescent="0.25">
      <c r="B73" s="55" t="s">
        <v>87</v>
      </c>
      <c r="C73" s="55"/>
      <c r="D73" s="56">
        <f>D70-D72</f>
        <v>42.975067361111115</v>
      </c>
    </row>
    <row r="74" spans="2:4" ht="20.25" customHeight="1" x14ac:dyDescent="0.25"/>
    <row r="75" spans="2:4" ht="20.25" customHeight="1" x14ac:dyDescent="0.25">
      <c r="B75" s="21" t="s">
        <v>97</v>
      </c>
      <c r="C75" s="21"/>
      <c r="D75" s="22">
        <f>D13+D23+D33+D43+D53+D63+D73</f>
        <v>10016.447883541667</v>
      </c>
    </row>
    <row r="76" spans="2:4" ht="20.25" customHeight="1" x14ac:dyDescent="0.25"/>
    <row r="77" spans="2:4" ht="20.25" customHeight="1" x14ac:dyDescent="0.25"/>
    <row r="78" spans="2:4" ht="20.25" customHeight="1" x14ac:dyDescent="0.25">
      <c r="B78" s="54" t="s">
        <v>98</v>
      </c>
      <c r="C78" s="43"/>
      <c r="D78" s="43"/>
    </row>
    <row r="79" spans="2:4" ht="20.25" customHeight="1" x14ac:dyDescent="0.25">
      <c r="B79" s="49" t="s">
        <v>79</v>
      </c>
      <c r="C79" s="50"/>
      <c r="D79" s="52" t="s">
        <v>93</v>
      </c>
    </row>
    <row r="80" spans="2:4" ht="20.25" customHeight="1" x14ac:dyDescent="0.25">
      <c r="B80" s="49" t="s">
        <v>99</v>
      </c>
      <c r="C80" s="50"/>
      <c r="D80" s="53">
        <f>95%/10</f>
        <v>9.5000000000000001E-2</v>
      </c>
    </row>
    <row r="81" spans="2:4" ht="20.25" customHeight="1" x14ac:dyDescent="0.25">
      <c r="B81" s="49" t="s">
        <v>81</v>
      </c>
      <c r="C81" s="50"/>
      <c r="D81" s="51">
        <v>0.05</v>
      </c>
    </row>
    <row r="82" spans="2:4" ht="20.25" customHeight="1" x14ac:dyDescent="0.25">
      <c r="B82" s="18" t="s">
        <v>85</v>
      </c>
      <c r="D82" s="19">
        <v>232.29</v>
      </c>
    </row>
    <row r="83" spans="2:4" ht="20.25" customHeight="1" x14ac:dyDescent="0.25">
      <c r="B83" s="18" t="s">
        <v>86</v>
      </c>
      <c r="D83" s="4">
        <f>3+(7/12)</f>
        <v>3.5833333333333335</v>
      </c>
    </row>
    <row r="84" spans="2:4" ht="20.25" customHeight="1" x14ac:dyDescent="0.25">
      <c r="B84" s="18" t="s">
        <v>77</v>
      </c>
      <c r="D84" s="4">
        <f>D82*(1-D81)*D80*D83</f>
        <v>75.121618124999998</v>
      </c>
    </row>
    <row r="85" spans="2:4" ht="20.25" customHeight="1" x14ac:dyDescent="0.25">
      <c r="B85" s="55" t="s">
        <v>87</v>
      </c>
      <c r="C85" s="55"/>
      <c r="D85" s="56">
        <f>D82-D84</f>
        <v>157.16838187499999</v>
      </c>
    </row>
    <row r="86" spans="2:4" ht="20.25" customHeight="1" x14ac:dyDescent="0.25"/>
  </sheetData>
  <pageMargins left="0.7" right="0.7" top="0.75" bottom="0.75" header="0.3" footer="0.3"/>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1"/>
  </sheetPr>
  <dimension ref="A2:I27"/>
  <sheetViews>
    <sheetView showGridLines="0" topLeftCell="A19" workbookViewId="0">
      <selection activeCell="B22" sqref="B22:I25"/>
    </sheetView>
  </sheetViews>
  <sheetFormatPr defaultRowHeight="15" x14ac:dyDescent="0.25"/>
  <cols>
    <col min="1" max="1" width="5.42578125" customWidth="1"/>
    <col min="2" max="2" width="44.85546875" customWidth="1"/>
    <col min="3" max="3" width="6.28515625" customWidth="1"/>
    <col min="4" max="4" width="30.5703125" customWidth="1"/>
    <col min="5" max="5" width="2.85546875" customWidth="1"/>
    <col min="6" max="6" width="1.7109375" customWidth="1"/>
    <col min="7" max="7" width="58.7109375" customWidth="1"/>
    <col min="9" max="9" width="12" customWidth="1"/>
  </cols>
  <sheetData>
    <row r="2" spans="1:9" ht="17.25" customHeight="1" x14ac:dyDescent="0.25">
      <c r="B2" s="17" t="str">
        <f>'NAV EV'!B2</f>
        <v>M/s Kunal Structure (India) Private Limited</v>
      </c>
      <c r="C2" s="16"/>
      <c r="D2" s="16"/>
      <c r="E2" s="16"/>
      <c r="F2" s="16"/>
      <c r="G2" s="16"/>
      <c r="H2" s="16"/>
      <c r="I2" s="16"/>
    </row>
    <row r="3" spans="1:9" ht="10.5" customHeight="1" x14ac:dyDescent="0.25"/>
    <row r="4" spans="1:9" ht="18" customHeight="1" x14ac:dyDescent="0.25">
      <c r="B4" s="2" t="s">
        <v>104</v>
      </c>
      <c r="C4" s="1"/>
      <c r="D4" s="1"/>
      <c r="E4" s="1"/>
      <c r="F4" s="1"/>
      <c r="G4" s="1"/>
      <c r="H4" s="1"/>
      <c r="I4" s="1"/>
    </row>
    <row r="5" spans="1:9" ht="9.75" customHeight="1" x14ac:dyDescent="0.25"/>
    <row r="6" spans="1:9" ht="18" customHeight="1" x14ac:dyDescent="0.25">
      <c r="B6" s="2" t="s">
        <v>13</v>
      </c>
      <c r="C6" s="2"/>
      <c r="D6" s="10" t="s">
        <v>105</v>
      </c>
      <c r="E6" s="2"/>
      <c r="F6" s="2"/>
      <c r="G6" s="10" t="s">
        <v>101</v>
      </c>
      <c r="H6" s="2"/>
      <c r="I6" s="9" t="s">
        <v>14</v>
      </c>
    </row>
    <row r="7" spans="1:9" ht="10.5" customHeight="1" x14ac:dyDescent="0.25">
      <c r="D7" s="19"/>
    </row>
    <row r="8" spans="1:9" ht="18.75" customHeight="1" x14ac:dyDescent="0.25">
      <c r="A8" s="47">
        <v>1</v>
      </c>
      <c r="B8" s="7" t="s">
        <v>16</v>
      </c>
      <c r="D8" s="19"/>
      <c r="G8" s="114" t="s">
        <v>116</v>
      </c>
    </row>
    <row r="9" spans="1:9" ht="18.75" customHeight="1" x14ac:dyDescent="0.25">
      <c r="B9" s="7" t="s">
        <v>111</v>
      </c>
      <c r="D9" s="47">
        <f>SUM(D11:D14)</f>
        <v>37.35</v>
      </c>
      <c r="G9" s="114"/>
    </row>
    <row r="10" spans="1:9" ht="18.75" customHeight="1" x14ac:dyDescent="0.25">
      <c r="B10" s="7" t="s">
        <v>106</v>
      </c>
      <c r="D10" s="19"/>
      <c r="G10" s="114"/>
    </row>
    <row r="11" spans="1:9" ht="18.75" customHeight="1" x14ac:dyDescent="0.25">
      <c r="B11" s="46" t="s">
        <v>110</v>
      </c>
      <c r="D11" s="19">
        <v>0.51</v>
      </c>
      <c r="G11" s="114"/>
    </row>
    <row r="12" spans="1:9" ht="18.75" customHeight="1" x14ac:dyDescent="0.25">
      <c r="B12" s="46" t="s">
        <v>107</v>
      </c>
      <c r="D12" s="19">
        <v>17.27</v>
      </c>
      <c r="G12" s="114"/>
    </row>
    <row r="13" spans="1:9" ht="18.75" customHeight="1" x14ac:dyDescent="0.25">
      <c r="B13" s="46" t="s">
        <v>108</v>
      </c>
      <c r="D13" s="19">
        <v>19.47</v>
      </c>
      <c r="G13" s="114"/>
    </row>
    <row r="14" spans="1:9" ht="18.75" customHeight="1" x14ac:dyDescent="0.25">
      <c r="B14" s="46" t="s">
        <v>109</v>
      </c>
      <c r="D14" s="4">
        <v>0.1</v>
      </c>
      <c r="G14" s="114"/>
    </row>
    <row r="15" spans="1:9" ht="14.25" customHeight="1" x14ac:dyDescent="0.25">
      <c r="B15" s="7"/>
      <c r="D15" s="19"/>
      <c r="G15" s="114"/>
    </row>
    <row r="16" spans="1:9" ht="18.75" customHeight="1" x14ac:dyDescent="0.25">
      <c r="B16" s="7" t="s">
        <v>113</v>
      </c>
      <c r="D16" s="19"/>
      <c r="G16" s="114"/>
    </row>
    <row r="17" spans="1:9" ht="18.75" customHeight="1" x14ac:dyDescent="0.25">
      <c r="B17" s="7" t="s">
        <v>112</v>
      </c>
      <c r="G17" s="114"/>
    </row>
    <row r="18" spans="1:9" ht="18.75" customHeight="1" x14ac:dyDescent="0.25">
      <c r="B18" s="46" t="s">
        <v>114</v>
      </c>
      <c r="D18" s="4">
        <v>0</v>
      </c>
      <c r="G18" s="114"/>
    </row>
    <row r="19" spans="1:9" ht="18.75" customHeight="1" x14ac:dyDescent="0.25">
      <c r="B19" s="46" t="s">
        <v>115</v>
      </c>
      <c r="D19" s="19">
        <v>11.71</v>
      </c>
      <c r="G19" s="115"/>
    </row>
    <row r="20" spans="1:9" s="3" customFormat="1" ht="18.75" customHeight="1" x14ac:dyDescent="0.25">
      <c r="B20" s="55" t="s">
        <v>19</v>
      </c>
      <c r="C20" s="57"/>
      <c r="D20" s="58">
        <f>D9+D19</f>
        <v>49.06</v>
      </c>
      <c r="E20" s="57"/>
      <c r="F20" s="57"/>
      <c r="G20" s="56">
        <f>D20*I20</f>
        <v>49.06</v>
      </c>
      <c r="H20" s="57"/>
      <c r="I20" s="61">
        <v>1</v>
      </c>
    </row>
    <row r="21" spans="1:9" ht="18.75" customHeight="1" x14ac:dyDescent="0.25">
      <c r="B21" s="7"/>
      <c r="D21" s="19"/>
    </row>
    <row r="22" spans="1:9" ht="18.75" customHeight="1" x14ac:dyDescent="0.25">
      <c r="A22" s="47">
        <v>2</v>
      </c>
      <c r="B22" s="7" t="s">
        <v>117</v>
      </c>
      <c r="D22" s="19"/>
    </row>
    <row r="23" spans="1:9" ht="141.75" customHeight="1" x14ac:dyDescent="0.25">
      <c r="B23" s="62" t="s">
        <v>118</v>
      </c>
      <c r="D23" s="19">
        <v>4286.7</v>
      </c>
      <c r="G23" s="59" t="s">
        <v>121</v>
      </c>
      <c r="I23" s="24">
        <v>1</v>
      </c>
    </row>
    <row r="24" spans="1:9" ht="105" x14ac:dyDescent="0.25">
      <c r="B24" s="62" t="s">
        <v>119</v>
      </c>
      <c r="D24" s="19">
        <v>2139.52</v>
      </c>
      <c r="G24" s="59" t="s">
        <v>120</v>
      </c>
      <c r="I24" s="24">
        <v>1</v>
      </c>
    </row>
    <row r="25" spans="1:9" s="3" customFormat="1" ht="18.75" customHeight="1" x14ac:dyDescent="0.25">
      <c r="B25" s="55" t="s">
        <v>19</v>
      </c>
      <c r="C25" s="57"/>
      <c r="D25" s="58">
        <f>SUM(D23:D24)</f>
        <v>6426.2199999999993</v>
      </c>
      <c r="E25" s="57"/>
      <c r="F25" s="57"/>
      <c r="G25" s="56">
        <f>D23*I23+D24*I24</f>
        <v>6426.2199999999993</v>
      </c>
      <c r="H25" s="57"/>
      <c r="I25" s="61"/>
    </row>
    <row r="26" spans="1:9" ht="18.75" customHeight="1" x14ac:dyDescent="0.25">
      <c r="B26" s="7"/>
      <c r="D26" s="19"/>
    </row>
    <row r="27" spans="1:9" ht="20.25" customHeight="1" x14ac:dyDescent="0.25">
      <c r="B27" s="21" t="s">
        <v>15</v>
      </c>
      <c r="C27" s="21"/>
      <c r="D27" s="22">
        <f>D25</f>
        <v>6426.2199999999993</v>
      </c>
      <c r="E27" s="22"/>
      <c r="F27" s="22"/>
      <c r="G27" s="22">
        <f>G25</f>
        <v>6426.2199999999993</v>
      </c>
      <c r="H27" s="23"/>
      <c r="I27" s="25"/>
    </row>
  </sheetData>
  <mergeCells count="1">
    <mergeCell ref="G8:G19"/>
  </mergeCells>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2:H15"/>
  <sheetViews>
    <sheetView showGridLines="0" workbookViewId="0">
      <selection activeCell="H9" sqref="H9:H12"/>
    </sheetView>
  </sheetViews>
  <sheetFormatPr defaultRowHeight="15" x14ac:dyDescent="0.25"/>
  <cols>
    <col min="1" max="1" width="5.42578125" customWidth="1"/>
    <col min="2" max="2" width="29.7109375" customWidth="1"/>
    <col min="3" max="3" width="4.7109375" customWidth="1"/>
    <col min="4" max="4" width="28.28515625" customWidth="1"/>
    <col min="5" max="5" width="34.28515625" customWidth="1"/>
    <col min="6" max="6" width="12.5703125" customWidth="1"/>
    <col min="8" max="8" width="57" customWidth="1"/>
  </cols>
  <sheetData>
    <row r="2" spans="1:8" ht="17.25" customHeight="1" x14ac:dyDescent="0.25">
      <c r="B2" s="17" t="str">
        <f>'NAV EV'!B2</f>
        <v>M/s Kunal Structure (India) Private Limited</v>
      </c>
      <c r="C2" s="16"/>
      <c r="D2" s="16"/>
      <c r="E2" s="16"/>
      <c r="F2" s="16"/>
    </row>
    <row r="3" spans="1:8" ht="10.5" customHeight="1" x14ac:dyDescent="0.25"/>
    <row r="4" spans="1:8" ht="18" customHeight="1" x14ac:dyDescent="0.25">
      <c r="B4" s="2" t="s">
        <v>122</v>
      </c>
      <c r="C4" s="1"/>
      <c r="D4" s="1"/>
      <c r="E4" s="1"/>
      <c r="F4" s="1"/>
    </row>
    <row r="5" spans="1:8" ht="9.75" customHeight="1" x14ac:dyDescent="0.25"/>
    <row r="6" spans="1:8" ht="18" customHeight="1" x14ac:dyDescent="0.25">
      <c r="B6" s="2" t="s">
        <v>13</v>
      </c>
      <c r="C6" s="2"/>
      <c r="D6" s="10" t="s">
        <v>105</v>
      </c>
      <c r="E6" s="10" t="s">
        <v>101</v>
      </c>
      <c r="F6" s="9" t="s">
        <v>14</v>
      </c>
    </row>
    <row r="7" spans="1:8" ht="10.5" customHeight="1" x14ac:dyDescent="0.25">
      <c r="D7" s="19"/>
    </row>
    <row r="8" spans="1:8" ht="18.75" customHeight="1" x14ac:dyDescent="0.25">
      <c r="A8" s="47">
        <v>1</v>
      </c>
      <c r="B8" s="7" t="s">
        <v>122</v>
      </c>
      <c r="D8" s="19"/>
      <c r="E8" s="59"/>
    </row>
    <row r="9" spans="1:8" ht="26.25" customHeight="1" x14ac:dyDescent="0.25">
      <c r="B9" s="46" t="s">
        <v>123</v>
      </c>
      <c r="D9" s="19">
        <v>148</v>
      </c>
      <c r="E9" s="60">
        <f>D9*F9</f>
        <v>148</v>
      </c>
      <c r="F9" s="24">
        <v>1</v>
      </c>
      <c r="H9" s="114" t="s">
        <v>126</v>
      </c>
    </row>
    <row r="10" spans="1:8" ht="27" customHeight="1" x14ac:dyDescent="0.25">
      <c r="B10" s="46" t="s">
        <v>124</v>
      </c>
      <c r="D10" s="19">
        <v>209.05</v>
      </c>
      <c r="E10" s="60">
        <f>D10*F10</f>
        <v>62.715000000000003</v>
      </c>
      <c r="F10" s="24">
        <v>0.3</v>
      </c>
      <c r="H10" s="114"/>
    </row>
    <row r="11" spans="1:8" ht="18.75" customHeight="1" x14ac:dyDescent="0.25">
      <c r="B11" s="46" t="s">
        <v>125</v>
      </c>
      <c r="D11" s="19">
        <v>118.94</v>
      </c>
      <c r="E11" s="60">
        <f>D11*F11</f>
        <v>71.36399999999999</v>
      </c>
      <c r="F11" s="24">
        <v>0.6</v>
      </c>
      <c r="H11" s="114"/>
    </row>
    <row r="12" spans="1:8" ht="33" customHeight="1" x14ac:dyDescent="0.25">
      <c r="B12" s="46" t="s">
        <v>41</v>
      </c>
      <c r="D12" s="19">
        <v>22.7</v>
      </c>
      <c r="E12" s="60">
        <f>D12*F12</f>
        <v>13.62</v>
      </c>
      <c r="F12" s="24">
        <v>0.6</v>
      </c>
      <c r="H12" s="114"/>
    </row>
    <row r="13" spans="1:8" s="3" customFormat="1" ht="18.75" customHeight="1" x14ac:dyDescent="0.25">
      <c r="B13" s="55" t="s">
        <v>19</v>
      </c>
      <c r="C13" s="57"/>
      <c r="D13" s="58">
        <f>SUM(D9:D12)</f>
        <v>498.69</v>
      </c>
      <c r="E13" s="56">
        <f>SUM(E9:E12)</f>
        <v>295.69900000000001</v>
      </c>
      <c r="F13" s="61">
        <v>0</v>
      </c>
    </row>
    <row r="14" spans="1:8" ht="18.75" customHeight="1" x14ac:dyDescent="0.25">
      <c r="B14" s="7"/>
      <c r="D14" s="19"/>
    </row>
    <row r="15" spans="1:8" ht="20.25" customHeight="1" x14ac:dyDescent="0.25">
      <c r="B15" s="21" t="s">
        <v>15</v>
      </c>
      <c r="C15" s="21"/>
      <c r="D15" s="22">
        <f>D13</f>
        <v>498.69</v>
      </c>
      <c r="E15" s="22">
        <f>E13</f>
        <v>295.69900000000001</v>
      </c>
      <c r="F15" s="25"/>
    </row>
  </sheetData>
  <mergeCells count="1">
    <mergeCell ref="H9:H1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7030A0"/>
  </sheetPr>
  <dimension ref="B1:H62"/>
  <sheetViews>
    <sheetView showGridLines="0" workbookViewId="0">
      <selection activeCell="H8" sqref="H8:H11"/>
    </sheetView>
  </sheetViews>
  <sheetFormatPr defaultRowHeight="15" x14ac:dyDescent="0.25"/>
  <cols>
    <col min="1" max="1" width="5.140625" customWidth="1"/>
    <col min="2" max="2" width="47.140625" customWidth="1"/>
    <col min="3" max="3" width="4.5703125" customWidth="1"/>
    <col min="4" max="4" width="4.140625" customWidth="1"/>
    <col min="5" max="5" width="27.140625" customWidth="1"/>
    <col min="6" max="6" width="17.85546875" customWidth="1"/>
    <col min="7" max="7" width="14.5703125" customWidth="1"/>
    <col min="8" max="8" width="89.5703125" customWidth="1"/>
  </cols>
  <sheetData>
    <row r="1" spans="2:8" ht="20.25" customHeight="1" x14ac:dyDescent="0.25"/>
    <row r="2" spans="2:8" ht="17.25" customHeight="1" x14ac:dyDescent="0.25">
      <c r="B2" s="17" t="str">
        <f>'NAV EV'!B2</f>
        <v>M/s Kunal Structure (India) Private Limited</v>
      </c>
      <c r="C2" s="16"/>
      <c r="D2" s="16"/>
      <c r="E2" s="16"/>
      <c r="F2" s="16"/>
      <c r="G2" s="16"/>
      <c r="H2" s="16"/>
    </row>
    <row r="3" spans="2:8" ht="10.5" customHeight="1" x14ac:dyDescent="0.25"/>
    <row r="4" spans="2:8" ht="18" customHeight="1" x14ac:dyDescent="0.25">
      <c r="B4" s="2" t="s">
        <v>8</v>
      </c>
      <c r="C4" s="1"/>
      <c r="D4" s="1"/>
      <c r="E4" s="1"/>
      <c r="F4" s="1"/>
      <c r="G4" s="1"/>
      <c r="H4" s="1"/>
    </row>
    <row r="5" spans="2:8" ht="9.75" customHeight="1" x14ac:dyDescent="0.25"/>
    <row r="6" spans="2:8" s="18" customFormat="1" ht="20.25" customHeight="1" x14ac:dyDescent="0.25">
      <c r="B6" s="2" t="s">
        <v>13</v>
      </c>
      <c r="C6" s="2"/>
      <c r="D6" s="2"/>
      <c r="E6" s="10" t="s">
        <v>105</v>
      </c>
      <c r="F6" s="10" t="s">
        <v>1</v>
      </c>
      <c r="G6" s="10" t="s">
        <v>14</v>
      </c>
      <c r="H6" s="10" t="s">
        <v>147</v>
      </c>
    </row>
    <row r="7" spans="2:8" ht="10.5" customHeight="1" x14ac:dyDescent="0.25">
      <c r="E7" s="19"/>
    </row>
    <row r="8" spans="2:8" ht="22.5" customHeight="1" x14ac:dyDescent="0.25">
      <c r="B8" s="7" t="s">
        <v>17</v>
      </c>
      <c r="E8" s="19"/>
      <c r="H8" s="114" t="s">
        <v>148</v>
      </c>
    </row>
    <row r="9" spans="2:8" ht="38.25" customHeight="1" x14ac:dyDescent="0.25">
      <c r="B9" s="20" t="s">
        <v>18</v>
      </c>
      <c r="E9" s="19"/>
      <c r="H9" s="114"/>
    </row>
    <row r="10" spans="2:8" ht="33" customHeight="1" x14ac:dyDescent="0.25">
      <c r="B10" s="5" t="s">
        <v>146</v>
      </c>
      <c r="E10" s="19">
        <v>12942.25</v>
      </c>
      <c r="F10" s="18">
        <f>1601.98*G10</f>
        <v>800.99</v>
      </c>
      <c r="G10" s="24">
        <v>0.5</v>
      </c>
      <c r="H10" s="114"/>
    </row>
    <row r="11" spans="2:8" ht="42.75" customHeight="1" x14ac:dyDescent="0.25">
      <c r="B11" s="5"/>
      <c r="E11" s="4"/>
      <c r="F11" s="4"/>
      <c r="G11" s="24"/>
      <c r="H11" s="114"/>
    </row>
    <row r="12" spans="2:8" ht="20.25" customHeight="1" x14ac:dyDescent="0.25">
      <c r="B12" s="28" t="s">
        <v>19</v>
      </c>
      <c r="C12" s="28"/>
      <c r="D12" s="28"/>
      <c r="E12" s="8">
        <f>SUM(E10:E11)</f>
        <v>12942.25</v>
      </c>
      <c r="F12" s="8">
        <f>SUM(F10:F11)</f>
        <v>800.99</v>
      </c>
      <c r="G12" s="27"/>
    </row>
    <row r="13" spans="2:8" x14ac:dyDescent="0.25">
      <c r="B13" s="5"/>
      <c r="E13" s="4"/>
      <c r="F13" s="4"/>
      <c r="G13" s="24"/>
    </row>
    <row r="14" spans="2:8" x14ac:dyDescent="0.25">
      <c r="B14" s="7" t="s">
        <v>20</v>
      </c>
      <c r="E14" s="4"/>
      <c r="F14" s="4"/>
      <c r="G14" s="24"/>
    </row>
    <row r="15" spans="2:8" x14ac:dyDescent="0.25">
      <c r="B15" s="29"/>
      <c r="E15" s="4"/>
      <c r="F15" s="4"/>
      <c r="G15" s="24"/>
    </row>
    <row r="16" spans="2:8" x14ac:dyDescent="0.25">
      <c r="B16" s="30" t="s">
        <v>149</v>
      </c>
      <c r="E16" s="4">
        <v>12393.16</v>
      </c>
      <c r="F16" s="4"/>
      <c r="G16" s="24"/>
    </row>
    <row r="17" spans="2:7" x14ac:dyDescent="0.25">
      <c r="B17" s="5"/>
      <c r="F17" s="4"/>
      <c r="G17" s="24"/>
    </row>
    <row r="18" spans="2:7" x14ac:dyDescent="0.25">
      <c r="B18" s="30" t="s">
        <v>150</v>
      </c>
      <c r="E18" s="4">
        <v>375.56</v>
      </c>
      <c r="F18" s="4">
        <v>2595.13</v>
      </c>
      <c r="G18" s="24"/>
    </row>
    <row r="19" spans="2:7" x14ac:dyDescent="0.25">
      <c r="B19" s="5"/>
      <c r="E19" s="4"/>
      <c r="F19" s="4"/>
      <c r="G19" s="24"/>
    </row>
    <row r="20" spans="2:7" ht="15.75" customHeight="1" x14ac:dyDescent="0.25">
      <c r="B20" s="28" t="s">
        <v>19</v>
      </c>
      <c r="C20" s="28"/>
      <c r="D20" s="28"/>
      <c r="E20" s="8">
        <f>SUM(E16:E18)</f>
        <v>12768.72</v>
      </c>
      <c r="F20" s="8">
        <f>F18*G20</f>
        <v>1557.078</v>
      </c>
      <c r="G20" s="27">
        <v>0.6</v>
      </c>
    </row>
    <row r="21" spans="2:7" x14ac:dyDescent="0.25">
      <c r="B21" s="5"/>
      <c r="E21" s="4"/>
      <c r="F21" s="4"/>
      <c r="G21" s="24"/>
    </row>
    <row r="22" spans="2:7" x14ac:dyDescent="0.25">
      <c r="B22" s="7" t="s">
        <v>21</v>
      </c>
      <c r="E22" s="4"/>
      <c r="F22" s="4"/>
      <c r="G22" s="24"/>
    </row>
    <row r="23" spans="2:7" x14ac:dyDescent="0.25">
      <c r="B23" s="5" t="s">
        <v>151</v>
      </c>
      <c r="E23" s="4"/>
      <c r="F23" s="4"/>
      <c r="G23" s="24"/>
    </row>
    <row r="24" spans="2:7" x14ac:dyDescent="0.25">
      <c r="B24" s="37" t="s">
        <v>152</v>
      </c>
    </row>
    <row r="25" spans="2:7" x14ac:dyDescent="0.25">
      <c r="B25" s="39" t="s">
        <v>153</v>
      </c>
      <c r="E25" s="4">
        <v>32.880000000000003</v>
      </c>
      <c r="F25" s="4">
        <f>E25*G25</f>
        <v>16.440000000000001</v>
      </c>
      <c r="G25" s="24">
        <v>0.5</v>
      </c>
    </row>
    <row r="26" spans="2:7" x14ac:dyDescent="0.25">
      <c r="B26" s="39" t="s">
        <v>155</v>
      </c>
      <c r="E26" s="4">
        <v>155.79</v>
      </c>
      <c r="F26" s="4">
        <f>E26*G26</f>
        <v>77.894999999999996</v>
      </c>
      <c r="G26" s="24">
        <v>0.5</v>
      </c>
    </row>
    <row r="27" spans="2:7" x14ac:dyDescent="0.25">
      <c r="B27" s="39" t="s">
        <v>154</v>
      </c>
      <c r="E27" s="4">
        <v>0.37</v>
      </c>
      <c r="F27" s="4">
        <f>E27*G27</f>
        <v>0.185</v>
      </c>
      <c r="G27" s="24">
        <v>0.5</v>
      </c>
    </row>
    <row r="28" spans="2:7" x14ac:dyDescent="0.25">
      <c r="B28" s="37" t="s">
        <v>156</v>
      </c>
      <c r="E28" s="4">
        <v>22.51</v>
      </c>
      <c r="F28" s="4">
        <f>E28*G28</f>
        <v>11.255000000000001</v>
      </c>
      <c r="G28" s="24">
        <v>0.5</v>
      </c>
    </row>
    <row r="29" spans="2:7" x14ac:dyDescent="0.25">
      <c r="B29" s="28" t="s">
        <v>159</v>
      </c>
      <c r="C29" s="28"/>
      <c r="D29" s="28"/>
      <c r="E29" s="8">
        <f>SUM(E23:E28)</f>
        <v>211.54999999999998</v>
      </c>
      <c r="F29" s="8">
        <f>SUM(F23:F28)</f>
        <v>105.77499999999999</v>
      </c>
      <c r="G29" s="27"/>
    </row>
    <row r="30" spans="2:7" x14ac:dyDescent="0.25">
      <c r="B30" s="32"/>
      <c r="C30" s="32"/>
      <c r="D30" s="32"/>
      <c r="E30" s="33"/>
      <c r="F30" s="33"/>
      <c r="G30" s="34"/>
    </row>
    <row r="31" spans="2:7" x14ac:dyDescent="0.25">
      <c r="B31" s="5" t="s">
        <v>157</v>
      </c>
      <c r="C31" s="32"/>
      <c r="D31" s="32"/>
      <c r="E31" s="33"/>
      <c r="F31" s="33"/>
      <c r="G31" s="34"/>
    </row>
    <row r="32" spans="2:7" ht="30" x14ac:dyDescent="0.25">
      <c r="B32" s="75" t="s">
        <v>158</v>
      </c>
      <c r="C32" s="32"/>
      <c r="D32" s="32"/>
      <c r="E32" s="4">
        <v>6657.54</v>
      </c>
      <c r="F32" s="4">
        <f>E32*G32</f>
        <v>0</v>
      </c>
      <c r="G32" s="24">
        <v>0</v>
      </c>
    </row>
    <row r="33" spans="2:7" x14ac:dyDescent="0.25">
      <c r="B33" s="28" t="s">
        <v>160</v>
      </c>
      <c r="C33" s="28"/>
      <c r="D33" s="28"/>
      <c r="E33" s="8">
        <f>SUM(E32)</f>
        <v>6657.54</v>
      </c>
      <c r="F33" s="8">
        <f>SUM(F32)</f>
        <v>0</v>
      </c>
      <c r="G33" s="27"/>
    </row>
    <row r="34" spans="2:7" x14ac:dyDescent="0.25">
      <c r="B34" s="32"/>
      <c r="C34" s="32"/>
      <c r="D34" s="32"/>
      <c r="E34" s="33"/>
      <c r="F34" s="33"/>
      <c r="G34" s="34"/>
    </row>
    <row r="35" spans="2:7" x14ac:dyDescent="0.25">
      <c r="B35" s="28" t="s">
        <v>19</v>
      </c>
      <c r="C35" s="28"/>
      <c r="D35" s="28"/>
      <c r="E35" s="8"/>
      <c r="F35" s="8">
        <f>F29+F33</f>
        <v>105.77499999999999</v>
      </c>
      <c r="G35" s="27"/>
    </row>
    <row r="36" spans="2:7" x14ac:dyDescent="0.25">
      <c r="B36" s="32"/>
      <c r="C36" s="32"/>
      <c r="D36" s="32"/>
      <c r="E36" s="33"/>
      <c r="F36" s="33"/>
      <c r="G36" s="34"/>
    </row>
    <row r="37" spans="2:7" x14ac:dyDescent="0.25">
      <c r="B37" s="32"/>
      <c r="C37" s="32"/>
      <c r="D37" s="32"/>
      <c r="E37" s="33"/>
      <c r="F37" s="33"/>
      <c r="G37" s="34"/>
    </row>
    <row r="38" spans="2:7" x14ac:dyDescent="0.25">
      <c r="B38" s="7" t="s">
        <v>161</v>
      </c>
      <c r="E38" s="4"/>
      <c r="F38" s="4"/>
      <c r="G38" s="24"/>
    </row>
    <row r="39" spans="2:7" x14ac:dyDescent="0.25">
      <c r="B39" s="31" t="s">
        <v>118</v>
      </c>
      <c r="E39" s="4">
        <v>6227.5</v>
      </c>
      <c r="F39" s="4">
        <f>E39*G39</f>
        <v>6227.5</v>
      </c>
      <c r="G39" s="24">
        <v>1</v>
      </c>
    </row>
    <row r="40" spans="2:7" x14ac:dyDescent="0.25">
      <c r="B40" s="76" t="s">
        <v>162</v>
      </c>
      <c r="E40" s="4">
        <v>36.94</v>
      </c>
      <c r="F40" s="4">
        <f t="shared" ref="F40:F41" si="0">E40*G40</f>
        <v>0</v>
      </c>
      <c r="G40" s="24">
        <v>0</v>
      </c>
    </row>
    <row r="41" spans="2:7" x14ac:dyDescent="0.25">
      <c r="B41" s="31" t="s">
        <v>163</v>
      </c>
      <c r="E41" s="67">
        <v>43.88</v>
      </c>
      <c r="F41" s="4">
        <f t="shared" si="0"/>
        <v>43.88</v>
      </c>
      <c r="G41" s="24">
        <v>1</v>
      </c>
    </row>
    <row r="42" spans="2:7" x14ac:dyDescent="0.25">
      <c r="B42" s="5"/>
      <c r="E42" s="4"/>
      <c r="F42" s="4"/>
      <c r="G42" s="24"/>
    </row>
    <row r="43" spans="2:7" x14ac:dyDescent="0.25">
      <c r="B43" s="28" t="s">
        <v>19</v>
      </c>
      <c r="C43" s="28"/>
      <c r="D43" s="28"/>
      <c r="E43" s="8">
        <f>SUM(E39:E41)</f>
        <v>6308.32</v>
      </c>
      <c r="F43" s="8">
        <f>SUM(F39:F42)</f>
        <v>6271.38</v>
      </c>
      <c r="G43" s="27"/>
    </row>
    <row r="44" spans="2:7" x14ac:dyDescent="0.25">
      <c r="B44" s="32"/>
      <c r="C44" s="32"/>
      <c r="D44" s="32"/>
      <c r="E44" s="33"/>
      <c r="F44" s="33"/>
      <c r="G44" s="34"/>
    </row>
    <row r="45" spans="2:7" x14ac:dyDescent="0.25">
      <c r="B45" s="32"/>
      <c r="C45" s="32"/>
      <c r="D45" s="32"/>
      <c r="E45" s="33"/>
      <c r="F45" s="33"/>
      <c r="G45" s="34"/>
    </row>
    <row r="46" spans="2:7" x14ac:dyDescent="0.25">
      <c r="B46" s="7" t="s">
        <v>164</v>
      </c>
      <c r="E46" s="4"/>
      <c r="F46" s="4"/>
      <c r="G46" s="24"/>
    </row>
    <row r="47" spans="2:7" x14ac:dyDescent="0.25">
      <c r="B47" s="31" t="s">
        <v>165</v>
      </c>
      <c r="E47" s="4">
        <v>1734.21</v>
      </c>
      <c r="F47" s="4">
        <f>E47*G47</f>
        <v>1734.21</v>
      </c>
      <c r="G47" s="24">
        <v>1</v>
      </c>
    </row>
    <row r="48" spans="2:7" x14ac:dyDescent="0.25">
      <c r="B48" s="5"/>
      <c r="E48" s="4"/>
      <c r="F48" s="4"/>
      <c r="G48" s="24"/>
    </row>
    <row r="49" spans="2:7" x14ac:dyDescent="0.25">
      <c r="B49" s="28" t="s">
        <v>53</v>
      </c>
      <c r="C49" s="28"/>
      <c r="D49" s="28"/>
      <c r="E49" s="8">
        <f>SUM(E47:E47)</f>
        <v>1734.21</v>
      </c>
      <c r="F49" s="8">
        <f>SUM(F47:F48)</f>
        <v>1734.21</v>
      </c>
      <c r="G49" s="27"/>
    </row>
    <row r="50" spans="2:7" x14ac:dyDescent="0.25">
      <c r="B50" s="32"/>
      <c r="C50" s="32"/>
      <c r="D50" s="32"/>
      <c r="E50" s="33"/>
      <c r="F50" s="33"/>
      <c r="G50" s="34"/>
    </row>
    <row r="51" spans="2:7" x14ac:dyDescent="0.25">
      <c r="B51" s="32"/>
      <c r="C51" s="32"/>
      <c r="D51" s="32"/>
      <c r="E51" s="33"/>
      <c r="F51" s="33"/>
      <c r="G51" s="34"/>
    </row>
    <row r="52" spans="2:7" x14ac:dyDescent="0.25">
      <c r="B52" s="7" t="s">
        <v>166</v>
      </c>
      <c r="E52" s="4"/>
      <c r="F52" s="4"/>
      <c r="G52" s="24"/>
    </row>
    <row r="53" spans="2:7" x14ac:dyDescent="0.25">
      <c r="B53" s="31" t="s">
        <v>124</v>
      </c>
      <c r="E53" s="4">
        <v>527.51</v>
      </c>
      <c r="F53" s="4">
        <f>E53*G53</f>
        <v>158.25299999999999</v>
      </c>
      <c r="G53" s="24">
        <v>0.3</v>
      </c>
    </row>
    <row r="54" spans="2:7" x14ac:dyDescent="0.25">
      <c r="B54" s="31" t="s">
        <v>167</v>
      </c>
      <c r="E54" s="4">
        <v>4282.87</v>
      </c>
      <c r="F54" s="4">
        <f t="shared" ref="F54:F57" si="1">E54*G54</f>
        <v>3426.2960000000003</v>
      </c>
      <c r="G54" s="24">
        <v>0.8</v>
      </c>
    </row>
    <row r="55" spans="2:7" x14ac:dyDescent="0.25">
      <c r="B55" s="31" t="s">
        <v>168</v>
      </c>
      <c r="E55" s="4">
        <v>5695.4</v>
      </c>
      <c r="F55" s="4">
        <f t="shared" si="1"/>
        <v>2847.7</v>
      </c>
      <c r="G55" s="24">
        <v>0.5</v>
      </c>
    </row>
    <row r="56" spans="2:7" x14ac:dyDescent="0.25">
      <c r="B56" s="31" t="s">
        <v>169</v>
      </c>
      <c r="E56" s="4">
        <v>18839</v>
      </c>
      <c r="F56" s="4">
        <f t="shared" si="1"/>
        <v>11303.4</v>
      </c>
      <c r="G56" s="24">
        <v>0.6</v>
      </c>
    </row>
    <row r="57" spans="2:7" x14ac:dyDescent="0.25">
      <c r="B57" s="31" t="s">
        <v>54</v>
      </c>
      <c r="E57" s="4">
        <v>1772.43</v>
      </c>
      <c r="F57" s="4">
        <f t="shared" si="1"/>
        <v>886.21500000000003</v>
      </c>
      <c r="G57" s="24">
        <v>0.5</v>
      </c>
    </row>
    <row r="58" spans="2:7" x14ac:dyDescent="0.25">
      <c r="B58" s="5"/>
      <c r="E58" s="4"/>
      <c r="F58" s="4"/>
      <c r="G58" s="24"/>
    </row>
    <row r="59" spans="2:7" x14ac:dyDescent="0.25">
      <c r="B59" s="28" t="s">
        <v>53</v>
      </c>
      <c r="C59" s="28"/>
      <c r="D59" s="28"/>
      <c r="E59" s="8">
        <f>SUM(E53:E58)</f>
        <v>31117.21</v>
      </c>
      <c r="F59" s="8">
        <f>SUM(F53:F58)</f>
        <v>18621.863999999998</v>
      </c>
      <c r="G59" s="27"/>
    </row>
    <row r="60" spans="2:7" x14ac:dyDescent="0.25">
      <c r="B60" s="32"/>
      <c r="C60" s="32"/>
      <c r="D60" s="32"/>
      <c r="E60" s="33"/>
      <c r="F60" s="33"/>
      <c r="G60" s="34"/>
    </row>
    <row r="61" spans="2:7" x14ac:dyDescent="0.25">
      <c r="B61" s="32"/>
      <c r="C61" s="32"/>
      <c r="D61" s="32"/>
      <c r="E61" s="33"/>
      <c r="F61" s="33"/>
      <c r="G61" s="34"/>
    </row>
    <row r="62" spans="2:7" x14ac:dyDescent="0.25">
      <c r="B62" s="32"/>
      <c r="C62" s="32"/>
      <c r="D62" s="32"/>
      <c r="E62" s="33"/>
      <c r="F62" s="33"/>
      <c r="G62" s="34"/>
    </row>
  </sheetData>
  <mergeCells count="1">
    <mergeCell ref="H8:H11"/>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tint="-0.249977111117893"/>
  </sheetPr>
  <dimension ref="B1:F17"/>
  <sheetViews>
    <sheetView workbookViewId="0">
      <selection activeCell="B2" sqref="B2:F17"/>
    </sheetView>
  </sheetViews>
  <sheetFormatPr defaultRowHeight="15" x14ac:dyDescent="0.25"/>
  <cols>
    <col min="1" max="1" width="4.7109375" style="46" customWidth="1"/>
    <col min="2" max="2" width="7.85546875" style="46" customWidth="1"/>
    <col min="3" max="3" width="28.85546875" style="46" customWidth="1"/>
    <col min="4" max="4" width="20.140625" style="46" customWidth="1"/>
    <col min="5" max="5" width="19.7109375" style="46" customWidth="1"/>
    <col min="6" max="6" width="29.7109375" style="46" customWidth="1"/>
    <col min="7" max="16384" width="9.140625" style="46"/>
  </cols>
  <sheetData>
    <row r="1" spans="2:6" ht="20.25" customHeight="1" x14ac:dyDescent="0.25"/>
    <row r="2" spans="2:6" ht="20.25" customHeight="1" x14ac:dyDescent="0.25">
      <c r="B2" s="116" t="s">
        <v>145</v>
      </c>
      <c r="C2" s="116"/>
      <c r="D2" s="116"/>
      <c r="E2" s="116"/>
      <c r="F2" s="116"/>
    </row>
    <row r="3" spans="2:6" ht="20.25" customHeight="1" x14ac:dyDescent="0.25">
      <c r="B3" s="73" t="s">
        <v>127</v>
      </c>
      <c r="C3" s="74" t="s">
        <v>128</v>
      </c>
      <c r="D3" s="74" t="s">
        <v>129</v>
      </c>
      <c r="E3" s="74" t="s">
        <v>130</v>
      </c>
      <c r="F3" s="74" t="s">
        <v>131</v>
      </c>
    </row>
    <row r="4" spans="2:6" ht="20.25" customHeight="1" x14ac:dyDescent="0.25">
      <c r="B4" s="70">
        <v>1</v>
      </c>
      <c r="C4" s="68" t="s">
        <v>132</v>
      </c>
      <c r="D4" s="71">
        <v>2.4700000000000002</v>
      </c>
      <c r="E4" s="71">
        <v>18.440000000000001</v>
      </c>
      <c r="F4" s="71">
        <v>20.91</v>
      </c>
    </row>
    <row r="5" spans="2:6" ht="20.25" customHeight="1" x14ac:dyDescent="0.25">
      <c r="B5" s="70">
        <v>2</v>
      </c>
      <c r="C5" s="68" t="s">
        <v>133</v>
      </c>
      <c r="D5" s="71">
        <v>1.76</v>
      </c>
      <c r="E5" s="71">
        <v>3</v>
      </c>
      <c r="F5" s="71">
        <v>4.76</v>
      </c>
    </row>
    <row r="6" spans="2:6" ht="20.25" customHeight="1" x14ac:dyDescent="0.25">
      <c r="B6" s="70">
        <v>3</v>
      </c>
      <c r="C6" s="68" t="s">
        <v>134</v>
      </c>
      <c r="D6" s="71">
        <v>22.53</v>
      </c>
      <c r="E6" s="71">
        <v>0</v>
      </c>
      <c r="F6" s="71">
        <v>22.53</v>
      </c>
    </row>
    <row r="7" spans="2:6" ht="20.25" customHeight="1" x14ac:dyDescent="0.25">
      <c r="B7" s="70">
        <v>4</v>
      </c>
      <c r="C7" s="68" t="s">
        <v>135</v>
      </c>
      <c r="D7" s="71">
        <v>17.510000000000002</v>
      </c>
      <c r="E7" s="71">
        <v>17.27</v>
      </c>
      <c r="F7" s="71">
        <v>34.78</v>
      </c>
    </row>
    <row r="8" spans="2:6" ht="20.25" customHeight="1" x14ac:dyDescent="0.25">
      <c r="B8" s="70">
        <v>5</v>
      </c>
      <c r="C8" s="68" t="s">
        <v>136</v>
      </c>
      <c r="D8" s="71">
        <v>20.97</v>
      </c>
      <c r="E8" s="71">
        <v>8.27</v>
      </c>
      <c r="F8" s="71">
        <v>29.24</v>
      </c>
    </row>
    <row r="9" spans="2:6" ht="20.25" customHeight="1" x14ac:dyDescent="0.25">
      <c r="B9" s="70">
        <v>6</v>
      </c>
      <c r="C9" s="68" t="s">
        <v>137</v>
      </c>
      <c r="D9" s="71">
        <v>24.39</v>
      </c>
      <c r="E9" s="71">
        <v>21.07</v>
      </c>
      <c r="F9" s="71">
        <v>45.46</v>
      </c>
    </row>
    <row r="10" spans="2:6" ht="20.25" customHeight="1" x14ac:dyDescent="0.25">
      <c r="B10" s="70">
        <v>7</v>
      </c>
      <c r="C10" s="68" t="s">
        <v>138</v>
      </c>
      <c r="D10" s="71">
        <v>9.31</v>
      </c>
      <c r="E10" s="71">
        <v>11.52</v>
      </c>
      <c r="F10" s="71">
        <v>20.83</v>
      </c>
    </row>
    <row r="11" spans="2:6" ht="20.25" customHeight="1" x14ac:dyDescent="0.25">
      <c r="B11" s="70">
        <v>8</v>
      </c>
      <c r="C11" s="68" t="s">
        <v>139</v>
      </c>
      <c r="D11" s="71">
        <v>19.32</v>
      </c>
      <c r="E11" s="71">
        <v>1.6</v>
      </c>
      <c r="F11" s="71">
        <v>20.92</v>
      </c>
    </row>
    <row r="12" spans="2:6" ht="20.25" customHeight="1" x14ac:dyDescent="0.25">
      <c r="B12" s="70">
        <v>9</v>
      </c>
      <c r="C12" s="68" t="s">
        <v>140</v>
      </c>
      <c r="D12" s="71">
        <v>14.41</v>
      </c>
      <c r="E12" s="71">
        <v>0</v>
      </c>
      <c r="F12" s="71">
        <v>14.41</v>
      </c>
    </row>
    <row r="13" spans="2:6" ht="20.25" customHeight="1" x14ac:dyDescent="0.25">
      <c r="B13" s="70">
        <v>10</v>
      </c>
      <c r="C13" s="68" t="s">
        <v>141</v>
      </c>
      <c r="D13" s="71">
        <v>9.77</v>
      </c>
      <c r="E13" s="71">
        <v>20.6</v>
      </c>
      <c r="F13" s="71">
        <v>30.37</v>
      </c>
    </row>
    <row r="14" spans="2:6" ht="20.25" customHeight="1" x14ac:dyDescent="0.25">
      <c r="B14" s="70">
        <v>11</v>
      </c>
      <c r="C14" s="68" t="s">
        <v>142</v>
      </c>
      <c r="D14" s="71">
        <v>20.2</v>
      </c>
      <c r="E14" s="71">
        <v>10.51</v>
      </c>
      <c r="F14" s="71">
        <v>30.71</v>
      </c>
    </row>
    <row r="15" spans="2:6" ht="20.25" customHeight="1" x14ac:dyDescent="0.25">
      <c r="B15" s="70">
        <v>12</v>
      </c>
      <c r="C15" s="68" t="s">
        <v>143</v>
      </c>
      <c r="D15" s="71">
        <v>6.73</v>
      </c>
      <c r="E15" s="71">
        <v>18.34</v>
      </c>
      <c r="F15" s="71">
        <v>25.07</v>
      </c>
    </row>
    <row r="16" spans="2:6" ht="20.25" customHeight="1" x14ac:dyDescent="0.25">
      <c r="B16" s="89"/>
      <c r="C16" s="90" t="s">
        <v>144</v>
      </c>
      <c r="D16" s="91">
        <v>169.38</v>
      </c>
      <c r="E16" s="91">
        <v>130.62</v>
      </c>
      <c r="F16" s="91">
        <v>300</v>
      </c>
    </row>
    <row r="17" spans="2:6" ht="18" customHeight="1" x14ac:dyDescent="0.25">
      <c r="B17" s="117" t="s">
        <v>221</v>
      </c>
      <c r="C17" s="118"/>
      <c r="D17" s="118"/>
      <c r="E17" s="118"/>
      <c r="F17" s="119"/>
    </row>
  </sheetData>
  <mergeCells count="2">
    <mergeCell ref="B2:F2"/>
    <mergeCell ref="B17:F17"/>
  </mergeCells>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tabColor theme="6" tint="-0.499984740745262"/>
  </sheetPr>
  <dimension ref="B1:J99"/>
  <sheetViews>
    <sheetView showGridLines="0" zoomScaleNormal="100" workbookViewId="0"/>
  </sheetViews>
  <sheetFormatPr defaultRowHeight="15" x14ac:dyDescent="0.25"/>
  <cols>
    <col min="1" max="1" width="4.42578125" customWidth="1"/>
    <col min="2" max="2" width="45.140625" customWidth="1"/>
    <col min="3" max="3" width="4.5703125" customWidth="1"/>
    <col min="4" max="4" width="4.140625" customWidth="1"/>
    <col min="5" max="5" width="37" customWidth="1"/>
    <col min="6" max="6" width="5.7109375" customWidth="1"/>
    <col min="7" max="7" width="3.85546875" customWidth="1"/>
    <col min="8" max="8" width="25" customWidth="1"/>
    <col min="10" max="10" width="12" customWidth="1"/>
  </cols>
  <sheetData>
    <row r="1" spans="2:10" ht="15.75" customHeight="1" x14ac:dyDescent="0.25"/>
    <row r="2" spans="2:10" ht="17.25" customHeight="1" x14ac:dyDescent="0.25">
      <c r="B2" s="17" t="str">
        <f>'NAV EV'!B2</f>
        <v>M/s Kunal Structure (India) Private Limited</v>
      </c>
      <c r="C2" s="16"/>
      <c r="D2" s="16"/>
      <c r="E2" s="16"/>
      <c r="F2" s="16"/>
      <c r="G2" s="16"/>
      <c r="H2" s="16"/>
      <c r="I2" s="16"/>
      <c r="J2" s="16"/>
    </row>
    <row r="3" spans="2:10" ht="10.5" customHeight="1" x14ac:dyDescent="0.25"/>
    <row r="4" spans="2:10" ht="18" customHeight="1" x14ac:dyDescent="0.25">
      <c r="B4" s="2" t="s">
        <v>22</v>
      </c>
      <c r="C4" s="1"/>
      <c r="D4" s="1"/>
      <c r="E4" s="1"/>
      <c r="F4" s="1"/>
      <c r="G4" s="1"/>
      <c r="H4" s="1"/>
      <c r="I4" s="1"/>
      <c r="J4" s="1"/>
    </row>
    <row r="5" spans="2:10" ht="9.75" customHeight="1" x14ac:dyDescent="0.25"/>
    <row r="6" spans="2:10" ht="18" customHeight="1" x14ac:dyDescent="0.25">
      <c r="B6" s="2" t="s">
        <v>13</v>
      </c>
      <c r="C6" s="2"/>
      <c r="D6" s="2"/>
      <c r="E6" s="10" t="s">
        <v>105</v>
      </c>
      <c r="F6" s="2"/>
      <c r="G6" s="2"/>
      <c r="H6" s="10" t="s">
        <v>1</v>
      </c>
      <c r="I6" s="2"/>
      <c r="J6" s="9" t="s">
        <v>14</v>
      </c>
    </row>
    <row r="7" spans="2:10" ht="10.5" customHeight="1" x14ac:dyDescent="0.25">
      <c r="E7" s="19"/>
    </row>
    <row r="8" spans="2:10" ht="16.5" customHeight="1" x14ac:dyDescent="0.25">
      <c r="B8" s="3" t="s">
        <v>26</v>
      </c>
      <c r="E8" s="19"/>
    </row>
    <row r="9" spans="2:10" ht="18.75" customHeight="1" x14ac:dyDescent="0.25">
      <c r="B9" s="20" t="s">
        <v>25</v>
      </c>
      <c r="E9" s="19"/>
    </row>
    <row r="10" spans="2:10" ht="18.75" customHeight="1" x14ac:dyDescent="0.25">
      <c r="B10" s="36" t="s">
        <v>23</v>
      </c>
      <c r="E10" s="19"/>
    </row>
    <row r="11" spans="2:10" ht="18.75" customHeight="1" x14ac:dyDescent="0.25">
      <c r="B11" s="37" t="s">
        <v>170</v>
      </c>
      <c r="E11" s="4">
        <f>5500000*10/10^5</f>
        <v>550</v>
      </c>
      <c r="H11" s="4">
        <f>E11*J11</f>
        <v>550</v>
      </c>
      <c r="J11" s="24">
        <v>1</v>
      </c>
    </row>
    <row r="12" spans="2:10" ht="18.75" customHeight="1" x14ac:dyDescent="0.25">
      <c r="B12" s="20"/>
      <c r="E12" s="4"/>
      <c r="H12" s="4"/>
      <c r="J12" s="24"/>
    </row>
    <row r="13" spans="2:10" ht="18.75" customHeight="1" x14ac:dyDescent="0.25">
      <c r="B13" s="35" t="s">
        <v>24</v>
      </c>
    </row>
    <row r="14" spans="2:10" ht="30" x14ac:dyDescent="0.25">
      <c r="B14" s="75" t="s">
        <v>171</v>
      </c>
      <c r="E14" s="4">
        <f>5030000*10/10^5</f>
        <v>503</v>
      </c>
      <c r="H14" s="4">
        <f t="shared" ref="H14" si="0">E14*J14</f>
        <v>503</v>
      </c>
      <c r="J14" s="24">
        <v>1</v>
      </c>
    </row>
    <row r="15" spans="2:10" x14ac:dyDescent="0.25">
      <c r="B15" s="5"/>
      <c r="E15" s="4"/>
      <c r="H15" s="4"/>
      <c r="J15" s="24"/>
    </row>
    <row r="16" spans="2:10" ht="17.25" customHeight="1" x14ac:dyDescent="0.25">
      <c r="B16" s="28" t="s">
        <v>19</v>
      </c>
      <c r="C16" s="28"/>
      <c r="D16" s="28"/>
      <c r="E16" s="8">
        <f>SUM(E14)</f>
        <v>503</v>
      </c>
      <c r="F16" s="8"/>
      <c r="G16" s="8"/>
      <c r="H16" s="8">
        <f>SUM(H14)</f>
        <v>503</v>
      </c>
      <c r="I16" s="28"/>
      <c r="J16" s="27"/>
    </row>
    <row r="17" spans="2:10" x14ac:dyDescent="0.25">
      <c r="B17" s="5"/>
      <c r="E17" s="4"/>
      <c r="H17" s="4"/>
      <c r="J17" s="24"/>
    </row>
    <row r="18" spans="2:10" x14ac:dyDescent="0.25">
      <c r="B18" s="7" t="s">
        <v>172</v>
      </c>
      <c r="E18" s="4"/>
      <c r="H18" s="4"/>
      <c r="J18" s="24"/>
    </row>
    <row r="19" spans="2:10" ht="30" x14ac:dyDescent="0.25">
      <c r="B19" s="77" t="s">
        <v>173</v>
      </c>
      <c r="E19" s="4"/>
      <c r="H19" s="4"/>
      <c r="J19" s="24"/>
    </row>
    <row r="20" spans="2:10" x14ac:dyDescent="0.25">
      <c r="B20" s="75" t="s">
        <v>174</v>
      </c>
      <c r="E20" s="4">
        <v>30851.89</v>
      </c>
      <c r="H20" s="4">
        <f t="shared" ref="H20:H21" si="1">E20*J20</f>
        <v>30851.89</v>
      </c>
      <c r="J20" s="24">
        <v>1</v>
      </c>
    </row>
    <row r="21" spans="2:10" ht="30" x14ac:dyDescent="0.25">
      <c r="B21" s="75" t="s">
        <v>175</v>
      </c>
      <c r="E21" s="4">
        <v>-4330.24</v>
      </c>
      <c r="H21" s="4">
        <f t="shared" si="1"/>
        <v>-4330.24</v>
      </c>
      <c r="J21" s="24">
        <v>1</v>
      </c>
    </row>
    <row r="22" spans="2:10" ht="17.25" customHeight="1" x14ac:dyDescent="0.25">
      <c r="B22" s="28" t="s">
        <v>176</v>
      </c>
      <c r="C22" s="28"/>
      <c r="D22" s="28"/>
      <c r="E22" s="8">
        <f>SUM(E20:E21)</f>
        <v>26521.65</v>
      </c>
      <c r="F22" s="8"/>
      <c r="G22" s="8"/>
      <c r="H22" s="8">
        <f t="shared" ref="H22" si="2">SUM(H20:H21)</f>
        <v>26521.65</v>
      </c>
      <c r="I22" s="28"/>
      <c r="J22" s="27"/>
    </row>
    <row r="23" spans="2:10" x14ac:dyDescent="0.25">
      <c r="B23" s="7"/>
      <c r="E23" s="4"/>
      <c r="H23" s="4"/>
      <c r="J23" s="24"/>
    </row>
    <row r="24" spans="2:10" ht="30" x14ac:dyDescent="0.25">
      <c r="B24" s="77" t="s">
        <v>177</v>
      </c>
      <c r="E24" s="4"/>
      <c r="H24" s="4"/>
      <c r="J24" s="24"/>
    </row>
    <row r="25" spans="2:10" x14ac:dyDescent="0.25">
      <c r="B25" s="75" t="s">
        <v>174</v>
      </c>
      <c r="E25" s="4">
        <v>17.22</v>
      </c>
      <c r="H25" s="4">
        <f t="shared" ref="H25:H26" si="3">E25*J25</f>
        <v>0</v>
      </c>
      <c r="J25" s="24">
        <v>0</v>
      </c>
    </row>
    <row r="26" spans="2:10" ht="30" x14ac:dyDescent="0.25">
      <c r="B26" s="75" t="s">
        <v>178</v>
      </c>
      <c r="E26" s="4">
        <v>58.23</v>
      </c>
      <c r="H26" s="4">
        <f t="shared" si="3"/>
        <v>0</v>
      </c>
      <c r="J26" s="24">
        <v>0</v>
      </c>
    </row>
    <row r="27" spans="2:10" ht="17.25" customHeight="1" x14ac:dyDescent="0.25">
      <c r="B27" s="28" t="s">
        <v>176</v>
      </c>
      <c r="C27" s="28"/>
      <c r="D27" s="28"/>
      <c r="E27" s="8">
        <f>SUM(E25:E26)</f>
        <v>75.449999999999989</v>
      </c>
      <c r="F27" s="8"/>
      <c r="G27" s="8"/>
      <c r="H27" s="8">
        <f>SUM(H25:H26)</f>
        <v>0</v>
      </c>
      <c r="I27" s="28"/>
      <c r="J27" s="27"/>
    </row>
    <row r="28" spans="2:10" x14ac:dyDescent="0.25">
      <c r="B28" s="7"/>
      <c r="E28" s="4"/>
      <c r="H28" s="4"/>
      <c r="J28" s="24"/>
    </row>
    <row r="29" spans="2:10" x14ac:dyDescent="0.25">
      <c r="B29" s="77" t="s">
        <v>179</v>
      </c>
      <c r="E29" s="4"/>
      <c r="H29" s="4"/>
      <c r="J29" s="24"/>
    </row>
    <row r="30" spans="2:10" x14ac:dyDescent="0.25">
      <c r="B30" s="75" t="s">
        <v>174</v>
      </c>
      <c r="E30" s="4">
        <v>1387</v>
      </c>
      <c r="H30" s="4">
        <f t="shared" ref="H30:H31" si="4">E30*J30</f>
        <v>1387</v>
      </c>
      <c r="J30" s="24">
        <v>1</v>
      </c>
    </row>
    <row r="31" spans="2:10" x14ac:dyDescent="0.25">
      <c r="B31" s="75" t="s">
        <v>180</v>
      </c>
      <c r="E31" s="4">
        <v>0</v>
      </c>
      <c r="H31" s="4">
        <f t="shared" si="4"/>
        <v>0</v>
      </c>
      <c r="J31" s="24">
        <v>1</v>
      </c>
    </row>
    <row r="32" spans="2:10" ht="17.25" customHeight="1" x14ac:dyDescent="0.25">
      <c r="B32" s="28" t="s">
        <v>176</v>
      </c>
      <c r="C32" s="28"/>
      <c r="D32" s="28"/>
      <c r="E32" s="8">
        <f>SUM(E30:E31)</f>
        <v>1387</v>
      </c>
      <c r="F32" s="8"/>
      <c r="G32" s="8"/>
      <c r="H32" s="8">
        <f>SUM(H30:H31)</f>
        <v>1387</v>
      </c>
      <c r="I32" s="28"/>
      <c r="J32" s="27"/>
    </row>
    <row r="33" spans="2:10" x14ac:dyDescent="0.25">
      <c r="B33" s="7"/>
      <c r="E33" s="4"/>
      <c r="H33" s="4"/>
      <c r="J33" s="24"/>
    </row>
    <row r="34" spans="2:10" ht="17.25" customHeight="1" x14ac:dyDescent="0.25">
      <c r="B34" s="28" t="s">
        <v>181</v>
      </c>
      <c r="C34" s="28"/>
      <c r="D34" s="28"/>
      <c r="E34" s="8">
        <f>E22+E27+E32</f>
        <v>27984.100000000002</v>
      </c>
      <c r="F34" s="8"/>
      <c r="G34" s="8"/>
      <c r="H34" s="8">
        <f>H22+H27+H32</f>
        <v>27908.65</v>
      </c>
      <c r="I34" s="28"/>
      <c r="J34" s="27"/>
    </row>
    <row r="35" spans="2:10" x14ac:dyDescent="0.25">
      <c r="B35" s="7"/>
      <c r="E35" s="4"/>
      <c r="H35" s="4"/>
      <c r="J35" s="24"/>
    </row>
    <row r="36" spans="2:10" x14ac:dyDescent="0.25">
      <c r="B36" s="32"/>
      <c r="C36" s="32"/>
      <c r="D36" s="32"/>
      <c r="E36" s="33"/>
      <c r="F36" s="33"/>
      <c r="G36" s="33"/>
      <c r="H36" s="33"/>
      <c r="I36" s="32"/>
      <c r="J36" s="34"/>
    </row>
    <row r="37" spans="2:10" x14ac:dyDescent="0.25">
      <c r="B37" s="3" t="s">
        <v>27</v>
      </c>
      <c r="C37" s="32"/>
      <c r="D37" s="32"/>
      <c r="E37" s="33"/>
      <c r="F37" s="33"/>
      <c r="G37" s="33"/>
      <c r="H37" s="33"/>
      <c r="I37" s="32"/>
      <c r="J37" s="34"/>
    </row>
    <row r="38" spans="2:10" x14ac:dyDescent="0.25">
      <c r="B38" s="14" t="s">
        <v>182</v>
      </c>
      <c r="C38" s="32"/>
      <c r="D38" s="32"/>
      <c r="E38" s="33"/>
      <c r="F38" s="33"/>
      <c r="G38" s="33"/>
      <c r="H38" s="33"/>
      <c r="I38" s="32"/>
      <c r="J38" s="34"/>
    </row>
    <row r="39" spans="2:10" x14ac:dyDescent="0.25">
      <c r="B39" s="38" t="s">
        <v>28</v>
      </c>
      <c r="C39" s="32"/>
      <c r="D39" s="32"/>
      <c r="E39" s="33"/>
      <c r="F39" s="33"/>
      <c r="G39" s="33"/>
      <c r="H39" s="33"/>
      <c r="I39" s="32"/>
      <c r="J39" s="34"/>
    </row>
    <row r="40" spans="2:10" x14ac:dyDescent="0.25">
      <c r="B40" s="39" t="s">
        <v>183</v>
      </c>
      <c r="C40" s="32"/>
      <c r="D40" s="32"/>
      <c r="E40" s="4">
        <v>3711.17</v>
      </c>
      <c r="F40" s="33"/>
      <c r="G40" s="33"/>
      <c r="H40" s="33"/>
      <c r="I40" s="32"/>
      <c r="J40" s="34"/>
    </row>
    <row r="41" spans="2:10" x14ac:dyDescent="0.25">
      <c r="B41" s="39" t="s">
        <v>184</v>
      </c>
      <c r="C41" s="32"/>
      <c r="D41" s="32"/>
      <c r="E41" s="4">
        <v>2671.83</v>
      </c>
      <c r="F41" s="33"/>
      <c r="G41" s="33"/>
      <c r="H41" s="33"/>
      <c r="I41" s="32"/>
      <c r="J41" s="34"/>
    </row>
    <row r="42" spans="2:10" x14ac:dyDescent="0.25">
      <c r="B42" s="39" t="s">
        <v>185</v>
      </c>
      <c r="C42" s="32"/>
      <c r="D42" s="32"/>
      <c r="E42" s="4">
        <v>0</v>
      </c>
      <c r="F42" s="33"/>
      <c r="G42" s="33"/>
      <c r="H42" s="33"/>
      <c r="I42" s="32"/>
      <c r="J42" s="34"/>
    </row>
    <row r="43" spans="2:10" ht="17.25" customHeight="1" x14ac:dyDescent="0.25">
      <c r="B43" s="28" t="s">
        <v>19</v>
      </c>
      <c r="C43" s="28"/>
      <c r="D43" s="28"/>
      <c r="E43" s="8">
        <f>SUM(E40:E42)</f>
        <v>6383</v>
      </c>
      <c r="F43" s="8"/>
      <c r="G43" s="8"/>
      <c r="H43" s="8"/>
      <c r="I43" s="28"/>
      <c r="J43" s="27"/>
    </row>
    <row r="44" spans="2:10" x14ac:dyDescent="0.25">
      <c r="B44" s="39"/>
      <c r="C44" s="32"/>
      <c r="D44" s="32"/>
      <c r="E44" s="33"/>
      <c r="F44" s="33"/>
      <c r="G44" s="33"/>
      <c r="H44" s="33"/>
      <c r="I44" s="32"/>
      <c r="J44" s="34"/>
    </row>
    <row r="45" spans="2:10" ht="30" x14ac:dyDescent="0.25">
      <c r="B45" s="76" t="s">
        <v>186</v>
      </c>
      <c r="C45" s="32"/>
      <c r="D45" s="32"/>
      <c r="E45" s="4">
        <v>6.97</v>
      </c>
      <c r="F45" s="33"/>
      <c r="G45" s="33"/>
      <c r="H45" s="33"/>
      <c r="I45" s="32"/>
      <c r="J45" s="34"/>
    </row>
    <row r="46" spans="2:10" x14ac:dyDescent="0.25">
      <c r="B46" s="79" t="s">
        <v>19</v>
      </c>
      <c r="C46" s="32"/>
      <c r="D46" s="32"/>
      <c r="E46" s="33">
        <f>E43-E45</f>
        <v>6376.03</v>
      </c>
      <c r="F46" s="33"/>
      <c r="G46" s="33"/>
      <c r="H46" s="33"/>
      <c r="I46" s="32"/>
      <c r="J46" s="34"/>
    </row>
    <row r="47" spans="2:10" x14ac:dyDescent="0.25">
      <c r="B47" s="39"/>
      <c r="C47" s="32"/>
      <c r="D47" s="32"/>
      <c r="E47" s="33"/>
      <c r="F47" s="33"/>
      <c r="G47" s="33"/>
      <c r="H47" s="33"/>
      <c r="I47" s="32"/>
      <c r="J47" s="34"/>
    </row>
    <row r="48" spans="2:10" x14ac:dyDescent="0.25">
      <c r="B48" s="78" t="s">
        <v>187</v>
      </c>
      <c r="C48" s="32"/>
      <c r="D48" s="32"/>
      <c r="E48" s="4">
        <v>2500.75</v>
      </c>
      <c r="F48" s="33"/>
      <c r="G48" s="33"/>
      <c r="H48" s="33"/>
      <c r="I48" s="32"/>
      <c r="J48" s="34"/>
    </row>
    <row r="49" spans="2:10" x14ac:dyDescent="0.25">
      <c r="B49" s="78" t="s">
        <v>188</v>
      </c>
      <c r="C49" s="32"/>
      <c r="D49" s="32"/>
      <c r="E49" s="4">
        <v>1500</v>
      </c>
      <c r="F49" s="33"/>
      <c r="G49" s="33"/>
      <c r="H49" s="33"/>
      <c r="I49" s="32"/>
      <c r="J49" s="34"/>
    </row>
    <row r="50" spans="2:10" x14ac:dyDescent="0.25">
      <c r="B50" s="28" t="s">
        <v>19</v>
      </c>
      <c r="C50" s="28"/>
      <c r="D50" s="28"/>
      <c r="E50" s="8">
        <f>E46+E48+E49</f>
        <v>10376.779999999999</v>
      </c>
      <c r="F50" s="8"/>
      <c r="G50" s="8"/>
      <c r="H50" s="8">
        <f>'Total Outstanding '!F16*10^7/10^5+50.11+406.55+700.31+144.96+385.34+1467.52+130.01+1386.53+1164.69+269.23+750.44+162.72+32.23+307.88+1005.87+1363.55+131.32+1500</f>
        <v>41359.260000000017</v>
      </c>
      <c r="I50" s="28"/>
      <c r="J50" s="27"/>
    </row>
    <row r="51" spans="2:10" x14ac:dyDescent="0.25">
      <c r="B51" s="29"/>
      <c r="C51" s="32"/>
      <c r="D51" s="32"/>
      <c r="E51" s="33"/>
      <c r="F51" s="33"/>
      <c r="G51" s="33"/>
      <c r="H51" s="33"/>
      <c r="I51" s="32"/>
      <c r="J51" s="34"/>
    </row>
    <row r="52" spans="2:10" x14ac:dyDescent="0.25">
      <c r="B52" s="14" t="s">
        <v>189</v>
      </c>
      <c r="C52" s="32"/>
      <c r="D52" s="32"/>
      <c r="E52" s="33"/>
      <c r="F52" s="33"/>
      <c r="G52" s="33"/>
      <c r="H52" s="33"/>
      <c r="I52" s="32"/>
      <c r="J52" s="34"/>
    </row>
    <row r="53" spans="2:10" x14ac:dyDescent="0.25">
      <c r="B53" s="39" t="s">
        <v>190</v>
      </c>
      <c r="C53" s="32"/>
      <c r="D53" s="32"/>
      <c r="E53" s="4">
        <v>2886.5</v>
      </c>
      <c r="F53" s="33"/>
      <c r="G53" s="33"/>
      <c r="H53" s="4">
        <f>E53*J53</f>
        <v>2886.5</v>
      </c>
      <c r="I53" s="32"/>
      <c r="J53" s="24">
        <v>1</v>
      </c>
    </row>
    <row r="54" spans="2:10" x14ac:dyDescent="0.25">
      <c r="B54" s="28" t="s">
        <v>19</v>
      </c>
      <c r="C54" s="28"/>
      <c r="D54" s="28"/>
      <c r="E54" s="8">
        <f>SUM(E53)</f>
        <v>2886.5</v>
      </c>
      <c r="F54" s="8"/>
      <c r="G54" s="8"/>
      <c r="H54" s="8">
        <f>SUM(H53)</f>
        <v>2886.5</v>
      </c>
      <c r="I54" s="28"/>
      <c r="J54" s="27"/>
    </row>
    <row r="55" spans="2:10" x14ac:dyDescent="0.25">
      <c r="B55" s="29"/>
      <c r="C55" s="32"/>
      <c r="D55" s="32"/>
      <c r="E55" s="33"/>
      <c r="F55" s="33"/>
      <c r="G55" s="33"/>
      <c r="H55" s="33"/>
      <c r="I55" s="32"/>
      <c r="J55" s="34"/>
    </row>
    <row r="56" spans="2:10" x14ac:dyDescent="0.25">
      <c r="B56" s="29"/>
      <c r="C56" s="32"/>
      <c r="D56" s="32"/>
      <c r="E56" s="33"/>
      <c r="F56" s="33"/>
      <c r="G56" s="33"/>
      <c r="H56" s="33"/>
      <c r="I56" s="32"/>
      <c r="J56" s="34"/>
    </row>
    <row r="57" spans="2:10" x14ac:dyDescent="0.25">
      <c r="B57" s="14" t="s">
        <v>191</v>
      </c>
      <c r="C57" s="32"/>
      <c r="D57" s="32"/>
      <c r="E57" s="33"/>
      <c r="F57" s="33"/>
      <c r="G57" s="33"/>
      <c r="H57" s="33"/>
      <c r="I57" s="32"/>
      <c r="J57" s="34"/>
    </row>
    <row r="58" spans="2:10" x14ac:dyDescent="0.25">
      <c r="B58" s="39" t="s">
        <v>192</v>
      </c>
      <c r="C58" s="32"/>
      <c r="D58" s="32"/>
      <c r="E58" s="4">
        <v>65.52</v>
      </c>
      <c r="F58" s="33"/>
      <c r="G58" s="33"/>
      <c r="H58" s="4">
        <f>E58*J58</f>
        <v>65.52</v>
      </c>
      <c r="I58" s="32"/>
      <c r="J58" s="24">
        <v>1</v>
      </c>
    </row>
    <row r="59" spans="2:10" x14ac:dyDescent="0.25">
      <c r="B59" s="28" t="s">
        <v>19</v>
      </c>
      <c r="C59" s="28"/>
      <c r="D59" s="28"/>
      <c r="E59" s="8">
        <f>SUM(E58)</f>
        <v>65.52</v>
      </c>
      <c r="F59" s="8"/>
      <c r="G59" s="8"/>
      <c r="H59" s="8">
        <f>SUM(H58)</f>
        <v>65.52</v>
      </c>
      <c r="I59" s="28"/>
      <c r="J59" s="27"/>
    </row>
    <row r="60" spans="2:10" x14ac:dyDescent="0.25">
      <c r="B60" s="29"/>
      <c r="C60" s="32"/>
      <c r="D60" s="32"/>
      <c r="E60" s="33"/>
      <c r="F60" s="33"/>
      <c r="G60" s="33"/>
      <c r="H60" s="33"/>
      <c r="I60" s="32"/>
      <c r="J60" s="34"/>
    </row>
    <row r="61" spans="2:10" x14ac:dyDescent="0.25">
      <c r="B61" s="29"/>
      <c r="C61" s="32"/>
      <c r="D61" s="32"/>
      <c r="E61" s="33"/>
      <c r="F61" s="33"/>
      <c r="G61" s="33"/>
      <c r="H61" s="33"/>
      <c r="I61" s="32"/>
      <c r="J61" s="34"/>
    </row>
    <row r="62" spans="2:10" x14ac:dyDescent="0.25">
      <c r="B62" s="3" t="s">
        <v>29</v>
      </c>
      <c r="C62" s="32"/>
      <c r="D62" s="32"/>
      <c r="E62" s="33"/>
      <c r="F62" s="33"/>
      <c r="G62" s="33"/>
      <c r="H62" s="33"/>
      <c r="I62" s="32"/>
      <c r="J62" s="34"/>
    </row>
    <row r="63" spans="2:10" x14ac:dyDescent="0.25">
      <c r="B63" s="14" t="s">
        <v>182</v>
      </c>
      <c r="C63" s="32"/>
      <c r="D63" s="32"/>
      <c r="E63" s="33"/>
      <c r="F63" s="33"/>
      <c r="G63" s="33"/>
      <c r="H63" s="33"/>
      <c r="I63" s="32"/>
      <c r="J63" s="34"/>
    </row>
    <row r="64" spans="2:10" x14ac:dyDescent="0.25">
      <c r="B64" s="38" t="s">
        <v>194</v>
      </c>
      <c r="C64" s="32"/>
      <c r="D64" s="32"/>
      <c r="E64" s="33"/>
      <c r="F64" s="33"/>
      <c r="G64" s="33"/>
      <c r="H64" s="33"/>
      <c r="I64" s="32"/>
      <c r="J64" s="34"/>
    </row>
    <row r="65" spans="2:10" x14ac:dyDescent="0.25">
      <c r="B65" s="39" t="s">
        <v>193</v>
      </c>
      <c r="C65" s="32"/>
      <c r="D65" s="32"/>
      <c r="E65" s="4">
        <v>17493.71</v>
      </c>
      <c r="F65" s="33"/>
      <c r="G65" s="33"/>
      <c r="H65" s="33"/>
      <c r="I65" s="32"/>
      <c r="J65" s="34"/>
    </row>
    <row r="66" spans="2:10" x14ac:dyDescent="0.25">
      <c r="B66" s="39" t="s">
        <v>195</v>
      </c>
      <c r="C66" s="32"/>
      <c r="D66" s="32"/>
      <c r="E66" s="4">
        <v>3502.68</v>
      </c>
      <c r="F66" s="33"/>
      <c r="G66" s="33"/>
      <c r="H66" s="33"/>
      <c r="I66" s="32"/>
      <c r="J66" s="34"/>
    </row>
    <row r="67" spans="2:10" x14ac:dyDescent="0.25">
      <c r="B67" s="39" t="s">
        <v>196</v>
      </c>
      <c r="C67" s="32"/>
      <c r="D67" s="32"/>
      <c r="E67" s="4">
        <v>586.76</v>
      </c>
      <c r="F67" s="33"/>
      <c r="G67" s="33"/>
      <c r="H67" s="33"/>
      <c r="I67" s="32"/>
      <c r="J67" s="34"/>
    </row>
    <row r="68" spans="2:10" x14ac:dyDescent="0.25">
      <c r="B68" s="28" t="s">
        <v>19</v>
      </c>
      <c r="C68" s="28"/>
      <c r="D68" s="28"/>
      <c r="E68" s="8">
        <f>SUM(E65:E67)</f>
        <v>21583.149999999998</v>
      </c>
      <c r="F68" s="8"/>
      <c r="G68" s="8"/>
      <c r="H68" s="8">
        <f>2114.12+1439.7+1320+786.45+1260+820.29+969.75+891.06+2611.61</f>
        <v>12212.98</v>
      </c>
      <c r="I68" s="28"/>
      <c r="J68" s="27"/>
    </row>
    <row r="69" spans="2:10" x14ac:dyDescent="0.25">
      <c r="B69" s="29"/>
      <c r="C69" s="32"/>
      <c r="D69" s="32"/>
      <c r="E69" s="33"/>
      <c r="F69" s="33"/>
      <c r="G69" s="33"/>
      <c r="H69" s="33"/>
      <c r="I69" s="32"/>
      <c r="J69" s="34"/>
    </row>
    <row r="70" spans="2:10" x14ac:dyDescent="0.25">
      <c r="B70" s="29"/>
      <c r="C70" s="32"/>
      <c r="D70" s="32"/>
      <c r="E70" s="33"/>
      <c r="F70" s="33"/>
      <c r="G70" s="33"/>
      <c r="H70" s="33"/>
      <c r="I70" s="32"/>
      <c r="J70" s="34"/>
    </row>
    <row r="71" spans="2:10" x14ac:dyDescent="0.25">
      <c r="B71" s="14" t="s">
        <v>198</v>
      </c>
      <c r="C71" s="32"/>
      <c r="D71" s="32"/>
      <c r="E71" s="33"/>
      <c r="F71" s="33"/>
      <c r="G71" s="33"/>
      <c r="H71" s="33"/>
      <c r="I71" s="32"/>
      <c r="J71" s="34"/>
    </row>
    <row r="72" spans="2:10" ht="30" x14ac:dyDescent="0.25">
      <c r="B72" s="82" t="s">
        <v>199</v>
      </c>
      <c r="C72" s="32"/>
      <c r="D72" s="32"/>
      <c r="E72" s="4">
        <v>1678.97</v>
      </c>
      <c r="F72" s="33"/>
      <c r="G72" s="33"/>
      <c r="H72" s="4">
        <f t="shared" ref="H72:H73" si="5">E72*J72</f>
        <v>1678.97</v>
      </c>
      <c r="I72" s="32"/>
      <c r="J72" s="24">
        <v>1</v>
      </c>
    </row>
    <row r="73" spans="2:10" ht="30" x14ac:dyDescent="0.25">
      <c r="B73" s="82" t="s">
        <v>200</v>
      </c>
      <c r="C73" s="32"/>
      <c r="D73" s="32"/>
      <c r="E73" s="4">
        <v>16452.580000000002</v>
      </c>
      <c r="F73" s="33"/>
      <c r="G73" s="33"/>
      <c r="H73" s="4">
        <f t="shared" si="5"/>
        <v>16452.580000000002</v>
      </c>
      <c r="I73" s="32"/>
      <c r="J73" s="24">
        <v>1</v>
      </c>
    </row>
    <row r="74" spans="2:10" x14ac:dyDescent="0.25">
      <c r="B74" s="28" t="s">
        <v>19</v>
      </c>
      <c r="C74" s="28"/>
      <c r="D74" s="28"/>
      <c r="E74" s="8">
        <f>SUM(E72:E73)</f>
        <v>18131.550000000003</v>
      </c>
      <c r="F74" s="8"/>
      <c r="G74" s="8"/>
      <c r="H74" s="8">
        <f>SUM(H72:H73)</f>
        <v>18131.550000000003</v>
      </c>
      <c r="I74" s="28"/>
      <c r="J74" s="27"/>
    </row>
    <row r="75" spans="2:10" x14ac:dyDescent="0.25">
      <c r="B75" s="29"/>
      <c r="C75" s="32"/>
      <c r="D75" s="32"/>
      <c r="E75" s="33"/>
      <c r="F75" s="33"/>
      <c r="G75" s="33"/>
      <c r="H75" s="33"/>
      <c r="I75" s="32"/>
      <c r="J75" s="34"/>
    </row>
    <row r="76" spans="2:10" x14ac:dyDescent="0.25">
      <c r="B76" s="29"/>
      <c r="C76" s="32"/>
      <c r="D76" s="32"/>
      <c r="E76" s="33"/>
      <c r="F76" s="33"/>
      <c r="G76" s="33"/>
      <c r="H76" s="33"/>
      <c r="I76" s="32"/>
      <c r="J76" s="34"/>
    </row>
    <row r="77" spans="2:10" x14ac:dyDescent="0.25">
      <c r="B77" s="14" t="s">
        <v>201</v>
      </c>
      <c r="C77" s="32"/>
      <c r="D77" s="32"/>
      <c r="E77" s="33"/>
      <c r="F77" s="33"/>
      <c r="G77" s="33"/>
      <c r="H77" s="33"/>
      <c r="I77" s="32"/>
      <c r="J77" s="34"/>
    </row>
    <row r="78" spans="2:10" x14ac:dyDescent="0.25">
      <c r="B78" s="77" t="s">
        <v>202</v>
      </c>
      <c r="C78" s="32"/>
      <c r="D78" s="32"/>
      <c r="E78" s="4"/>
      <c r="F78" s="33"/>
      <c r="G78" s="33"/>
      <c r="H78" s="4"/>
      <c r="I78" s="32"/>
      <c r="J78" s="24"/>
    </row>
    <row r="79" spans="2:10" x14ac:dyDescent="0.25">
      <c r="B79" s="82" t="s">
        <v>203</v>
      </c>
      <c r="C79" s="32"/>
      <c r="D79" s="32"/>
      <c r="E79" s="4"/>
      <c r="F79" s="33"/>
      <c r="G79" s="33"/>
      <c r="H79" s="4"/>
      <c r="I79" s="32"/>
      <c r="J79" s="24"/>
    </row>
    <row r="80" spans="2:10" x14ac:dyDescent="0.25">
      <c r="B80" s="83" t="s">
        <v>205</v>
      </c>
      <c r="C80" s="32"/>
      <c r="D80" s="32"/>
      <c r="E80" s="4">
        <v>912.81</v>
      </c>
      <c r="F80" s="33"/>
      <c r="G80" s="33"/>
      <c r="H80" s="4">
        <f t="shared" ref="H80:H81" si="6">E80*J80</f>
        <v>912.81</v>
      </c>
      <c r="I80" s="32"/>
      <c r="J80" s="24">
        <v>1</v>
      </c>
    </row>
    <row r="81" spans="2:10" x14ac:dyDescent="0.25">
      <c r="B81" s="83" t="s">
        <v>206</v>
      </c>
      <c r="C81" s="32"/>
      <c r="D81" s="32"/>
      <c r="E81" s="4">
        <v>1598.33</v>
      </c>
      <c r="F81" s="33"/>
      <c r="G81" s="33"/>
      <c r="H81" s="4">
        <f t="shared" si="6"/>
        <v>1598.33</v>
      </c>
      <c r="I81" s="32"/>
      <c r="J81" s="24">
        <v>1</v>
      </c>
    </row>
    <row r="82" spans="2:10" x14ac:dyDescent="0.25">
      <c r="B82" s="82" t="s">
        <v>204</v>
      </c>
      <c r="C82" s="32"/>
      <c r="D82" s="32"/>
      <c r="E82" s="4"/>
      <c r="F82" s="33"/>
      <c r="G82" s="33"/>
      <c r="H82" s="4"/>
      <c r="I82" s="32"/>
      <c r="J82" s="24"/>
    </row>
    <row r="83" spans="2:10" x14ac:dyDescent="0.25">
      <c r="B83" s="83" t="s">
        <v>205</v>
      </c>
      <c r="C83" s="32"/>
      <c r="D83" s="32"/>
      <c r="E83" s="4">
        <v>340.11</v>
      </c>
      <c r="F83" s="33"/>
      <c r="G83" s="33"/>
      <c r="H83" s="4">
        <f t="shared" ref="H83" si="7">E83*J83</f>
        <v>340.11</v>
      </c>
      <c r="I83" s="32"/>
      <c r="J83" s="24">
        <v>1</v>
      </c>
    </row>
    <row r="84" spans="2:10" x14ac:dyDescent="0.25">
      <c r="B84" s="82" t="s">
        <v>19</v>
      </c>
      <c r="C84" s="32"/>
      <c r="D84" s="32"/>
      <c r="E84" s="4">
        <f>SUM(E80:E83)</f>
        <v>2851.25</v>
      </c>
      <c r="F84" s="33"/>
      <c r="G84" s="33"/>
      <c r="H84" s="4">
        <f>SUM(H80:H83)</f>
        <v>2851.25</v>
      </c>
      <c r="I84" s="32"/>
      <c r="J84" s="24"/>
    </row>
    <row r="85" spans="2:10" x14ac:dyDescent="0.25">
      <c r="B85" s="75" t="s">
        <v>207</v>
      </c>
      <c r="C85" s="32"/>
      <c r="D85" s="32"/>
      <c r="E85" s="4">
        <v>10.82</v>
      </c>
      <c r="F85" s="33"/>
      <c r="G85" s="33"/>
      <c r="H85" s="4">
        <f t="shared" ref="H85" si="8">E85*J85</f>
        <v>10.82</v>
      </c>
      <c r="I85" s="32"/>
      <c r="J85" s="24">
        <v>1</v>
      </c>
    </row>
    <row r="86" spans="2:10" x14ac:dyDescent="0.25">
      <c r="B86" s="75" t="s">
        <v>19</v>
      </c>
      <c r="C86" s="32"/>
      <c r="D86" s="32"/>
      <c r="E86" s="4">
        <f>E84-E85</f>
        <v>2840.43</v>
      </c>
      <c r="F86" s="33"/>
      <c r="G86" s="33"/>
      <c r="H86" s="4">
        <f>H84-H85</f>
        <v>2840.43</v>
      </c>
      <c r="I86" s="32"/>
      <c r="J86" s="24"/>
    </row>
    <row r="87" spans="2:10" x14ac:dyDescent="0.25">
      <c r="B87" s="75"/>
      <c r="C87" s="32"/>
      <c r="D87" s="32"/>
      <c r="E87" s="4"/>
      <c r="F87" s="33"/>
      <c r="G87" s="33"/>
      <c r="H87" s="4"/>
      <c r="I87" s="32"/>
      <c r="J87" s="24"/>
    </row>
    <row r="88" spans="2:10" x14ac:dyDescent="0.25">
      <c r="B88" s="75" t="s">
        <v>208</v>
      </c>
      <c r="C88" s="32"/>
      <c r="D88" s="32"/>
      <c r="E88" s="4">
        <v>488.59</v>
      </c>
      <c r="F88" s="33"/>
      <c r="G88" s="33"/>
      <c r="H88" s="4">
        <f t="shared" ref="H88:H91" si="9">E88*J88</f>
        <v>488.59</v>
      </c>
      <c r="I88" s="32"/>
      <c r="J88" s="24">
        <v>1</v>
      </c>
    </row>
    <row r="89" spans="2:10" x14ac:dyDescent="0.25">
      <c r="B89" s="75" t="s">
        <v>209</v>
      </c>
      <c r="C89" s="32"/>
      <c r="D89" s="32"/>
      <c r="E89" s="4">
        <v>94.89</v>
      </c>
      <c r="F89" s="33"/>
      <c r="G89" s="33"/>
      <c r="H89" s="4">
        <f t="shared" si="9"/>
        <v>94.89</v>
      </c>
      <c r="I89" s="32"/>
      <c r="J89" s="24">
        <v>1</v>
      </c>
    </row>
    <row r="90" spans="2:10" x14ac:dyDescent="0.25">
      <c r="B90" s="75" t="s">
        <v>190</v>
      </c>
      <c r="C90" s="32"/>
      <c r="D90" s="32"/>
      <c r="E90" s="4">
        <v>3388.06</v>
      </c>
      <c r="F90" s="33"/>
      <c r="G90" s="33"/>
      <c r="H90" s="4">
        <f t="shared" si="9"/>
        <v>3388.06</v>
      </c>
      <c r="I90" s="32"/>
      <c r="J90" s="24">
        <v>1</v>
      </c>
    </row>
    <row r="91" spans="2:10" x14ac:dyDescent="0.25">
      <c r="B91" s="75" t="s">
        <v>210</v>
      </c>
      <c r="C91" s="32"/>
      <c r="D91" s="32"/>
      <c r="E91" s="4">
        <v>66.099999999999994</v>
      </c>
      <c r="F91" s="33"/>
      <c r="G91" s="33"/>
      <c r="H91" s="4">
        <f t="shared" si="9"/>
        <v>66.099999999999994</v>
      </c>
      <c r="I91" s="32"/>
      <c r="J91" s="24">
        <v>1</v>
      </c>
    </row>
    <row r="92" spans="2:10" x14ac:dyDescent="0.25">
      <c r="B92" s="28" t="s">
        <v>19</v>
      </c>
      <c r="C92" s="28"/>
      <c r="D92" s="28"/>
      <c r="E92" s="8">
        <f>E86+SUM(E88:E91)</f>
        <v>6878.07</v>
      </c>
      <c r="F92" s="8"/>
      <c r="G92" s="8"/>
      <c r="H92" s="8">
        <f>H86+SUM(H88:H91)</f>
        <v>6878.07</v>
      </c>
      <c r="I92" s="28"/>
      <c r="J92" s="27"/>
    </row>
    <row r="93" spans="2:10" x14ac:dyDescent="0.25">
      <c r="B93" s="75"/>
      <c r="C93" s="32"/>
      <c r="D93" s="32"/>
      <c r="E93" s="4"/>
      <c r="F93" s="33"/>
      <c r="G93" s="33"/>
      <c r="H93" s="4"/>
      <c r="I93" s="32"/>
      <c r="J93" s="24"/>
    </row>
    <row r="96" spans="2:10" x14ac:dyDescent="0.25">
      <c r="B96" s="14" t="s">
        <v>211</v>
      </c>
      <c r="C96" s="32"/>
      <c r="D96" s="32"/>
      <c r="E96" s="33"/>
      <c r="F96" s="33"/>
      <c r="G96" s="33"/>
      <c r="H96" s="33"/>
      <c r="I96" s="32"/>
      <c r="J96" s="34"/>
    </row>
    <row r="97" spans="2:10" x14ac:dyDescent="0.25">
      <c r="B97" s="82"/>
      <c r="C97" s="32"/>
      <c r="D97" s="32"/>
      <c r="E97" s="4"/>
      <c r="F97" s="33"/>
      <c r="G97" s="33"/>
      <c r="H97" s="4"/>
      <c r="I97" s="32"/>
      <c r="J97" s="24"/>
    </row>
    <row r="98" spans="2:10" x14ac:dyDescent="0.25">
      <c r="B98" s="82"/>
      <c r="C98" s="32"/>
      <c r="D98" s="32"/>
      <c r="E98" s="4"/>
      <c r="F98" s="33"/>
      <c r="G98" s="33"/>
      <c r="H98" s="4"/>
      <c r="I98" s="32"/>
      <c r="J98" s="24"/>
    </row>
    <row r="99" spans="2:10" x14ac:dyDescent="0.25">
      <c r="B99" s="28" t="s">
        <v>19</v>
      </c>
      <c r="C99" s="28"/>
      <c r="D99" s="28"/>
      <c r="E99" s="8">
        <f>36501.5/2+2441.22/2+20.36</f>
        <v>19491.72</v>
      </c>
      <c r="F99" s="8"/>
      <c r="G99" s="8"/>
      <c r="H99" s="8">
        <f>E99</f>
        <v>19491.72</v>
      </c>
      <c r="I99" s="28"/>
      <c r="J99" s="27"/>
    </row>
  </sheetData>
  <pageMargins left="0.7" right="0.7" top="0.75" bottom="0.75" header="0.3" footer="0.3"/>
  <pageSetup orientation="portrait" r:id="rId1"/>
  <legacy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Sheet1</vt:lpstr>
      <vt:lpstr>NAV EV</vt:lpstr>
      <vt:lpstr>Fixed Assets</vt:lpstr>
      <vt:lpstr>Non Current Financial Assets</vt:lpstr>
      <vt:lpstr>Other Non Current Asset</vt:lpstr>
      <vt:lpstr>Current Assets</vt:lpstr>
      <vt:lpstr>Total Outstanding </vt:lpstr>
      <vt:lpstr>Equity &amp; Liabilities</vt:lpstr>
      <vt:lpstr>Sheet3</vt:lpstr>
      <vt:lpstr>Collateral Securities</vt:lpstr>
      <vt:lpstr>Historical Performance</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2024-10-28T09:07:40Z</dcterms:modified>
</cp:coreProperties>
</file>