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defaultThemeVersion="124226"/>
  <xr:revisionPtr revIDLastSave="0" documentId="13_ncr:1_{EC098DCF-F68A-48D7-9C00-8AC17B37C00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 iterate="1"/>
</workbook>
</file>

<file path=xl/calcChain.xml><?xml version="1.0" encoding="utf-8"?>
<calcChain xmlns="http://schemas.openxmlformats.org/spreadsheetml/2006/main">
  <c r="G27" i="1" l="1"/>
  <c r="G26" i="1"/>
  <c r="G25" i="1"/>
  <c r="G24" i="1"/>
  <c r="G21" i="1"/>
  <c r="G10" i="1"/>
  <c r="G12" i="1"/>
  <c r="G14" i="1" s="1"/>
  <c r="G16" i="1" s="1"/>
  <c r="G11" i="1"/>
  <c r="G9" i="1"/>
  <c r="G8" i="1"/>
  <c r="G7" i="1"/>
  <c r="G6" i="1"/>
  <c r="B5" i="1"/>
  <c r="C27" i="1" s="1"/>
  <c r="B6" i="1"/>
  <c r="B7" i="1"/>
  <c r="B8" i="1"/>
  <c r="B11" i="1" s="1"/>
  <c r="B9" i="1"/>
  <c r="B10" i="1"/>
  <c r="C5" i="1"/>
  <c r="C6" i="1"/>
  <c r="C7" i="1"/>
  <c r="C8" i="1"/>
  <c r="C11" i="1" s="1"/>
  <c r="C12" i="1" s="1"/>
  <c r="C9" i="1"/>
  <c r="C10" i="1"/>
  <c r="D5" i="1"/>
  <c r="D6" i="1"/>
  <c r="D7" i="1"/>
  <c r="D12" i="1" s="1"/>
  <c r="D8" i="1"/>
  <c r="D9" i="1"/>
  <c r="D10" i="1"/>
  <c r="D11" i="1"/>
  <c r="E5" i="1"/>
  <c r="E7" i="1" s="1"/>
  <c r="E12" i="1" s="1"/>
  <c r="E6" i="1"/>
  <c r="E8" i="1"/>
  <c r="E11" i="1" s="1"/>
  <c r="E9" i="1"/>
  <c r="E10" i="1"/>
  <c r="F5" i="1"/>
  <c r="F27" i="1" s="1"/>
  <c r="F6" i="1"/>
  <c r="F8" i="1"/>
  <c r="F11" i="1" s="1"/>
  <c r="F9" i="1"/>
  <c r="F10" i="1"/>
  <c r="B13" i="1"/>
  <c r="B15" i="1"/>
  <c r="B19" i="1"/>
  <c r="B20" i="1"/>
  <c r="F20" i="1"/>
  <c r="F19" i="1"/>
  <c r="E20" i="1"/>
  <c r="E19" i="1"/>
  <c r="F15" i="1"/>
  <c r="F13" i="1"/>
  <c r="E15" i="1"/>
  <c r="E13" i="1"/>
  <c r="D20" i="1"/>
  <c r="D19" i="1"/>
  <c r="D15" i="1"/>
  <c r="D13" i="1"/>
  <c r="C20" i="1"/>
  <c r="C19" i="1"/>
  <c r="C15" i="1"/>
  <c r="C13" i="1"/>
  <c r="D27" i="1"/>
  <c r="D24" i="1" l="1"/>
  <c r="D14" i="1"/>
  <c r="E24" i="1"/>
  <c r="E14" i="1"/>
  <c r="B12" i="1"/>
  <c r="C24" i="1"/>
  <c r="C14" i="1"/>
  <c r="F7" i="1"/>
  <c r="F12" i="1" s="1"/>
  <c r="E27" i="1"/>
  <c r="E16" i="1" l="1"/>
  <c r="E21" i="1" s="1"/>
  <c r="E26" i="1" s="1"/>
  <c r="E25" i="1"/>
  <c r="C25" i="1"/>
  <c r="C16" i="1"/>
  <c r="C21" i="1" s="1"/>
  <c r="C26" i="1" s="1"/>
  <c r="D25" i="1"/>
  <c r="D16" i="1"/>
  <c r="D21" i="1" s="1"/>
  <c r="D26" i="1" s="1"/>
  <c r="F14" i="1"/>
  <c r="F24" i="1"/>
  <c r="B14" i="1"/>
  <c r="B24" i="1"/>
  <c r="F25" i="1" l="1"/>
  <c r="F16" i="1"/>
  <c r="F21" i="1" s="1"/>
  <c r="F26" i="1" s="1"/>
  <c r="B16" i="1"/>
  <c r="B21" i="1" s="1"/>
  <c r="B26" i="1" s="1"/>
  <c r="B25" i="1"/>
</calcChain>
</file>

<file path=xl/sharedStrings.xml><?xml version="1.0" encoding="utf-8"?>
<sst xmlns="http://schemas.openxmlformats.org/spreadsheetml/2006/main" count="36" uniqueCount="31">
  <si>
    <t>Historical P&amp;L Statement</t>
  </si>
  <si>
    <t>Particulars</t>
  </si>
  <si>
    <t>Audited</t>
  </si>
  <si>
    <t>Revenue</t>
  </si>
  <si>
    <t>Other Income</t>
  </si>
  <si>
    <t>Total Income</t>
  </si>
  <si>
    <t>Cost of Goods Sold</t>
  </si>
  <si>
    <t>Employee Benefit Expenses</t>
  </si>
  <si>
    <t>Other Expenses</t>
  </si>
  <si>
    <t>Total Expenses</t>
  </si>
  <si>
    <t>EBITDA</t>
  </si>
  <si>
    <t>Depreciation and Amortisation</t>
  </si>
  <si>
    <t>EBIT</t>
  </si>
  <si>
    <t>Finance Cost</t>
  </si>
  <si>
    <t>PBT</t>
  </si>
  <si>
    <t xml:space="preserve">Exceptional Items-Stamp duty paid </t>
  </si>
  <si>
    <t>OCI</t>
  </si>
  <si>
    <t>Tax</t>
  </si>
  <si>
    <t>Deferred Tax</t>
  </si>
  <si>
    <t>PAT</t>
  </si>
  <si>
    <t>Revenue Growth  (Y.O.Y.)</t>
  </si>
  <si>
    <t>EBIT Margin %</t>
  </si>
  <si>
    <t>EBITDA Margin %</t>
  </si>
  <si>
    <t>Net Profit Margin %</t>
  </si>
  <si>
    <t xml:space="preserve"> FY 2019-20</t>
  </si>
  <si>
    <t>FY 2020-21</t>
  </si>
  <si>
    <t>FY 2021-22</t>
  </si>
  <si>
    <t>FY 2022-23</t>
  </si>
  <si>
    <t>FY 2023-24</t>
  </si>
  <si>
    <t>Prov</t>
  </si>
  <si>
    <t>Sept 24 Prov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</si>
</sst>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[$-409]mmm/yy;@"/>
    <numFmt numFmtId="165" formatCode="[$-409]d\-mmm\-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21">
    <xf numFmtId="0" fontId="0" fillId="0" borderId="0" xfId="0"/>
    <xf numFmtId="164" fontId="2" fillId="2" borderId="1" xfId="3" applyNumberFormat="1" applyFont="1" applyFill="1" applyBorder="1" applyAlignment="1">
      <alignment horizontal="center"/>
    </xf>
    <xf numFmtId="0" fontId="2" fillId="2" borderId="1" xfId="3" applyFont="1" applyFill="1" applyBorder="1" applyAlignment="1">
      <alignment horizontal="center"/>
    </xf>
    <xf numFmtId="165" fontId="2" fillId="2" borderId="1" xfId="3" applyNumberFormat="1" applyFont="1" applyFill="1" applyBorder="1" applyAlignment="1">
      <alignment horizontal="center"/>
    </xf>
    <xf numFmtId="0" fontId="0" fillId="0" borderId="1" xfId="3" applyFont="1" applyBorder="1" applyAlignment="1">
      <alignment horizontal="left" indent="1"/>
    </xf>
    <xf numFmtId="43" fontId="5" fillId="0" borderId="1" xfId="1" applyFont="1" applyBorder="1"/>
    <xf numFmtId="43" fontId="0" fillId="0" borderId="1" xfId="0" applyNumberFormat="1" applyBorder="1"/>
    <xf numFmtId="4" fontId="0" fillId="0" borderId="1" xfId="0" applyNumberFormat="1" applyBorder="1"/>
    <xf numFmtId="0" fontId="3" fillId="3" borderId="1" xfId="3" applyFont="1" applyFill="1" applyBorder="1"/>
    <xf numFmtId="43" fontId="6" fillId="3" borderId="1" xfId="1" applyFont="1" applyFill="1" applyBorder="1"/>
    <xf numFmtId="0" fontId="0" fillId="4" borderId="1" xfId="3" applyFont="1" applyFill="1" applyBorder="1" applyAlignment="1">
      <alignment horizontal="left" indent="1"/>
    </xf>
    <xf numFmtId="43" fontId="5" fillId="4" borderId="1" xfId="1" applyFont="1" applyFill="1" applyBorder="1"/>
    <xf numFmtId="0" fontId="0" fillId="0" borderId="1" xfId="0" applyBorder="1"/>
    <xf numFmtId="43" fontId="0" fillId="0" borderId="1" xfId="1" applyFont="1" applyBorder="1"/>
    <xf numFmtId="43" fontId="0" fillId="0" borderId="0" xfId="0" applyNumberFormat="1"/>
    <xf numFmtId="43" fontId="5" fillId="0" borderId="1" xfId="1" applyFont="1" applyFill="1" applyBorder="1"/>
    <xf numFmtId="0" fontId="2" fillId="2" borderId="1" xfId="3" applyFont="1" applyFill="1" applyBorder="1" applyAlignment="1">
      <alignment horizontal="center" vertical="center"/>
    </xf>
    <xf numFmtId="2" fontId="0" fillId="0" borderId="1" xfId="0" applyNumberFormat="1" applyBorder="1"/>
    <xf numFmtId="10" fontId="0" fillId="0" borderId="1" xfId="2" applyNumberFormat="1" applyFont="1" applyBorder="1" applyAlignment="1">
      <alignment horizontal="center"/>
    </xf>
    <xf numFmtId="0" fontId="2" fillId="2" borderId="1" xfId="3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</cellXfs>
  <cellStyles count="4">
    <cellStyle name="Comma" xfId="1" builtinId="3"/>
    <cellStyle name="Normal" xfId="0" builtinId="0"/>
    <cellStyle name="Normal 83" xfId="3" xr:uid="{00000000-0005-0000-0000-000002000000}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bg1"/>
                </a:solidFill>
              </a:rPr>
              <a:t>Key Indicators</a:t>
            </a:r>
          </a:p>
        </c:rich>
      </c:tx>
      <c:overlay val="0"/>
      <c:spPr>
        <a:solidFill>
          <a:schemeClr val="accent1">
            <a:lumMod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Sheet1!$A$24</c:f>
              <c:strCache>
                <c:ptCount val="1"/>
                <c:pt idx="0">
                  <c:v>EBITDA Margin %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Sheet1!$B$23:$F$23</c:f>
              <c:strCache>
                <c:ptCount val="5"/>
                <c:pt idx="0">
                  <c:v> FY 2019-20</c:v>
                </c:pt>
                <c:pt idx="1">
                  <c:v>FY 2020-21</c:v>
                </c:pt>
                <c:pt idx="2">
                  <c:v>FY 2021-22</c:v>
                </c:pt>
                <c:pt idx="3">
                  <c:v>FY 2022-23</c:v>
                </c:pt>
                <c:pt idx="4">
                  <c:v>FY 2023-24</c:v>
                </c:pt>
              </c:strCache>
            </c:strRef>
          </c:cat>
          <c:val>
            <c:numRef>
              <c:f>Sheet1!$B$24:$F$24</c:f>
              <c:numCache>
                <c:formatCode>0.00%</c:formatCode>
                <c:ptCount val="5"/>
                <c:pt idx="0">
                  <c:v>0.15696659026878335</c:v>
                </c:pt>
                <c:pt idx="1">
                  <c:v>0.18422967915145497</c:v>
                </c:pt>
                <c:pt idx="2">
                  <c:v>0.20787324287965414</c:v>
                </c:pt>
                <c:pt idx="3">
                  <c:v>0.16460623268151084</c:v>
                </c:pt>
                <c:pt idx="4">
                  <c:v>9.2075864015701392E-2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86-453F-9017-43FF0A0C8853}"/>
            </c:ext>
          </c:extLst>
        </c:ser>
        <c:ser>
          <c:idx val="1"/>
          <c:order val="1"/>
          <c:tx>
            <c:strRef>
              <c:f>Sheet1!$A$25</c:f>
              <c:strCache>
                <c:ptCount val="1"/>
                <c:pt idx="0">
                  <c:v>EBIT Margin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Sheet1!$B$23:$F$23</c:f>
              <c:strCache>
                <c:ptCount val="5"/>
                <c:pt idx="0">
                  <c:v> FY 2019-20</c:v>
                </c:pt>
                <c:pt idx="1">
                  <c:v>FY 2020-21</c:v>
                </c:pt>
                <c:pt idx="2">
                  <c:v>FY 2021-22</c:v>
                </c:pt>
                <c:pt idx="3">
                  <c:v>FY 2022-23</c:v>
                </c:pt>
                <c:pt idx="4">
                  <c:v>FY 2023-24</c:v>
                </c:pt>
              </c:strCache>
            </c:strRef>
          </c:cat>
          <c:val>
            <c:numRef>
              <c:f>Sheet1!$B$25:$F$25</c:f>
              <c:numCache>
                <c:formatCode>0.00%</c:formatCode>
                <c:ptCount val="5"/>
                <c:pt idx="0">
                  <c:v>0.12856818209309859</c:v>
                </c:pt>
                <c:pt idx="1">
                  <c:v>0.13059127031638212</c:v>
                </c:pt>
                <c:pt idx="2">
                  <c:v>0.16502487924634004</c:v>
                </c:pt>
                <c:pt idx="3">
                  <c:v>8.4664134304951413E-2</c:v>
                </c:pt>
                <c:pt idx="4">
                  <c:v>4.5904466967886366E-2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86-453F-9017-43FF0A0C8853}"/>
            </c:ext>
          </c:extLst>
        </c:ser>
        <c:ser>
          <c:idx val="2"/>
          <c:order val="2"/>
          <c:tx>
            <c:strRef>
              <c:f>Sheet1!$A$26</c:f>
              <c:strCache>
                <c:ptCount val="1"/>
                <c:pt idx="0">
                  <c:v>Net Profit Margin %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Sheet1!$B$23:$F$23</c:f>
              <c:strCache>
                <c:ptCount val="5"/>
                <c:pt idx="0">
                  <c:v> FY 2019-20</c:v>
                </c:pt>
                <c:pt idx="1">
                  <c:v>FY 2020-21</c:v>
                </c:pt>
                <c:pt idx="2">
                  <c:v>FY 2021-22</c:v>
                </c:pt>
                <c:pt idx="3">
                  <c:v>FY 2022-23</c:v>
                </c:pt>
                <c:pt idx="4">
                  <c:v>FY 2023-24</c:v>
                </c:pt>
              </c:strCache>
            </c:strRef>
          </c:cat>
          <c:val>
            <c:numRef>
              <c:f>Sheet1!$B$26:$F$26</c:f>
              <c:numCache>
                <c:formatCode>0.00%</c:formatCode>
                <c:ptCount val="5"/>
                <c:pt idx="0">
                  <c:v>3.4845468361189388E-2</c:v>
                </c:pt>
                <c:pt idx="1">
                  <c:v>3.6619869044988802E-3</c:v>
                </c:pt>
                <c:pt idx="2">
                  <c:v>1.2972719868962345E-3</c:v>
                </c:pt>
                <c:pt idx="3">
                  <c:v>3.1764840993710759E-3</c:v>
                </c:pt>
                <c:pt idx="4">
                  <c:v>1.9660835043485815E-3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86-453F-9017-43FF0A0C8853}"/>
            </c:ext>
          </c:extLst>
        </c:ser>
        <c:ser>
          <c:idx val="3"/>
          <c:order val="3"/>
          <c:tx>
            <c:strRef>
              <c:f>Sheet1!$A$27</c:f>
              <c:strCache>
                <c:ptCount val="1"/>
                <c:pt idx="0">
                  <c:v>Revenue Growth  (Y.O.Y.)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Sheet1!$B$23:$F$23</c:f>
              <c:strCache>
                <c:ptCount val="5"/>
                <c:pt idx="0">
                  <c:v> FY 2019-20</c:v>
                </c:pt>
                <c:pt idx="1">
                  <c:v>FY 2020-21</c:v>
                </c:pt>
                <c:pt idx="2">
                  <c:v>FY 2021-22</c:v>
                </c:pt>
                <c:pt idx="3">
                  <c:v>FY 2022-23</c:v>
                </c:pt>
                <c:pt idx="4">
                  <c:v>FY 2023-24</c:v>
                </c:pt>
              </c:strCache>
            </c:strRef>
          </c:cat>
          <c:val>
            <c:numRef>
              <c:f>Sheet1!$B$27:$F$27</c:f>
              <c:numCache>
                <c:formatCode>0.00%</c:formatCode>
                <c:ptCount val="5"/>
                <c:pt idx="1">
                  <c:v>-0.43539490466259589</c:v>
                </c:pt>
                <c:pt idx="2">
                  <c:v>-0.2093011576163597</c:v>
                </c:pt>
                <c:pt idx="3">
                  <c:v>-0.56093360136034676</c:v>
                </c:pt>
                <c:pt idx="4">
                  <c:v>0.40011456266458456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886-453F-9017-43FF0A0C8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073608"/>
        <c:axId val="227066944"/>
      </c:lineChart>
      <c:catAx>
        <c:axId val="227073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066944"/>
        <c:crosses val="autoZero"/>
        <c:auto val="1"/>
        <c:lblAlgn val="ctr"/>
        <c:lblOffset val="100"/>
        <c:noMultiLvlLbl val="0"/>
      </c:catAx>
      <c:valAx>
        <c:axId val="227066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073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kern="1200" spc="0" baseline="0">
                <a:solidFill>
                  <a:schemeClr val="bg1"/>
                </a:solidFill>
              </a:rPr>
              <a:t>Key Indicators</a:t>
            </a:r>
          </a:p>
        </c:rich>
      </c:tx>
      <c:overlay val="0"/>
      <c:spPr>
        <a:solidFill>
          <a:schemeClr val="tx2">
            <a:lumMod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Sheet1!$A$24</c:f>
              <c:strCache>
                <c:ptCount val="1"/>
                <c:pt idx="0">
                  <c:v>EBITDA Margin %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Sheet1!$B$23:$G$23</c:f>
              <c:strCache>
                <c:ptCount val="6"/>
                <c:pt idx="0">
                  <c:v> FY 2019-20</c:v>
                </c:pt>
                <c:pt idx="1">
                  <c:v>FY 2020-21</c:v>
                </c:pt>
                <c:pt idx="2">
                  <c:v>FY 2021-22</c:v>
                </c:pt>
                <c:pt idx="3">
                  <c:v>FY 2022-23</c:v>
                </c:pt>
                <c:pt idx="4">
                  <c:v>FY 2023-24</c:v>
                </c:pt>
                <c:pt idx="5">
                  <c:v>Sept 24 Prov</c:v>
                </c:pt>
              </c:strCache>
            </c:strRef>
          </c:cat>
          <c:val>
            <c:numRef>
              <c:f>Sheet1!$B$24:$G$24</c:f>
              <c:numCache>
                <c:formatCode>0.00%</c:formatCode>
                <c:ptCount val="6"/>
                <c:pt idx="0">
                  <c:v>0.15696659026878335</c:v>
                </c:pt>
                <c:pt idx="1">
                  <c:v>0.18422967915145497</c:v>
                </c:pt>
                <c:pt idx="2">
                  <c:v>0.20787324287965414</c:v>
                </c:pt>
                <c:pt idx="3">
                  <c:v>0.16460623268151084</c:v>
                </c:pt>
                <c:pt idx="4">
                  <c:v>9.2075864015701392E-2</c:v>
                </c:pt>
                <c:pt idx="5">
                  <c:v>7.569693599567387E-2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F5-47B9-B0E5-9A704D23A4E7}"/>
            </c:ext>
          </c:extLst>
        </c:ser>
        <c:ser>
          <c:idx val="1"/>
          <c:order val="1"/>
          <c:tx>
            <c:strRef>
              <c:f>Sheet1!$A$25</c:f>
              <c:strCache>
                <c:ptCount val="1"/>
                <c:pt idx="0">
                  <c:v>EBIT Margin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Sheet1!$B$23:$G$23</c:f>
              <c:strCache>
                <c:ptCount val="6"/>
                <c:pt idx="0">
                  <c:v> FY 2019-20</c:v>
                </c:pt>
                <c:pt idx="1">
                  <c:v>FY 2020-21</c:v>
                </c:pt>
                <c:pt idx="2">
                  <c:v>FY 2021-22</c:v>
                </c:pt>
                <c:pt idx="3">
                  <c:v>FY 2022-23</c:v>
                </c:pt>
                <c:pt idx="4">
                  <c:v>FY 2023-24</c:v>
                </c:pt>
                <c:pt idx="5">
                  <c:v>Sept 24 Prov</c:v>
                </c:pt>
              </c:strCache>
            </c:strRef>
          </c:cat>
          <c:val>
            <c:numRef>
              <c:f>Sheet1!$B$25:$G$25</c:f>
              <c:numCache>
                <c:formatCode>0.00%</c:formatCode>
                <c:ptCount val="6"/>
                <c:pt idx="0">
                  <c:v>0.12856818209309859</c:v>
                </c:pt>
                <c:pt idx="1">
                  <c:v>0.13059127031638212</c:v>
                </c:pt>
                <c:pt idx="2">
                  <c:v>0.16502487924634004</c:v>
                </c:pt>
                <c:pt idx="3">
                  <c:v>8.4664134304951413E-2</c:v>
                </c:pt>
                <c:pt idx="4">
                  <c:v>4.5904466967886366E-2</c:v>
                </c:pt>
                <c:pt idx="5">
                  <c:v>-3.1181003785366646E-2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F5-47B9-B0E5-9A704D23A4E7}"/>
            </c:ext>
          </c:extLst>
        </c:ser>
        <c:ser>
          <c:idx val="2"/>
          <c:order val="2"/>
          <c:tx>
            <c:strRef>
              <c:f>Sheet1!$A$26</c:f>
              <c:strCache>
                <c:ptCount val="1"/>
                <c:pt idx="0">
                  <c:v>Net Profit Margin %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Sheet1!$B$23:$G$23</c:f>
              <c:strCache>
                <c:ptCount val="6"/>
                <c:pt idx="0">
                  <c:v> FY 2019-20</c:v>
                </c:pt>
                <c:pt idx="1">
                  <c:v>FY 2020-21</c:v>
                </c:pt>
                <c:pt idx="2">
                  <c:v>FY 2021-22</c:v>
                </c:pt>
                <c:pt idx="3">
                  <c:v>FY 2022-23</c:v>
                </c:pt>
                <c:pt idx="4">
                  <c:v>FY 2023-24</c:v>
                </c:pt>
                <c:pt idx="5">
                  <c:v>Sept 24 Prov</c:v>
                </c:pt>
              </c:strCache>
            </c:strRef>
          </c:cat>
          <c:val>
            <c:numRef>
              <c:f>Sheet1!$B$26:$G$26</c:f>
              <c:numCache>
                <c:formatCode>0.00%</c:formatCode>
                <c:ptCount val="6"/>
                <c:pt idx="0">
                  <c:v>3.4845468361189388E-2</c:v>
                </c:pt>
                <c:pt idx="1">
                  <c:v>3.6619869044988802E-3</c:v>
                </c:pt>
                <c:pt idx="2">
                  <c:v>1.2972719868962345E-3</c:v>
                </c:pt>
                <c:pt idx="3">
                  <c:v>3.1764840993710759E-3</c:v>
                </c:pt>
                <c:pt idx="4">
                  <c:v>1.9660835043485815E-3</c:v>
                </c:pt>
                <c:pt idx="5">
                  <c:v>-8.3686385944147984E-2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F5-47B9-B0E5-9A704D23A4E7}"/>
            </c:ext>
          </c:extLst>
        </c:ser>
        <c:ser>
          <c:idx val="3"/>
          <c:order val="3"/>
          <c:tx>
            <c:strRef>
              <c:f>Sheet1!$A$27</c:f>
              <c:strCache>
                <c:ptCount val="1"/>
                <c:pt idx="0">
                  <c:v>Revenue Growth  (Y.O.Y.)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Sheet1!$B$23:$G$23</c:f>
              <c:strCache>
                <c:ptCount val="6"/>
                <c:pt idx="0">
                  <c:v> FY 2019-20</c:v>
                </c:pt>
                <c:pt idx="1">
                  <c:v>FY 2020-21</c:v>
                </c:pt>
                <c:pt idx="2">
                  <c:v>FY 2021-22</c:v>
                </c:pt>
                <c:pt idx="3">
                  <c:v>FY 2022-23</c:v>
                </c:pt>
                <c:pt idx="4">
                  <c:v>FY 2023-24</c:v>
                </c:pt>
                <c:pt idx="5">
                  <c:v>Sept 24 Prov</c:v>
                </c:pt>
              </c:strCache>
            </c:strRef>
          </c:cat>
          <c:val>
            <c:numRef>
              <c:f>Sheet1!$B$27:$G$27</c:f>
              <c:numCache>
                <c:formatCode>0.00%</c:formatCode>
                <c:ptCount val="6"/>
                <c:pt idx="1">
                  <c:v>-0.43539490466259589</c:v>
                </c:pt>
                <c:pt idx="2">
                  <c:v>-0.2093011576163597</c:v>
                </c:pt>
                <c:pt idx="3">
                  <c:v>-0.56093360136034676</c:v>
                </c:pt>
                <c:pt idx="4">
                  <c:v>0.40011456266458456</c:v>
                </c:pt>
                <c:pt idx="5">
                  <c:v>-0.82130861686031786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F5-47B9-B0E5-9A704D23A4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318624"/>
        <c:axId val="510318984"/>
      </c:lineChart>
      <c:catAx>
        <c:axId val="51031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318984"/>
        <c:crosses val="autoZero"/>
        <c:auto val="1"/>
        <c:lblAlgn val="ctr"/>
        <c:lblOffset val="100"/>
        <c:noMultiLvlLbl val="0"/>
      </c:catAx>
      <c:valAx>
        <c:axId val="510318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318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28</xdr:row>
      <xdr:rowOff>185737</xdr:rowOff>
    </xdr:from>
    <xdr:to>
      <xdr:col>3</xdr:col>
      <xdr:colOff>466725</xdr:colOff>
      <xdr:row>43</xdr:row>
      <xdr:rowOff>71437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28</xdr:row>
      <xdr:rowOff>185737</xdr:rowOff>
    </xdr:from>
    <xdr:to>
      <xdr:col>9</xdr:col>
      <xdr:colOff>495300</xdr:colOff>
      <xdr:row>43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AC0CAF-E280-BC9E-D730-5368F30A12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topLeftCell="A27" workbookViewId="0">
      <selection activeCell="L31" sqref="L31"/>
    </sheetView>
  </sheetViews>
  <sheetFormatPr defaultRowHeight="15" x14ac:dyDescent="0.25"/>
  <cols>
    <col min="1" max="1" width="34.28515625" bestFit="1" customWidth="1"/>
    <col min="2" max="6" width="16.85546875" bestFit="1" customWidth="1"/>
  </cols>
  <sheetData>
    <row r="1" spans="1:7" x14ac:dyDescent="0.25">
      <c r="A1" s="20" t="s">
        <v>0</v>
      </c>
      <c r="B1" s="20"/>
      <c r="C1" s="20"/>
      <c r="D1" s="20"/>
      <c r="E1" s="20"/>
      <c r="F1" s="20"/>
      <c r="G1" s="20"/>
    </row>
    <row r="3" spans="1:7" x14ac:dyDescent="0.25">
      <c r="A3" s="19" t="s">
        <v>1</v>
      </c>
      <c r="B3" s="1">
        <v>43921</v>
      </c>
      <c r="C3" s="1">
        <v>44286</v>
      </c>
      <c r="D3" s="1">
        <v>44651</v>
      </c>
      <c r="E3" s="1">
        <v>45016</v>
      </c>
      <c r="F3" s="1">
        <v>45352</v>
      </c>
      <c r="G3" s="1">
        <v>45536</v>
      </c>
    </row>
    <row r="4" spans="1:7" x14ac:dyDescent="0.25">
      <c r="A4" s="19"/>
      <c r="B4" s="2" t="s">
        <v>2</v>
      </c>
      <c r="C4" s="2" t="s">
        <v>2</v>
      </c>
      <c r="D4" s="3" t="s">
        <v>2</v>
      </c>
      <c r="E4" s="3" t="s">
        <v>2</v>
      </c>
      <c r="F4" s="1" t="s">
        <v>2</v>
      </c>
      <c r="G4" s="1" t="s">
        <v>29</v>
      </c>
    </row>
    <row r="5" spans="1:7" x14ac:dyDescent="0.25">
      <c r="A5" s="4" t="s">
        <v>3</v>
      </c>
      <c r="B5" s="5">
        <f>5995617675/100000</f>
        <v>59956.176749999999</v>
      </c>
      <c r="C5" s="5">
        <f>3385156289/10^5</f>
        <v>33851.562890000001</v>
      </c>
      <c r="D5" s="5">
        <f>2676639159/10^5</f>
        <v>26766.391589999999</v>
      </c>
      <c r="E5" s="6">
        <f>1175222316/10^5</f>
        <v>11752.22316</v>
      </c>
      <c r="F5" s="15">
        <f>1645445879/10^5</f>
        <v>16454.458790000001</v>
      </c>
      <c r="G5" s="12">
        <v>2940.27</v>
      </c>
    </row>
    <row r="6" spans="1:7" x14ac:dyDescent="0.25">
      <c r="A6" s="4" t="s">
        <v>4</v>
      </c>
      <c r="B6" s="5">
        <f>35034152/100000</f>
        <v>350.34152</v>
      </c>
      <c r="C6" s="5">
        <f>28465967/10^5</f>
        <v>284.65967000000001</v>
      </c>
      <c r="D6" s="5">
        <f>19553781/10^5</f>
        <v>195.53781000000001</v>
      </c>
      <c r="E6" s="7">
        <f>9577561/10^5</f>
        <v>95.77561</v>
      </c>
      <c r="F6" s="15">
        <f>6029083/10^5</f>
        <v>60.29083</v>
      </c>
      <c r="G6" s="12">
        <f>29335/10^5</f>
        <v>0.29335</v>
      </c>
    </row>
    <row r="7" spans="1:7" x14ac:dyDescent="0.25">
      <c r="A7" s="8" t="s">
        <v>5</v>
      </c>
      <c r="B7" s="9">
        <f>SUM(B5:B6)</f>
        <v>60306.51827</v>
      </c>
      <c r="C7" s="9">
        <f>SUM(C5:C6)</f>
        <v>34136.222560000002</v>
      </c>
      <c r="D7" s="9">
        <f>SUM(D5:D6)</f>
        <v>26961.929400000001</v>
      </c>
      <c r="E7" s="9">
        <f>SUM(E5:E6)</f>
        <v>11847.99877</v>
      </c>
      <c r="F7" s="9">
        <f>SUM(F5:F6)</f>
        <v>16514.749620000002</v>
      </c>
      <c r="G7" s="9">
        <f>G5+G6</f>
        <v>2940.5633499999999</v>
      </c>
    </row>
    <row r="8" spans="1:7" x14ac:dyDescent="0.25">
      <c r="A8" s="4" t="s">
        <v>6</v>
      </c>
      <c r="B8" s="5">
        <f>(4682272251-481146676)/100000</f>
        <v>42011.255749999997</v>
      </c>
      <c r="C8" s="5">
        <f>(1660197642-347315300)/10^5</f>
        <v>13128.823420000001</v>
      </c>
      <c r="D8" s="5">
        <f>(1334107832-343660343)/10^5</f>
        <v>9904.4748899999995</v>
      </c>
      <c r="E8" s="6">
        <f>(454422797-171528102)/10^5</f>
        <v>2828.94695</v>
      </c>
      <c r="F8" s="13">
        <f>(373917716+150814362)/10^5</f>
        <v>5247.32078</v>
      </c>
      <c r="G8" s="12">
        <f>(64607521+55813756)/10^5</f>
        <v>1204.2127700000001</v>
      </c>
    </row>
    <row r="9" spans="1:7" x14ac:dyDescent="0.25">
      <c r="A9" s="4" t="s">
        <v>7</v>
      </c>
      <c r="B9" s="5">
        <f>238940178/100000</f>
        <v>2389.4017800000001</v>
      </c>
      <c r="C9" s="5">
        <f>215413361/10^5</f>
        <v>2154.1336099999999</v>
      </c>
      <c r="D9" s="5">
        <f>127134838/10^5</f>
        <v>1271.3483799999999</v>
      </c>
      <c r="E9" s="6">
        <f>76626083/10^5</f>
        <v>766.26083000000006</v>
      </c>
      <c r="F9" s="15">
        <f>70630925/10^5</f>
        <v>706.30925000000002</v>
      </c>
      <c r="G9" s="12">
        <f>28902115/10^5</f>
        <v>289.02114999999998</v>
      </c>
    </row>
    <row r="10" spans="1:7" x14ac:dyDescent="0.25">
      <c r="A10" s="4" t="s">
        <v>8</v>
      </c>
      <c r="B10" s="5">
        <f>(414046153+235428258)/100000</f>
        <v>6494.7441099999996</v>
      </c>
      <c r="C10" s="5">
        <f>(1010813489+250866807)/10^5</f>
        <v>12616.802960000001</v>
      </c>
      <c r="D10" s="5">
        <f>(852722311+169486640)/10^5</f>
        <v>10222.08951</v>
      </c>
      <c r="E10" s="6">
        <f>(528205731+103624450)/10^5</f>
        <v>6318.3018099999999</v>
      </c>
      <c r="F10" s="17">
        <f>(782952663+121653445)/10^5</f>
        <v>9046.0610799999995</v>
      </c>
      <c r="G10" s="12">
        <f>256.03+968.73</f>
        <v>1224.76</v>
      </c>
    </row>
    <row r="11" spans="1:7" x14ac:dyDescent="0.25">
      <c r="A11" s="8" t="s">
        <v>9</v>
      </c>
      <c r="B11" s="9">
        <f>SUM(B8:B10)</f>
        <v>50895.401639999996</v>
      </c>
      <c r="C11" s="9">
        <f>SUM(C8:C10)</f>
        <v>27899.759990000002</v>
      </c>
      <c r="D11" s="9">
        <f>SUM(D8:D10)</f>
        <v>21397.912779999999</v>
      </c>
      <c r="E11" s="9">
        <f>SUM(E8:E10)</f>
        <v>9913.5095899999997</v>
      </c>
      <c r="F11" s="9">
        <f>SUM(F8:F10)</f>
        <v>14999.69111</v>
      </c>
      <c r="G11" s="9">
        <f>SUM(G8:G10)</f>
        <v>2717.9939199999999</v>
      </c>
    </row>
    <row r="12" spans="1:7" x14ac:dyDescent="0.25">
      <c r="A12" s="8" t="s">
        <v>10</v>
      </c>
      <c r="B12" s="9">
        <f>B7-B11</f>
        <v>9411.1166300000041</v>
      </c>
      <c r="C12" s="9">
        <f>C7-C11</f>
        <v>6236.4625699999997</v>
      </c>
      <c r="D12" s="9">
        <f>D7-D11</f>
        <v>5564.0166200000021</v>
      </c>
      <c r="E12" s="9">
        <f>E7-E11</f>
        <v>1934.4891800000005</v>
      </c>
      <c r="F12" s="9">
        <f>F7-F11</f>
        <v>1515.0585100000026</v>
      </c>
      <c r="G12" s="9">
        <f>G7-G11</f>
        <v>222.56943000000001</v>
      </c>
    </row>
    <row r="13" spans="1:7" x14ac:dyDescent="0.25">
      <c r="A13" s="10" t="s">
        <v>11</v>
      </c>
      <c r="B13" s="11">
        <f>170265998/100000</f>
        <v>1702.6599799999999</v>
      </c>
      <c r="C13" s="11">
        <f>181574397/10^5</f>
        <v>1815.74397</v>
      </c>
      <c r="D13" s="11">
        <f>114689608/10^5</f>
        <v>1146.89608</v>
      </c>
      <c r="E13" s="6">
        <f>93949738/10^5</f>
        <v>939.49738000000002</v>
      </c>
      <c r="F13" s="11">
        <f>75972535/10^5</f>
        <v>759.72535000000005</v>
      </c>
      <c r="G13" s="12">
        <v>314.25</v>
      </c>
    </row>
    <row r="14" spans="1:7" x14ac:dyDescent="0.25">
      <c r="A14" s="8" t="s">
        <v>12</v>
      </c>
      <c r="B14" s="9">
        <f>+B12-B13</f>
        <v>7708.4566500000037</v>
      </c>
      <c r="C14" s="9">
        <f>+C12-C13</f>
        <v>4420.7186000000002</v>
      </c>
      <c r="D14" s="9">
        <f>+D12-D13</f>
        <v>4417.1205400000017</v>
      </c>
      <c r="E14" s="9">
        <f>+E12-E13</f>
        <v>994.99180000000047</v>
      </c>
      <c r="F14" s="9">
        <f>+F12-F13</f>
        <v>755.33316000000252</v>
      </c>
      <c r="G14" s="9">
        <f>+G12-G13</f>
        <v>-91.680569999999989</v>
      </c>
    </row>
    <row r="15" spans="1:7" x14ac:dyDescent="0.25">
      <c r="A15" s="4" t="s">
        <v>13</v>
      </c>
      <c r="B15" s="5">
        <f>440592163/100000</f>
        <v>4405.9216299999998</v>
      </c>
      <c r="C15" s="5">
        <f>430020601/10^5</f>
        <v>4300.2060099999999</v>
      </c>
      <c r="D15" s="5">
        <f>436462555/10^5</f>
        <v>4364.6255499999997</v>
      </c>
      <c r="E15" s="6">
        <f>94116635/10^5</f>
        <v>941.16634999999997</v>
      </c>
      <c r="F15" s="15">
        <f>69160226/10^5</f>
        <v>691.60226</v>
      </c>
      <c r="G15" s="12">
        <v>154.38</v>
      </c>
    </row>
    <row r="16" spans="1:7" x14ac:dyDescent="0.25">
      <c r="A16" s="8" t="s">
        <v>14</v>
      </c>
      <c r="B16" s="9">
        <f>+B14-B15</f>
        <v>3302.5350200000039</v>
      </c>
      <c r="C16" s="9">
        <f>+C14-C15</f>
        <v>120.51259000000027</v>
      </c>
      <c r="D16" s="9">
        <f>+D14-D15</f>
        <v>52.494990000001962</v>
      </c>
      <c r="E16" s="9">
        <f>+E14-E15</f>
        <v>53.825450000000501</v>
      </c>
      <c r="F16" s="9">
        <f>+F14-F15</f>
        <v>63.730900000002521</v>
      </c>
      <c r="G16" s="9">
        <f>+G14-G15</f>
        <v>-246.06056999999998</v>
      </c>
    </row>
    <row r="17" spans="1:7" x14ac:dyDescent="0.25">
      <c r="A17" s="4" t="s">
        <v>15</v>
      </c>
      <c r="B17" s="5">
        <v>0</v>
      </c>
      <c r="C17" s="5">
        <v>0</v>
      </c>
      <c r="D17" s="5">
        <v>0</v>
      </c>
      <c r="E17" s="5">
        <v>0</v>
      </c>
      <c r="F17" s="12"/>
      <c r="G17" s="12"/>
    </row>
    <row r="18" spans="1:7" x14ac:dyDescent="0.25">
      <c r="A18" s="4" t="s">
        <v>16</v>
      </c>
      <c r="B18" s="5">
        <v>0</v>
      </c>
      <c r="C18" s="5">
        <v>0</v>
      </c>
      <c r="D18" s="5">
        <v>0</v>
      </c>
      <c r="E18" s="13">
        <v>0</v>
      </c>
      <c r="F18" s="12"/>
      <c r="G18" s="12"/>
    </row>
    <row r="19" spans="1:7" x14ac:dyDescent="0.25">
      <c r="A19" s="4" t="s">
        <v>17</v>
      </c>
      <c r="B19" s="5">
        <f>115000000/10^5</f>
        <v>1150</v>
      </c>
      <c r="C19" s="5">
        <f>4000000/10^5</f>
        <v>40</v>
      </c>
      <c r="D19" s="5">
        <f>2100000/10^5</f>
        <v>21</v>
      </c>
      <c r="E19" s="6">
        <f>2500000/10^5</f>
        <v>25</v>
      </c>
      <c r="F19" s="15">
        <f>3200000/10^5</f>
        <v>32</v>
      </c>
      <c r="G19" s="12">
        <v>0</v>
      </c>
    </row>
    <row r="20" spans="1:7" x14ac:dyDescent="0.25">
      <c r="A20" s="4" t="s">
        <v>18</v>
      </c>
      <c r="B20" s="5">
        <f>6333396/10^5</f>
        <v>63.333959999999998</v>
      </c>
      <c r="C20" s="5">
        <f>-4345139/10^5</f>
        <v>-43.451390000000004</v>
      </c>
      <c r="D20" s="5">
        <f>-322830/10^5</f>
        <v>-3.2282999999999999</v>
      </c>
      <c r="E20" s="6">
        <f>-850530/10^5</f>
        <v>-8.5053000000000001</v>
      </c>
      <c r="F20" s="15">
        <f>-61994/10^5</f>
        <v>-0.61994000000000005</v>
      </c>
      <c r="G20" s="12">
        <v>0</v>
      </c>
    </row>
    <row r="21" spans="1:7" x14ac:dyDescent="0.25">
      <c r="A21" s="8" t="s">
        <v>19</v>
      </c>
      <c r="B21" s="9">
        <f>+B16+B18-B19-B20</f>
        <v>2089.201060000004</v>
      </c>
      <c r="C21" s="9">
        <f>+C16+C18-C19-C20</f>
        <v>123.96398000000028</v>
      </c>
      <c r="D21" s="9">
        <f>+D16+D18-D19-D20</f>
        <v>34.72329000000196</v>
      </c>
      <c r="E21" s="9">
        <f>+E16+E18-E19-E20-E17</f>
        <v>37.330750000000499</v>
      </c>
      <c r="F21" s="9">
        <f>+F16+F18-F19-F20-F17</f>
        <v>32.35084000000252</v>
      </c>
      <c r="G21" s="9">
        <f>+G16+G18-G19-G20-G17</f>
        <v>-246.06056999999998</v>
      </c>
    </row>
    <row r="22" spans="1:7" x14ac:dyDescent="0.25">
      <c r="E22" s="14"/>
    </row>
    <row r="23" spans="1:7" x14ac:dyDescent="0.25">
      <c r="A23" s="16" t="s">
        <v>1</v>
      </c>
      <c r="B23" s="1" t="s">
        <v>24</v>
      </c>
      <c r="C23" s="1" t="s">
        <v>25</v>
      </c>
      <c r="D23" s="1" t="s">
        <v>26</v>
      </c>
      <c r="E23" s="1" t="s">
        <v>27</v>
      </c>
      <c r="F23" s="1" t="s">
        <v>28</v>
      </c>
      <c r="G23" s="1" t="s">
        <v>30</v>
      </c>
    </row>
    <row r="24" spans="1:7" x14ac:dyDescent="0.25">
      <c r="A24" s="12" t="s">
        <v>22</v>
      </c>
      <c r="B24" s="18">
        <f>B12/B5</f>
        <v>0.15696659026878335</v>
      </c>
      <c r="C24" s="18">
        <f>C12/C5</f>
        <v>0.18422967915145497</v>
      </c>
      <c r="D24" s="18">
        <f>D12/D5</f>
        <v>0.20787324287965414</v>
      </c>
      <c r="E24" s="18">
        <f>E12/E5</f>
        <v>0.16460623268151084</v>
      </c>
      <c r="F24" s="18">
        <f>F12/F5</f>
        <v>9.2075864015701392E-2</v>
      </c>
      <c r="G24" s="18">
        <f>G12/G5</f>
        <v>7.569693599567387E-2</v>
      </c>
    </row>
    <row r="25" spans="1:7" x14ac:dyDescent="0.25">
      <c r="A25" s="12" t="s">
        <v>21</v>
      </c>
      <c r="B25" s="18">
        <f>B14/B5</f>
        <v>0.12856818209309859</v>
      </c>
      <c r="C25" s="18">
        <f>C14/C5</f>
        <v>0.13059127031638212</v>
      </c>
      <c r="D25" s="18">
        <f>D14/D5</f>
        <v>0.16502487924634004</v>
      </c>
      <c r="E25" s="18">
        <f>E14/E5</f>
        <v>8.4664134304951413E-2</v>
      </c>
      <c r="F25" s="18">
        <f>F14/F5</f>
        <v>4.5904466967886366E-2</v>
      </c>
      <c r="G25" s="18">
        <f>G14/G5</f>
        <v>-3.1181003785366646E-2</v>
      </c>
    </row>
    <row r="26" spans="1:7" x14ac:dyDescent="0.25">
      <c r="A26" s="12" t="s">
        <v>23</v>
      </c>
      <c r="B26" s="18">
        <f>B21/B5</f>
        <v>3.4845468361189388E-2</v>
      </c>
      <c r="C26" s="18">
        <f>C21/C5</f>
        <v>3.6619869044988802E-3</v>
      </c>
      <c r="D26" s="18">
        <f>D21/D5</f>
        <v>1.2972719868962345E-3</v>
      </c>
      <c r="E26" s="18">
        <f>E21/E5</f>
        <v>3.1764840993710759E-3</v>
      </c>
      <c r="F26" s="18">
        <f>F21/F5</f>
        <v>1.9660835043485815E-3</v>
      </c>
      <c r="G26" s="18">
        <f>G21/G5</f>
        <v>-8.3686385944147984E-2</v>
      </c>
    </row>
    <row r="27" spans="1:7" x14ac:dyDescent="0.25">
      <c r="A27" s="12" t="s">
        <v>20</v>
      </c>
      <c r="B27" s="18"/>
      <c r="C27" s="18">
        <f>(C5/B5)-1</f>
        <v>-0.43539490466259589</v>
      </c>
      <c r="D27" s="18">
        <f>(D5/C5)-1</f>
        <v>-0.2093011576163597</v>
      </c>
      <c r="E27" s="18">
        <f>(E5/D5)-1</f>
        <v>-0.56093360136034676</v>
      </c>
      <c r="F27" s="18">
        <f>(F5/E5)-1</f>
        <v>0.40011456266458456</v>
      </c>
      <c r="G27" s="18">
        <f>(G5/F5)-1</f>
        <v>-0.82130861686031786</v>
      </c>
    </row>
  </sheetData>
  <mergeCells count="2">
    <mergeCell ref="A3:A4"/>
    <mergeCell ref="A1:G1"/>
  </mergeCells>
  <pageMargins left="0.7" right="0.7" top="0.75" bottom="0.75" header="0.3" footer="0.3"/>
  <ignoredErrors>
    <ignoredError sqref="B15:F15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2024-12-02T05:02:09Z</dcterms:modified>
</cp:coreProperties>
</file>