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 Progress Files\Nishchay Gautam\WIP\VIS(2024-25)-PL362-315-422 ETH Infra\working\"/>
    </mc:Choice>
  </mc:AlternateContent>
  <bookViews>
    <workbookView xWindow="0" yWindow="0" windowWidth="20490" windowHeight="7755" tabRatio="587" activeTab="1"/>
  </bookViews>
  <sheets>
    <sheet name="Land area-Deed" sheetId="27" r:id="rId1"/>
    <sheet name="Inventory calculation" sheetId="11" r:id="rId2"/>
    <sheet name="Civil work" sheetId="12" r:id="rId3"/>
  </sheets>
  <externalReferences>
    <externalReference r:id="rId4"/>
  </externalReferences>
  <definedNames>
    <definedName name="Excel_BuiltIn__FilterDatabase_1">#REF!</definedName>
    <definedName name="View5">[1]hidnSheetNew!$C$2:$C$3</definedName>
  </definedNames>
  <calcPr calcId="152511"/>
</workbook>
</file>

<file path=xl/calcChain.xml><?xml version="1.0" encoding="utf-8"?>
<calcChain xmlns="http://schemas.openxmlformats.org/spreadsheetml/2006/main">
  <c r="M17" i="11" l="1"/>
  <c r="L17" i="11"/>
  <c r="I6" i="12" l="1"/>
  <c r="N4" i="12"/>
  <c r="G13" i="27"/>
  <c r="H7" i="27"/>
  <c r="E7" i="12" l="1"/>
  <c r="E8" i="12"/>
  <c r="R14" i="12"/>
  <c r="M23" i="11" l="1"/>
  <c r="J16" i="11"/>
  <c r="J15" i="11"/>
  <c r="J14" i="11"/>
  <c r="J13" i="11"/>
  <c r="J12" i="11"/>
  <c r="E24" i="12"/>
  <c r="E25" i="12"/>
  <c r="Q11" i="12"/>
  <c r="H20" i="12"/>
  <c r="S10" i="12"/>
  <c r="Q8" i="12"/>
  <c r="I2" i="12"/>
  <c r="G2" i="12"/>
  <c r="H13" i="27"/>
  <c r="F13" i="27"/>
  <c r="J9" i="27"/>
  <c r="J8" i="27"/>
  <c r="J7" i="27"/>
  <c r="J6" i="27"/>
  <c r="H9" i="27"/>
  <c r="H8" i="27"/>
  <c r="H6" i="27"/>
  <c r="S4" i="11"/>
  <c r="M15" i="11"/>
  <c r="L15" i="11"/>
  <c r="M14" i="11"/>
  <c r="L14" i="11"/>
  <c r="M13" i="11"/>
  <c r="L13" i="11"/>
  <c r="M12" i="11"/>
  <c r="M16" i="11" s="1"/>
  <c r="L12" i="11"/>
  <c r="K16" i="11"/>
  <c r="I16" i="11"/>
  <c r="L16" i="11" l="1"/>
  <c r="R7" i="27"/>
  <c r="R6" i="27"/>
  <c r="R8" i="27" s="1"/>
  <c r="Q7" i="27"/>
  <c r="Q6" i="27"/>
  <c r="P8" i="27"/>
  <c r="Q8" i="27" l="1"/>
  <c r="D14" i="12" l="1"/>
  <c r="P21" i="11"/>
  <c r="S2" i="12"/>
  <c r="S16" i="11"/>
  <c r="S17" i="11" s="1"/>
  <c r="E22" i="12" l="1"/>
  <c r="G9" i="27"/>
  <c r="I5" i="12" l="1"/>
  <c r="F20" i="12"/>
  <c r="F26" i="12"/>
  <c r="F24" i="12"/>
  <c r="F25" i="12" l="1"/>
  <c r="F21" i="12" l="1"/>
  <c r="E9" i="12" s="1"/>
  <c r="F22" i="12" l="1"/>
  <c r="J2" i="12" l="1"/>
  <c r="I8" i="12" s="1"/>
  <c r="H14" i="12"/>
  <c r="J14" i="12" s="1"/>
  <c r="F14" i="12"/>
  <c r="P17" i="12" l="1"/>
  <c r="M14" i="12"/>
  <c r="M17" i="12" l="1"/>
  <c r="M18" i="12" s="1"/>
  <c r="P18" i="12"/>
  <c r="M20" i="12" l="1"/>
  <c r="M19" i="12"/>
  <c r="M22" i="12" l="1"/>
  <c r="P19" i="12" s="1"/>
  <c r="P22" i="12" s="1"/>
  <c r="P24" i="12" l="1"/>
  <c r="P26" i="12" s="1"/>
  <c r="P25" i="12" l="1"/>
</calcChain>
</file>

<file path=xl/sharedStrings.xml><?xml version="1.0" encoding="utf-8"?>
<sst xmlns="http://schemas.openxmlformats.org/spreadsheetml/2006/main" count="120" uniqueCount="93">
  <si>
    <t>Configuration</t>
  </si>
  <si>
    <t>Saleable area per DU
(In Sqft)</t>
  </si>
  <si>
    <t>A</t>
  </si>
  <si>
    <t>B</t>
  </si>
  <si>
    <t>C</t>
  </si>
  <si>
    <t>D</t>
  </si>
  <si>
    <t>E</t>
  </si>
  <si>
    <t>F</t>
  </si>
  <si>
    <t>G</t>
  </si>
  <si>
    <t>Total</t>
  </si>
  <si>
    <t>acre</t>
  </si>
  <si>
    <t>sq.mtr</t>
  </si>
  <si>
    <t>Area</t>
  </si>
  <si>
    <t>Circle Value</t>
  </si>
  <si>
    <t>FMV</t>
  </si>
  <si>
    <t>rate</t>
  </si>
  <si>
    <t>Building</t>
  </si>
  <si>
    <t>Far</t>
  </si>
  <si>
    <t>Non Far</t>
  </si>
  <si>
    <t>Rate</t>
  </si>
  <si>
    <t>Value</t>
  </si>
  <si>
    <t>sq.ft</t>
  </si>
  <si>
    <t>per sq.ft</t>
  </si>
  <si>
    <t>a</t>
  </si>
  <si>
    <t>b</t>
  </si>
  <si>
    <t>c</t>
  </si>
  <si>
    <t>d</t>
  </si>
  <si>
    <t>FAR</t>
  </si>
  <si>
    <t>Built up</t>
  </si>
  <si>
    <t>e</t>
  </si>
  <si>
    <t>NON FAR</t>
  </si>
  <si>
    <t>round off</t>
  </si>
  <si>
    <t>RV</t>
  </si>
  <si>
    <t>DV</t>
  </si>
  <si>
    <t>Permissible FAR</t>
  </si>
  <si>
    <t>Land value</t>
  </si>
  <si>
    <t>original rate</t>
  </si>
  <si>
    <t>after disc.</t>
  </si>
  <si>
    <t>Aesthetic</t>
  </si>
  <si>
    <t>sq.yds</t>
  </si>
  <si>
    <t>Proposed Green Area</t>
  </si>
  <si>
    <t>Required Green Area</t>
  </si>
  <si>
    <t>land rate</t>
  </si>
  <si>
    <t>cons rate</t>
  </si>
  <si>
    <t>FSI</t>
  </si>
  <si>
    <t>TOTAL</t>
  </si>
  <si>
    <t>Calculation</t>
  </si>
  <si>
    <t>Date</t>
  </si>
  <si>
    <t>Sl. No.</t>
  </si>
  <si>
    <t>Proposed GC</t>
  </si>
  <si>
    <t>Per. Ground Coverage</t>
  </si>
  <si>
    <t>Total Cons Cost</t>
  </si>
  <si>
    <t>Hectare</t>
  </si>
  <si>
    <t>Acre</t>
  </si>
  <si>
    <t>sq. mt.</t>
  </si>
  <si>
    <t>Land
(in sq. mt.)</t>
  </si>
  <si>
    <t>Total Cov. 
Area (in sq. mt.)</t>
  </si>
  <si>
    <t>Total open 
area (in sq. mt.)</t>
  </si>
  <si>
    <t>No. of 
parking</t>
  </si>
  <si>
    <t>Agreement</t>
  </si>
  <si>
    <t>Collaboration 
agreement</t>
  </si>
  <si>
    <t>Owner</t>
  </si>
  <si>
    <t>Developer</t>
  </si>
  <si>
    <t>Parminder 
Kumar</t>
  </si>
  <si>
    <t>ETH Infra Pvt. Ltd.</t>
  </si>
  <si>
    <t>Ravinder Kumar</t>
  </si>
  <si>
    <t>Land area as per Vasiyad</t>
  </si>
  <si>
    <t>Area 
(in sq. mt.)</t>
  </si>
  <si>
    <t>Block</t>
  </si>
  <si>
    <t>Block A</t>
  </si>
  <si>
    <t>Block B</t>
  </si>
  <si>
    <t>Block C</t>
  </si>
  <si>
    <t>1 BHK</t>
  </si>
  <si>
    <t>2 BHK</t>
  </si>
  <si>
    <t>3 BHK</t>
  </si>
  <si>
    <t>No. of units</t>
  </si>
  <si>
    <t>Total Booked Units</t>
  </si>
  <si>
    <t>https://housing.com/in/buy/projects/page/302999-eth-haridwar-one-by-eth-infra-pvt-ltd-in-motichur</t>
  </si>
  <si>
    <t>https://www.99acres.com/eth-haridwar-one-motichur-haridwar-npxid-r261266</t>
  </si>
  <si>
    <t>https://www.magicbricks.com/haridwar-one-bhupat-wala-haridwar-pdpid-4d4235343136323335</t>
  </si>
  <si>
    <t>Area 
(in sq. ft.)</t>
  </si>
  <si>
    <t>Rate / sq. ft.</t>
  </si>
  <si>
    <t>Land
(in sq. ft.)</t>
  </si>
  <si>
    <t>Rate/ sq. ft.</t>
  </si>
  <si>
    <t>Details given in Uttarakhand RERA / Land area considered</t>
  </si>
  <si>
    <t>INR per sq.ft</t>
  </si>
  <si>
    <t>Not provided</t>
  </si>
  <si>
    <t>Total Saleable area 
(in sq. ft.)</t>
  </si>
  <si>
    <t>H</t>
  </si>
  <si>
    <t>INR per sq. mt.</t>
  </si>
  <si>
    <t>per sq.mt.</t>
  </si>
  <si>
    <r>
      <t xml:space="preserve"> @Rs.7,500/- per sq. ft. on super built up area</t>
    </r>
    <r>
      <rPr>
        <b/>
        <sz val="11"/>
        <color theme="0"/>
        <rFont val="Calibri"/>
        <family val="2"/>
      </rPr>
      <t xml:space="preserve"> 
(in Cr.)</t>
    </r>
  </si>
  <si>
    <r>
      <t xml:space="preserve"> @Rs.6,500/- per sq. ft. on super built up area
</t>
    </r>
    <r>
      <rPr>
        <b/>
        <sz val="11"/>
        <color theme="0"/>
        <rFont val="Calibri"/>
        <family val="2"/>
      </rPr>
      <t xml:space="preserve"> (in Cr.)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</si>
</sst>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  <numFmt numFmtId="166" formatCode="_ * #,##0.000_ ;_ * \-#,##0.000_ ;_ * &quot;-&quot;??_ ;_ @_ "/>
    <numFmt numFmtId="167" formatCode="_ * #,##0_ ;_ * \-#,##0_ ;_ * &quot;-&quot;????_ ;_ @_ "/>
    <numFmt numFmtId="168" formatCode="_ * #,##0_ ;_ * \-#,##0_ ;_ * &quot;-&quot;?_ ;_ @_ "/>
    <numFmt numFmtId="169" formatCode="_ * #,##0.00000_ ;_ * \-#,##0.00000_ ;_ * &quot;-&quot;??_ ;_ @_ "/>
    <numFmt numFmtId="170" formatCode="_(* #,##0_);_(* \(#,##0\);_(* &quot;-&quot;??_);_(@_)"/>
    <numFmt numFmtId="171" formatCode="_ * #,##0.0_ ;_ * \-#,##0.0_ ;_ * &quot;-&quot;??_ ;_ @_ 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b/>
      <sz val="10"/>
      <color rgb="FF000000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9" fillId="0" borderId="0"/>
    <xf numFmtId="165" fontId="9" fillId="0" borderId="0" applyFill="0" applyBorder="0" applyAlignment="0" applyProtection="0"/>
    <xf numFmtId="0" fontId="14" fillId="0" borderId="0">
      <alignment vertical="center"/>
    </xf>
    <xf numFmtId="0" fontId="3" fillId="0" borderId="0"/>
    <xf numFmtId="0" fontId="15" fillId="0" borderId="0" applyBorder="0" applyProtection="0"/>
    <xf numFmtId="0" fontId="18" fillId="0" borderId="0"/>
    <xf numFmtId="165" fontId="9" fillId="0" borderId="0" applyFont="0" applyFill="0" applyBorder="0" applyAlignment="0" applyProtection="0"/>
  </cellStyleXfs>
  <cellXfs count="104">
    <xf numFmtId="0" fontId="0" fillId="0" borderId="0" xfId="0" applyAlignment="1">
      <alignment horizontal="left" vertical="top"/>
    </xf>
    <xf numFmtId="0" fontId="6" fillId="0" borderId="0" xfId="2"/>
    <xf numFmtId="164" fontId="0" fillId="0" borderId="0" xfId="3" applyNumberFormat="1" applyFont="1"/>
    <xf numFmtId="0" fontId="8" fillId="0" borderId="0" xfId="2" applyFont="1"/>
    <xf numFmtId="2" fontId="6" fillId="0" borderId="0" xfId="2" applyNumberFormat="1"/>
    <xf numFmtId="0" fontId="6" fillId="0" borderId="6" xfId="2" applyBorder="1"/>
    <xf numFmtId="43" fontId="6" fillId="0" borderId="0" xfId="2" applyNumberFormat="1"/>
    <xf numFmtId="164" fontId="6" fillId="0" borderId="0" xfId="1" applyNumberFormat="1" applyFont="1"/>
    <xf numFmtId="0" fontId="5" fillId="0" borderId="0" xfId="2" applyFont="1"/>
    <xf numFmtId="0" fontId="4" fillId="0" borderId="0" xfId="2" applyFont="1"/>
    <xf numFmtId="0" fontId="7" fillId="0" borderId="0" xfId="0" applyFont="1" applyAlignment="1">
      <alignment horizontal="left" vertical="top"/>
    </xf>
    <xf numFmtId="169" fontId="6" fillId="0" borderId="4" xfId="2" applyNumberFormat="1" applyBorder="1"/>
    <xf numFmtId="43" fontId="0" fillId="0" borderId="4" xfId="3" applyFont="1" applyBorder="1"/>
    <xf numFmtId="43" fontId="6" fillId="0" borderId="4" xfId="2" applyNumberFormat="1" applyBorder="1"/>
    <xf numFmtId="164" fontId="6" fillId="0" borderId="4" xfId="2" applyNumberFormat="1" applyBorder="1"/>
    <xf numFmtId="166" fontId="0" fillId="0" borderId="4" xfId="3" applyNumberFormat="1" applyFont="1" applyBorder="1"/>
    <xf numFmtId="164" fontId="0" fillId="0" borderId="4" xfId="3" applyNumberFormat="1" applyFont="1" applyBorder="1"/>
    <xf numFmtId="164" fontId="6" fillId="0" borderId="4" xfId="1" applyNumberFormat="1" applyFont="1" applyBorder="1"/>
    <xf numFmtId="164" fontId="8" fillId="0" borderId="4" xfId="2" applyNumberFormat="1" applyFont="1" applyBorder="1"/>
    <xf numFmtId="167" fontId="6" fillId="0" borderId="4" xfId="2" applyNumberFormat="1" applyBorder="1"/>
    <xf numFmtId="164" fontId="16" fillId="0" borderId="4" xfId="3" applyNumberFormat="1" applyFont="1" applyBorder="1"/>
    <xf numFmtId="168" fontId="6" fillId="0" borderId="4" xfId="2" applyNumberFormat="1" applyBorder="1"/>
    <xf numFmtId="2" fontId="8" fillId="0" borderId="4" xfId="2" applyNumberFormat="1" applyFont="1" applyBorder="1"/>
    <xf numFmtId="166" fontId="6" fillId="0" borderId="4" xfId="2" applyNumberFormat="1" applyBorder="1"/>
    <xf numFmtId="0" fontId="8" fillId="3" borderId="4" xfId="2" applyFont="1" applyFill="1" applyBorder="1"/>
    <xf numFmtId="0" fontId="8" fillId="5" borderId="4" xfId="2" applyFont="1" applyFill="1" applyBorder="1"/>
    <xf numFmtId="0" fontId="6" fillId="3" borderId="4" xfId="2" applyFill="1" applyBorder="1"/>
    <xf numFmtId="0" fontId="8" fillId="3" borderId="4" xfId="2" quotePrefix="1" applyFont="1" applyFill="1" applyBorder="1"/>
    <xf numFmtId="0" fontId="4" fillId="3" borderId="4" xfId="2" applyFont="1" applyFill="1" applyBorder="1"/>
    <xf numFmtId="0" fontId="13" fillId="6" borderId="4" xfId="2" applyFont="1" applyFill="1" applyBorder="1"/>
    <xf numFmtId="0" fontId="4" fillId="4" borderId="4" xfId="2" applyFont="1" applyFill="1" applyBorder="1"/>
    <xf numFmtId="0" fontId="6" fillId="5" borderId="3" xfId="2" applyFill="1" applyBorder="1"/>
    <xf numFmtId="0" fontId="4" fillId="4" borderId="10" xfId="2" applyFont="1" applyFill="1" applyBorder="1"/>
    <xf numFmtId="0" fontId="4" fillId="4" borderId="11" xfId="2" applyFont="1" applyFill="1" applyBorder="1"/>
    <xf numFmtId="2" fontId="6" fillId="7" borderId="5" xfId="2" applyNumberFormat="1" applyFill="1" applyBorder="1" applyAlignment="1">
      <alignment horizontal="centerContinuous"/>
    </xf>
    <xf numFmtId="2" fontId="6" fillId="7" borderId="2" xfId="2" applyNumberFormat="1" applyFill="1" applyBorder="1" applyAlignment="1">
      <alignment horizontal="centerContinuous"/>
    </xf>
    <xf numFmtId="0" fontId="6" fillId="8" borderId="4" xfId="2" applyFill="1" applyBorder="1"/>
    <xf numFmtId="2" fontId="8" fillId="7" borderId="5" xfId="2" applyNumberFormat="1" applyFont="1" applyFill="1" applyBorder="1" applyAlignment="1">
      <alignment horizontal="centerContinuous"/>
    </xf>
    <xf numFmtId="2" fontId="8" fillId="7" borderId="1" xfId="2" applyNumberFormat="1" applyFont="1" applyFill="1" applyBorder="1" applyAlignment="1">
      <alignment horizontal="centerContinuous"/>
    </xf>
    <xf numFmtId="2" fontId="8" fillId="7" borderId="2" xfId="2" applyNumberFormat="1" applyFont="1" applyFill="1" applyBorder="1" applyAlignment="1">
      <alignment horizontal="centerContinuous"/>
    </xf>
    <xf numFmtId="43" fontId="0" fillId="0" borderId="12" xfId="3" applyFont="1" applyBorder="1"/>
    <xf numFmtId="2" fontId="6" fillId="0" borderId="13" xfId="2" applyNumberFormat="1" applyBorder="1"/>
    <xf numFmtId="164" fontId="16" fillId="0" borderId="14" xfId="3" applyNumberFormat="1" applyFont="1" applyBorder="1"/>
    <xf numFmtId="0" fontId="17" fillId="9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9" fillId="0" borderId="4" xfId="4" applyBorder="1" applyAlignment="1">
      <alignment horizontal="center" vertical="center"/>
    </xf>
    <xf numFmtId="164" fontId="9" fillId="0" borderId="4" xfId="3" applyNumberFormat="1" applyFont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 wrapText="1"/>
    </xf>
    <xf numFmtId="164" fontId="10" fillId="2" borderId="4" xfId="1" applyNumberFormat="1" applyFont="1" applyFill="1" applyBorder="1" applyAlignment="1">
      <alignment horizontal="center" vertical="center" wrapText="1"/>
    </xf>
    <xf numFmtId="0" fontId="19" fillId="9" borderId="4" xfId="4" applyFont="1" applyFill="1" applyBorder="1" applyAlignment="1">
      <alignment horizontal="center" vertical="center"/>
    </xf>
    <xf numFmtId="0" fontId="19" fillId="9" borderId="4" xfId="4" applyFont="1" applyFill="1" applyBorder="1" applyAlignment="1">
      <alignment horizontal="center" vertical="center" wrapText="1"/>
    </xf>
    <xf numFmtId="164" fontId="19" fillId="9" borderId="4" xfId="3" applyNumberFormat="1" applyFont="1" applyFill="1" applyBorder="1" applyAlignment="1">
      <alignment horizontal="center" vertical="center" wrapText="1"/>
    </xf>
    <xf numFmtId="171" fontId="6" fillId="0" borderId="4" xfId="2" applyNumberFormat="1" applyBorder="1"/>
    <xf numFmtId="0" fontId="0" fillId="0" borderId="4" xfId="0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43" fontId="16" fillId="0" borderId="4" xfId="1" applyFont="1" applyBorder="1" applyAlignment="1">
      <alignment horizontal="left" vertical="top"/>
    </xf>
    <xf numFmtId="164" fontId="16" fillId="0" borderId="4" xfId="1" applyNumberFormat="1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 wrapText="1"/>
    </xf>
    <xf numFmtId="0" fontId="17" fillId="9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3" fontId="0" fillId="0" borderId="0" xfId="0" applyNumberFormat="1" applyAlignment="1">
      <alignment horizontal="left" vertical="top"/>
    </xf>
    <xf numFmtId="0" fontId="2" fillId="0" borderId="4" xfId="2" applyFont="1" applyBorder="1" applyAlignment="1">
      <alignment horizontal="center" vertical="center"/>
    </xf>
    <xf numFmtId="0" fontId="6" fillId="0" borderId="0" xfId="2" applyBorder="1"/>
    <xf numFmtId="164" fontId="6" fillId="0" borderId="4" xfId="1" applyNumberFormat="1" applyFont="1" applyBorder="1" applyAlignment="1">
      <alignment horizontal="center" vertical="center"/>
    </xf>
    <xf numFmtId="164" fontId="9" fillId="0" borderId="4" xfId="1" applyNumberFormat="1" applyFont="1" applyBorder="1" applyAlignment="1">
      <alignment horizontal="center" vertical="center" wrapText="1"/>
    </xf>
    <xf numFmtId="170" fontId="9" fillId="0" borderId="4" xfId="5" applyNumberFormat="1" applyFill="1" applyBorder="1" applyAlignment="1">
      <alignment horizontal="center" vertical="center"/>
    </xf>
    <xf numFmtId="171" fontId="0" fillId="0" borderId="4" xfId="1" applyNumberFormat="1" applyFont="1" applyBorder="1" applyAlignment="1">
      <alignment horizontal="center" vertical="center"/>
    </xf>
    <xf numFmtId="171" fontId="16" fillId="3" borderId="4" xfId="1" applyNumberFormat="1" applyFont="1" applyFill="1" applyBorder="1" applyAlignment="1">
      <alignment horizontal="center" vertical="center"/>
    </xf>
    <xf numFmtId="43" fontId="0" fillId="0" borderId="4" xfId="1" applyFont="1" applyBorder="1" applyAlignment="1">
      <alignment horizontal="left" vertical="top"/>
    </xf>
    <xf numFmtId="164" fontId="0" fillId="0" borderId="4" xfId="1" applyNumberFormat="1" applyFont="1" applyBorder="1" applyAlignment="1">
      <alignment horizontal="left" vertical="top"/>
    </xf>
    <xf numFmtId="164" fontId="0" fillId="0" borderId="4" xfId="1" applyNumberFormat="1" applyFont="1" applyBorder="1" applyAlignment="1">
      <alignment horizontal="center" vertical="center"/>
    </xf>
    <xf numFmtId="171" fontId="7" fillId="0" borderId="4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164" fontId="16" fillId="10" borderId="4" xfId="1" applyNumberFormat="1" applyFont="1" applyFill="1" applyBorder="1" applyAlignment="1">
      <alignment horizontal="left" vertical="top"/>
    </xf>
    <xf numFmtId="43" fontId="16" fillId="10" borderId="0" xfId="0" applyNumberFormat="1" applyFont="1" applyFill="1" applyAlignment="1">
      <alignment horizontal="left" vertical="top"/>
    </xf>
    <xf numFmtId="0" fontId="16" fillId="0" borderId="9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171" fontId="16" fillId="0" borderId="17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1" fontId="16" fillId="0" borderId="0" xfId="1" applyNumberFormat="1" applyFont="1" applyFill="1" applyBorder="1" applyAlignment="1">
      <alignment horizontal="center" vertical="center"/>
    </xf>
    <xf numFmtId="0" fontId="2" fillId="5" borderId="4" xfId="2" applyFont="1" applyFill="1" applyBorder="1"/>
    <xf numFmtId="166" fontId="2" fillId="0" borderId="4" xfId="2" applyNumberFormat="1" applyFont="1" applyBorder="1"/>
    <xf numFmtId="164" fontId="9" fillId="0" borderId="4" xfId="4" applyNumberFormat="1" applyBorder="1" applyAlignment="1">
      <alignment horizontal="center" vertical="center"/>
    </xf>
    <xf numFmtId="164" fontId="10" fillId="2" borderId="4" xfId="4" applyNumberFormat="1" applyFont="1" applyFill="1" applyBorder="1" applyAlignment="1">
      <alignment horizontal="center" vertical="center" wrapText="1"/>
    </xf>
    <xf numFmtId="0" fontId="1" fillId="5" borderId="4" xfId="2" applyFont="1" applyFill="1" applyBorder="1"/>
    <xf numFmtId="0" fontId="1" fillId="5" borderId="3" xfId="2" applyFont="1" applyFill="1" applyBorder="1"/>
    <xf numFmtId="0" fontId="16" fillId="3" borderId="4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top"/>
    </xf>
    <xf numFmtId="0" fontId="16" fillId="0" borderId="8" xfId="0" applyFont="1" applyBorder="1" applyAlignment="1">
      <alignment horizontal="center" vertical="top"/>
    </xf>
    <xf numFmtId="0" fontId="16" fillId="0" borderId="15" xfId="0" applyFont="1" applyBorder="1" applyAlignment="1">
      <alignment horizontal="center" vertical="top"/>
    </xf>
    <xf numFmtId="0" fontId="16" fillId="3" borderId="9" xfId="0" applyFont="1" applyFill="1" applyBorder="1" applyAlignment="1">
      <alignment horizontal="center" vertical="top"/>
    </xf>
    <xf numFmtId="0" fontId="16" fillId="3" borderId="17" xfId="0" applyFont="1" applyFill="1" applyBorder="1" applyAlignment="1">
      <alignment horizontal="center" vertical="top"/>
    </xf>
    <xf numFmtId="0" fontId="10" fillId="2" borderId="7" xfId="4" applyFont="1" applyFill="1" applyBorder="1" applyAlignment="1">
      <alignment horizontal="center" vertical="center" wrapText="1"/>
    </xf>
    <xf numFmtId="0" fontId="10" fillId="2" borderId="8" xfId="4" applyFont="1" applyFill="1" applyBorder="1" applyAlignment="1">
      <alignment horizontal="center" vertical="center" wrapText="1"/>
    </xf>
    <xf numFmtId="0" fontId="10" fillId="2" borderId="15" xfId="4" applyFont="1" applyFill="1" applyBorder="1" applyAlignment="1">
      <alignment horizontal="center" vertical="center" wrapText="1"/>
    </xf>
    <xf numFmtId="0" fontId="19" fillId="9" borderId="4" xfId="4" applyFont="1" applyFill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</cellXfs>
  <cellStyles count="11">
    <cellStyle name="Comma" xfId="1" builtinId="3"/>
    <cellStyle name="Comma 2" xfId="3"/>
    <cellStyle name="Comma 2 2" xfId="5"/>
    <cellStyle name="Comma 3" xfId="10"/>
    <cellStyle name="Excel Built-in Normal" xfId="8"/>
    <cellStyle name="Normal" xfId="0" builtinId="0"/>
    <cellStyle name="Normal 2" xfId="2"/>
    <cellStyle name="Normal 2 2" xfId="4"/>
    <cellStyle name="Normal 3" xfId="6"/>
    <cellStyle name="Normal 4" xfId="7"/>
    <cellStyle name="Normal 5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n%20Progress%20Files\Yash%20Bhatnagar\VIS(2024-25)-PL063-055-074%20DLF%20Privana%20west\document\mlgrd_property_detai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grd_property_details"/>
      <sheetName val="hdnSheet"/>
      <sheetName val="Sheet3"/>
      <sheetName val="hidnSheetNew"/>
    </sheetNames>
    <sheetDataSet>
      <sheetData sheetId="0"/>
      <sheetData sheetId="1"/>
      <sheetData sheetId="2"/>
      <sheetData sheetId="3">
        <row r="2">
          <cell r="C2" t="str">
            <v>APARTMENT</v>
          </cell>
        </row>
        <row r="3">
          <cell r="C3" t="str">
            <v>PARKING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3"/>
  <sheetViews>
    <sheetView workbookViewId="0">
      <selection activeCell="J9" sqref="J9"/>
    </sheetView>
  </sheetViews>
  <sheetFormatPr defaultRowHeight="12.75" x14ac:dyDescent="0.2"/>
  <cols>
    <col min="1" max="1" width="9.5" customWidth="1"/>
    <col min="2" max="2" width="7.1640625" customWidth="1"/>
    <col min="3" max="5" width="15.5" customWidth="1"/>
    <col min="6" max="6" width="11.33203125" bestFit="1" customWidth="1"/>
    <col min="7" max="7" width="12.6640625" bestFit="1" customWidth="1"/>
    <col min="8" max="8" width="15" customWidth="1"/>
    <col min="9" max="9" width="14.83203125" customWidth="1"/>
    <col min="10" max="10" width="16" bestFit="1" customWidth="1"/>
    <col min="17" max="17" width="9.5" bestFit="1" customWidth="1"/>
    <col min="18" max="18" width="10.1640625" bestFit="1" customWidth="1"/>
    <col min="19" max="19" width="15.5" customWidth="1"/>
    <col min="20" max="20" width="15.1640625" customWidth="1"/>
    <col min="22" max="22" width="13.33203125" customWidth="1"/>
    <col min="23" max="23" width="11.33203125" bestFit="1" customWidth="1"/>
    <col min="24" max="24" width="18.5" customWidth="1"/>
  </cols>
  <sheetData>
    <row r="1" spans="2:23" x14ac:dyDescent="0.2">
      <c r="B1" s="10"/>
    </row>
    <row r="2" spans="2:23" x14ac:dyDescent="0.2">
      <c r="C2" s="10"/>
      <c r="D2" s="10"/>
      <c r="E2" s="10"/>
      <c r="F2" s="10"/>
    </row>
    <row r="3" spans="2:23" x14ac:dyDescent="0.2">
      <c r="J3" s="10"/>
    </row>
    <row r="4" spans="2:23" x14ac:dyDescent="0.2">
      <c r="J4" s="10"/>
      <c r="P4" s="93" t="s">
        <v>66</v>
      </c>
      <c r="Q4" s="94"/>
      <c r="R4" s="95"/>
      <c r="U4" s="93"/>
      <c r="V4" s="94"/>
      <c r="W4" s="95"/>
    </row>
    <row r="5" spans="2:23" ht="30" customHeight="1" x14ac:dyDescent="0.2">
      <c r="B5" s="43" t="s">
        <v>48</v>
      </c>
      <c r="C5" s="43" t="s">
        <v>59</v>
      </c>
      <c r="D5" s="43" t="s">
        <v>61</v>
      </c>
      <c r="E5" s="43" t="s">
        <v>62</v>
      </c>
      <c r="F5" s="43" t="s">
        <v>47</v>
      </c>
      <c r="G5" s="62" t="s">
        <v>67</v>
      </c>
      <c r="H5" s="62" t="s">
        <v>80</v>
      </c>
      <c r="I5" s="62" t="s">
        <v>81</v>
      </c>
      <c r="J5" s="62" t="s">
        <v>20</v>
      </c>
      <c r="P5" s="57" t="s">
        <v>52</v>
      </c>
      <c r="Q5" s="57" t="s">
        <v>53</v>
      </c>
      <c r="R5" s="57" t="s">
        <v>54</v>
      </c>
      <c r="U5" s="60"/>
      <c r="V5" s="56"/>
      <c r="W5" s="60"/>
    </row>
    <row r="6" spans="2:23" ht="29.25" customHeight="1" x14ac:dyDescent="0.2">
      <c r="B6" s="46">
        <v>1</v>
      </c>
      <c r="C6" s="63" t="s">
        <v>60</v>
      </c>
      <c r="D6" s="63" t="s">
        <v>63</v>
      </c>
      <c r="E6" s="63" t="s">
        <v>64</v>
      </c>
      <c r="F6" s="45">
        <v>45479</v>
      </c>
      <c r="G6" s="70">
        <v>3549.66</v>
      </c>
      <c r="H6" s="70">
        <f>10.76*G6</f>
        <v>38194.3416</v>
      </c>
      <c r="I6" s="74">
        <v>5500</v>
      </c>
      <c r="J6" s="75">
        <f>I6*H6</f>
        <v>210068878.80000001</v>
      </c>
      <c r="P6" s="56">
        <v>1.1140000000000001</v>
      </c>
      <c r="Q6" s="72">
        <f>2.47105*P6</f>
        <v>2.7527497000000003</v>
      </c>
      <c r="R6" s="73">
        <f>10000*P6</f>
        <v>11140.000000000002</v>
      </c>
      <c r="U6" s="56"/>
      <c r="V6" s="56"/>
      <c r="W6" s="56"/>
    </row>
    <row r="7" spans="2:23" ht="29.25" customHeight="1" x14ac:dyDescent="0.2">
      <c r="B7" s="46">
        <v>2</v>
      </c>
      <c r="C7" s="63" t="s">
        <v>60</v>
      </c>
      <c r="D7" s="63" t="s">
        <v>65</v>
      </c>
      <c r="E7" s="63" t="s">
        <v>64</v>
      </c>
      <c r="F7" s="45">
        <v>45406</v>
      </c>
      <c r="G7" s="74">
        <v>50</v>
      </c>
      <c r="H7" s="74">
        <f>10.76*G7</f>
        <v>538</v>
      </c>
      <c r="I7" s="74">
        <v>5500</v>
      </c>
      <c r="J7" s="76">
        <f t="shared" ref="J7:J8" si="0">I7*H7</f>
        <v>2959000</v>
      </c>
      <c r="P7" s="56">
        <v>0.46100000000000002</v>
      </c>
      <c r="Q7" s="72">
        <f>2.47105*P7</f>
        <v>1.1391540500000001</v>
      </c>
      <c r="R7" s="73">
        <f>10000*P7</f>
        <v>4610</v>
      </c>
      <c r="U7" s="56"/>
      <c r="V7" s="56"/>
      <c r="W7" s="56"/>
    </row>
    <row r="8" spans="2:23" ht="29.25" customHeight="1" x14ac:dyDescent="0.2">
      <c r="B8" s="46">
        <v>3</v>
      </c>
      <c r="C8" s="63" t="s">
        <v>60</v>
      </c>
      <c r="D8" s="63" t="s">
        <v>65</v>
      </c>
      <c r="E8" s="63" t="s">
        <v>64</v>
      </c>
      <c r="F8" s="45">
        <v>45367</v>
      </c>
      <c r="G8" s="74">
        <v>600</v>
      </c>
      <c r="H8" s="74">
        <f t="shared" ref="H8" si="1">10.76*G8</f>
        <v>6456</v>
      </c>
      <c r="I8" s="74">
        <v>5500</v>
      </c>
      <c r="J8" s="76">
        <f t="shared" si="0"/>
        <v>35508000</v>
      </c>
      <c r="P8" s="57">
        <f>SUM(P6:P7)</f>
        <v>1.5750000000000002</v>
      </c>
      <c r="Q8" s="58">
        <f>SUM(Q6:Q7)</f>
        <v>3.8919037500000004</v>
      </c>
      <c r="R8" s="59">
        <f>SUM(R6:R7)</f>
        <v>15750.000000000002</v>
      </c>
      <c r="S8" s="64"/>
      <c r="U8" s="56"/>
      <c r="V8" s="56"/>
      <c r="W8" s="56"/>
    </row>
    <row r="9" spans="2:23" ht="21.75" customHeight="1" x14ac:dyDescent="0.2">
      <c r="B9" s="92" t="s">
        <v>45</v>
      </c>
      <c r="C9" s="92"/>
      <c r="D9" s="92"/>
      <c r="E9" s="92"/>
      <c r="F9" s="92"/>
      <c r="G9" s="71">
        <f>SUM(G6:G8)</f>
        <v>4199.66</v>
      </c>
      <c r="H9" s="71">
        <f>SUM(H6:H8)</f>
        <v>45188.3416</v>
      </c>
      <c r="I9" s="77"/>
      <c r="J9" s="71">
        <f>SUM(J6:J8)</f>
        <v>248535878.80000001</v>
      </c>
    </row>
    <row r="10" spans="2:23" ht="21.75" customHeight="1" x14ac:dyDescent="0.2">
      <c r="B10" s="81"/>
      <c r="C10" s="82"/>
      <c r="D10" s="82"/>
      <c r="E10" s="82"/>
      <c r="F10" s="82"/>
      <c r="G10" s="83"/>
      <c r="H10" s="83"/>
      <c r="I10" s="84"/>
      <c r="J10" s="85"/>
    </row>
    <row r="11" spans="2:23" x14ac:dyDescent="0.2">
      <c r="B11" s="96" t="s">
        <v>84</v>
      </c>
      <c r="C11" s="97"/>
      <c r="D11" s="97"/>
      <c r="E11" s="97"/>
      <c r="F11" s="97"/>
      <c r="G11" s="97"/>
      <c r="H11" s="97"/>
    </row>
    <row r="12" spans="2:23" ht="25.5" customHeight="1" x14ac:dyDescent="0.2">
      <c r="B12" s="61" t="s">
        <v>55</v>
      </c>
      <c r="C12" s="61" t="s">
        <v>56</v>
      </c>
      <c r="D12" s="61" t="s">
        <v>57</v>
      </c>
      <c r="E12" s="61" t="s">
        <v>58</v>
      </c>
      <c r="F12" s="78" t="s">
        <v>82</v>
      </c>
      <c r="G12" s="60" t="s">
        <v>83</v>
      </c>
      <c r="H12" s="44" t="s">
        <v>20</v>
      </c>
    </row>
    <row r="13" spans="2:23" x14ac:dyDescent="0.2">
      <c r="B13" s="79">
        <v>3995</v>
      </c>
      <c r="C13" s="79">
        <v>9507</v>
      </c>
      <c r="D13" s="79">
        <v>200</v>
      </c>
      <c r="E13" s="79">
        <v>51</v>
      </c>
      <c r="F13" s="80">
        <f>10.76*B13</f>
        <v>42986.2</v>
      </c>
      <c r="G13" s="79">
        <f>0.9*5500</f>
        <v>4950</v>
      </c>
      <c r="H13" s="79">
        <f>G13*F13</f>
        <v>212781690</v>
      </c>
    </row>
  </sheetData>
  <mergeCells count="4">
    <mergeCell ref="B9:F9"/>
    <mergeCell ref="P4:R4"/>
    <mergeCell ref="U4:W4"/>
    <mergeCell ref="B11:H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S38"/>
  <sheetViews>
    <sheetView tabSelected="1" zoomScaleNormal="100" workbookViewId="0">
      <selection activeCell="M17" sqref="M17"/>
    </sheetView>
  </sheetViews>
  <sheetFormatPr defaultRowHeight="15" x14ac:dyDescent="0.25"/>
  <cols>
    <col min="1" max="5" width="9.33203125" style="1"/>
    <col min="6" max="6" width="11.33203125" style="1" bestFit="1" customWidth="1"/>
    <col min="7" max="7" width="15.83203125" style="1" customWidth="1"/>
    <col min="8" max="8" width="11" style="1" customWidth="1"/>
    <col min="9" max="10" width="11.33203125" style="1" customWidth="1"/>
    <col min="11" max="11" width="14" style="2" bestFit="1" customWidth="1"/>
    <col min="12" max="12" width="27.33203125" style="1" bestFit="1" customWidth="1"/>
    <col min="13" max="13" width="18.33203125" style="1" bestFit="1" customWidth="1"/>
    <col min="14" max="18" width="9.33203125" style="1"/>
    <col min="19" max="19" width="16.6640625" style="1" bestFit="1" customWidth="1"/>
    <col min="20" max="16384" width="9.33203125" style="1"/>
  </cols>
  <sheetData>
    <row r="4" spans="6:19" x14ac:dyDescent="0.25">
      <c r="S4" s="1">
        <f>800*6000</f>
        <v>4800000</v>
      </c>
    </row>
    <row r="9" spans="6:19" x14ac:dyDescent="0.25">
      <c r="L9" s="7">
        <v>6500</v>
      </c>
      <c r="M9" s="7">
        <v>7500</v>
      </c>
    </row>
    <row r="10" spans="6:19" ht="55.5" x14ac:dyDescent="0.25">
      <c r="F10" s="101" t="s">
        <v>68</v>
      </c>
      <c r="G10" s="52" t="s">
        <v>0</v>
      </c>
      <c r="H10" s="53" t="s">
        <v>1</v>
      </c>
      <c r="I10" s="53" t="s">
        <v>75</v>
      </c>
      <c r="J10" s="53" t="s">
        <v>87</v>
      </c>
      <c r="K10" s="54" t="s">
        <v>76</v>
      </c>
      <c r="L10" s="53" t="s">
        <v>92</v>
      </c>
      <c r="M10" s="53" t="s">
        <v>91</v>
      </c>
    </row>
    <row r="11" spans="6:19" x14ac:dyDescent="0.25">
      <c r="F11" s="101"/>
      <c r="G11" s="52" t="s">
        <v>2</v>
      </c>
      <c r="H11" s="53" t="s">
        <v>4</v>
      </c>
      <c r="I11" s="53" t="s">
        <v>5</v>
      </c>
      <c r="J11" s="54" t="s">
        <v>6</v>
      </c>
      <c r="K11" s="53" t="s">
        <v>7</v>
      </c>
      <c r="L11" s="53" t="s">
        <v>8</v>
      </c>
      <c r="M11" s="53" t="s">
        <v>88</v>
      </c>
    </row>
    <row r="12" spans="6:19" x14ac:dyDescent="0.25">
      <c r="F12" s="102" t="s">
        <v>69</v>
      </c>
      <c r="G12" s="47" t="s">
        <v>72</v>
      </c>
      <c r="H12" s="67">
        <v>1000</v>
      </c>
      <c r="I12" s="48">
        <v>32</v>
      </c>
      <c r="J12" s="88">
        <f>I12*H12</f>
        <v>32000</v>
      </c>
      <c r="K12" s="49">
        <v>22</v>
      </c>
      <c r="L12" s="69">
        <f>$L$9*I12*H12</f>
        <v>208000000</v>
      </c>
      <c r="M12" s="68">
        <f>$M$9*I12*H12</f>
        <v>240000000</v>
      </c>
      <c r="N12" s="5"/>
      <c r="Q12" s="1">
        <v>86</v>
      </c>
    </row>
    <row r="13" spans="6:19" x14ac:dyDescent="0.25">
      <c r="F13" s="103"/>
      <c r="G13" s="47" t="s">
        <v>72</v>
      </c>
      <c r="H13" s="67">
        <v>800</v>
      </c>
      <c r="I13" s="48">
        <v>32</v>
      </c>
      <c r="J13" s="88">
        <f t="shared" ref="J13:J15" si="0">I13*H13</f>
        <v>25600</v>
      </c>
      <c r="K13" s="49">
        <v>30</v>
      </c>
      <c r="L13" s="69">
        <f t="shared" ref="L13:L15" si="1">$L$9*I13*H13</f>
        <v>166400000</v>
      </c>
      <c r="M13" s="68">
        <f t="shared" ref="M13:M15" si="2">$M$9*I13*H13</f>
        <v>192000000</v>
      </c>
      <c r="N13" s="66"/>
    </row>
    <row r="14" spans="6:19" x14ac:dyDescent="0.25">
      <c r="F14" s="65" t="s">
        <v>70</v>
      </c>
      <c r="G14" s="47" t="s">
        <v>73</v>
      </c>
      <c r="H14" s="67">
        <v>1500</v>
      </c>
      <c r="I14" s="48">
        <v>32</v>
      </c>
      <c r="J14" s="88">
        <f t="shared" si="0"/>
        <v>48000</v>
      </c>
      <c r="K14" s="49">
        <v>13</v>
      </c>
      <c r="L14" s="69">
        <f t="shared" si="1"/>
        <v>312000000</v>
      </c>
      <c r="M14" s="68">
        <f t="shared" si="2"/>
        <v>360000000</v>
      </c>
      <c r="S14" s="7">
        <v>89500000</v>
      </c>
    </row>
    <row r="15" spans="6:19" x14ac:dyDescent="0.25">
      <c r="F15" s="65" t="s">
        <v>71</v>
      </c>
      <c r="G15" s="47" t="s">
        <v>74</v>
      </c>
      <c r="H15" s="67">
        <v>2100</v>
      </c>
      <c r="I15" s="48">
        <v>24</v>
      </c>
      <c r="J15" s="88">
        <f t="shared" si="0"/>
        <v>50400</v>
      </c>
      <c r="K15" s="49">
        <v>3</v>
      </c>
      <c r="L15" s="69">
        <f t="shared" si="1"/>
        <v>327600000</v>
      </c>
      <c r="M15" s="68">
        <f t="shared" si="2"/>
        <v>378000000</v>
      </c>
    </row>
    <row r="16" spans="6:19" ht="22.5" customHeight="1" x14ac:dyDescent="0.25">
      <c r="F16" s="98" t="s">
        <v>9</v>
      </c>
      <c r="G16" s="99"/>
      <c r="H16" s="100"/>
      <c r="I16" s="50">
        <f>SUM(I12:I15)</f>
        <v>120</v>
      </c>
      <c r="J16" s="89">
        <f>SUM(J12:J15)</f>
        <v>156000</v>
      </c>
      <c r="K16" s="51">
        <f>SUM(K12:K15)</f>
        <v>68</v>
      </c>
      <c r="L16" s="51">
        <f>SUM(L12:L15)</f>
        <v>1014000000</v>
      </c>
      <c r="M16" s="51">
        <f>SUM(M12:M15)</f>
        <v>1170000000</v>
      </c>
      <c r="S16" s="6" t="e">
        <f>S14/#REF!</f>
        <v>#REF!</v>
      </c>
    </row>
    <row r="17" spans="6:19" x14ac:dyDescent="0.25">
      <c r="L17" s="6">
        <f>L16/10^7</f>
        <v>101.4</v>
      </c>
      <c r="M17" s="6">
        <f>M16/10^7</f>
        <v>117</v>
      </c>
      <c r="S17" s="6" t="e">
        <f>0.9*S16</f>
        <v>#REF!</v>
      </c>
    </row>
    <row r="19" spans="6:19" x14ac:dyDescent="0.25">
      <c r="F19"/>
      <c r="G19"/>
      <c r="H19"/>
      <c r="I19"/>
      <c r="J19"/>
      <c r="K19"/>
      <c r="L19"/>
      <c r="M19"/>
      <c r="P19" s="1">
        <v>193160</v>
      </c>
    </row>
    <row r="20" spans="6:19" x14ac:dyDescent="0.25">
      <c r="F20"/>
      <c r="G20"/>
      <c r="H20"/>
      <c r="I20"/>
      <c r="J20"/>
      <c r="K20"/>
      <c r="L20"/>
      <c r="M20">
        <v>12.95</v>
      </c>
      <c r="N20"/>
      <c r="P20" s="1">
        <v>459480</v>
      </c>
    </row>
    <row r="21" spans="6:19" x14ac:dyDescent="0.25">
      <c r="F21"/>
      <c r="G21"/>
      <c r="H21"/>
      <c r="I21"/>
      <c r="J21"/>
      <c r="K21"/>
      <c r="L21"/>
      <c r="M21">
        <v>18.48</v>
      </c>
      <c r="N21"/>
      <c r="P21" s="1">
        <f>SUM(P19:P20)</f>
        <v>652640</v>
      </c>
    </row>
    <row r="22" spans="6:19" x14ac:dyDescent="0.25">
      <c r="F22"/>
      <c r="G22"/>
      <c r="H22"/>
      <c r="I22"/>
      <c r="J22"/>
      <c r="K22"/>
      <c r="L22"/>
      <c r="M22">
        <v>15.48</v>
      </c>
      <c r="N22"/>
    </row>
    <row r="23" spans="6:19" x14ac:dyDescent="0.25">
      <c r="F23"/>
      <c r="G23"/>
      <c r="H23"/>
      <c r="I23"/>
      <c r="J23"/>
      <c r="K23"/>
      <c r="L23"/>
      <c r="M23">
        <f>SUM(M20:M22)</f>
        <v>46.91</v>
      </c>
      <c r="N23"/>
    </row>
    <row r="24" spans="6:19" x14ac:dyDescent="0.25">
      <c r="F24"/>
      <c r="G24" t="s">
        <v>77</v>
      </c>
      <c r="H24"/>
      <c r="I24"/>
      <c r="J24"/>
      <c r="K24"/>
      <c r="L24"/>
      <c r="M24"/>
      <c r="N24"/>
    </row>
    <row r="25" spans="6:19" x14ac:dyDescent="0.25">
      <c r="F25"/>
      <c r="G25" t="s">
        <v>78</v>
      </c>
      <c r="H25"/>
      <c r="I25"/>
      <c r="J25"/>
      <c r="K25"/>
      <c r="L25"/>
      <c r="M25"/>
      <c r="N25"/>
    </row>
    <row r="26" spans="6:19" x14ac:dyDescent="0.25">
      <c r="F26"/>
      <c r="G26" t="s">
        <v>79</v>
      </c>
      <c r="H26"/>
      <c r="I26"/>
      <c r="J26"/>
      <c r="K26"/>
      <c r="L26"/>
      <c r="M26"/>
      <c r="N26"/>
    </row>
    <row r="27" spans="6:19" x14ac:dyDescent="0.25">
      <c r="F27"/>
      <c r="G27"/>
      <c r="H27"/>
      <c r="I27"/>
      <c r="J27"/>
      <c r="K27"/>
      <c r="L27"/>
      <c r="M27"/>
      <c r="N27"/>
    </row>
    <row r="28" spans="6:19" x14ac:dyDescent="0.25">
      <c r="F28"/>
      <c r="G28"/>
      <c r="H28"/>
      <c r="I28"/>
      <c r="J28"/>
      <c r="K28"/>
      <c r="L28"/>
      <c r="M28"/>
      <c r="N28"/>
    </row>
    <row r="29" spans="6:19" x14ac:dyDescent="0.25">
      <c r="F29"/>
      <c r="G29"/>
      <c r="H29"/>
      <c r="I29"/>
      <c r="J29"/>
      <c r="K29"/>
      <c r="L29"/>
      <c r="M29"/>
      <c r="N29"/>
    </row>
    <row r="30" spans="6:19" x14ac:dyDescent="0.25">
      <c r="F30"/>
      <c r="G30"/>
      <c r="H30"/>
      <c r="I30"/>
      <c r="J30"/>
      <c r="K30"/>
      <c r="L30"/>
      <c r="M30"/>
      <c r="N30"/>
    </row>
    <row r="31" spans="6:19" x14ac:dyDescent="0.25">
      <c r="F31"/>
      <c r="G31"/>
      <c r="H31"/>
      <c r="I31"/>
      <c r="J31"/>
      <c r="K31"/>
      <c r="L31"/>
      <c r="M31"/>
      <c r="N31"/>
    </row>
    <row r="32" spans="6:19" x14ac:dyDescent="0.25">
      <c r="F32"/>
      <c r="G32"/>
      <c r="H32"/>
      <c r="I32"/>
      <c r="J32"/>
      <c r="K32"/>
      <c r="L32"/>
      <c r="M32"/>
      <c r="N32"/>
    </row>
    <row r="33" spans="6:14" x14ac:dyDescent="0.25">
      <c r="F33"/>
      <c r="G33"/>
      <c r="H33"/>
      <c r="I33"/>
      <c r="J33"/>
      <c r="K33"/>
      <c r="L33"/>
      <c r="M33"/>
      <c r="N33"/>
    </row>
    <row r="34" spans="6:14" x14ac:dyDescent="0.25">
      <c r="F34"/>
      <c r="G34"/>
      <c r="H34"/>
      <c r="I34"/>
      <c r="J34"/>
      <c r="K34"/>
      <c r="L34"/>
      <c r="M34"/>
      <c r="N34"/>
    </row>
    <row r="35" spans="6:14" x14ac:dyDescent="0.25">
      <c r="F35"/>
      <c r="G35"/>
      <c r="H35"/>
      <c r="I35"/>
      <c r="J35"/>
      <c r="K35"/>
      <c r="L35"/>
      <c r="M35"/>
      <c r="N35"/>
    </row>
    <row r="36" spans="6:14" x14ac:dyDescent="0.25">
      <c r="F36"/>
      <c r="G36"/>
      <c r="H36"/>
      <c r="I36"/>
      <c r="J36"/>
      <c r="K36"/>
      <c r="L36"/>
      <c r="M36"/>
      <c r="N36"/>
    </row>
    <row r="37" spans="6:14" x14ac:dyDescent="0.25">
      <c r="F37"/>
      <c r="G37"/>
      <c r="H37"/>
      <c r="I37"/>
      <c r="J37"/>
      <c r="K37"/>
      <c r="L37"/>
      <c r="M37"/>
      <c r="N37"/>
    </row>
    <row r="38" spans="6:14" x14ac:dyDescent="0.25">
      <c r="F38"/>
      <c r="G38"/>
      <c r="H38"/>
      <c r="I38"/>
      <c r="J38"/>
      <c r="K38"/>
      <c r="L38"/>
      <c r="M38"/>
      <c r="N38"/>
    </row>
  </sheetData>
  <mergeCells count="3">
    <mergeCell ref="F16:H16"/>
    <mergeCell ref="F10:F11"/>
    <mergeCell ref="F12:F13"/>
  </mergeCells>
  <phoneticPr fontId="1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37"/>
  <sheetViews>
    <sheetView showGridLines="0" topLeftCell="A8" zoomScaleNormal="100" workbookViewId="0">
      <selection activeCell="G30" sqref="G30"/>
    </sheetView>
  </sheetViews>
  <sheetFormatPr defaultRowHeight="15" x14ac:dyDescent="0.25"/>
  <cols>
    <col min="1" max="3" width="9.33203125" style="1"/>
    <col min="4" max="4" width="23.83203125" style="1" bestFit="1" customWidth="1"/>
    <col min="5" max="5" width="19.83203125" style="1" bestFit="1" customWidth="1"/>
    <col min="6" max="6" width="17.33203125" style="1" customWidth="1"/>
    <col min="7" max="7" width="11" style="1" bestFit="1" customWidth="1"/>
    <col min="8" max="8" width="17" style="1" customWidth="1"/>
    <col min="9" max="10" width="16" style="1" bestFit="1" customWidth="1"/>
    <col min="11" max="11" width="5.83203125" style="1" bestFit="1" customWidth="1"/>
    <col min="12" max="12" width="17" style="1" bestFit="1" customWidth="1"/>
    <col min="13" max="13" width="16.83203125" style="1" customWidth="1"/>
    <col min="14" max="14" width="9.1640625" style="1" bestFit="1" customWidth="1"/>
    <col min="15" max="15" width="12.6640625" style="1" bestFit="1" customWidth="1"/>
    <col min="16" max="16" width="17.83203125" style="1" bestFit="1" customWidth="1"/>
    <col min="17" max="17" width="9.33203125" style="1"/>
    <col min="18" max="18" width="18" style="1" bestFit="1" customWidth="1"/>
    <col min="19" max="19" width="10.5" style="1" bestFit="1" customWidth="1"/>
    <col min="20" max="16384" width="9.33203125" style="1"/>
  </cols>
  <sheetData>
    <row r="1" spans="4:19" x14ac:dyDescent="0.25">
      <c r="G1" s="25" t="s">
        <v>10</v>
      </c>
      <c r="H1" s="25" t="s">
        <v>11</v>
      </c>
      <c r="I1" s="25" t="s">
        <v>21</v>
      </c>
      <c r="J1" s="25" t="s">
        <v>39</v>
      </c>
    </row>
    <row r="2" spans="4:19" x14ac:dyDescent="0.25">
      <c r="F2" s="29" t="s">
        <v>12</v>
      </c>
      <c r="G2" s="11">
        <f>H2/4046.86</f>
        <v>0.98718512624602772</v>
      </c>
      <c r="H2" s="12">
        <v>3995</v>
      </c>
      <c r="I2" s="13">
        <f>H2*10.76</f>
        <v>42986.2</v>
      </c>
      <c r="J2" s="55">
        <f>I2/9</f>
        <v>4776.2444444444445</v>
      </c>
      <c r="S2" s="6">
        <f>300*G2</f>
        <v>296.15553787380833</v>
      </c>
    </row>
    <row r="3" spans="4:19" x14ac:dyDescent="0.25">
      <c r="M3" s="24" t="s">
        <v>36</v>
      </c>
      <c r="N3" s="16">
        <v>6000</v>
      </c>
      <c r="O3" s="86" t="s">
        <v>22</v>
      </c>
    </row>
    <row r="4" spans="4:19" x14ac:dyDescent="0.25">
      <c r="D4" s="29" t="s">
        <v>13</v>
      </c>
      <c r="H4" s="29" t="s">
        <v>14</v>
      </c>
      <c r="M4" s="24" t="s">
        <v>37</v>
      </c>
      <c r="N4" s="21">
        <f>0.9*5500</f>
        <v>4950</v>
      </c>
      <c r="O4" s="86" t="s">
        <v>22</v>
      </c>
    </row>
    <row r="5" spans="4:19" x14ac:dyDescent="0.25">
      <c r="D5" s="28" t="s">
        <v>42</v>
      </c>
      <c r="E5" s="16">
        <v>40000</v>
      </c>
      <c r="F5" s="90" t="s">
        <v>89</v>
      </c>
      <c r="H5" s="26" t="s">
        <v>15</v>
      </c>
      <c r="I5" s="19">
        <f>N4</f>
        <v>4950</v>
      </c>
      <c r="J5" s="86" t="s">
        <v>85</v>
      </c>
    </row>
    <row r="6" spans="4:19" x14ac:dyDescent="0.25">
      <c r="D6" s="28" t="s">
        <v>43</v>
      </c>
      <c r="E6" s="16">
        <v>12000</v>
      </c>
      <c r="F6" s="91" t="s">
        <v>90</v>
      </c>
      <c r="H6" s="24" t="s">
        <v>35</v>
      </c>
      <c r="I6" s="20">
        <f>I5*I2</f>
        <v>212781690</v>
      </c>
      <c r="Q6" s="1">
        <v>7080.48</v>
      </c>
    </row>
    <row r="7" spans="4:19" x14ac:dyDescent="0.25">
      <c r="D7" s="24" t="s">
        <v>35</v>
      </c>
      <c r="E7" s="16">
        <f>E5*H2</f>
        <v>159800000</v>
      </c>
      <c r="H7" s="9"/>
      <c r="I7" s="2"/>
      <c r="Q7" s="1">
        <v>1072.3499999999999</v>
      </c>
    </row>
    <row r="8" spans="4:19" x14ac:dyDescent="0.25">
      <c r="D8" s="24" t="s">
        <v>16</v>
      </c>
      <c r="E8" s="17">
        <f>E6*E21</f>
        <v>114087599.99999999</v>
      </c>
      <c r="H8" s="27" t="s">
        <v>44</v>
      </c>
      <c r="I8" s="22">
        <f>I6/F20</f>
        <v>2791.9131171591816</v>
      </c>
      <c r="Q8" s="1">
        <f>SUM(Q6:Q7)</f>
        <v>8152.83</v>
      </c>
      <c r="S8" s="1">
        <v>9507.2999999999993</v>
      </c>
    </row>
    <row r="9" spans="4:19" x14ac:dyDescent="0.25">
      <c r="D9" s="24" t="s">
        <v>45</v>
      </c>
      <c r="E9" s="18">
        <f>SUM(E7:E8)</f>
        <v>273887600</v>
      </c>
      <c r="S9" s="1">
        <v>3995</v>
      </c>
    </row>
    <row r="10" spans="4:19" x14ac:dyDescent="0.25">
      <c r="S10" s="1">
        <f>S8/S9</f>
        <v>2.3797997496871086</v>
      </c>
    </row>
    <row r="11" spans="4:19" ht="15.75" thickBot="1" x14ac:dyDescent="0.3">
      <c r="Q11" s="1">
        <f>1.77*3995</f>
        <v>7071.15</v>
      </c>
    </row>
    <row r="12" spans="4:19" ht="15.75" thickBot="1" x14ac:dyDescent="0.3">
      <c r="D12" s="38" t="s">
        <v>17</v>
      </c>
      <c r="E12" s="37"/>
      <c r="F12" s="39"/>
      <c r="G12" s="4"/>
      <c r="H12" s="38" t="s">
        <v>18</v>
      </c>
      <c r="I12" s="34"/>
      <c r="J12" s="35"/>
    </row>
    <row r="13" spans="4:19" x14ac:dyDescent="0.25">
      <c r="D13" s="32" t="s">
        <v>12</v>
      </c>
      <c r="E13" s="30" t="s">
        <v>19</v>
      </c>
      <c r="F13" s="33" t="s">
        <v>20</v>
      </c>
      <c r="G13" s="4"/>
      <c r="H13" s="32" t="s">
        <v>12</v>
      </c>
      <c r="I13" s="30" t="s">
        <v>19</v>
      </c>
      <c r="J13" s="33" t="s">
        <v>20</v>
      </c>
    </row>
    <row r="14" spans="4:19" ht="15.75" thickBot="1" x14ac:dyDescent="0.3">
      <c r="D14" s="40">
        <f>E20*10.7639</f>
        <v>76213.578671999989</v>
      </c>
      <c r="E14" s="41">
        <v>1800</v>
      </c>
      <c r="F14" s="42">
        <f>E14*D14</f>
        <v>137184441.60959998</v>
      </c>
      <c r="G14" s="4"/>
      <c r="H14" s="40">
        <f>E22*10.7639</f>
        <v>26122.047797999996</v>
      </c>
      <c r="I14" s="41">
        <v>1500</v>
      </c>
      <c r="J14" s="42">
        <f>I14*H14</f>
        <v>39183071.696999997</v>
      </c>
      <c r="L14" s="24" t="s">
        <v>51</v>
      </c>
      <c r="M14" s="14">
        <f>J14+F14</f>
        <v>176367513.30659997</v>
      </c>
      <c r="R14" s="6">
        <f>2400*F21</f>
        <v>245605503.52799997</v>
      </c>
    </row>
    <row r="15" spans="4:19" x14ac:dyDescent="0.25">
      <c r="D15" s="31" t="s">
        <v>21</v>
      </c>
      <c r="E15" s="31" t="s">
        <v>22</v>
      </c>
      <c r="H15" s="31" t="s">
        <v>21</v>
      </c>
      <c r="I15" s="31" t="s">
        <v>22</v>
      </c>
    </row>
    <row r="16" spans="4:19" x14ac:dyDescent="0.25">
      <c r="L16" s="29" t="s">
        <v>38</v>
      </c>
      <c r="O16" s="29" t="s">
        <v>46</v>
      </c>
    </row>
    <row r="17" spans="4:16" x14ac:dyDescent="0.25">
      <c r="L17" s="26" t="s">
        <v>23</v>
      </c>
      <c r="M17" s="14">
        <f>M14</f>
        <v>176367513.30659997</v>
      </c>
      <c r="O17" s="26" t="s">
        <v>2</v>
      </c>
      <c r="P17" s="14">
        <f>I6</f>
        <v>212781690</v>
      </c>
    </row>
    <row r="18" spans="4:16" x14ac:dyDescent="0.25">
      <c r="K18" s="36">
        <v>7.0000000000000007E-2</v>
      </c>
      <c r="L18" s="26" t="s">
        <v>24</v>
      </c>
      <c r="M18" s="14">
        <f>$M$17*K18</f>
        <v>12345725.931461999</v>
      </c>
      <c r="O18" s="26" t="s">
        <v>3</v>
      </c>
      <c r="P18" s="14">
        <f>M14</f>
        <v>176367513.30659997</v>
      </c>
    </row>
    <row r="19" spans="4:16" x14ac:dyDescent="0.25">
      <c r="E19" s="25" t="s">
        <v>11</v>
      </c>
      <c r="F19" s="25" t="s">
        <v>21</v>
      </c>
      <c r="K19" s="36">
        <v>0.09</v>
      </c>
      <c r="L19" s="26" t="s">
        <v>25</v>
      </c>
      <c r="M19" s="14">
        <f>$M$17*K19</f>
        <v>15873076.197593996</v>
      </c>
      <c r="O19" s="26" t="s">
        <v>4</v>
      </c>
      <c r="P19" s="14">
        <f>M22</f>
        <v>37037177.794385992</v>
      </c>
    </row>
    <row r="20" spans="4:16" x14ac:dyDescent="0.25">
      <c r="D20" s="24" t="s">
        <v>27</v>
      </c>
      <c r="E20" s="15">
        <v>7080.48</v>
      </c>
      <c r="F20" s="14">
        <f>E20*10.7639</f>
        <v>76213.578671999989</v>
      </c>
      <c r="H20" s="6">
        <f>1.77*3995</f>
        <v>7071.15</v>
      </c>
      <c r="K20" s="36">
        <v>0.05</v>
      </c>
      <c r="L20" s="26" t="s">
        <v>26</v>
      </c>
      <c r="M20" s="14">
        <f>$M$17*K20</f>
        <v>8818375.6653299984</v>
      </c>
    </row>
    <row r="21" spans="4:16" x14ac:dyDescent="0.25">
      <c r="D21" s="24" t="s">
        <v>28</v>
      </c>
      <c r="E21" s="15">
        <v>9507.2999999999993</v>
      </c>
      <c r="F21" s="55">
        <f>E21*10.7639</f>
        <v>102335.62646999999</v>
      </c>
    </row>
    <row r="22" spans="4:16" x14ac:dyDescent="0.25">
      <c r="D22" s="24" t="s">
        <v>30</v>
      </c>
      <c r="E22" s="15">
        <f>E21-E20</f>
        <v>2426.8199999999997</v>
      </c>
      <c r="F22" s="14">
        <f>E22*10.7639</f>
        <v>26122.047797999996</v>
      </c>
      <c r="L22" s="26" t="s">
        <v>29</v>
      </c>
      <c r="M22" s="18">
        <f>M20+M19+M18</f>
        <v>37037177.794385992</v>
      </c>
      <c r="O22" s="26" t="s">
        <v>5</v>
      </c>
      <c r="P22" s="14">
        <f>SUM(P17:P19)</f>
        <v>426186381.10098594</v>
      </c>
    </row>
    <row r="23" spans="4:16" x14ac:dyDescent="0.25">
      <c r="D23" s="3"/>
    </row>
    <row r="24" spans="4:16" x14ac:dyDescent="0.25">
      <c r="D24" s="24" t="s">
        <v>34</v>
      </c>
      <c r="E24" s="23">
        <f>E20</f>
        <v>7080.48</v>
      </c>
      <c r="F24" s="14">
        <f t="shared" ref="F24" si="0">E24*10.7639</f>
        <v>76213.578671999989</v>
      </c>
      <c r="H24" s="9"/>
      <c r="O24" s="26" t="s">
        <v>31</v>
      </c>
      <c r="P24" s="18">
        <f>ROUND(P22,(-6))</f>
        <v>426000000</v>
      </c>
    </row>
    <row r="25" spans="4:16" x14ac:dyDescent="0.25">
      <c r="D25" s="24" t="s">
        <v>49</v>
      </c>
      <c r="E25" s="23">
        <f>0.339*H2</f>
        <v>1354.3050000000001</v>
      </c>
      <c r="F25" s="14">
        <f>E25*10.7639</f>
        <v>14577.6035895</v>
      </c>
      <c r="O25" s="26" t="s">
        <v>32</v>
      </c>
      <c r="P25" s="18">
        <f>P24*0.85</f>
        <v>362100000</v>
      </c>
    </row>
    <row r="26" spans="4:16" x14ac:dyDescent="0.25">
      <c r="D26" s="24" t="s">
        <v>50</v>
      </c>
      <c r="E26" s="23">
        <v>1354.47</v>
      </c>
      <c r="F26" s="14">
        <f>E26*10.7639</f>
        <v>14579.379633</v>
      </c>
      <c r="H26" s="9"/>
      <c r="O26" s="26" t="s">
        <v>33</v>
      </c>
      <c r="P26" s="18">
        <f>P24*0.75</f>
        <v>319500000</v>
      </c>
    </row>
    <row r="28" spans="4:16" x14ac:dyDescent="0.25">
      <c r="D28" s="24" t="s">
        <v>40</v>
      </c>
      <c r="E28" s="87" t="s">
        <v>86</v>
      </c>
      <c r="F28" s="87" t="s">
        <v>86</v>
      </c>
    </row>
    <row r="29" spans="4:16" x14ac:dyDescent="0.25">
      <c r="D29" s="24" t="s">
        <v>41</v>
      </c>
      <c r="E29" s="87" t="s">
        <v>86</v>
      </c>
      <c r="F29" s="87" t="s">
        <v>86</v>
      </c>
    </row>
    <row r="31" spans="4:16" x14ac:dyDescent="0.25">
      <c r="I31" s="7"/>
    </row>
    <row r="32" spans="4:16" x14ac:dyDescent="0.25">
      <c r="D32" s="3"/>
      <c r="E32" s="3"/>
      <c r="F32" s="3"/>
    </row>
    <row r="33" spans="4:7" x14ac:dyDescent="0.25">
      <c r="D33" s="8"/>
      <c r="E33" s="4"/>
    </row>
    <row r="34" spans="4:7" x14ac:dyDescent="0.25">
      <c r="D34" s="8"/>
    </row>
    <row r="35" spans="4:7" x14ac:dyDescent="0.25">
      <c r="D35" s="8"/>
    </row>
    <row r="36" spans="4:7" x14ac:dyDescent="0.25">
      <c r="D36" s="8"/>
      <c r="G36" s="3"/>
    </row>
    <row r="37" spans="4:7" x14ac:dyDescent="0.25">
      <c r="E37" s="4"/>
      <c r="F37" s="4"/>
      <c r="G3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Land area-Deed</vt:lpstr>
      <vt:lpstr>Inventory calculation</vt:lpstr>
      <vt:lpstr>Civil work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20231017_Inventory list _TARC KN_1_Distributed.xlsx</dc:title>
  <dc:creator>Rakesh Seth</dc:creator>
  <cp:lastModifiedBy>Nischay Gautam</cp:lastModifiedBy>
  <dcterms:created xsi:type="dcterms:W3CDTF">2024-03-11T07:04:31Z</dcterms:created>
  <dcterms:modified xsi:type="dcterms:W3CDTF">2024-10-24T07:25:37Z</dcterms:modified>
</cp:coreProperties>
</file>