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Abhinav Chaturvedi's Assignments\In-Progress\VIS(2024-25)-PL489-438-608_Bharat Gears_Mumbra\Report\"/>
    </mc:Choice>
  </mc:AlternateContent>
  <xr:revisionPtr revIDLastSave="0" documentId="13_ncr:1_{B8A2EBEB-5DE5-4A13-B1F8-EFF76E1EFE14}" xr6:coauthVersionLast="47" xr6:coauthVersionMax="47" xr10:uidLastSave="{00000000-0000-0000-0000-000000000000}"/>
  <bookViews>
    <workbookView xWindow="-120" yWindow="-120" windowWidth="24240" windowHeight="13140" activeTab="4" xr2:uid="{00000000-000D-0000-FFFF-FFFF00000000}"/>
  </bookViews>
  <sheets>
    <sheet name="Sheet5" sheetId="1" r:id="rId1"/>
    <sheet name="Sheet1" sheetId="2" r:id="rId2"/>
    <sheet name="Sheet2" sheetId="3" r:id="rId3"/>
    <sheet name="Sheet3" sheetId="4" r:id="rId4"/>
    <sheet name="Sheet4" sheetId="5" r:id="rId5"/>
    <sheet name="Sheet6" sheetId="6" r:id="rId6"/>
  </sheets>
  <externalReferences>
    <externalReference r:id="rId7"/>
    <externalReference r:id="rId8"/>
  </externalReferences>
  <definedNames>
    <definedName name="_xlnm._FilterDatabase" localSheetId="0" hidden="1">Sheet5!$A$3:$N$21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2" i="6" l="1"/>
  <c r="L31" i="6"/>
  <c r="L30" i="6"/>
  <c r="J20" i="6"/>
  <c r="G24" i="6"/>
  <c r="S29" i="4"/>
  <c r="H19" i="6"/>
  <c r="F20" i="6"/>
  <c r="H20" i="6" s="1"/>
  <c r="B17" i="6"/>
  <c r="B18" i="6" s="1"/>
  <c r="J19" i="6" s="1"/>
  <c r="F14" i="6"/>
  <c r="O13" i="2"/>
  <c r="O12" i="2"/>
  <c r="S28" i="3"/>
  <c r="P31" i="3"/>
  <c r="N28" i="3"/>
  <c r="N31" i="3"/>
  <c r="M11" i="2"/>
  <c r="H22" i="2"/>
  <c r="C21" i="2"/>
  <c r="M20" i="1"/>
  <c r="L20" i="1"/>
  <c r="K20" i="1"/>
  <c r="J20" i="1"/>
  <c r="I20" i="1"/>
  <c r="G20" i="1"/>
  <c r="F20" i="1"/>
  <c r="E20" i="1"/>
  <c r="D20" i="1"/>
  <c r="M17" i="1"/>
  <c r="L17" i="1"/>
  <c r="K17" i="1"/>
  <c r="J17" i="1"/>
  <c r="G17" i="1"/>
  <c r="G23" i="1" s="1"/>
  <c r="F17" i="1"/>
  <c r="E17" i="1"/>
  <c r="D17" i="1"/>
  <c r="M11" i="1"/>
  <c r="L11" i="1"/>
  <c r="K11" i="1"/>
  <c r="J11" i="1"/>
  <c r="I11" i="1"/>
  <c r="G11" i="1"/>
  <c r="F11" i="1"/>
  <c r="E11" i="1"/>
  <c r="D11" i="1"/>
  <c r="M1" i="1"/>
  <c r="K19" i="6" l="1"/>
  <c r="K20" i="6"/>
  <c r="F15" i="6"/>
  <c r="F22" i="1"/>
  <c r="L22" i="1"/>
  <c r="G22" i="1"/>
  <c r="M22" i="1"/>
  <c r="K21" i="6" l="1"/>
  <c r="L33" i="6" l="1"/>
  <c r="L34" i="6" s="1"/>
  <c r="L35" i="6" s="1"/>
  <c r="L36" i="6" s="1"/>
  <c r="L37" i="6" l="1"/>
</calcChain>
</file>

<file path=xl/sharedStrings.xml><?xml version="1.0" encoding="utf-8"?>
<sst xmlns="http://schemas.openxmlformats.org/spreadsheetml/2006/main" count="108" uniqueCount="56">
  <si>
    <t xml:space="preserve">Documents </t>
  </si>
  <si>
    <t>Village</t>
  </si>
  <si>
    <t>Survey No.</t>
  </si>
  <si>
    <t xml:space="preserve">Area </t>
  </si>
  <si>
    <t>Total Area</t>
  </si>
  <si>
    <t xml:space="preserve">Land to be acquired by MMRDA </t>
  </si>
  <si>
    <t xml:space="preserve">Land acquired for NH </t>
  </si>
  <si>
    <t xml:space="preserve">Addn. land to be acquired for 60 Mtr wide road </t>
  </si>
  <si>
    <t>Total land acquired for road widening</t>
  </si>
  <si>
    <t>in Acre</t>
  </si>
  <si>
    <t>in Guntha</t>
  </si>
  <si>
    <t xml:space="preserve"> in Acre</t>
  </si>
  <si>
    <t>in SMT</t>
  </si>
  <si>
    <t>Indenture 28th September, 1972</t>
  </si>
  <si>
    <t>Kausa</t>
  </si>
  <si>
    <t>97 (2)</t>
  </si>
  <si>
    <t>Industrial</t>
  </si>
  <si>
    <t>98 (-)</t>
  </si>
  <si>
    <t>99 (1)</t>
  </si>
  <si>
    <t>Forest</t>
  </si>
  <si>
    <t>99 (2)</t>
  </si>
  <si>
    <t>100 (1)</t>
  </si>
  <si>
    <t>101 (5B)</t>
  </si>
  <si>
    <t xml:space="preserve">Total </t>
  </si>
  <si>
    <t>Total (as per Agreement)</t>
  </si>
  <si>
    <t>Shil</t>
  </si>
  <si>
    <t>138 (1)</t>
  </si>
  <si>
    <t>139 (2A)</t>
  </si>
  <si>
    <t>139 (2B)</t>
  </si>
  <si>
    <t>Conveyance deed 13th November, 1992</t>
  </si>
  <si>
    <t>139 (1)</t>
  </si>
  <si>
    <t xml:space="preserve">Grand Total </t>
  </si>
  <si>
    <t>Grand Total (As per Agreement)</t>
  </si>
  <si>
    <t xml:space="preserve">Total Documented Area 
</t>
  </si>
  <si>
    <t>Total Area after deduction of land for road widening</t>
  </si>
  <si>
    <t xml:space="preserve">Zoning As Per 7/12 extract </t>
  </si>
  <si>
    <t>99 (3)</t>
  </si>
  <si>
    <t>H</t>
  </si>
  <si>
    <t>P</t>
  </si>
  <si>
    <t>A</t>
  </si>
  <si>
    <t>sqm</t>
  </si>
  <si>
    <t>97P</t>
  </si>
  <si>
    <t>sqyd</t>
  </si>
  <si>
    <t>Sqm</t>
  </si>
  <si>
    <t>sqft</t>
  </si>
  <si>
    <t>TTC Industrial Area</t>
  </si>
  <si>
    <t>rs./sqft</t>
  </si>
  <si>
    <t>https://www.99acres.com/industrial-land-in-midc-industrial-area-navi-mumbai-ffid?nn_source=Performance&amp;nn_account=Google_Commercial-Projects&amp;nn_campaign=11800192963_113312322903_484852151736&amp;nn_medium=11800192963_113312322903_484852151736&amp;nn_adtype=g_&amp;nn_keyword=&amp;nn_placement=&amp;gad_source=1&amp;gclid=EAIaIQobChMI7KmqvtLniQMVzMRMAh11xh5cEAAYASAAEgKNf_D_BwE</t>
  </si>
  <si>
    <t>https://www.99acres.com/industrial-land-in-navi-mumbai-ffid</t>
  </si>
  <si>
    <t>Plant Area</t>
  </si>
  <si>
    <t>Balance area</t>
  </si>
  <si>
    <t>Land</t>
  </si>
  <si>
    <t>Building</t>
  </si>
  <si>
    <t>Asthetic</t>
  </si>
  <si>
    <t>P&amp;M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</si>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</sst>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33">
    <xf numFmtId="0" fontId="0" fillId="0" borderId="0" xfId="0"/>
    <xf numFmtId="165" fontId="0" fillId="0" borderId="0" xfId="1" applyNumberFormat="1" applyFont="1"/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center" vertical="top"/>
    </xf>
    <xf numFmtId="2" fontId="0" fillId="0" borderId="1" xfId="0" applyNumberFormat="1" applyBorder="1" applyAlignment="1">
      <alignment horizontal="center" vertical="top"/>
    </xf>
    <xf numFmtId="165" fontId="0" fillId="0" borderId="1" xfId="1" applyNumberFormat="1" applyFont="1" applyBorder="1" applyAlignment="1">
      <alignment vertical="top"/>
    </xf>
    <xf numFmtId="165" fontId="2" fillId="0" borderId="1" xfId="1" applyNumberFormat="1" applyFont="1" applyBorder="1" applyAlignment="1">
      <alignment vertical="top"/>
    </xf>
    <xf numFmtId="0" fontId="3" fillId="2" borderId="1" xfId="0" applyFont="1" applyFill="1" applyBorder="1" applyAlignment="1">
      <alignment horizontal="left" vertical="top"/>
    </xf>
    <xf numFmtId="2" fontId="3" fillId="2" borderId="1" xfId="0" applyNumberFormat="1" applyFont="1" applyFill="1" applyBorder="1" applyAlignment="1">
      <alignment horizontal="center" vertical="top"/>
    </xf>
    <xf numFmtId="165" fontId="3" fillId="2" borderId="1" xfId="1" applyNumberFormat="1" applyFont="1" applyFill="1" applyBorder="1" applyAlignment="1">
      <alignment vertical="top"/>
    </xf>
    <xf numFmtId="0" fontId="3" fillId="2" borderId="1" xfId="0" applyFont="1" applyFill="1" applyBorder="1" applyAlignment="1">
      <alignment horizontal="center" vertical="top"/>
    </xf>
    <xf numFmtId="165" fontId="3" fillId="2" borderId="1" xfId="1" applyNumberFormat="1" applyFont="1" applyFill="1" applyBorder="1" applyAlignment="1">
      <alignment horizontal="center" vertical="top"/>
    </xf>
    <xf numFmtId="165" fontId="1" fillId="0" borderId="1" xfId="1" applyNumberFormat="1" applyFont="1" applyBorder="1" applyAlignment="1">
      <alignment vertical="top"/>
    </xf>
    <xf numFmtId="0" fontId="3" fillId="0" borderId="1" xfId="0" applyFont="1" applyBorder="1" applyAlignment="1">
      <alignment horizontal="left" vertical="top"/>
    </xf>
    <xf numFmtId="2" fontId="3" fillId="0" borderId="1" xfId="0" applyNumberFormat="1" applyFont="1" applyBorder="1" applyAlignment="1">
      <alignment horizontal="center" vertical="top"/>
    </xf>
    <xf numFmtId="164" fontId="3" fillId="0" borderId="1" xfId="1" applyFont="1" applyFill="1" applyBorder="1" applyAlignment="1">
      <alignment horizontal="center" vertical="top"/>
    </xf>
    <xf numFmtId="165" fontId="3" fillId="0" borderId="1" xfId="1" applyNumberFormat="1" applyFont="1" applyFill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165" fontId="3" fillId="0" borderId="0" xfId="1" applyNumberFormat="1" applyFont="1"/>
    <xf numFmtId="3" fontId="0" fillId="0" borderId="0" xfId="0" applyNumberFormat="1"/>
    <xf numFmtId="43" fontId="0" fillId="0" borderId="0" xfId="0" applyNumberFormat="1"/>
    <xf numFmtId="164" fontId="0" fillId="0" borderId="0" xfId="1" applyFont="1"/>
    <xf numFmtId="0" fontId="4" fillId="0" borderId="0" xfId="0" applyFont="1"/>
    <xf numFmtId="9" fontId="0" fillId="0" borderId="0" xfId="0" applyNumberFormat="1"/>
    <xf numFmtId="164" fontId="4" fillId="0" borderId="0" xfId="1" applyFont="1"/>
    <xf numFmtId="166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133350</xdr:colOff>
      <xdr:row>30</xdr:row>
      <xdr:rowOff>53205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1F410E-B82E-73E1-DCD0-4431094CC3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777" r="37029" b="15569"/>
        <a:stretch/>
      </xdr:blipFill>
      <xdr:spPr>
        <a:xfrm>
          <a:off x="0" y="0"/>
          <a:ext cx="3181350" cy="576820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19</xdr:col>
      <xdr:colOff>507763</xdr:colOff>
      <xdr:row>25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45CF64-F7C1-F186-9DC7-EBC4763FB2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615" t="9642" r="6470" b="6758"/>
        <a:stretch/>
      </xdr:blipFill>
      <xdr:spPr>
        <a:xfrm>
          <a:off x="3657600" y="0"/>
          <a:ext cx="9013588" cy="487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152400</xdr:colOff>
      <xdr:row>32</xdr:row>
      <xdr:rowOff>70906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F8B0E9-7102-41DF-B603-72BE595DD0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918" t="10970" r="15849" b="13514"/>
        <a:stretch/>
      </xdr:blipFill>
      <xdr:spPr>
        <a:xfrm>
          <a:off x="0" y="0"/>
          <a:ext cx="9906000" cy="6166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590550</xdr:colOff>
      <xdr:row>22</xdr:row>
      <xdr:rowOff>18622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29C1B9-43A8-78A5-62D2-C935D6A4D3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85" t="9171" r="21948" b="5691"/>
        <a:stretch/>
      </xdr:blipFill>
      <xdr:spPr>
        <a:xfrm>
          <a:off x="0" y="1"/>
          <a:ext cx="6686550" cy="42096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Abhinav%20Chaturvedi's%20Assignments\In-Progress\VIS(2024-25)-PL489-438-608_Bharat%20Gears_Mumbra\Report\Building_Working.xls" TargetMode="External"/><Relationship Id="rId1" Type="http://schemas.openxmlformats.org/officeDocument/2006/relationships/externalLinkPath" Target="Building_Working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Abhinav%20Chaturvedi's%20Assignments\In-Progress\VIS(2024-25)-PL489-438-608_Bharat%20Gears_Mumbra\Report\FAR_30092024_Working.xls" TargetMode="External"/><Relationship Id="rId1" Type="http://schemas.openxmlformats.org/officeDocument/2006/relationships/externalLinkPath" Target="FAR_30092024_Work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Sheet3"/>
    </sheetNames>
    <sheetDataSet>
      <sheetData sheetId="0">
        <row r="1">
          <cell r="Q1">
            <v>150790130.42651993</v>
          </cell>
        </row>
      </sheetData>
      <sheetData sheetId="1">
        <row r="5">
          <cell r="G5">
            <v>2940000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6"/>
      <sheetName val="Mumbra"/>
      <sheetName val="ELSV"/>
      <sheetName val="CAT-1"/>
      <sheetName val="CAT-2"/>
      <sheetName val="CAT-3"/>
      <sheetName val="CAT-4"/>
      <sheetName val="Sheet1"/>
    </sheetNames>
    <sheetDataSet>
      <sheetData sheetId="0"/>
      <sheetData sheetId="1">
        <row r="2">
          <cell r="AY2">
            <v>256371611.8987461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3"/>
  <sheetViews>
    <sheetView zoomScaleNormal="100" zoomScaleSheetLayoutView="100" workbookViewId="0">
      <selection activeCell="C17" sqref="C17"/>
    </sheetView>
  </sheetViews>
  <sheetFormatPr defaultRowHeight="15" x14ac:dyDescent="0.25"/>
  <cols>
    <col min="1" max="1" width="36.7109375" bestFit="1" customWidth="1"/>
    <col min="2" max="2" width="7.140625" bestFit="1" customWidth="1"/>
    <col min="3" max="3" width="25.42578125" customWidth="1"/>
    <col min="4" max="4" width="10.28515625" customWidth="1"/>
    <col min="7" max="7" width="11.85546875" customWidth="1"/>
    <col min="8" max="8" width="2.85546875" customWidth="1"/>
    <col min="9" max="14" width="15.85546875" customWidth="1"/>
  </cols>
  <sheetData>
    <row r="1" spans="1:14" x14ac:dyDescent="0.25">
      <c r="M1" s="1">
        <f>SUBTOTAL(9,M4:M10)+SUBTOTAL(9,M14:M16)+SUBTOTAL(9,M19)</f>
        <v>125562.68052150001</v>
      </c>
    </row>
    <row r="2" spans="1:14" s="21" customFormat="1" ht="60" x14ac:dyDescent="0.25">
      <c r="A2" s="19" t="s">
        <v>0</v>
      </c>
      <c r="B2" s="19" t="s">
        <v>1</v>
      </c>
      <c r="C2" s="19" t="s">
        <v>2</v>
      </c>
      <c r="D2" s="19" t="s">
        <v>3</v>
      </c>
      <c r="E2" s="19" t="s">
        <v>3</v>
      </c>
      <c r="F2" s="20" t="s">
        <v>4</v>
      </c>
      <c r="G2" s="20" t="s">
        <v>33</v>
      </c>
      <c r="I2" s="20" t="s">
        <v>5</v>
      </c>
      <c r="J2" s="20" t="s">
        <v>6</v>
      </c>
      <c r="K2" s="20" t="s">
        <v>7</v>
      </c>
      <c r="L2" s="20" t="s">
        <v>8</v>
      </c>
      <c r="M2" s="20" t="s">
        <v>34</v>
      </c>
      <c r="N2" s="20" t="s">
        <v>35</v>
      </c>
    </row>
    <row r="3" spans="1:14" x14ac:dyDescent="0.25">
      <c r="A3" s="2"/>
      <c r="B3" s="2"/>
      <c r="C3" s="2"/>
      <c r="D3" s="2" t="s">
        <v>9</v>
      </c>
      <c r="E3" s="2" t="s">
        <v>10</v>
      </c>
      <c r="F3" s="3" t="s">
        <v>11</v>
      </c>
      <c r="G3" s="3" t="s">
        <v>12</v>
      </c>
      <c r="I3" s="3" t="s">
        <v>12</v>
      </c>
      <c r="J3" s="3" t="s">
        <v>12</v>
      </c>
      <c r="K3" s="3" t="s">
        <v>12</v>
      </c>
      <c r="L3" s="3" t="s">
        <v>12</v>
      </c>
      <c r="M3" s="3" t="s">
        <v>12</v>
      </c>
      <c r="N3" s="3"/>
    </row>
    <row r="4" spans="1:14" x14ac:dyDescent="0.25">
      <c r="A4" s="4" t="s">
        <v>13</v>
      </c>
      <c r="B4" s="5" t="s">
        <v>14</v>
      </c>
      <c r="C4" s="5" t="s">
        <v>15</v>
      </c>
      <c r="D4" s="6">
        <v>1</v>
      </c>
      <c r="E4" s="6">
        <v>12</v>
      </c>
      <c r="F4" s="6">
        <v>1.3</v>
      </c>
      <c r="G4" s="7">
        <v>5260.9180000000006</v>
      </c>
      <c r="I4" s="7"/>
      <c r="J4" s="7">
        <v>1200</v>
      </c>
      <c r="K4" s="7">
        <v>1380</v>
      </c>
      <c r="L4" s="7">
        <v>2580</v>
      </c>
      <c r="M4" s="7">
        <v>2680.9180000000006</v>
      </c>
      <c r="N4" s="6" t="s">
        <v>16</v>
      </c>
    </row>
    <row r="5" spans="1:14" x14ac:dyDescent="0.25">
      <c r="A5" s="4" t="s">
        <v>13</v>
      </c>
      <c r="B5" s="5" t="s">
        <v>14</v>
      </c>
      <c r="C5" s="5" t="s">
        <v>17</v>
      </c>
      <c r="D5" s="6">
        <v>3</v>
      </c>
      <c r="E5" s="6">
        <v>32</v>
      </c>
      <c r="F5" s="6">
        <v>3.8</v>
      </c>
      <c r="G5" s="7">
        <v>15378.067999999999</v>
      </c>
      <c r="I5" s="7"/>
      <c r="J5" s="7"/>
      <c r="K5" s="7">
        <v>723.4</v>
      </c>
      <c r="L5" s="7">
        <v>723.4</v>
      </c>
      <c r="M5" s="7">
        <v>14654.668</v>
      </c>
      <c r="N5" s="6" t="s">
        <v>16</v>
      </c>
    </row>
    <row r="6" spans="1:14" x14ac:dyDescent="0.25">
      <c r="A6" s="4" t="s">
        <v>13</v>
      </c>
      <c r="B6" s="5" t="s">
        <v>14</v>
      </c>
      <c r="C6" s="5" t="s">
        <v>18</v>
      </c>
      <c r="D6" s="6">
        <v>11</v>
      </c>
      <c r="E6" s="6">
        <v>32</v>
      </c>
      <c r="F6" s="6">
        <v>11.8</v>
      </c>
      <c r="G6" s="7">
        <v>47752.948000000004</v>
      </c>
      <c r="I6" s="7">
        <v>1331</v>
      </c>
      <c r="J6" s="7"/>
      <c r="K6" s="7"/>
      <c r="L6" s="7">
        <v>1331</v>
      </c>
      <c r="M6" s="14">
        <v>46421.948000000004</v>
      </c>
      <c r="N6" s="6" t="s">
        <v>19</v>
      </c>
    </row>
    <row r="7" spans="1:14" x14ac:dyDescent="0.25">
      <c r="A7" s="4" t="s">
        <v>13</v>
      </c>
      <c r="B7" s="5" t="s">
        <v>14</v>
      </c>
      <c r="C7" s="5" t="s">
        <v>20</v>
      </c>
      <c r="D7" s="6">
        <v>0</v>
      </c>
      <c r="E7" s="6">
        <v>23</v>
      </c>
      <c r="F7" s="6">
        <v>0.57499999999999996</v>
      </c>
      <c r="G7" s="7">
        <v>2326.9445000000001</v>
      </c>
      <c r="I7" s="7"/>
      <c r="J7" s="7"/>
      <c r="K7" s="7"/>
      <c r="L7" s="7">
        <v>0</v>
      </c>
      <c r="M7" s="7">
        <v>2326.9445000000001</v>
      </c>
      <c r="N7" s="6" t="s">
        <v>19</v>
      </c>
    </row>
    <row r="8" spans="1:14" x14ac:dyDescent="0.25">
      <c r="A8" s="4" t="s">
        <v>13</v>
      </c>
      <c r="B8" s="5" t="s">
        <v>14</v>
      </c>
      <c r="C8" s="5" t="s">
        <v>36</v>
      </c>
      <c r="D8" s="6">
        <v>3</v>
      </c>
      <c r="E8" s="6">
        <v>23</v>
      </c>
      <c r="F8" s="6">
        <v>3.5750000000000002</v>
      </c>
      <c r="G8" s="7">
        <v>14467.524500000001</v>
      </c>
      <c r="I8" s="7"/>
      <c r="J8" s="7"/>
      <c r="K8" s="7"/>
      <c r="L8" s="7">
        <v>0</v>
      </c>
      <c r="M8" s="7">
        <v>14467.524500000001</v>
      </c>
      <c r="N8" s="6" t="s">
        <v>19</v>
      </c>
    </row>
    <row r="9" spans="1:14" x14ac:dyDescent="0.25">
      <c r="A9" s="4" t="s">
        <v>13</v>
      </c>
      <c r="B9" s="5" t="s">
        <v>14</v>
      </c>
      <c r="C9" s="5" t="s">
        <v>21</v>
      </c>
      <c r="D9" s="6">
        <v>0</v>
      </c>
      <c r="E9" s="6">
        <v>15.29</v>
      </c>
      <c r="F9" s="6">
        <v>0.38224999999999998</v>
      </c>
      <c r="G9" s="7">
        <v>1546.912235</v>
      </c>
      <c r="I9" s="7">
        <v>295</v>
      </c>
      <c r="J9" s="7">
        <v>1000</v>
      </c>
      <c r="K9" s="7">
        <v>405</v>
      </c>
      <c r="L9" s="7">
        <v>1700</v>
      </c>
      <c r="M9" s="8">
        <v>-153.08776499999999</v>
      </c>
      <c r="N9" s="6" t="s">
        <v>16</v>
      </c>
    </row>
    <row r="10" spans="1:14" x14ac:dyDescent="0.25">
      <c r="A10" s="4" t="s">
        <v>13</v>
      </c>
      <c r="B10" s="5" t="s">
        <v>14</v>
      </c>
      <c r="C10" s="5" t="s">
        <v>22</v>
      </c>
      <c r="D10" s="6">
        <v>2</v>
      </c>
      <c r="E10" s="6">
        <v>11.111000000000001</v>
      </c>
      <c r="F10" s="6">
        <v>2.2777750000000001</v>
      </c>
      <c r="G10" s="7">
        <v>9217.8365365000009</v>
      </c>
      <c r="I10" s="7">
        <v>1745</v>
      </c>
      <c r="J10" s="7">
        <v>9</v>
      </c>
      <c r="K10" s="7">
        <v>112</v>
      </c>
      <c r="L10" s="7">
        <v>1866</v>
      </c>
      <c r="M10" s="7">
        <v>7351.8365365000009</v>
      </c>
      <c r="N10" s="6" t="s">
        <v>16</v>
      </c>
    </row>
    <row r="11" spans="1:14" x14ac:dyDescent="0.25">
      <c r="A11" s="4"/>
      <c r="B11" s="5"/>
      <c r="C11" s="9" t="s">
        <v>23</v>
      </c>
      <c r="D11" s="10">
        <f>SUM(D4:D10)</f>
        <v>20</v>
      </c>
      <c r="E11" s="10">
        <f>SUM(E4:E10)</f>
        <v>148.40099999999998</v>
      </c>
      <c r="F11" s="10">
        <f>SUM(F4:F10)</f>
        <v>23.710024999999995</v>
      </c>
      <c r="G11" s="11">
        <f>SUM(G4:G10)</f>
        <v>95951.151771500008</v>
      </c>
      <c r="I11" s="11">
        <f>SUM(I4:I10)</f>
        <v>3371</v>
      </c>
      <c r="J11" s="11">
        <f>SUM(J4:J10)</f>
        <v>2209</v>
      </c>
      <c r="K11" s="11">
        <f>SUM(K4:K10)</f>
        <v>2620.4</v>
      </c>
      <c r="L11" s="11">
        <f>SUM(L4:L10)</f>
        <v>8200.4</v>
      </c>
      <c r="M11" s="11">
        <f>SUM(M4:M10)</f>
        <v>87750.751771499999</v>
      </c>
      <c r="N11" s="6"/>
    </row>
    <row r="12" spans="1:14" x14ac:dyDescent="0.25">
      <c r="A12" s="4"/>
      <c r="B12" s="5"/>
      <c r="C12" s="9" t="s">
        <v>24</v>
      </c>
      <c r="D12" s="6"/>
      <c r="E12" s="6"/>
      <c r="F12" s="6"/>
      <c r="G12" s="11">
        <v>96028.27</v>
      </c>
      <c r="I12" s="11"/>
      <c r="J12" s="11"/>
      <c r="K12" s="11"/>
      <c r="L12" s="11"/>
      <c r="M12" s="11"/>
      <c r="N12" s="6"/>
    </row>
    <row r="13" spans="1:14" x14ac:dyDescent="0.25">
      <c r="A13" s="4"/>
      <c r="B13" s="5"/>
      <c r="C13" s="5"/>
      <c r="D13" s="6"/>
      <c r="E13" s="6"/>
      <c r="F13" s="6"/>
      <c r="G13" s="6"/>
      <c r="I13" s="6"/>
      <c r="J13" s="6"/>
      <c r="K13" s="6"/>
      <c r="L13" s="6"/>
      <c r="M13" s="6"/>
      <c r="N13" s="6"/>
    </row>
    <row r="14" spans="1:14" x14ac:dyDescent="0.25">
      <c r="A14" s="4" t="s">
        <v>13</v>
      </c>
      <c r="B14" s="5" t="s">
        <v>25</v>
      </c>
      <c r="C14" s="5" t="s">
        <v>26</v>
      </c>
      <c r="D14" s="6">
        <v>6</v>
      </c>
      <c r="E14" s="6">
        <v>2</v>
      </c>
      <c r="F14" s="6">
        <v>6.05</v>
      </c>
      <c r="G14" s="7">
        <v>24483.503000000001</v>
      </c>
      <c r="I14" s="7"/>
      <c r="J14" s="7"/>
      <c r="K14" s="7"/>
      <c r="L14" s="7">
        <v>0</v>
      </c>
      <c r="M14" s="7">
        <v>24483.503000000001</v>
      </c>
      <c r="N14" s="6" t="s">
        <v>19</v>
      </c>
    </row>
    <row r="15" spans="1:14" x14ac:dyDescent="0.25">
      <c r="A15" s="4" t="s">
        <v>13</v>
      </c>
      <c r="B15" s="5" t="s">
        <v>25</v>
      </c>
      <c r="C15" s="5" t="s">
        <v>27</v>
      </c>
      <c r="D15" s="6">
        <v>0</v>
      </c>
      <c r="E15" s="6">
        <v>16</v>
      </c>
      <c r="F15" s="6">
        <v>0.4</v>
      </c>
      <c r="G15" s="7">
        <v>1618.7440000000001</v>
      </c>
      <c r="I15" s="7"/>
      <c r="J15" s="7">
        <v>100</v>
      </c>
      <c r="K15" s="7">
        <v>50.6</v>
      </c>
      <c r="L15" s="7">
        <v>150.6</v>
      </c>
      <c r="M15" s="7">
        <v>1468.1440000000002</v>
      </c>
      <c r="N15" s="6" t="s">
        <v>16</v>
      </c>
    </row>
    <row r="16" spans="1:14" x14ac:dyDescent="0.25">
      <c r="A16" s="4" t="s">
        <v>13</v>
      </c>
      <c r="B16" s="5" t="s">
        <v>25</v>
      </c>
      <c r="C16" s="5" t="s">
        <v>28</v>
      </c>
      <c r="D16" s="6">
        <v>1</v>
      </c>
      <c r="E16" s="6">
        <v>39.5</v>
      </c>
      <c r="F16" s="6">
        <v>1.9875</v>
      </c>
      <c r="G16" s="7">
        <v>8043.1342500000001</v>
      </c>
      <c r="I16" s="7"/>
      <c r="J16" s="7"/>
      <c r="K16" s="7"/>
      <c r="L16" s="7">
        <v>0</v>
      </c>
      <c r="M16" s="7">
        <v>8043.1342500000001</v>
      </c>
      <c r="N16" s="6" t="s">
        <v>16</v>
      </c>
    </row>
    <row r="17" spans="1:14" x14ac:dyDescent="0.25">
      <c r="A17" s="4"/>
      <c r="B17" s="5"/>
      <c r="C17" s="12" t="s">
        <v>23</v>
      </c>
      <c r="D17" s="10">
        <f>SUM(D14:D16)</f>
        <v>7</v>
      </c>
      <c r="E17" s="10">
        <f>SUM(E14:E16)</f>
        <v>57.5</v>
      </c>
      <c r="F17" s="10">
        <f>SUM(F14:F16)</f>
        <v>8.4375</v>
      </c>
      <c r="G17" s="13">
        <f>SUM(G14:G16)</f>
        <v>34145.381249999999</v>
      </c>
      <c r="I17" s="13">
        <v>0</v>
      </c>
      <c r="J17" s="13">
        <f>SUM(J14:J16)</f>
        <v>100</v>
      </c>
      <c r="K17" s="13">
        <f>SUM(K14:K16)</f>
        <v>50.6</v>
      </c>
      <c r="L17" s="13">
        <f>SUM(L14:L16)</f>
        <v>150.6</v>
      </c>
      <c r="M17" s="13">
        <f>SUM(M14:M16)</f>
        <v>33994.78125</v>
      </c>
      <c r="N17" s="6"/>
    </row>
    <row r="18" spans="1:14" x14ac:dyDescent="0.25">
      <c r="A18" s="4"/>
      <c r="B18" s="5"/>
      <c r="C18" s="5"/>
      <c r="D18" s="6"/>
      <c r="E18" s="6"/>
      <c r="F18" s="6"/>
      <c r="G18" s="7"/>
      <c r="I18" s="7"/>
      <c r="J18" s="7"/>
      <c r="K18" s="7"/>
      <c r="L18" s="7"/>
      <c r="M18" s="7"/>
      <c r="N18" s="6"/>
    </row>
    <row r="19" spans="1:14" x14ac:dyDescent="0.25">
      <c r="A19" s="4" t="s">
        <v>29</v>
      </c>
      <c r="B19" s="5" t="s">
        <v>25</v>
      </c>
      <c r="C19" s="5" t="s">
        <v>30</v>
      </c>
      <c r="D19" s="6">
        <v>1</v>
      </c>
      <c r="E19" s="6">
        <v>25</v>
      </c>
      <c r="F19" s="6">
        <v>1.625</v>
      </c>
      <c r="G19" s="7">
        <v>6576.1475</v>
      </c>
      <c r="I19" s="7"/>
      <c r="J19" s="7">
        <v>1600</v>
      </c>
      <c r="K19" s="7">
        <v>1159</v>
      </c>
      <c r="L19" s="7">
        <v>2759</v>
      </c>
      <c r="M19" s="7">
        <v>3817.1475</v>
      </c>
      <c r="N19" s="6" t="s">
        <v>16</v>
      </c>
    </row>
    <row r="20" spans="1:14" x14ac:dyDescent="0.25">
      <c r="A20" s="5"/>
      <c r="B20" s="5"/>
      <c r="C20" s="9" t="s">
        <v>23</v>
      </c>
      <c r="D20" s="10">
        <f>SUM(D19)</f>
        <v>1</v>
      </c>
      <c r="E20" s="10">
        <f>SUM(E19)</f>
        <v>25</v>
      </c>
      <c r="F20" s="10">
        <f>SUM(F19)</f>
        <v>1.625</v>
      </c>
      <c r="G20" s="13">
        <f>SUM(G19)</f>
        <v>6576.1475</v>
      </c>
      <c r="I20" s="13">
        <f>SUM(I19)</f>
        <v>0</v>
      </c>
      <c r="J20" s="13">
        <f>SUM(J19)</f>
        <v>1600</v>
      </c>
      <c r="K20" s="13">
        <f>SUM(K19)</f>
        <v>1159</v>
      </c>
      <c r="L20" s="13">
        <f>SUM(L19)</f>
        <v>2759</v>
      </c>
      <c r="M20" s="13">
        <f>SUM(M19)</f>
        <v>3817.1475</v>
      </c>
      <c r="N20" s="6"/>
    </row>
    <row r="21" spans="1:14" x14ac:dyDescent="0.25">
      <c r="A21" s="5"/>
      <c r="B21" s="5"/>
      <c r="C21" s="9" t="s">
        <v>24</v>
      </c>
      <c r="D21" s="6"/>
      <c r="E21" s="6"/>
      <c r="F21" s="6"/>
      <c r="G21" s="13">
        <v>6560</v>
      </c>
      <c r="I21" s="13"/>
      <c r="J21" s="13"/>
      <c r="K21" s="13"/>
      <c r="L21" s="13"/>
      <c r="M21" s="13"/>
      <c r="N21" s="6"/>
    </row>
    <row r="22" spans="1:14" x14ac:dyDescent="0.25">
      <c r="A22" s="5"/>
      <c r="B22" s="5"/>
      <c r="C22" s="15" t="s">
        <v>31</v>
      </c>
      <c r="D22" s="16"/>
      <c r="E22" s="16"/>
      <c r="F22" s="17">
        <f>F20+F17+F11</f>
        <v>33.772524999999995</v>
      </c>
      <c r="G22" s="18">
        <f>G20+G17+G11</f>
        <v>136672.68052150001</v>
      </c>
      <c r="I22" s="18"/>
      <c r="J22" s="18"/>
      <c r="K22" s="18"/>
      <c r="L22" s="18">
        <f>L20+L17+L11</f>
        <v>11110</v>
      </c>
      <c r="M22" s="18">
        <f>M20+M17+M11</f>
        <v>125562.68052150001</v>
      </c>
      <c r="N22" s="6"/>
    </row>
    <row r="23" spans="1:14" x14ac:dyDescent="0.25">
      <c r="A23" s="5"/>
      <c r="B23" s="5"/>
      <c r="C23" s="15" t="s">
        <v>32</v>
      </c>
      <c r="D23" s="16"/>
      <c r="E23" s="16"/>
      <c r="F23" s="16"/>
      <c r="G23" s="18">
        <f>G21+G17+G12</f>
        <v>136733.65125</v>
      </c>
      <c r="I23" s="18"/>
      <c r="J23" s="18"/>
      <c r="K23" s="18"/>
      <c r="L23" s="18"/>
      <c r="M23" s="18"/>
      <c r="N23" s="6"/>
    </row>
  </sheetData>
  <autoFilter ref="A3:N21" xr:uid="{00000000-0009-0000-0000-000000000000}"/>
  <pageMargins left="0.7" right="0.7" top="0.75" bottom="0.75" header="0.3" footer="0.3"/>
  <pageSetup paperSize="9" scale="6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36FF4-C39A-4B2B-9FC2-D11DEA5075ED}">
  <dimension ref="A3:P22"/>
  <sheetViews>
    <sheetView workbookViewId="0">
      <selection activeCell="M21" sqref="M21"/>
    </sheetView>
  </sheetViews>
  <sheetFormatPr defaultRowHeight="15" x14ac:dyDescent="0.25"/>
  <cols>
    <col min="1" max="1" width="10.5703125" bestFit="1" customWidth="1"/>
    <col min="3" max="3" width="12.140625" bestFit="1" customWidth="1"/>
    <col min="8" max="8" width="13.28515625" style="1" bestFit="1" customWidth="1"/>
    <col min="15" max="15" width="13.28515625" style="1" bestFit="1" customWidth="1"/>
  </cols>
  <sheetData>
    <row r="3" spans="1:16" x14ac:dyDescent="0.25">
      <c r="B3" t="s">
        <v>37</v>
      </c>
      <c r="C3" t="s">
        <v>39</v>
      </c>
      <c r="D3" t="s">
        <v>38</v>
      </c>
      <c r="F3" t="s">
        <v>40</v>
      </c>
    </row>
    <row r="4" spans="1:16" x14ac:dyDescent="0.25">
      <c r="B4">
        <v>0</v>
      </c>
      <c r="C4">
        <v>65</v>
      </c>
      <c r="D4">
        <v>6</v>
      </c>
      <c r="F4">
        <v>6560</v>
      </c>
      <c r="M4" s="26">
        <v>16238</v>
      </c>
    </row>
    <row r="5" spans="1:16" x14ac:dyDescent="0.25">
      <c r="M5" s="26">
        <v>5261</v>
      </c>
    </row>
    <row r="6" spans="1:16" x14ac:dyDescent="0.25">
      <c r="M6" s="26">
        <v>15378</v>
      </c>
    </row>
    <row r="7" spans="1:16" x14ac:dyDescent="0.25">
      <c r="M7" s="26">
        <v>64547</v>
      </c>
    </row>
    <row r="8" spans="1:16" x14ac:dyDescent="0.25">
      <c r="M8" s="26">
        <v>1547</v>
      </c>
    </row>
    <row r="9" spans="1:16" x14ac:dyDescent="0.25">
      <c r="M9" s="26">
        <v>9218</v>
      </c>
    </row>
    <row r="10" spans="1:16" x14ac:dyDescent="0.25">
      <c r="A10" s="24" t="s">
        <v>2</v>
      </c>
      <c r="B10" s="24" t="s">
        <v>37</v>
      </c>
      <c r="C10" s="24" t="s">
        <v>39</v>
      </c>
      <c r="D10" s="24" t="s">
        <v>38</v>
      </c>
      <c r="M10" s="26">
        <v>24484</v>
      </c>
    </row>
    <row r="11" spans="1:16" x14ac:dyDescent="0.25">
      <c r="A11" s="21" t="s">
        <v>41</v>
      </c>
      <c r="B11">
        <v>0</v>
      </c>
      <c r="C11">
        <v>1</v>
      </c>
      <c r="D11">
        <v>12</v>
      </c>
      <c r="M11" s="26">
        <f>SUM(M4:M10)</f>
        <v>136673</v>
      </c>
      <c r="O11" s="1">
        <v>155686</v>
      </c>
      <c r="P11" t="s">
        <v>42</v>
      </c>
    </row>
    <row r="12" spans="1:16" x14ac:dyDescent="0.25">
      <c r="A12" s="22">
        <v>98</v>
      </c>
      <c r="B12">
        <v>0</v>
      </c>
      <c r="C12">
        <v>3</v>
      </c>
      <c r="D12">
        <v>32</v>
      </c>
      <c r="O12" s="1">
        <f>O11*9</f>
        <v>1401174</v>
      </c>
      <c r="P12" t="s">
        <v>44</v>
      </c>
    </row>
    <row r="13" spans="1:16" x14ac:dyDescent="0.25">
      <c r="A13" s="22">
        <v>99</v>
      </c>
      <c r="B13">
        <v>1</v>
      </c>
      <c r="C13">
        <v>11</v>
      </c>
      <c r="D13">
        <v>32</v>
      </c>
      <c r="O13" s="1">
        <f>O12/10.764</f>
        <v>130172.24080267559</v>
      </c>
      <c r="P13" t="s">
        <v>40</v>
      </c>
    </row>
    <row r="14" spans="1:16" x14ac:dyDescent="0.25">
      <c r="A14" s="22">
        <v>99</v>
      </c>
      <c r="B14">
        <v>2</v>
      </c>
      <c r="C14">
        <v>0</v>
      </c>
      <c r="D14">
        <v>23</v>
      </c>
    </row>
    <row r="15" spans="1:16" x14ac:dyDescent="0.25">
      <c r="A15" s="22">
        <v>99</v>
      </c>
      <c r="B15">
        <v>3</v>
      </c>
      <c r="C15">
        <v>3</v>
      </c>
      <c r="D15">
        <v>23</v>
      </c>
    </row>
    <row r="16" spans="1:16" x14ac:dyDescent="0.25">
      <c r="A16" s="22">
        <v>100</v>
      </c>
      <c r="B16">
        <v>0</v>
      </c>
      <c r="C16">
        <v>0</v>
      </c>
      <c r="D16">
        <v>15.29</v>
      </c>
      <c r="E16" t="s">
        <v>42</v>
      </c>
    </row>
    <row r="17" spans="1:8" x14ac:dyDescent="0.25">
      <c r="A17" s="22">
        <v>101</v>
      </c>
      <c r="B17">
        <v>5</v>
      </c>
      <c r="C17">
        <v>2</v>
      </c>
      <c r="D17">
        <v>11.121</v>
      </c>
      <c r="E17" t="s">
        <v>42</v>
      </c>
    </row>
    <row r="18" spans="1:8" x14ac:dyDescent="0.25">
      <c r="C18">
        <v>23</v>
      </c>
      <c r="D18">
        <v>29.19</v>
      </c>
      <c r="E18" t="s">
        <v>42</v>
      </c>
    </row>
    <row r="20" spans="1:8" x14ac:dyDescent="0.25">
      <c r="C20" s="25">
        <v>96028.27</v>
      </c>
      <c r="D20" s="23" t="s">
        <v>40</v>
      </c>
      <c r="H20" s="1">
        <v>800000</v>
      </c>
    </row>
    <row r="21" spans="1:8" x14ac:dyDescent="0.25">
      <c r="C21" s="1">
        <f>C20+F4</f>
        <v>102588.27</v>
      </c>
      <c r="H21" s="1">
        <v>1217645</v>
      </c>
    </row>
    <row r="22" spans="1:8" x14ac:dyDescent="0.25">
      <c r="H22" s="1">
        <f>SUM(H20:H21)</f>
        <v>2017645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28999-428B-47C4-B57A-D48C6AA21A48}">
  <dimension ref="N27:S31"/>
  <sheetViews>
    <sheetView workbookViewId="0">
      <selection activeCell="S1" sqref="S1"/>
    </sheetView>
  </sheetViews>
  <sheetFormatPr defaultRowHeight="15" x14ac:dyDescent="0.25"/>
  <cols>
    <col min="14" max="14" width="14.85546875" bestFit="1" customWidth="1"/>
    <col min="19" max="19" width="12.140625" bestFit="1" customWidth="1"/>
  </cols>
  <sheetData>
    <row r="27" spans="14:19" x14ac:dyDescent="0.25">
      <c r="N27" s="1">
        <v>126160</v>
      </c>
      <c r="O27" t="s">
        <v>43</v>
      </c>
      <c r="S27">
        <v>32.17</v>
      </c>
    </row>
    <row r="28" spans="14:19" x14ac:dyDescent="0.25">
      <c r="N28" s="27">
        <f>N27/4046.845</f>
        <v>31.174902918199241</v>
      </c>
      <c r="S28" s="1">
        <f>S27*4046.845</f>
        <v>130187.00365</v>
      </c>
    </row>
    <row r="30" spans="14:19" x14ac:dyDescent="0.25">
      <c r="N30" s="1">
        <v>40000</v>
      </c>
      <c r="P30">
        <v>4000</v>
      </c>
    </row>
    <row r="31" spans="14:19" x14ac:dyDescent="0.25">
      <c r="N31" s="1">
        <f>N30*N27</f>
        <v>5046400000</v>
      </c>
      <c r="P31">
        <f>P30*10.764</f>
        <v>43056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ADE10-6AC3-4F98-A160-3C01545D6E54}">
  <dimension ref="S28:S29"/>
  <sheetViews>
    <sheetView workbookViewId="0">
      <selection activeCell="S1" sqref="S1"/>
    </sheetView>
  </sheetViews>
  <sheetFormatPr defaultRowHeight="15" x14ac:dyDescent="0.25"/>
  <cols>
    <col min="19" max="19" width="8" style="1" bestFit="1" customWidth="1"/>
  </cols>
  <sheetData>
    <row r="28" spans="19:19" x14ac:dyDescent="0.25">
      <c r="S28" s="1">
        <v>44000</v>
      </c>
    </row>
    <row r="29" spans="19:19" x14ac:dyDescent="0.25">
      <c r="S29" s="1">
        <f>S28/10.764</f>
        <v>4087.699739873653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051A3-9635-4C69-B71C-00262F6B07FA}">
  <dimension ref="K25:O25"/>
  <sheetViews>
    <sheetView tabSelected="1" topLeftCell="A11" workbookViewId="0">
      <selection activeCell="L27" sqref="L27"/>
    </sheetView>
  </sheetViews>
  <sheetFormatPr defaultRowHeight="15" x14ac:dyDescent="0.25"/>
  <cols>
    <col min="11" max="11" width="9.28515625" bestFit="1" customWidth="1"/>
    <col min="12" max="12" width="14.85546875" bestFit="1" customWidth="1"/>
    <col min="13" max="14" width="9.5703125" bestFit="1" customWidth="1"/>
    <col min="15" max="15" width="9.28515625" bestFit="1" customWidth="1"/>
  </cols>
  <sheetData>
    <row r="25" spans="11:15" x14ac:dyDescent="0.25">
      <c r="K25" s="28"/>
      <c r="L25" s="1"/>
      <c r="M25" s="1"/>
      <c r="N25" s="1"/>
      <c r="O25" s="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F22AE-640A-4944-B381-A096D044B2CB}">
  <dimension ref="B2:L37"/>
  <sheetViews>
    <sheetView topLeftCell="A12" workbookViewId="0">
      <selection activeCell="L37" sqref="L37"/>
    </sheetView>
  </sheetViews>
  <sheetFormatPr defaultRowHeight="15" x14ac:dyDescent="0.25"/>
  <cols>
    <col min="2" max="2" width="16.85546875" bestFit="1" customWidth="1"/>
    <col min="5" max="5" width="6.42578125" customWidth="1"/>
    <col min="6" max="6" width="14.28515625" bestFit="1" customWidth="1"/>
    <col min="7" max="7" width="14.85546875" bestFit="1" customWidth="1"/>
    <col min="8" max="8" width="9.5703125" style="1" bestFit="1" customWidth="1"/>
    <col min="9" max="9" width="4.42578125" bestFit="1" customWidth="1"/>
    <col min="10" max="10" width="7" style="1" bestFit="1" customWidth="1"/>
    <col min="11" max="11" width="14.85546875" style="1" bestFit="1" customWidth="1"/>
    <col min="12" max="12" width="17.5703125" style="1" bestFit="1" customWidth="1"/>
  </cols>
  <sheetData>
    <row r="2" spans="2:7" x14ac:dyDescent="0.25">
      <c r="C2" t="s">
        <v>46</v>
      </c>
      <c r="D2" t="s">
        <v>46</v>
      </c>
    </row>
    <row r="3" spans="2:7" x14ac:dyDescent="0.25">
      <c r="B3" s="29" t="s">
        <v>45</v>
      </c>
      <c r="C3">
        <v>6000</v>
      </c>
      <c r="D3">
        <v>9000</v>
      </c>
    </row>
    <row r="5" spans="2:7" x14ac:dyDescent="0.25">
      <c r="B5" t="s">
        <v>47</v>
      </c>
    </row>
    <row r="6" spans="2:7" x14ac:dyDescent="0.25">
      <c r="B6" t="s">
        <v>48</v>
      </c>
    </row>
    <row r="13" spans="2:7" x14ac:dyDescent="0.25">
      <c r="F13" s="31">
        <v>130173.32</v>
      </c>
      <c r="G13" t="s">
        <v>40</v>
      </c>
    </row>
    <row r="14" spans="2:7" x14ac:dyDescent="0.25">
      <c r="B14">
        <v>4500</v>
      </c>
      <c r="F14" s="1">
        <f>F13*10.764</f>
        <v>1401185.6164800001</v>
      </c>
      <c r="G14" t="s">
        <v>44</v>
      </c>
    </row>
    <row r="15" spans="2:7" x14ac:dyDescent="0.25">
      <c r="B15" s="30">
        <v>0.05</v>
      </c>
      <c r="F15" s="32">
        <f>F14*B18</f>
        <v>5359534983.0360003</v>
      </c>
    </row>
    <row r="16" spans="2:7" x14ac:dyDescent="0.25">
      <c r="B16" s="30">
        <v>0.1</v>
      </c>
    </row>
    <row r="17" spans="2:12" x14ac:dyDescent="0.25">
      <c r="B17" s="30">
        <f>B16+B15</f>
        <v>0.15000000000000002</v>
      </c>
    </row>
    <row r="18" spans="2:12" x14ac:dyDescent="0.25">
      <c r="B18" s="1">
        <f>B14*(1-B17)</f>
        <v>3825</v>
      </c>
    </row>
    <row r="19" spans="2:12" x14ac:dyDescent="0.25">
      <c r="E19" t="s">
        <v>40</v>
      </c>
      <c r="F19" s="1">
        <v>61473.69</v>
      </c>
      <c r="G19" t="s">
        <v>49</v>
      </c>
      <c r="H19" s="1">
        <f>F19*10.764</f>
        <v>661702.79915999994</v>
      </c>
      <c r="I19" t="s">
        <v>44</v>
      </c>
      <c r="J19" s="1">
        <f>B18</f>
        <v>3825</v>
      </c>
      <c r="K19" s="1">
        <f>J19*H19</f>
        <v>2531013206.7869997</v>
      </c>
    </row>
    <row r="20" spans="2:12" x14ac:dyDescent="0.25">
      <c r="E20" t="s">
        <v>40</v>
      </c>
      <c r="F20" s="1">
        <f>F13-F19</f>
        <v>68699.63</v>
      </c>
      <c r="G20" t="s">
        <v>50</v>
      </c>
      <c r="H20" s="1">
        <f>F20*10.764</f>
        <v>739482.81732000003</v>
      </c>
      <c r="I20" t="s">
        <v>44</v>
      </c>
      <c r="J20" s="1">
        <f>J19/2</f>
        <v>1912.5</v>
      </c>
      <c r="K20" s="1">
        <f>J20*H20</f>
        <v>1414260888.1245</v>
      </c>
    </row>
    <row r="21" spans="2:12" x14ac:dyDescent="0.25">
      <c r="K21" s="1">
        <f>SUM(K19:K20)</f>
        <v>3945274094.9115</v>
      </c>
    </row>
    <row r="24" spans="2:12" x14ac:dyDescent="0.25">
      <c r="F24" s="1">
        <v>44000</v>
      </c>
      <c r="G24" s="1">
        <f>F24*F13</f>
        <v>5727626080</v>
      </c>
    </row>
    <row r="25" spans="2:12" x14ac:dyDescent="0.25">
      <c r="F25" s="1">
        <v>4087.699739873653</v>
      </c>
    </row>
    <row r="30" spans="2:12" x14ac:dyDescent="0.25">
      <c r="K30" s="1" t="s">
        <v>51</v>
      </c>
      <c r="L30" s="1">
        <f>K21</f>
        <v>3945274094.9115</v>
      </c>
    </row>
    <row r="31" spans="2:12" x14ac:dyDescent="0.25">
      <c r="K31" s="1" t="s">
        <v>52</v>
      </c>
      <c r="L31" s="1">
        <f>[1]Sheet1!$Q$1</f>
        <v>150790130.42651993</v>
      </c>
    </row>
    <row r="32" spans="2:12" x14ac:dyDescent="0.25">
      <c r="K32" s="1" t="s">
        <v>53</v>
      </c>
      <c r="L32" s="1">
        <f>[1]Sheet2!$G$5</f>
        <v>2940000</v>
      </c>
    </row>
    <row r="33" spans="11:12" x14ac:dyDescent="0.25">
      <c r="K33" s="1" t="s">
        <v>54</v>
      </c>
      <c r="L33" s="1">
        <f>[2]Mumbra!$AY$2</f>
        <v>256371611.8987461</v>
      </c>
    </row>
    <row r="34" spans="11:12" x14ac:dyDescent="0.25">
      <c r="K34" s="1" t="s">
        <v>55</v>
      </c>
      <c r="L34" s="1">
        <f>SUM(L30:L33)</f>
        <v>4355375837.2367659</v>
      </c>
    </row>
    <row r="35" spans="11:12" x14ac:dyDescent="0.25">
      <c r="L35" s="1">
        <f>ROUND(L34,-6)</f>
        <v>4355000000</v>
      </c>
    </row>
    <row r="36" spans="11:12" x14ac:dyDescent="0.25">
      <c r="L36" s="1">
        <f>L35*0.85</f>
        <v>3701750000</v>
      </c>
    </row>
    <row r="37" spans="11:12" x14ac:dyDescent="0.25">
      <c r="L37" s="1">
        <f>L35*0.75</f>
        <v>3266250000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Sheet5</vt:lpstr>
      <vt:lpstr>Sheet1</vt:lpstr>
      <vt:lpstr>Sheet2</vt:lpstr>
      <vt:lpstr>Sheet3</vt:lpstr>
      <vt:lpstr>Sheet4</vt:lpstr>
      <vt:lpstr>Sheet6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Rahul Tambitkar</dc:creator>
  <cp:lastModifiedBy>Abhinav Chaturvedi</cp:lastModifiedBy>
  <cp:lastPrinted>2020-02-24T04:14:05Z</cp:lastPrinted>
  <dcterms:created xsi:type="dcterms:W3CDTF">2020-02-22T14:12:55Z</dcterms:created>
  <dcterms:modified xsi:type="dcterms:W3CDTF">2024-11-19T07:23:20Z</dcterms:modified>
</cp:coreProperties>
</file>