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489-438-609_Bharat Gears_Lonand\Report\"/>
    </mc:Choice>
  </mc:AlternateContent>
  <xr:revisionPtr revIDLastSave="0" documentId="13_ncr:1_{01707F28-DB30-4F9E-974E-CB246057D23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Building" sheetId="2" r:id="rId2"/>
    <sheet name="Sheet2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2" l="1"/>
  <c r="D19" i="1"/>
  <c r="D18" i="1"/>
  <c r="D17" i="1"/>
  <c r="E37" i="2"/>
  <c r="M31" i="2"/>
  <c r="M32" i="2" s="1"/>
  <c r="L32" i="2"/>
  <c r="E31" i="2"/>
  <c r="E29" i="2"/>
  <c r="E28" i="2"/>
  <c r="E25" i="2"/>
  <c r="F39" i="2"/>
  <c r="F38" i="2"/>
  <c r="P23" i="2"/>
  <c r="O23" i="2"/>
  <c r="F25" i="2"/>
  <c r="S8" i="2"/>
  <c r="M8" i="2"/>
  <c r="P24" i="2" l="1"/>
  <c r="P25" i="2" s="1"/>
  <c r="O24" i="2"/>
  <c r="O25" i="2" s="1"/>
  <c r="E6" i="1"/>
  <c r="L17" i="2"/>
  <c r="M17" i="2" s="1"/>
  <c r="K17" i="2"/>
  <c r="G17" i="2"/>
  <c r="F2" i="2"/>
  <c r="L13" i="2"/>
  <c r="M13" i="2" s="1"/>
  <c r="G13" i="2"/>
  <c r="G12" i="2"/>
  <c r="G11" i="2"/>
  <c r="G10" i="2"/>
  <c r="G9" i="2"/>
  <c r="G8" i="2"/>
  <c r="G7" i="2"/>
  <c r="G6" i="2"/>
  <c r="G5" i="2"/>
  <c r="G4" i="2"/>
  <c r="F13" i="2"/>
  <c r="K13" i="2" s="1"/>
  <c r="F12" i="2"/>
  <c r="K12" i="2" s="1"/>
  <c r="F11" i="2"/>
  <c r="K11" i="2" s="1"/>
  <c r="F10" i="2"/>
  <c r="K10" i="2" s="1"/>
  <c r="F9" i="2"/>
  <c r="K9" i="2" s="1"/>
  <c r="L9" i="2" s="1"/>
  <c r="M9" i="2" s="1"/>
  <c r="F8" i="2"/>
  <c r="K8" i="2" s="1"/>
  <c r="F7" i="2"/>
  <c r="K7" i="2" s="1"/>
  <c r="F6" i="2"/>
  <c r="K6" i="2" s="1"/>
  <c r="F5" i="2"/>
  <c r="K5" i="2" s="1"/>
  <c r="L5" i="2" s="1"/>
  <c r="M5" i="2" s="1"/>
  <c r="F4" i="2"/>
  <c r="K4" i="2" s="1"/>
  <c r="E2" i="2"/>
  <c r="H7" i="1"/>
  <c r="H6" i="1"/>
  <c r="H5" i="1"/>
  <c r="H4" i="1"/>
  <c r="P28" i="2" l="1"/>
  <c r="P26" i="2"/>
  <c r="O26" i="2"/>
  <c r="O28" i="2"/>
  <c r="L11" i="2"/>
  <c r="M11" i="2" s="1"/>
  <c r="L7" i="2"/>
  <c r="M7" i="2" s="1"/>
  <c r="M4" i="2"/>
  <c r="K2" i="2"/>
  <c r="L4" i="2"/>
  <c r="L6" i="2"/>
  <c r="M6" i="2" s="1"/>
  <c r="L8" i="2"/>
  <c r="L10" i="2"/>
  <c r="M10" i="2" s="1"/>
  <c r="L12" i="2"/>
  <c r="M12" i="2" s="1"/>
  <c r="M2" i="2" l="1"/>
  <c r="L2" i="2"/>
  <c r="D20" i="1" l="1"/>
  <c r="D21" i="1" s="1"/>
  <c r="D22" i="1" s="1"/>
  <c r="D24" i="1" l="1"/>
  <c r="D23" i="1"/>
</calcChain>
</file>

<file path=xl/sharedStrings.xml><?xml version="1.0" encoding="utf-8"?>
<sst xmlns="http://schemas.openxmlformats.org/spreadsheetml/2006/main" count="54" uniqueCount="45">
  <si>
    <t>Date</t>
  </si>
  <si>
    <t>Vendor</t>
  </si>
  <si>
    <t>Avi Oilless Die Components India Pvt. Ltd.</t>
  </si>
  <si>
    <t>Purchaser</t>
  </si>
  <si>
    <t>Bharat Gears Ltd.</t>
  </si>
  <si>
    <t>Sale Value</t>
  </si>
  <si>
    <t>Are</t>
  </si>
  <si>
    <t>Sqm</t>
  </si>
  <si>
    <t>Raunaq International Limited</t>
  </si>
  <si>
    <t>Ha</t>
  </si>
  <si>
    <t>canteen</t>
  </si>
  <si>
    <t>Building-2</t>
  </si>
  <si>
    <t>mezanine flooor</t>
  </si>
  <si>
    <t>factory shed</t>
  </si>
  <si>
    <t>security cabin</t>
  </si>
  <si>
    <t>scrap yard</t>
  </si>
  <si>
    <t>store</t>
  </si>
  <si>
    <t>LT room</t>
  </si>
  <si>
    <t>pump house</t>
  </si>
  <si>
    <t>Floors</t>
  </si>
  <si>
    <t>YoC</t>
  </si>
  <si>
    <t>RCC+Shed</t>
  </si>
  <si>
    <t>RCC</t>
  </si>
  <si>
    <t>Type</t>
  </si>
  <si>
    <t>BUA (sqft)</t>
  </si>
  <si>
    <t>Name</t>
  </si>
  <si>
    <t>Rate</t>
  </si>
  <si>
    <t>Rate per sqft.</t>
  </si>
  <si>
    <t>BUA (sqm)</t>
  </si>
  <si>
    <t>GCRC</t>
  </si>
  <si>
    <t>Dep.</t>
  </si>
  <si>
    <t>DRC</t>
  </si>
  <si>
    <t>Age</t>
  </si>
  <si>
    <t>EL</t>
  </si>
  <si>
    <t>SV</t>
  </si>
  <si>
    <t>Existing Building</t>
  </si>
  <si>
    <t>Boundary Wall</t>
  </si>
  <si>
    <t>RMT</t>
  </si>
  <si>
    <t>https://land.midcindia.org/LandBank/IndexforAllRecordsPartialView?pageno=0&amp;tab=0&amp;DeskID=&amp;DistrictID=&amp;IndustrialAreaID=&amp;minsize=&amp;maxsize=&amp;maxprice=&amp;minprice=&amp;isCETP=False&amp;PollutionLevel=0</t>
  </si>
  <si>
    <t>https://cmsportal.midcindia.org/default.aspx</t>
  </si>
  <si>
    <t>Land</t>
  </si>
  <si>
    <t>Building</t>
  </si>
  <si>
    <t>Asthetic</t>
  </si>
  <si>
    <t>P&amp;M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</si>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</sst>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/>
    </xf>
    <xf numFmtId="43" fontId="0" fillId="0" borderId="0" xfId="1" applyFont="1"/>
    <xf numFmtId="164" fontId="2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9" fontId="0" fillId="0" borderId="0" xfId="2" applyFont="1"/>
    <xf numFmtId="9" fontId="2" fillId="0" borderId="0" xfId="2" applyFont="1"/>
    <xf numFmtId="9" fontId="2" fillId="0" borderId="0" xfId="2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/>
    <xf numFmtId="0" fontId="3" fillId="0" borderId="0" xfId="0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22</xdr:row>
      <xdr:rowOff>167807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036D0-7BD6-99B7-48B9-A6A5625FF9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50" t="9643" r="20096" b="6161"/>
        <a:stretch/>
      </xdr:blipFill>
      <xdr:spPr>
        <a:xfrm>
          <a:off x="0" y="0"/>
          <a:ext cx="5600700" cy="43588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bhinav%20Chaturvedi's%20Assignments\In-Progress\VIS(2024-25)-PL489-438-609_Bharat%20Gears_Lonand\Report\FAR%20Working_Lonand.xls" TargetMode="External"/><Relationship Id="rId1" Type="http://schemas.openxmlformats.org/officeDocument/2006/relationships/externalLinkPath" Target="FAR%20Working_Lona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-2"/>
      <sheetName val="CAT-1"/>
      <sheetName val="Sheet1"/>
      <sheetName val="Lonand"/>
      <sheetName val="CAT-3"/>
      <sheetName val="CAT-4"/>
      <sheetName val="Sheet2"/>
    </sheetNames>
    <sheetDataSet>
      <sheetData sheetId="0"/>
      <sheetData sheetId="1"/>
      <sheetData sheetId="2"/>
      <sheetData sheetId="3">
        <row r="5">
          <cell r="AY5">
            <v>293433258.46119255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4"/>
  <sheetViews>
    <sheetView workbookViewId="0">
      <selection activeCell="D23" sqref="D23"/>
    </sheetView>
  </sheetViews>
  <sheetFormatPr defaultRowHeight="15" x14ac:dyDescent="0.25"/>
  <cols>
    <col min="2" max="2" width="10.42578125" bestFit="1" customWidth="1"/>
    <col min="3" max="3" width="38.85546875" bestFit="1" customWidth="1"/>
    <col min="4" max="4" width="16" bestFit="1" customWidth="1"/>
    <col min="5" max="5" width="14.28515625" style="5" bestFit="1" customWidth="1"/>
    <col min="8" max="8" width="10" style="5" bestFit="1" customWidth="1"/>
  </cols>
  <sheetData>
    <row r="3" spans="2:8" s="2" customFormat="1" x14ac:dyDescent="0.25">
      <c r="B3" s="2" t="s">
        <v>0</v>
      </c>
      <c r="C3" s="2" t="s">
        <v>1</v>
      </c>
      <c r="D3" s="2" t="s">
        <v>3</v>
      </c>
      <c r="E3" s="4" t="s">
        <v>5</v>
      </c>
      <c r="F3" s="2" t="s">
        <v>9</v>
      </c>
      <c r="G3" s="2" t="s">
        <v>6</v>
      </c>
      <c r="H3" s="4" t="s">
        <v>7</v>
      </c>
    </row>
    <row r="4" spans="2:8" x14ac:dyDescent="0.25">
      <c r="B4" s="1">
        <v>40581</v>
      </c>
      <c r="C4" t="s">
        <v>2</v>
      </c>
      <c r="D4" t="s">
        <v>4</v>
      </c>
      <c r="E4" s="5">
        <v>22137500</v>
      </c>
      <c r="F4">
        <v>3</v>
      </c>
      <c r="G4">
        <v>85</v>
      </c>
      <c r="H4" s="5">
        <f>(F4*10000)+(G4*100)</f>
        <v>38500</v>
      </c>
    </row>
    <row r="5" spans="2:8" x14ac:dyDescent="0.25">
      <c r="B5" s="1">
        <v>40900</v>
      </c>
      <c r="C5" t="s">
        <v>8</v>
      </c>
      <c r="D5" t="s">
        <v>4</v>
      </c>
      <c r="E5" s="5">
        <v>15000000</v>
      </c>
      <c r="F5">
        <v>3</v>
      </c>
      <c r="G5">
        <v>85</v>
      </c>
      <c r="H5" s="5">
        <f>(F5*10000)+(G5*100)</f>
        <v>38500</v>
      </c>
    </row>
    <row r="6" spans="2:8" x14ac:dyDescent="0.25">
      <c r="E6" s="5">
        <f>SUM(E4:E5)</f>
        <v>37137500</v>
      </c>
      <c r="H6" s="5">
        <f>SUM(H4:H5)</f>
        <v>77000</v>
      </c>
    </row>
    <row r="7" spans="2:8" x14ac:dyDescent="0.25">
      <c r="H7" s="3">
        <f>H6/4046.845</f>
        <v>19.027168077848302</v>
      </c>
    </row>
    <row r="12" spans="2:8" x14ac:dyDescent="0.25">
      <c r="H12" s="5" t="s">
        <v>38</v>
      </c>
    </row>
    <row r="13" spans="2:8" x14ac:dyDescent="0.25">
      <c r="H13" s="5" t="s">
        <v>39</v>
      </c>
    </row>
    <row r="16" spans="2:8" x14ac:dyDescent="0.25">
      <c r="D16" s="5"/>
    </row>
    <row r="17" spans="3:4" x14ac:dyDescent="0.25">
      <c r="C17" t="s">
        <v>40</v>
      </c>
      <c r="D17" s="5">
        <f>Building!M32</f>
        <v>339014250</v>
      </c>
    </row>
    <row r="18" spans="3:4" x14ac:dyDescent="0.25">
      <c r="C18" t="s">
        <v>41</v>
      </c>
      <c r="D18" s="5">
        <f>Building!M2</f>
        <v>185312817.97703999</v>
      </c>
    </row>
    <row r="19" spans="3:4" x14ac:dyDescent="0.25">
      <c r="C19" t="s">
        <v>42</v>
      </c>
      <c r="D19" s="5">
        <f>Building!M17</f>
        <v>5553333.333333333</v>
      </c>
    </row>
    <row r="20" spans="3:4" x14ac:dyDescent="0.25">
      <c r="C20" t="s">
        <v>43</v>
      </c>
      <c r="D20" s="5">
        <f>[1]Lonand!$AY$5</f>
        <v>293433258.46119255</v>
      </c>
    </row>
    <row r="21" spans="3:4" ht="15.75" x14ac:dyDescent="0.25">
      <c r="C21" s="13" t="s">
        <v>44</v>
      </c>
      <c r="D21" s="14">
        <f>SUM(D17:D20)</f>
        <v>823313659.77156591</v>
      </c>
    </row>
    <row r="22" spans="3:4" ht="15.75" x14ac:dyDescent="0.25">
      <c r="D22" s="15">
        <f>ROUND(D21,-6)</f>
        <v>823000000</v>
      </c>
    </row>
    <row r="23" spans="3:4" x14ac:dyDescent="0.25">
      <c r="D23" s="5">
        <f>D22*0.85</f>
        <v>699550000</v>
      </c>
    </row>
    <row r="24" spans="3:4" x14ac:dyDescent="0.25">
      <c r="D24" s="5">
        <f>D22*0.75</f>
        <v>617250000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609A-B7EF-47D9-AC11-44F89387F80A}">
  <dimension ref="A2:S39"/>
  <sheetViews>
    <sheetView tabSelected="1" topLeftCell="A2" zoomScaleNormal="100" workbookViewId="0">
      <selection activeCell="J23" sqref="J23"/>
    </sheetView>
  </sheetViews>
  <sheetFormatPr defaultRowHeight="15" x14ac:dyDescent="0.25"/>
  <cols>
    <col min="1" max="1" width="15.7109375" bestFit="1" customWidth="1"/>
    <col min="5" max="5" width="15.28515625" style="3" bestFit="1" customWidth="1"/>
    <col min="6" max="6" width="14.85546875" style="5" customWidth="1"/>
    <col min="7" max="7" width="6.42578125" style="5" customWidth="1"/>
    <col min="8" max="8" width="3.7109375" style="5" bestFit="1" customWidth="1"/>
    <col min="9" max="9" width="5.42578125" style="8" customWidth="1"/>
    <col min="11" max="11" width="15.28515625" style="5" bestFit="1" customWidth="1"/>
    <col min="12" max="12" width="14.28515625" style="5" customWidth="1"/>
    <col min="13" max="13" width="14.28515625" style="5" bestFit="1" customWidth="1"/>
    <col min="15" max="16" width="14.28515625" style="5" bestFit="1" customWidth="1"/>
  </cols>
  <sheetData>
    <row r="2" spans="1:19" x14ac:dyDescent="0.25">
      <c r="E2" s="12">
        <f>SUM(E4:E13)</f>
        <v>14377.93</v>
      </c>
      <c r="F2" s="7">
        <f>SUM(F4:F13)</f>
        <v>154764.03852</v>
      </c>
      <c r="G2" s="7">
        <v>2024</v>
      </c>
      <c r="H2" s="7"/>
      <c r="I2" s="9"/>
      <c r="J2" s="6"/>
      <c r="K2" s="7">
        <f>SUM(K4:K13)</f>
        <v>235161560.08800003</v>
      </c>
      <c r="L2" s="7">
        <f>SUM(L4:L13)</f>
        <v>49848742.110960007</v>
      </c>
      <c r="M2" s="7">
        <f>SUM(M4:M13)</f>
        <v>185312817.97703999</v>
      </c>
      <c r="P2" s="5">
        <f>K2*0.8</f>
        <v>188129248.07040003</v>
      </c>
    </row>
    <row r="3" spans="1:19" x14ac:dyDescent="0.25">
      <c r="A3" s="2" t="s">
        <v>25</v>
      </c>
      <c r="B3" s="2" t="s">
        <v>19</v>
      </c>
      <c r="C3" s="2" t="s">
        <v>20</v>
      </c>
      <c r="D3" s="2" t="s">
        <v>23</v>
      </c>
      <c r="E3" s="11" t="s">
        <v>28</v>
      </c>
      <c r="F3" s="4" t="s">
        <v>24</v>
      </c>
      <c r="G3" s="4" t="s">
        <v>32</v>
      </c>
      <c r="H3" s="4" t="s">
        <v>33</v>
      </c>
      <c r="I3" s="10" t="s">
        <v>34</v>
      </c>
      <c r="J3" s="2" t="s">
        <v>27</v>
      </c>
      <c r="K3" s="4" t="s">
        <v>29</v>
      </c>
      <c r="L3" s="4" t="s">
        <v>30</v>
      </c>
      <c r="M3" s="4" t="s">
        <v>31</v>
      </c>
    </row>
    <row r="4" spans="1:19" x14ac:dyDescent="0.25">
      <c r="A4" t="s">
        <v>35</v>
      </c>
      <c r="B4">
        <v>1</v>
      </c>
      <c r="C4">
        <v>2013</v>
      </c>
      <c r="D4" t="s">
        <v>21</v>
      </c>
      <c r="E4" s="3">
        <v>7264.92</v>
      </c>
      <c r="F4" s="5">
        <f>E4*10.764</f>
        <v>78199.59887999999</v>
      </c>
      <c r="G4" s="5">
        <f>$G$2-C4</f>
        <v>11</v>
      </c>
      <c r="H4" s="5">
        <v>45</v>
      </c>
      <c r="I4" s="8">
        <v>0.95</v>
      </c>
      <c r="J4">
        <v>1500</v>
      </c>
      <c r="K4" s="5">
        <f>J4*F4</f>
        <v>117299398.31999999</v>
      </c>
      <c r="L4" s="5">
        <f>K4*(I4/H4)*G4</f>
        <v>27239526.943199996</v>
      </c>
      <c r="M4" s="5">
        <f>K4-L4</f>
        <v>90059871.376800001</v>
      </c>
    </row>
    <row r="5" spans="1:19" x14ac:dyDescent="0.25">
      <c r="A5" t="s">
        <v>10</v>
      </c>
      <c r="B5">
        <v>1</v>
      </c>
      <c r="C5">
        <v>2013</v>
      </c>
      <c r="D5" t="s">
        <v>21</v>
      </c>
      <c r="E5" s="3">
        <v>520.55999999999995</v>
      </c>
      <c r="F5" s="5">
        <f t="shared" ref="F5:F13" si="0">E5*10.764</f>
        <v>5603.3078399999995</v>
      </c>
      <c r="G5" s="5">
        <f t="shared" ref="G5:G13" si="1">$G$2-C5</f>
        <v>11</v>
      </c>
      <c r="H5" s="5">
        <v>45</v>
      </c>
      <c r="I5" s="8">
        <v>0.95</v>
      </c>
      <c r="J5">
        <v>1500</v>
      </c>
      <c r="K5" s="5">
        <f t="shared" ref="K5:K13" si="2">J5*F5</f>
        <v>8404961.7599999998</v>
      </c>
      <c r="L5" s="5">
        <f t="shared" ref="L5:L13" si="3">K5*(I5/H5)*G5</f>
        <v>1951818.8976</v>
      </c>
      <c r="M5" s="5">
        <f t="shared" ref="M5:M13" si="4">K5-L5</f>
        <v>6453142.8624</v>
      </c>
    </row>
    <row r="6" spans="1:19" x14ac:dyDescent="0.25">
      <c r="A6" t="s">
        <v>11</v>
      </c>
      <c r="B6">
        <v>1</v>
      </c>
      <c r="C6">
        <v>2015</v>
      </c>
      <c r="D6" t="s">
        <v>21</v>
      </c>
      <c r="E6" s="3">
        <v>5383.81</v>
      </c>
      <c r="F6" s="5">
        <f t="shared" si="0"/>
        <v>57951.330840000002</v>
      </c>
      <c r="G6" s="5">
        <f t="shared" si="1"/>
        <v>9</v>
      </c>
      <c r="H6" s="5">
        <v>45</v>
      </c>
      <c r="I6" s="8">
        <v>0.95</v>
      </c>
      <c r="J6">
        <v>1500</v>
      </c>
      <c r="K6" s="5">
        <f t="shared" si="2"/>
        <v>86926996.260000005</v>
      </c>
      <c r="L6" s="5">
        <f t="shared" si="3"/>
        <v>16516129.289400002</v>
      </c>
      <c r="M6" s="5">
        <f t="shared" si="4"/>
        <v>70410866.970600009</v>
      </c>
      <c r="S6" s="8">
        <v>1</v>
      </c>
    </row>
    <row r="7" spans="1:19" x14ac:dyDescent="0.25">
      <c r="A7" t="s">
        <v>12</v>
      </c>
      <c r="C7">
        <v>2015</v>
      </c>
      <c r="D7" t="s">
        <v>22</v>
      </c>
      <c r="E7" s="3">
        <v>426.3</v>
      </c>
      <c r="F7" s="5">
        <f t="shared" si="0"/>
        <v>4588.6931999999997</v>
      </c>
      <c r="G7" s="5">
        <f t="shared" si="1"/>
        <v>9</v>
      </c>
      <c r="H7" s="5">
        <v>60</v>
      </c>
      <c r="I7" s="8">
        <v>0.95</v>
      </c>
      <c r="J7">
        <v>2000</v>
      </c>
      <c r="K7" s="5">
        <f t="shared" si="2"/>
        <v>9177386.3999999985</v>
      </c>
      <c r="L7" s="5">
        <f t="shared" si="3"/>
        <v>1307777.5619999997</v>
      </c>
      <c r="M7" s="5">
        <f t="shared" si="4"/>
        <v>7869608.8379999986</v>
      </c>
      <c r="S7" s="5">
        <v>30</v>
      </c>
    </row>
    <row r="8" spans="1:19" x14ac:dyDescent="0.25">
      <c r="A8" t="s">
        <v>13</v>
      </c>
      <c r="B8">
        <v>1</v>
      </c>
      <c r="C8">
        <v>2013</v>
      </c>
      <c r="D8" t="s">
        <v>21</v>
      </c>
      <c r="E8" s="3">
        <v>35.89</v>
      </c>
      <c r="F8" s="5">
        <f t="shared" si="0"/>
        <v>386.31995999999998</v>
      </c>
      <c r="G8" s="5">
        <f t="shared" si="1"/>
        <v>11</v>
      </c>
      <c r="H8" s="5">
        <v>45</v>
      </c>
      <c r="I8" s="8">
        <v>0.95</v>
      </c>
      <c r="J8">
        <v>1500</v>
      </c>
      <c r="K8" s="5">
        <f t="shared" si="2"/>
        <v>579479.93999999994</v>
      </c>
      <c r="L8" s="5">
        <f t="shared" si="3"/>
        <v>134568.1194</v>
      </c>
      <c r="M8" s="5">
        <f t="shared" si="4"/>
        <v>444911.82059999998</v>
      </c>
      <c r="S8" s="3">
        <f>S6/S7</f>
        <v>3.3333333333333333E-2</v>
      </c>
    </row>
    <row r="9" spans="1:19" x14ac:dyDescent="0.25">
      <c r="A9" t="s">
        <v>14</v>
      </c>
      <c r="B9">
        <v>1</v>
      </c>
      <c r="C9">
        <v>2013</v>
      </c>
      <c r="D9" t="s">
        <v>22</v>
      </c>
      <c r="E9" s="3">
        <v>107.36</v>
      </c>
      <c r="F9" s="5">
        <f t="shared" si="0"/>
        <v>1155.6230399999999</v>
      </c>
      <c r="G9" s="5">
        <f t="shared" si="1"/>
        <v>11</v>
      </c>
      <c r="H9" s="5">
        <v>60</v>
      </c>
      <c r="I9" s="8">
        <v>0.95</v>
      </c>
      <c r="J9">
        <v>2000</v>
      </c>
      <c r="K9" s="5">
        <f t="shared" si="2"/>
        <v>2311246.08</v>
      </c>
      <c r="L9" s="5">
        <f t="shared" si="3"/>
        <v>402542.02559999999</v>
      </c>
      <c r="M9" s="5">
        <f t="shared" si="4"/>
        <v>1908704.0544</v>
      </c>
    </row>
    <row r="10" spans="1:19" x14ac:dyDescent="0.25">
      <c r="A10" t="s">
        <v>15</v>
      </c>
      <c r="B10">
        <v>1</v>
      </c>
      <c r="C10">
        <v>2013</v>
      </c>
      <c r="D10" t="s">
        <v>21</v>
      </c>
      <c r="E10" s="3">
        <v>361.92</v>
      </c>
      <c r="F10" s="5">
        <f t="shared" si="0"/>
        <v>3895.7068799999997</v>
      </c>
      <c r="G10" s="5">
        <f t="shared" si="1"/>
        <v>11</v>
      </c>
      <c r="H10" s="5">
        <v>45</v>
      </c>
      <c r="I10" s="8">
        <v>0.95</v>
      </c>
      <c r="J10">
        <v>1500</v>
      </c>
      <c r="K10" s="5">
        <f t="shared" si="2"/>
        <v>5843560.3199999994</v>
      </c>
      <c r="L10" s="5">
        <f t="shared" si="3"/>
        <v>1357004.5631999997</v>
      </c>
      <c r="M10" s="5">
        <f t="shared" si="4"/>
        <v>4486555.7567999996</v>
      </c>
    </row>
    <row r="11" spans="1:19" x14ac:dyDescent="0.25">
      <c r="A11" t="s">
        <v>16</v>
      </c>
      <c r="B11">
        <v>1</v>
      </c>
      <c r="C11">
        <v>2013</v>
      </c>
      <c r="D11" t="s">
        <v>21</v>
      </c>
      <c r="E11" s="3">
        <v>144</v>
      </c>
      <c r="F11" s="5">
        <f t="shared" si="0"/>
        <v>1550.0159999999998</v>
      </c>
      <c r="G11" s="5">
        <f t="shared" si="1"/>
        <v>11</v>
      </c>
      <c r="H11" s="5">
        <v>45</v>
      </c>
      <c r="I11" s="8">
        <v>0.95</v>
      </c>
      <c r="J11">
        <v>1500</v>
      </c>
      <c r="K11" s="5">
        <f t="shared" si="2"/>
        <v>2325024</v>
      </c>
      <c r="L11" s="5">
        <f t="shared" si="3"/>
        <v>539922.24</v>
      </c>
      <c r="M11" s="5">
        <f t="shared" si="4"/>
        <v>1785101.76</v>
      </c>
    </row>
    <row r="12" spans="1:19" x14ac:dyDescent="0.25">
      <c r="A12" t="s">
        <v>17</v>
      </c>
      <c r="B12">
        <v>1</v>
      </c>
      <c r="C12">
        <v>2013</v>
      </c>
      <c r="D12" t="s">
        <v>22</v>
      </c>
      <c r="E12" s="3">
        <v>88.51</v>
      </c>
      <c r="F12" s="5">
        <f t="shared" si="0"/>
        <v>952.72163999999998</v>
      </c>
      <c r="G12" s="5">
        <f t="shared" si="1"/>
        <v>11</v>
      </c>
      <c r="H12" s="5">
        <v>60</v>
      </c>
      <c r="I12" s="8">
        <v>0.95</v>
      </c>
      <c r="J12">
        <v>1600</v>
      </c>
      <c r="K12" s="5">
        <f t="shared" si="2"/>
        <v>1524354.6240000001</v>
      </c>
      <c r="L12" s="5">
        <f t="shared" si="3"/>
        <v>265491.76367999997</v>
      </c>
      <c r="M12" s="5">
        <f t="shared" si="4"/>
        <v>1258862.86032</v>
      </c>
    </row>
    <row r="13" spans="1:19" x14ac:dyDescent="0.25">
      <c r="A13" t="s">
        <v>18</v>
      </c>
      <c r="B13">
        <v>2</v>
      </c>
      <c r="C13">
        <v>2013</v>
      </c>
      <c r="D13" t="s">
        <v>22</v>
      </c>
      <c r="E13" s="3">
        <v>44.66</v>
      </c>
      <c r="F13" s="5">
        <f t="shared" si="0"/>
        <v>480.72023999999993</v>
      </c>
      <c r="G13" s="5">
        <f t="shared" si="1"/>
        <v>11</v>
      </c>
      <c r="H13" s="5">
        <v>60</v>
      </c>
      <c r="I13" s="8">
        <v>0.95</v>
      </c>
      <c r="J13">
        <v>1600</v>
      </c>
      <c r="K13" s="5">
        <f t="shared" si="2"/>
        <v>769152.38399999985</v>
      </c>
      <c r="L13" s="5">
        <f t="shared" si="3"/>
        <v>133960.70687999995</v>
      </c>
      <c r="M13" s="5">
        <f t="shared" si="4"/>
        <v>635191.67711999989</v>
      </c>
    </row>
    <row r="16" spans="1:19" x14ac:dyDescent="0.25">
      <c r="G16" s="5" t="s">
        <v>37</v>
      </c>
      <c r="J16" t="s">
        <v>26</v>
      </c>
    </row>
    <row r="17" spans="5:16" x14ac:dyDescent="0.25">
      <c r="F17" s="5" t="s">
        <v>36</v>
      </c>
      <c r="G17" s="5">
        <f>1.19*1000</f>
        <v>1190</v>
      </c>
      <c r="J17">
        <v>7000</v>
      </c>
      <c r="K17" s="5">
        <f>J17*G17</f>
        <v>8330000</v>
      </c>
      <c r="L17" s="5">
        <f>K17*S8*10</f>
        <v>2776666.666666667</v>
      </c>
      <c r="M17" s="5">
        <f>K17-L17</f>
        <v>5553333.333333333</v>
      </c>
    </row>
    <row r="22" spans="5:16" x14ac:dyDescent="0.25">
      <c r="O22" s="3">
        <v>2</v>
      </c>
      <c r="P22" s="3">
        <v>2.5</v>
      </c>
    </row>
    <row r="23" spans="5:16" x14ac:dyDescent="0.25">
      <c r="O23" s="5">
        <f>O22*10^5</f>
        <v>200000</v>
      </c>
      <c r="P23" s="5">
        <f>P22*10^5</f>
        <v>250000</v>
      </c>
    </row>
    <row r="24" spans="5:16" x14ac:dyDescent="0.25">
      <c r="E24" s="3">
        <v>75336.5</v>
      </c>
      <c r="F24" s="5">
        <v>600</v>
      </c>
      <c r="O24" s="5">
        <f>O23*101.16</f>
        <v>20232000</v>
      </c>
      <c r="P24" s="5">
        <f>P23*101.16</f>
        <v>25290000</v>
      </c>
    </row>
    <row r="25" spans="5:16" x14ac:dyDescent="0.25">
      <c r="E25" s="3">
        <f>E24/4046.845</f>
        <v>18.616107115543098</v>
      </c>
      <c r="F25" s="5">
        <f>F24*E24</f>
        <v>45201900</v>
      </c>
      <c r="O25" s="5">
        <f>O24/4046.845</f>
        <v>4999.4501889743742</v>
      </c>
      <c r="P25" s="5">
        <f>P24/4046.845</f>
        <v>6249.3127362179675</v>
      </c>
    </row>
    <row r="26" spans="5:16" x14ac:dyDescent="0.25">
      <c r="O26" s="5">
        <f>O25*E24</f>
        <v>376641079.16166794</v>
      </c>
      <c r="P26" s="5">
        <f>P25*E24</f>
        <v>470801348.9520849</v>
      </c>
    </row>
    <row r="27" spans="5:16" x14ac:dyDescent="0.25">
      <c r="E27" s="3">
        <v>161</v>
      </c>
    </row>
    <row r="28" spans="5:16" x14ac:dyDescent="0.25">
      <c r="E28" s="3">
        <f>E27*10.764</f>
        <v>1733.0039999999999</v>
      </c>
      <c r="F28" s="3"/>
      <c r="O28" s="5">
        <f>O25/10.764</f>
        <v>464.4602553859508</v>
      </c>
      <c r="P28" s="5">
        <f>P25/10.764</f>
        <v>580.57531923243846</v>
      </c>
    </row>
    <row r="29" spans="5:16" x14ac:dyDescent="0.25">
      <c r="E29" s="5">
        <f>E28*E24</f>
        <v>130558455.84599999</v>
      </c>
    </row>
    <row r="31" spans="5:16" x14ac:dyDescent="0.25">
      <c r="E31" s="5">
        <f>E28*100</f>
        <v>173300.4</v>
      </c>
      <c r="L31" s="5">
        <v>5000</v>
      </c>
      <c r="M31" s="5">
        <f>L31*0.9</f>
        <v>4500</v>
      </c>
    </row>
    <row r="32" spans="5:16" x14ac:dyDescent="0.25">
      <c r="L32" s="5">
        <f>L31*E24</f>
        <v>376682500</v>
      </c>
      <c r="M32" s="5">
        <f>M31*E24</f>
        <v>339014250</v>
      </c>
    </row>
    <row r="36" spans="5:6" x14ac:dyDescent="0.25">
      <c r="E36" s="3">
        <v>2790</v>
      </c>
      <c r="F36" s="5">
        <v>16</v>
      </c>
    </row>
    <row r="37" spans="5:6" x14ac:dyDescent="0.25">
      <c r="E37" s="5">
        <f>E36*E24</f>
        <v>210188835</v>
      </c>
      <c r="F37" s="5">
        <v>17423</v>
      </c>
    </row>
    <row r="38" spans="5:6" x14ac:dyDescent="0.25">
      <c r="F38" s="5">
        <f>F37/10.764</f>
        <v>1618.6361947231514</v>
      </c>
    </row>
    <row r="39" spans="5:6" x14ac:dyDescent="0.25">
      <c r="F39" s="3">
        <f>F38/F36</f>
        <v>101.16476217019697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A767-1E6D-4FCD-813B-D6FEC5A6E4BD}">
  <dimension ref="A1"/>
  <sheetViews>
    <sheetView workbookViewId="0">
      <selection activeCell="B28" sqref="B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Building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2024-11-18T08:50:52Z</dcterms:modified>
</cp:coreProperties>
</file>