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6380E691-CEBF-48D2-9495-D42D09E6CA15}" xr6:coauthVersionLast="47" xr6:coauthVersionMax="47" xr10:uidLastSave="{00000000-0000-0000-0000-000000000000}"/>
  <bookViews>
    <workbookView xWindow="-120" yWindow="-120" windowWidth="21840" windowHeight="13140" tabRatio="814" activeTab="2" xr2:uid="{00000000-000D-0000-FFFF-FFFF00000000}"/>
  </bookViews>
  <sheets>
    <sheet name="Historical P&amp;L" sheetId="5" r:id="rId1"/>
    <sheet name="Sheet1" sheetId="10" r:id="rId2"/>
    <sheet name="Arbitration Method RK" sheetId="11" r:id="rId3"/>
    <sheet name="Other Income &amp; Expenditure" sheetId="4" state="hidden" r:id="rId4"/>
    <sheet name="RKA Toll Revenue" sheetId="1" state="hidden" r:id="rId5"/>
    <sheet name="Toll collection 2022" sheetId="2" state="hidden" r:id="rId6"/>
    <sheet name="MMR Details" sheetId="3" state="hidden" r:id="rId7"/>
    <sheet name="Projected P&amp;L" sheetId="7" state="hidden" r:id="rId8"/>
    <sheet name="DCF, WACC &amp; SENSITIVITY" sheetId="9" state="hidden" r:id="rId9"/>
  </sheets>
  <calcPr calcId="181029" iterate="1"/>
</workbook>
</file>

<file path=xl/calcChain.xml><?xml version="1.0" encoding="utf-8"?>
<calcChain xmlns="http://schemas.openxmlformats.org/spreadsheetml/2006/main">
  <c r="C8" i="11" l="1"/>
  <c r="C9" i="11" s="1"/>
  <c r="C7" i="11"/>
  <c r="D40" i="11"/>
  <c r="C40" i="11"/>
  <c r="I11" i="11"/>
  <c r="I13" i="11" s="1"/>
  <c r="H13" i="11" l="1"/>
  <c r="H14" i="11" l="1"/>
  <c r="H20" i="11" s="1"/>
  <c r="C16" i="11" l="1"/>
  <c r="C17" i="11" s="1"/>
  <c r="C18" i="11" s="1"/>
  <c r="C10" i="11"/>
  <c r="C41" i="10" l="1"/>
  <c r="C39" i="10"/>
  <c r="C40" i="10"/>
  <c r="D8" i="10"/>
  <c r="D7" i="10"/>
  <c r="D12" i="10"/>
  <c r="J16" i="10"/>
  <c r="D13" i="10"/>
  <c r="J28" i="10"/>
  <c r="J29" i="10"/>
  <c r="J27" i="10"/>
  <c r="D29" i="10"/>
  <c r="D30" i="10"/>
  <c r="D31" i="10"/>
  <c r="D28" i="10"/>
  <c r="D24" i="10"/>
  <c r="D25" i="10"/>
  <c r="D23" i="10"/>
  <c r="L31" i="10"/>
  <c r="M9" i="10"/>
  <c r="J31" i="10"/>
  <c r="I31" i="10"/>
  <c r="J19" i="10"/>
  <c r="I19" i="10"/>
  <c r="L19" i="10" s="1"/>
  <c r="J11" i="10"/>
  <c r="I11" i="10"/>
  <c r="D11" i="10"/>
  <c r="D32" i="10"/>
  <c r="D26" i="10"/>
  <c r="D20" i="10"/>
  <c r="C34" i="10"/>
  <c r="C33" i="10"/>
  <c r="C32" i="10"/>
  <c r="C26" i="10"/>
  <c r="C20" i="10"/>
  <c r="C15" i="10"/>
  <c r="C14" i="10"/>
  <c r="C8" i="10"/>
  <c r="M34" i="5"/>
  <c r="M36" i="5"/>
  <c r="M37" i="5"/>
  <c r="M38" i="5"/>
  <c r="M39" i="5"/>
  <c r="M12" i="5"/>
  <c r="M13" i="5" s="1"/>
  <c r="P9" i="1"/>
  <c r="B2" i="9"/>
  <c r="B2" i="3"/>
  <c r="B2" i="7"/>
  <c r="K19" i="4"/>
  <c r="J19" i="4"/>
  <c r="D12" i="4"/>
  <c r="D4" i="4"/>
  <c r="E4" i="4" s="1"/>
  <c r="N9" i="5"/>
  <c r="N10" i="5"/>
  <c r="N8" i="5"/>
  <c r="E36" i="5"/>
  <c r="F38" i="5"/>
  <c r="G38" i="5"/>
  <c r="H38" i="5"/>
  <c r="I38" i="5"/>
  <c r="J38" i="5"/>
  <c r="K38" i="5"/>
  <c r="L38" i="5"/>
  <c r="E38" i="5"/>
  <c r="P22" i="1"/>
  <c r="P23" i="1"/>
  <c r="Q23" i="1" s="1"/>
  <c r="O22" i="1"/>
  <c r="O23" i="1"/>
  <c r="D24" i="1"/>
  <c r="E24" i="1"/>
  <c r="F24" i="1"/>
  <c r="G24" i="1"/>
  <c r="H24" i="1"/>
  <c r="I24" i="1"/>
  <c r="J24" i="1"/>
  <c r="K24" i="1"/>
  <c r="L24" i="1"/>
  <c r="M24" i="1"/>
  <c r="N24" i="1"/>
  <c r="C24" i="1"/>
  <c r="L20" i="5"/>
  <c r="L15" i="5"/>
  <c r="L10" i="5"/>
  <c r="L12" i="5" s="1"/>
  <c r="L8" i="5"/>
  <c r="K36" i="5"/>
  <c r="K37" i="5"/>
  <c r="K39" i="5"/>
  <c r="J34" i="5"/>
  <c r="K34" i="5" s="1"/>
  <c r="L34" i="5" s="1"/>
  <c r="K17" i="5"/>
  <c r="K18" i="5" s="1"/>
  <c r="K12" i="5"/>
  <c r="K13" i="5"/>
  <c r="K10" i="5"/>
  <c r="J10" i="5"/>
  <c r="K15" i="5"/>
  <c r="K20" i="5"/>
  <c r="J20" i="5"/>
  <c r="J15" i="5"/>
  <c r="K8" i="5"/>
  <c r="J8" i="5"/>
  <c r="J6" i="5"/>
  <c r="K6" i="5" s="1"/>
  <c r="L6" i="5" s="1"/>
  <c r="D14" i="10" l="1"/>
  <c r="D15" i="10" s="1"/>
  <c r="D33" i="10"/>
  <c r="D34" i="10" s="1"/>
  <c r="M17" i="5"/>
  <c r="L36" i="5"/>
  <c r="L17" i="5"/>
  <c r="L13" i="5"/>
  <c r="L39" i="5"/>
  <c r="L18" i="5"/>
  <c r="K22" i="5"/>
  <c r="C57" i="9"/>
  <c r="C53" i="9" s="1"/>
  <c r="C38" i="9" s="1"/>
  <c r="C48" i="9"/>
  <c r="C49" i="9" s="1"/>
  <c r="C36" i="9" s="1"/>
  <c r="M18" i="5" l="1"/>
  <c r="M22" i="5"/>
  <c r="L22" i="5"/>
  <c r="L37" i="5"/>
  <c r="K28" i="5"/>
  <c r="K29" i="5" s="1"/>
  <c r="K23" i="5"/>
  <c r="C33" i="9"/>
  <c r="C35" i="9" s="1"/>
  <c r="M28" i="5" l="1"/>
  <c r="M29" i="5" s="1"/>
  <c r="M23" i="5"/>
  <c r="L28" i="5"/>
  <c r="L29" i="5" s="1"/>
  <c r="L23" i="5"/>
  <c r="C37" i="9"/>
  <c r="C39" i="9" s="1"/>
  <c r="C41" i="9" s="1"/>
  <c r="F34" i="9" s="1"/>
  <c r="F35" i="9" s="1"/>
  <c r="C19" i="9"/>
  <c r="D15" i="7"/>
  <c r="E15" i="7"/>
  <c r="C15" i="7"/>
  <c r="C20" i="9"/>
  <c r="D19" i="9"/>
  <c r="D20" i="9" s="1"/>
  <c r="D11" i="9"/>
  <c r="E11" i="9"/>
  <c r="F11" i="9"/>
  <c r="G11" i="9"/>
  <c r="C11" i="9"/>
  <c r="F33" i="9" l="1"/>
  <c r="E19" i="9"/>
  <c r="F19" i="9" s="1"/>
  <c r="F20" i="9" s="1"/>
  <c r="E20" i="9" l="1"/>
  <c r="G19" i="9"/>
  <c r="G20" i="9" s="1"/>
  <c r="D6" i="9" l="1"/>
  <c r="E6" i="9" s="1"/>
  <c r="F6" i="9" s="1"/>
  <c r="G6" i="9" s="1"/>
  <c r="D40" i="7"/>
  <c r="E40" i="7" s="1"/>
  <c r="D6" i="7"/>
  <c r="E6" i="7" s="1"/>
  <c r="D34" i="5"/>
  <c r="E34" i="5" s="1"/>
  <c r="F34" i="5" s="1"/>
  <c r="G34" i="5" s="1"/>
  <c r="H34" i="5" s="1"/>
  <c r="I34" i="5" s="1"/>
  <c r="D6" i="5"/>
  <c r="E6" i="5" s="1"/>
  <c r="F6" i="5" s="1"/>
  <c r="G6" i="5" s="1"/>
  <c r="H6" i="5" s="1"/>
  <c r="I6" i="5" s="1"/>
  <c r="C14" i="7" l="1"/>
  <c r="C21" i="7"/>
  <c r="C26" i="7"/>
  <c r="C13" i="7"/>
  <c r="E29" i="4"/>
  <c r="E30" i="4" s="1"/>
  <c r="C9" i="7" s="1"/>
  <c r="F27" i="4" l="1"/>
  <c r="G27" i="4" s="1"/>
  <c r="H27" i="4" s="1"/>
  <c r="I27" i="4" s="1"/>
  <c r="I29" i="4" s="1"/>
  <c r="I30" i="4" s="1"/>
  <c r="C9" i="9"/>
  <c r="C14" i="9"/>
  <c r="F11" i="4"/>
  <c r="G11" i="4" s="1"/>
  <c r="H11" i="4" s="1"/>
  <c r="D13" i="3"/>
  <c r="G29" i="4" l="1"/>
  <c r="G30" i="4" s="1"/>
  <c r="E9" i="7" s="1"/>
  <c r="H29" i="4"/>
  <c r="H30" i="4" s="1"/>
  <c r="F29" i="4"/>
  <c r="F30" i="4" s="1"/>
  <c r="D9" i="7" s="1"/>
  <c r="F10" i="4"/>
  <c r="D21" i="7"/>
  <c r="D14" i="7"/>
  <c r="E14" i="7"/>
  <c r="F9" i="4"/>
  <c r="D26" i="7"/>
  <c r="F8" i="4"/>
  <c r="D13" i="7"/>
  <c r="E39" i="5"/>
  <c r="F39" i="5"/>
  <c r="G39" i="5"/>
  <c r="H39" i="5"/>
  <c r="I39" i="5"/>
  <c r="J39" i="5"/>
  <c r="D39" i="5"/>
  <c r="D12" i="5"/>
  <c r="D17" i="5" s="1"/>
  <c r="D37" i="5" s="1"/>
  <c r="E12" i="5"/>
  <c r="E17" i="5" s="1"/>
  <c r="E37" i="5" s="1"/>
  <c r="F12" i="5"/>
  <c r="F17" i="5" s="1"/>
  <c r="F37" i="5" s="1"/>
  <c r="G12" i="5"/>
  <c r="G17" i="5" s="1"/>
  <c r="G37" i="5" s="1"/>
  <c r="H12" i="5"/>
  <c r="H17" i="5" s="1"/>
  <c r="H37" i="5" s="1"/>
  <c r="I12" i="5"/>
  <c r="I17" i="5" s="1"/>
  <c r="I37" i="5" s="1"/>
  <c r="J12" i="5"/>
  <c r="J17" i="5" s="1"/>
  <c r="J37" i="5" s="1"/>
  <c r="C12" i="5"/>
  <c r="C17" i="5" s="1"/>
  <c r="C37" i="5" s="1"/>
  <c r="I36" i="5" l="1"/>
  <c r="H36" i="5"/>
  <c r="D36" i="5"/>
  <c r="C36" i="5"/>
  <c r="G36" i="5"/>
  <c r="D9" i="9"/>
  <c r="D14" i="9"/>
  <c r="J36" i="5"/>
  <c r="F36" i="5"/>
  <c r="G10" i="4"/>
  <c r="E21" i="7"/>
  <c r="G9" i="4"/>
  <c r="E26" i="7"/>
  <c r="G8" i="4"/>
  <c r="E13" i="7"/>
  <c r="I22" i="5"/>
  <c r="I18" i="5"/>
  <c r="E22" i="5"/>
  <c r="E18" i="5"/>
  <c r="H22" i="5"/>
  <c r="H18" i="5"/>
  <c r="D22" i="5"/>
  <c r="D18" i="5"/>
  <c r="C22" i="5"/>
  <c r="C18" i="5"/>
  <c r="G22" i="5"/>
  <c r="G18" i="5"/>
  <c r="J22" i="5"/>
  <c r="J18" i="5"/>
  <c r="F22" i="5"/>
  <c r="F18" i="5"/>
  <c r="J13" i="5"/>
  <c r="F13" i="5"/>
  <c r="I13" i="5"/>
  <c r="E13" i="5"/>
  <c r="H13" i="5"/>
  <c r="D13" i="5"/>
  <c r="C13" i="5"/>
  <c r="G13" i="5"/>
  <c r="D29" i="4"/>
  <c r="D30" i="4" s="1"/>
  <c r="D16" i="4"/>
  <c r="E16" i="4" s="1"/>
  <c r="H10" i="4" l="1"/>
  <c r="E14" i="9"/>
  <c r="E9" i="9"/>
  <c r="H9" i="4"/>
  <c r="H8" i="4"/>
  <c r="F28" i="5"/>
  <c r="F29" i="5" s="1"/>
  <c r="F23" i="5"/>
  <c r="G28" i="5"/>
  <c r="G29" i="5" s="1"/>
  <c r="G23" i="5"/>
  <c r="D28" i="5"/>
  <c r="D29" i="5" s="1"/>
  <c r="D38" i="5" s="1"/>
  <c r="D23" i="5"/>
  <c r="E28" i="5"/>
  <c r="E29" i="5" s="1"/>
  <c r="E23" i="5"/>
  <c r="J28" i="5"/>
  <c r="J29" i="5" s="1"/>
  <c r="J23" i="5"/>
  <c r="C28" i="5"/>
  <c r="C29" i="5" s="1"/>
  <c r="C38" i="5" s="1"/>
  <c r="C23" i="5"/>
  <c r="H28" i="5"/>
  <c r="H29" i="5" s="1"/>
  <c r="H23" i="5"/>
  <c r="I28" i="5"/>
  <c r="I29" i="5" s="1"/>
  <c r="I23" i="5"/>
  <c r="C29" i="4"/>
  <c r="C30" i="4" s="1"/>
  <c r="F16" i="4"/>
  <c r="G16" i="4" s="1"/>
  <c r="H16" i="4" s="1"/>
  <c r="I16" i="4" s="1"/>
  <c r="F4" i="4"/>
  <c r="G4" i="4" s="1"/>
  <c r="H4" i="4" s="1"/>
  <c r="E12" i="4" l="1"/>
  <c r="C12" i="7"/>
  <c r="C16" i="7" s="1"/>
  <c r="C12" i="4"/>
  <c r="G9" i="9"/>
  <c r="G14" i="9"/>
  <c r="F9" i="9"/>
  <c r="F14" i="9"/>
  <c r="D19" i="2"/>
  <c r="C19" i="2"/>
  <c r="D12" i="7" l="1"/>
  <c r="D16" i="7" s="1"/>
  <c r="F7" i="4"/>
  <c r="D48" i="1"/>
  <c r="E48" i="1"/>
  <c r="E49" i="1" s="1"/>
  <c r="F48" i="1"/>
  <c r="G48" i="1"/>
  <c r="H48" i="1"/>
  <c r="H49" i="1" s="1"/>
  <c r="I48" i="1"/>
  <c r="I49" i="1" s="1"/>
  <c r="J48" i="1"/>
  <c r="K48" i="1"/>
  <c r="L48" i="1"/>
  <c r="L49" i="1" s="1"/>
  <c r="M48" i="1"/>
  <c r="M49" i="1" s="1"/>
  <c r="N48" i="1"/>
  <c r="O48" i="1"/>
  <c r="O49" i="1" s="1"/>
  <c r="D47" i="1"/>
  <c r="E47" i="1"/>
  <c r="F47" i="1"/>
  <c r="G47" i="1"/>
  <c r="H47" i="1"/>
  <c r="I47" i="1"/>
  <c r="J47" i="1"/>
  <c r="K47" i="1"/>
  <c r="L47" i="1"/>
  <c r="M47" i="1"/>
  <c r="N47" i="1"/>
  <c r="O47" i="1"/>
  <c r="G49" i="1"/>
  <c r="C48" i="1"/>
  <c r="D49" i="1" s="1"/>
  <c r="C47" i="1"/>
  <c r="D34" i="1"/>
  <c r="E34" i="1" s="1"/>
  <c r="F34" i="1" s="1"/>
  <c r="G34" i="1" s="1"/>
  <c r="H34" i="1" s="1"/>
  <c r="I34" i="1" s="1"/>
  <c r="J34" i="1" s="1"/>
  <c r="K34" i="1" s="1"/>
  <c r="L34" i="1" s="1"/>
  <c r="M34" i="1" s="1"/>
  <c r="N34" i="1" s="1"/>
  <c r="O34" i="1" s="1"/>
  <c r="P34" i="1" s="1"/>
  <c r="Q34" i="1" s="1"/>
  <c r="R34" i="1" s="1"/>
  <c r="P10" i="1"/>
  <c r="P11" i="1"/>
  <c r="P12" i="1"/>
  <c r="P13" i="1"/>
  <c r="P14" i="1"/>
  <c r="P15" i="1"/>
  <c r="P16" i="1"/>
  <c r="P17" i="1"/>
  <c r="P18" i="1"/>
  <c r="P19" i="1"/>
  <c r="P20" i="1"/>
  <c r="P21" i="1"/>
  <c r="O10" i="1"/>
  <c r="O11" i="1"/>
  <c r="O12" i="1"/>
  <c r="O13" i="1"/>
  <c r="O14" i="1"/>
  <c r="O15" i="1"/>
  <c r="O16" i="1"/>
  <c r="O17" i="1"/>
  <c r="O18" i="1"/>
  <c r="O19" i="1"/>
  <c r="O20" i="1"/>
  <c r="O21" i="1"/>
  <c r="O9" i="1"/>
  <c r="O24" i="1" l="1"/>
  <c r="Q21" i="1"/>
  <c r="Q22" i="1"/>
  <c r="G7" i="4"/>
  <c r="E12" i="7"/>
  <c r="E16" i="7" s="1"/>
  <c r="F49" i="1"/>
  <c r="J49" i="1"/>
  <c r="K49" i="1"/>
  <c r="N49" i="1"/>
  <c r="H7" i="4" l="1"/>
  <c r="Q10" i="1" l="1"/>
  <c r="Q12" i="1"/>
  <c r="Q14" i="1"/>
  <c r="Q16" i="1"/>
  <c r="Q18" i="1"/>
  <c r="Q20" i="1"/>
  <c r="Q11" i="1"/>
  <c r="Q13" i="1"/>
  <c r="Q17" i="1"/>
  <c r="Q19" i="1"/>
  <c r="Q15" i="1"/>
  <c r="Q26" i="1" l="1"/>
  <c r="Q25" i="1"/>
  <c r="P49" i="1" s="1"/>
  <c r="Q49" i="1" l="1"/>
  <c r="R49" i="1" s="1"/>
  <c r="P48" i="1"/>
  <c r="P47" i="1" l="1"/>
  <c r="C8" i="7" s="1"/>
  <c r="C10" i="7" s="1"/>
  <c r="C18" i="7" s="1"/>
  <c r="Q48" i="1"/>
  <c r="Q47" i="1" l="1"/>
  <c r="D8" i="7" s="1"/>
  <c r="D10" i="7" s="1"/>
  <c r="R48" i="1"/>
  <c r="C23" i="7"/>
  <c r="C8" i="9"/>
  <c r="C10" i="9" s="1"/>
  <c r="C12" i="9" s="1"/>
  <c r="C13" i="9" s="1"/>
  <c r="C17" i="9" s="1"/>
  <c r="C24" i="9" s="1"/>
  <c r="C42" i="7"/>
  <c r="C19" i="7"/>
  <c r="C24" i="7" l="1"/>
  <c r="C28" i="7"/>
  <c r="C43" i="7"/>
  <c r="R47" i="1"/>
  <c r="E8" i="7" s="1"/>
  <c r="E10" i="7" s="1"/>
  <c r="D18" i="7"/>
  <c r="D45" i="7"/>
  <c r="E45" i="7" l="1"/>
  <c r="E18" i="7"/>
  <c r="D8" i="9"/>
  <c r="D10" i="9" s="1"/>
  <c r="D12" i="9" s="1"/>
  <c r="D13" i="9" s="1"/>
  <c r="D17" i="9" s="1"/>
  <c r="D24" i="9" s="1"/>
  <c r="D19" i="7"/>
  <c r="D42" i="7"/>
  <c r="D23" i="7"/>
  <c r="C34" i="7"/>
  <c r="C35" i="7" s="1"/>
  <c r="C44" i="7" s="1"/>
  <c r="C29" i="7"/>
  <c r="D24" i="7" l="1"/>
  <c r="D43" i="7"/>
  <c r="D28" i="7"/>
  <c r="E8" i="9"/>
  <c r="E10" i="9" s="1"/>
  <c r="E12" i="9" s="1"/>
  <c r="E13" i="9" s="1"/>
  <c r="E17" i="9" s="1"/>
  <c r="E24" i="9" s="1"/>
  <c r="C26" i="9" s="1"/>
  <c r="E23" i="7"/>
  <c r="E42" i="7"/>
  <c r="E19" i="7"/>
  <c r="F8" i="9" l="1"/>
  <c r="F10" i="9" s="1"/>
  <c r="F12" i="9" s="1"/>
  <c r="F13" i="9" s="1"/>
  <c r="F17" i="9" s="1"/>
  <c r="F24" i="9" s="1"/>
  <c r="G8" i="9"/>
  <c r="G10" i="9" s="1"/>
  <c r="G12" i="9" s="1"/>
  <c r="G13" i="9" s="1"/>
  <c r="G17" i="9" s="1"/>
  <c r="G24" i="9" s="1"/>
  <c r="E43" i="7"/>
  <c r="E24" i="7"/>
  <c r="E28" i="7"/>
  <c r="D34" i="7"/>
  <c r="D35" i="7" s="1"/>
  <c r="D44" i="7" s="1"/>
  <c r="D29" i="7"/>
  <c r="E29" i="7" l="1"/>
  <c r="E34" i="7"/>
  <c r="E35" i="7" s="1"/>
  <c r="E44" i="7" s="1"/>
</calcChain>
</file>

<file path=xl/sharedStrings.xml><?xml version="1.0" encoding="utf-8"?>
<sst xmlns="http://schemas.openxmlformats.org/spreadsheetml/2006/main" count="298" uniqueCount="229">
  <si>
    <t>Toll Revenue Actual &amp; Projected</t>
  </si>
  <si>
    <t xml:space="preserve">TN (DK) Expressways Limited (TNDK) </t>
  </si>
  <si>
    <t>Yearly &amp; Month-wise Actual Revenue [in Crores]</t>
  </si>
  <si>
    <t>Financial year</t>
  </si>
  <si>
    <t>Apr</t>
  </si>
  <si>
    <t>May</t>
  </si>
  <si>
    <t>Jun</t>
  </si>
  <si>
    <t>Jul</t>
  </si>
  <si>
    <t>Aug</t>
  </si>
  <si>
    <t>Sep</t>
  </si>
  <si>
    <t>Oct</t>
  </si>
  <si>
    <t>Nov</t>
  </si>
  <si>
    <t>Dec</t>
  </si>
  <si>
    <t>Jan</t>
  </si>
  <si>
    <t>Feb</t>
  </si>
  <si>
    <t>Mar</t>
  </si>
  <si>
    <t>Total</t>
  </si>
  <si>
    <t>Monthly Average Toll Collection</t>
  </si>
  <si>
    <t>% Change</t>
  </si>
  <si>
    <t xml:space="preserve">2009-10 </t>
  </si>
  <si>
    <t>2010-11</t>
  </si>
  <si>
    <t>2011-12</t>
  </si>
  <si>
    <t>2012-13</t>
  </si>
  <si>
    <t>2013-14</t>
  </si>
  <si>
    <t>2014-15</t>
  </si>
  <si>
    <t>2015-16</t>
  </si>
  <si>
    <t>2016-17</t>
  </si>
  <si>
    <t xml:space="preserve">2017-18  </t>
  </si>
  <si>
    <t>2018-19</t>
  </si>
  <si>
    <t>2019-20</t>
  </si>
  <si>
    <t>2020-21</t>
  </si>
  <si>
    <t>2021-22</t>
  </si>
  <si>
    <t>SUMMARY OF TOLL REVENUE COLLECTION AS ON 31st March, 2022</t>
  </si>
  <si>
    <t>April</t>
  </si>
  <si>
    <t>June</t>
  </si>
  <si>
    <t>July</t>
  </si>
  <si>
    <t>August</t>
  </si>
  <si>
    <t>September</t>
  </si>
  <si>
    <t>October</t>
  </si>
  <si>
    <t>November</t>
  </si>
  <si>
    <t>December</t>
  </si>
  <si>
    <t>January</t>
  </si>
  <si>
    <t>February</t>
  </si>
  <si>
    <t>March</t>
  </si>
  <si>
    <t>SUMMARY OF TOLL REVENUE COLLECTION AS ON 31st MARCH 2021</t>
  </si>
  <si>
    <t>%age Change of Montly Avg Toll Collection</t>
  </si>
  <si>
    <t>TNDK-Toll Collection/Traffic Report</t>
  </si>
  <si>
    <t>Month</t>
  </si>
  <si>
    <t>Collection (In Crs)</t>
  </si>
  <si>
    <t>Total Traffic (In Lakhs)</t>
  </si>
  <si>
    <t>Operation &amp; Maintenance Projects,</t>
  </si>
  <si>
    <t>Estimation for Completion of 1st, 2nd, &amp; 3rd MMR Works</t>
  </si>
  <si>
    <t>Description</t>
  </si>
  <si>
    <t xml:space="preserve">1st MMR balance works </t>
  </si>
  <si>
    <t>Remarks</t>
  </si>
  <si>
    <t>TN(DK) Expressways Limited</t>
  </si>
  <si>
    <t>110 Cr</t>
  </si>
  <si>
    <t>2nd MMR Estimation is prepared based on present Road condition.If any delay the Road condition will change and cost also may increase.
Escalations also applciable for increase in prices.
3rd MMR tentatvie estimation. Based on Road condition and BBD teat will be decided in later stages.</t>
  </si>
  <si>
    <t>Monthly Toll Collection FY 2022</t>
  </si>
  <si>
    <t>Operating expenses</t>
  </si>
  <si>
    <t>Employee benefits expenses</t>
  </si>
  <si>
    <t>Finance costs- notional</t>
  </si>
  <si>
    <t>Depreciation and amortisation expenses</t>
  </si>
  <si>
    <t>Other expenses</t>
  </si>
  <si>
    <t>NHAI CAPITAL GRANT DEFFERMENT</t>
  </si>
  <si>
    <t>RECEIPTS FROM NHAI</t>
  </si>
  <si>
    <t>OTS Settlement</t>
  </si>
  <si>
    <t>OTHERS</t>
  </si>
  <si>
    <t>Rental income</t>
  </si>
  <si>
    <t>Income tax refund</t>
  </si>
  <si>
    <t>Intrest on fixed deposit</t>
  </si>
  <si>
    <t>other miscellanous receipts</t>
  </si>
  <si>
    <t>Income and Expenditure Prjections</t>
  </si>
  <si>
    <t>Particular</t>
  </si>
  <si>
    <t>Expenses</t>
  </si>
  <si>
    <t>Other Income</t>
  </si>
  <si>
    <t>PARTICULARS</t>
  </si>
  <si>
    <t>TOTAL INCOME</t>
  </si>
  <si>
    <t>TOTAL EXPENSES</t>
  </si>
  <si>
    <t>EBITDA</t>
  </si>
  <si>
    <t>EBITDA %</t>
  </si>
  <si>
    <t>Depreciation and Amortization</t>
  </si>
  <si>
    <t>EBIT</t>
  </si>
  <si>
    <t>EBIT %</t>
  </si>
  <si>
    <t>Finance Cost</t>
  </si>
  <si>
    <t>Profit Before Tax</t>
  </si>
  <si>
    <t>PBT %</t>
  </si>
  <si>
    <t>Tax Expense</t>
  </si>
  <si>
    <t>Effective Tax Rate</t>
  </si>
  <si>
    <t>Profit (Loss) after Tax</t>
  </si>
  <si>
    <t> PAT %</t>
  </si>
  <si>
    <t>Historical P&amp;L</t>
  </si>
  <si>
    <t>Historical Ratio Analysis</t>
  </si>
  <si>
    <t>EBITDA Margin %</t>
  </si>
  <si>
    <t>EBIT Margin %</t>
  </si>
  <si>
    <t>PAT Margin %</t>
  </si>
  <si>
    <t>Revenue growth Rate (%)</t>
  </si>
  <si>
    <t>Projected P&amp;L</t>
  </si>
  <si>
    <t>Revenue from Operation</t>
  </si>
  <si>
    <t>Major Maintenance Expenses</t>
  </si>
  <si>
    <t>Projected Ratio Analysis</t>
  </si>
  <si>
    <t>DCF (FREE CASH FLOW TO FIRM)</t>
  </si>
  <si>
    <t>Dep &amp; Amortization</t>
  </si>
  <si>
    <t>(-)</t>
  </si>
  <si>
    <t>(1-t)</t>
  </si>
  <si>
    <t>EBIT*(1-t)</t>
  </si>
  <si>
    <t>(1-tax rate)</t>
  </si>
  <si>
    <t>NOPAT</t>
  </si>
  <si>
    <t>Add: Dep &amp; Amortization</t>
  </si>
  <si>
    <t>(+/-) WCC</t>
  </si>
  <si>
    <t>Less: CAPEX</t>
  </si>
  <si>
    <t>FCFF</t>
  </si>
  <si>
    <t>Discount Period</t>
  </si>
  <si>
    <t>Discount Factor</t>
  </si>
  <si>
    <t>WACC</t>
  </si>
  <si>
    <t>PV of FCFF</t>
  </si>
  <si>
    <t>Enterprise Value</t>
  </si>
  <si>
    <t>Total Debt</t>
  </si>
  <si>
    <t>Total Equity</t>
  </si>
  <si>
    <t>Total Capital</t>
  </si>
  <si>
    <t>Wd</t>
  </si>
  <si>
    <t>Kd</t>
  </si>
  <si>
    <t>We</t>
  </si>
  <si>
    <t>Ke</t>
  </si>
  <si>
    <t xml:space="preserve">Cost of Debt </t>
  </si>
  <si>
    <t>Cost of Debt</t>
  </si>
  <si>
    <t>Effective tax Rate</t>
  </si>
  <si>
    <t>Post-tax Cost of Debt</t>
  </si>
  <si>
    <t>Rf</t>
  </si>
  <si>
    <t>Beta</t>
  </si>
  <si>
    <t>Rm</t>
  </si>
  <si>
    <t>Market Risk Premium</t>
  </si>
  <si>
    <t>Company Risk Premium</t>
  </si>
  <si>
    <t>Discount Rate</t>
  </si>
  <si>
    <t>Previous Close 10 year govt. bond yield</t>
  </si>
  <si>
    <t>https://economictimes.indiatimes.com/madhucon-projects-ltd/stocks/companyid-6422.cms</t>
  </si>
  <si>
    <t>3-year Beta</t>
  </si>
  <si>
    <t>Cost of Equity CAPM</t>
  </si>
  <si>
    <t>Weighted Average Cost of Capital (WACC)</t>
  </si>
  <si>
    <t>Sensitivity Analysis</t>
  </si>
  <si>
    <t>Value</t>
  </si>
  <si>
    <t>Base Case</t>
  </si>
  <si>
    <t>Bullish Case</t>
  </si>
  <si>
    <t>Bearish Case</t>
  </si>
  <si>
    <t>Crore</t>
  </si>
  <si>
    <t>2022-23</t>
  </si>
  <si>
    <t>2023-24</t>
  </si>
  <si>
    <t>Average growth rate for the period of FY 2010-24</t>
  </si>
  <si>
    <t>Average growth rate for the period of FY 2012-24</t>
  </si>
  <si>
    <t xml:space="preserve"> TN(DK) EXPRESSWAYS LIMITED</t>
  </si>
  <si>
    <t>S. No.</t>
  </si>
  <si>
    <t>2nd MMR</t>
  </si>
  <si>
    <t>3rd MMR</t>
  </si>
  <si>
    <t>22.11.24</t>
  </si>
  <si>
    <t>Nifty Fifty 10 year return</t>
  </si>
  <si>
    <t>Sept 24 P</t>
  </si>
  <si>
    <t>Particulars</t>
  </si>
  <si>
    <r>
      <t>Amount As On 30</t>
    </r>
    <r>
      <rPr>
        <b/>
        <vertAlign val="superscript"/>
        <sz val="11"/>
        <color rgb="FFFFFFFF"/>
        <rFont val="Calibri"/>
        <family val="2"/>
      </rPr>
      <t>th</t>
    </r>
    <r>
      <rPr>
        <b/>
        <sz val="11"/>
        <color rgb="FFFFFFFF"/>
        <rFont val="Calibri"/>
        <family val="2"/>
      </rPr>
      <t xml:space="preserve"> September 2024</t>
    </r>
  </si>
  <si>
    <t>Fair Market Value</t>
  </si>
  <si>
    <t>ASSETS</t>
  </si>
  <si>
    <t xml:space="preserve">Non-Current Assets </t>
  </si>
  <si>
    <t>Property Plant &amp; Equipment</t>
  </si>
  <si>
    <t xml:space="preserve">Intangible Asset (Road Asset) </t>
  </si>
  <si>
    <t>Other Non-Current Assets</t>
  </si>
  <si>
    <t>Total Non-Current Assets</t>
  </si>
  <si>
    <t xml:space="preserve">Current Assets </t>
  </si>
  <si>
    <t>Trade Receivables</t>
  </si>
  <si>
    <t>Cash and Cash Equivalents</t>
  </si>
  <si>
    <t>Other Financial Assets</t>
  </si>
  <si>
    <t>Other Current Assets</t>
  </si>
  <si>
    <t>Total Current Assets</t>
  </si>
  <si>
    <t xml:space="preserve">TOTAL ASSETS </t>
  </si>
  <si>
    <t>EQUITY AND LIABILITIES</t>
  </si>
  <si>
    <t>Equity</t>
  </si>
  <si>
    <t>Equity Share Capital</t>
  </si>
  <si>
    <t>Other equity</t>
  </si>
  <si>
    <t xml:space="preserve"> Total Equity</t>
  </si>
  <si>
    <t>LIABILITIES</t>
  </si>
  <si>
    <t xml:space="preserve">Non-Current Liabilities </t>
  </si>
  <si>
    <t>Long-term Borrowings</t>
  </si>
  <si>
    <t>Other Financial Liabilities</t>
  </si>
  <si>
    <t>Provisions</t>
  </si>
  <si>
    <t>Total Non-Current Liabilities</t>
  </si>
  <si>
    <t>Current Liabilities</t>
  </si>
  <si>
    <t xml:space="preserve">Trade Payables </t>
  </si>
  <si>
    <t>Other Current Liabilities</t>
  </si>
  <si>
    <t>Total Current Liabilities</t>
  </si>
  <si>
    <t>Total Liabilities</t>
  </si>
  <si>
    <t>TOTAL EQUITY AND LIABILITIES</t>
  </si>
  <si>
    <t xml:space="preserve">Particular </t>
  </si>
  <si>
    <t>Book Value</t>
  </si>
  <si>
    <t>Fair Value</t>
  </si>
  <si>
    <t>Security Deposit</t>
  </si>
  <si>
    <t>Income Tax Refund (2007-08)</t>
  </si>
  <si>
    <t>Advance to Suppliers</t>
  </si>
  <si>
    <t>Retention Money from NHAI</t>
  </si>
  <si>
    <t>Capital Advances</t>
  </si>
  <si>
    <t>TDS Recoverable-Others</t>
  </si>
  <si>
    <t>TDS Recoverable-NHAI</t>
  </si>
  <si>
    <t>Staff Advances</t>
  </si>
  <si>
    <t>Rent Receivable</t>
  </si>
  <si>
    <t>Prepaid Expenses</t>
  </si>
  <si>
    <t>TCS Recoverable-Others</t>
  </si>
  <si>
    <t>Welfare Cess Recoverable</t>
  </si>
  <si>
    <t>Amount</t>
  </si>
  <si>
    <t>Total Assets (A)</t>
  </si>
  <si>
    <t>Total Liabilities (B)</t>
  </si>
  <si>
    <t>Net Assets Value (NAV) (A-B)</t>
  </si>
  <si>
    <t>Amount (In Crs)</t>
  </si>
  <si>
    <t>No. of Years</t>
  </si>
  <si>
    <t>https://kunaldesai.blog/nifty-returns/</t>
  </si>
  <si>
    <t>Appropriate Discount Rate</t>
  </si>
  <si>
    <t>NPV</t>
  </si>
  <si>
    <t xml:space="preserve"> NPV as on date @ 13%</t>
  </si>
  <si>
    <t>Rolling Nifty CAGR for 10 years</t>
  </si>
  <si>
    <t>Total Available balance.</t>
  </si>
  <si>
    <t>As a proxy of Enterprise Value</t>
  </si>
  <si>
    <t>NPV(As a proxy of Enterprise Value)</t>
  </si>
  <si>
    <t>Claim Realization available for lenders</t>
  </si>
  <si>
    <t>Less: Expected Expenses to be incurred to   realize the claim amount</t>
  </si>
  <si>
    <t>b</t>
  </si>
  <si>
    <t>c</t>
  </si>
  <si>
    <t>d</t>
  </si>
  <si>
    <t>-</t>
  </si>
  <si>
    <t>It is assumed that this will take around 5 years to get realized.</t>
  </si>
  <si>
    <t>Nifty 50 10-year return</t>
  </si>
  <si>
    <t>Less: Amount awarded to EPC</t>
  </si>
  <si>
    <t>Amount Awarded to TNDK</t>
  </si>
  <si>
    <t>Net Award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</si>
</sst>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64" formatCode="0.0%"/>
    <numFmt numFmtId="165" formatCode="mmm\-yyyy"/>
    <numFmt numFmtId="166" formatCode="_ * #,##0_ ;_ * \-#,##0_ ;_ * &quot;-&quot;??_ ;_ @_ "/>
    <numFmt numFmtId="167" formatCode="&quot;FY&quot;\ 0\ &quot;A&quot;"/>
    <numFmt numFmtId="168" formatCode="&quot;FY&quot;\ 0\ &quot;E&quot;"/>
    <numFmt numFmtId="169" formatCode="&quot;FY&quot;\ 0\ &quot;P&quot;"/>
  </numFmts>
  <fonts count="36" x14ac:knownFonts="1">
    <font>
      <sz val="11"/>
      <color theme="1"/>
      <name val="Calibri"/>
      <family val="2"/>
      <scheme val="minor"/>
    </font>
    <font>
      <sz val="11"/>
      <color theme="1"/>
      <name val="Calibri"/>
      <family val="2"/>
      <scheme val="minor"/>
    </font>
    <font>
      <b/>
      <sz val="11"/>
      <color theme="0"/>
      <name val="Calibri"/>
      <family val="2"/>
      <scheme val="minor"/>
    </font>
    <font>
      <b/>
      <sz val="12"/>
      <color theme="0"/>
      <name val="Calibri"/>
      <family val="2"/>
      <scheme val="minor"/>
    </font>
    <font>
      <b/>
      <sz val="11"/>
      <color rgb="FFC00000"/>
      <name val="Calibri"/>
      <family val="2"/>
      <scheme val="minor"/>
    </font>
    <font>
      <b/>
      <sz val="12"/>
      <color rgb="FFC00000"/>
      <name val="Calibri"/>
      <family val="2"/>
      <scheme val="minor"/>
    </font>
    <font>
      <b/>
      <sz val="9"/>
      <color theme="0"/>
      <name val="Arial"/>
      <family val="2"/>
    </font>
    <font>
      <b/>
      <sz val="9"/>
      <color theme="1"/>
      <name val="Arial"/>
      <family val="2"/>
    </font>
    <font>
      <b/>
      <i/>
      <sz val="9"/>
      <color theme="1"/>
      <name val="Arial"/>
      <family val="2"/>
    </font>
    <font>
      <sz val="9"/>
      <color theme="1"/>
      <name val="Arial"/>
      <family val="2"/>
    </font>
    <font>
      <sz val="9"/>
      <color theme="1"/>
      <name val="Calibri"/>
      <family val="2"/>
      <scheme val="minor"/>
    </font>
    <font>
      <b/>
      <sz val="9"/>
      <name val="Arial"/>
      <family val="2"/>
    </font>
    <font>
      <b/>
      <sz val="9"/>
      <color theme="0"/>
      <name val="Calibri"/>
      <family val="2"/>
      <scheme val="minor"/>
    </font>
    <font>
      <b/>
      <sz val="9"/>
      <color theme="1"/>
      <name val="Calibri"/>
      <family val="2"/>
      <scheme val="minor"/>
    </font>
    <font>
      <i/>
      <sz val="9"/>
      <color theme="1"/>
      <name val="Calibri"/>
      <family val="2"/>
      <scheme val="minor"/>
    </font>
    <font>
      <b/>
      <sz val="10"/>
      <color theme="0"/>
      <name val="Calibri"/>
      <family val="2"/>
      <scheme val="minor"/>
    </font>
    <font>
      <b/>
      <sz val="10"/>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0"/>
      <color theme="1"/>
      <name val="Times New Roman"/>
      <family val="1"/>
    </font>
    <font>
      <b/>
      <sz val="11"/>
      <color rgb="FF000000"/>
      <name val="Calibri"/>
      <family val="2"/>
    </font>
    <font>
      <sz val="11"/>
      <color rgb="FF000000"/>
      <name val="Calibri"/>
      <family val="2"/>
    </font>
    <font>
      <i/>
      <sz val="11"/>
      <color rgb="FF000000"/>
      <name val="Calibri"/>
      <family val="2"/>
    </font>
    <font>
      <b/>
      <i/>
      <sz val="11"/>
      <color rgb="FF000000"/>
      <name val="Calibri"/>
      <family val="2"/>
    </font>
    <font>
      <b/>
      <sz val="14"/>
      <color rgb="FFC00000"/>
      <name val="Calibri"/>
      <family val="2"/>
      <scheme val="minor"/>
    </font>
    <font>
      <b/>
      <sz val="11"/>
      <color rgb="FFFFFFFF"/>
      <name val="Calibri"/>
      <family val="2"/>
    </font>
    <font>
      <i/>
      <sz val="11"/>
      <color theme="1"/>
      <name val="Calibri"/>
      <family val="2"/>
      <scheme val="minor"/>
    </font>
    <font>
      <b/>
      <u/>
      <sz val="11"/>
      <color theme="1"/>
      <name val="Calibri"/>
      <family val="2"/>
      <scheme val="minor"/>
    </font>
    <font>
      <u/>
      <sz val="11"/>
      <color theme="10"/>
      <name val="Calibri"/>
      <family val="2"/>
      <scheme val="minor"/>
    </font>
    <font>
      <sz val="11"/>
      <color rgb="FF000000"/>
      <name val="Calibri"/>
      <family val="2"/>
      <scheme val="minor"/>
    </font>
    <font>
      <b/>
      <vertAlign val="superscript"/>
      <sz val="11"/>
      <color rgb="FFFFFFFF"/>
      <name val="Calibri"/>
      <family val="2"/>
    </font>
    <font>
      <sz val="11"/>
      <color theme="1"/>
      <name val="Calibri"/>
      <family val="2"/>
    </font>
    <font>
      <sz val="11"/>
      <color theme="0"/>
      <name val="Calibri"/>
      <family val="2"/>
      <scheme val="minor"/>
    </font>
    <font>
      <b/>
      <sz val="11"/>
      <color theme="0"/>
      <name val="Calibri"/>
      <family val="2"/>
    </font>
    <font>
      <b/>
      <sz val="11"/>
      <color theme="1"/>
      <name val="Calibri"/>
      <family val="2"/>
    </font>
  </fonts>
  <fills count="14">
    <fill>
      <patternFill patternType="none"/>
    </fill>
    <fill>
      <patternFill patternType="gray125"/>
    </fill>
    <fill>
      <patternFill patternType="solid">
        <fgColor rgb="FF002060"/>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FF"/>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rgb="FFDBE5F1"/>
        <bgColor indexed="64"/>
      </patternFill>
    </fill>
    <fill>
      <patternFill patternType="solid">
        <fgColor theme="9" tint="-0.249977111117893"/>
        <bgColor indexed="64"/>
      </patternFill>
    </fill>
    <fill>
      <patternFill patternType="solid">
        <fgColor rgb="FFFFC000"/>
        <bgColor indexed="64"/>
      </patternFill>
    </fill>
    <fill>
      <patternFill patternType="solid">
        <fgColor rgb="FF8EAAD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9" fillId="0" borderId="0" applyNumberFormat="0" applyFill="0" applyBorder="0" applyAlignment="0" applyProtection="0"/>
  </cellStyleXfs>
  <cellXfs count="221">
    <xf numFmtId="0" fontId="0" fillId="0" borderId="0" xfId="0"/>
    <xf numFmtId="0" fontId="2" fillId="2" borderId="0" xfId="0" applyFont="1" applyFill="1"/>
    <xf numFmtId="0" fontId="3" fillId="2" borderId="0" xfId="0" applyFont="1" applyFill="1" applyAlignment="1">
      <alignment vertical="center"/>
    </xf>
    <xf numFmtId="0" fontId="4" fillId="3" borderId="0" xfId="0" applyFont="1" applyFill="1"/>
    <xf numFmtId="0" fontId="5" fillId="3" borderId="0" xfId="0" applyFont="1" applyFill="1" applyAlignment="1">
      <alignment vertical="center"/>
    </xf>
    <xf numFmtId="43" fontId="9" fillId="6" borderId="1" xfId="1" applyFont="1" applyFill="1" applyBorder="1" applyAlignment="1">
      <alignment horizontal="center" vertical="center" wrapText="1"/>
    </xf>
    <xf numFmtId="43" fontId="7" fillId="6" borderId="1" xfId="1" applyFont="1" applyFill="1" applyBorder="1" applyAlignment="1">
      <alignment horizontal="center" vertical="center" wrapText="1"/>
    </xf>
    <xf numFmtId="43" fontId="9" fillId="7" borderId="1" xfId="1" applyFont="1" applyFill="1" applyBorder="1" applyAlignment="1">
      <alignment horizontal="center" vertical="center" wrapText="1"/>
    </xf>
    <xf numFmtId="43" fontId="9" fillId="7" borderId="1" xfId="1" applyFont="1" applyFill="1" applyBorder="1" applyAlignment="1">
      <alignment horizontal="center" vertical="center"/>
    </xf>
    <xf numFmtId="43" fontId="9" fillId="6" borderId="1" xfId="1" applyFont="1" applyFill="1" applyBorder="1" applyAlignment="1">
      <alignment horizontal="center" vertical="center"/>
    </xf>
    <xf numFmtId="43" fontId="9" fillId="0" borderId="1" xfId="1" applyFont="1" applyFill="1" applyBorder="1" applyAlignment="1">
      <alignment horizontal="center" vertical="center" wrapText="1"/>
    </xf>
    <xf numFmtId="43" fontId="7" fillId="5" borderId="1" xfId="1" applyFont="1" applyFill="1" applyBorder="1" applyAlignment="1">
      <alignment horizontal="center" vertical="center" wrapText="1"/>
    </xf>
    <xf numFmtId="10" fontId="11" fillId="5" borderId="1" xfId="2" applyNumberFormat="1" applyFont="1" applyFill="1" applyBorder="1" applyAlignment="1">
      <alignment horizontal="center" vertical="center" wrapText="1"/>
    </xf>
    <xf numFmtId="43" fontId="8" fillId="8" borderId="1" xfId="1" applyFont="1" applyFill="1" applyBorder="1" applyAlignment="1">
      <alignment horizontal="left" vertical="center" wrapText="1"/>
    </xf>
    <xf numFmtId="43" fontId="8" fillId="8" borderId="1" xfId="1" applyFont="1" applyFill="1" applyBorder="1" applyAlignment="1">
      <alignment horizontal="center" vertical="center" wrapText="1"/>
    </xf>
    <xf numFmtId="9" fontId="0" fillId="0" borderId="0" xfId="0" applyNumberFormat="1"/>
    <xf numFmtId="0" fontId="12" fillId="2" borderId="1" xfId="0" applyFont="1" applyFill="1" applyBorder="1"/>
    <xf numFmtId="0" fontId="10" fillId="0" borderId="1" xfId="0" applyFont="1" applyBorder="1"/>
    <xf numFmtId="0" fontId="10" fillId="0" borderId="0" xfId="0" applyFont="1"/>
    <xf numFmtId="10" fontId="10" fillId="0" borderId="0" xfId="0" applyNumberFormat="1" applyFont="1"/>
    <xf numFmtId="0" fontId="13" fillId="0" borderId="1" xfId="0" applyFont="1" applyBorder="1" applyAlignment="1">
      <alignment horizontal="left" vertical="center" wrapText="1"/>
    </xf>
    <xf numFmtId="10" fontId="10" fillId="0" borderId="1" xfId="2" applyNumberFormat="1" applyFont="1" applyBorder="1" applyAlignment="1">
      <alignment horizontal="center" vertical="center"/>
    </xf>
    <xf numFmtId="10" fontId="14" fillId="9" borderId="1" xfId="2" applyNumberFormat="1" applyFont="1" applyFill="1" applyBorder="1" applyAlignment="1">
      <alignment horizontal="center" vertical="center"/>
    </xf>
    <xf numFmtId="0" fontId="12" fillId="2" borderId="1" xfId="0" applyFont="1" applyFill="1" applyBorder="1" applyAlignment="1">
      <alignment vertical="center" wrapText="1"/>
    </xf>
    <xf numFmtId="43" fontId="0" fillId="0" borderId="0" xfId="0" applyNumberFormat="1"/>
    <xf numFmtId="2" fontId="0" fillId="0" borderId="0" xfId="0" applyNumberFormat="1"/>
    <xf numFmtId="0" fontId="17" fillId="0" borderId="1" xfId="0" applyFont="1" applyBorder="1" applyAlignment="1">
      <alignment horizontal="center"/>
    </xf>
    <xf numFmtId="17" fontId="17" fillId="0" borderId="1" xfId="0" applyNumberFormat="1" applyFont="1" applyBorder="1" applyAlignment="1">
      <alignment horizontal="center"/>
    </xf>
    <xf numFmtId="2" fontId="0" fillId="0" borderId="1" xfId="0" applyNumberFormat="1" applyBorder="1" applyAlignment="1">
      <alignment horizontal="center"/>
    </xf>
    <xf numFmtId="2" fontId="17" fillId="0" borderId="1" xfId="0" applyNumberFormat="1" applyFont="1" applyBorder="1" applyAlignment="1">
      <alignment horizontal="center"/>
    </xf>
    <xf numFmtId="0" fontId="19" fillId="0" borderId="1" xfId="0" applyFont="1" applyBorder="1" applyAlignment="1">
      <alignment vertical="center" wrapText="1"/>
    </xf>
    <xf numFmtId="2" fontId="19" fillId="0" borderId="1" xfId="0" applyNumberFormat="1"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vertical="top" wrapText="1"/>
    </xf>
    <xf numFmtId="0" fontId="2" fillId="2" borderId="0" xfId="0" applyFont="1" applyFill="1" applyAlignment="1">
      <alignment vertical="center"/>
    </xf>
    <xf numFmtId="0" fontId="17" fillId="0" borderId="0" xfId="0" applyFont="1"/>
    <xf numFmtId="0" fontId="21" fillId="0" borderId="0" xfId="0" applyFont="1" applyBorder="1" applyAlignment="1">
      <alignment horizontal="center" vertical="center"/>
    </xf>
    <xf numFmtId="0" fontId="21" fillId="0" borderId="0" xfId="0" applyFont="1" applyBorder="1" applyAlignment="1">
      <alignment horizontal="center" vertical="center" wrapText="1"/>
    </xf>
    <xf numFmtId="0" fontId="21" fillId="0" borderId="0" xfId="0" applyFont="1" applyBorder="1" applyAlignment="1">
      <alignment vertical="center"/>
    </xf>
    <xf numFmtId="0" fontId="20" fillId="0" borderId="0" xfId="0" applyFont="1" applyBorder="1" applyAlignment="1">
      <alignment vertical="center"/>
    </xf>
    <xf numFmtId="0" fontId="22" fillId="0" borderId="0" xfId="0" applyFont="1" applyBorder="1" applyAlignment="1">
      <alignment horizontal="center" vertical="center" wrapText="1"/>
    </xf>
    <xf numFmtId="0" fontId="22" fillId="0" borderId="0" xfId="0" applyFont="1" applyBorder="1" applyAlignment="1">
      <alignment horizontal="center" vertical="center"/>
    </xf>
    <xf numFmtId="0" fontId="23" fillId="0" borderId="0" xfId="0" applyFont="1" applyBorder="1" applyAlignment="1">
      <alignment vertical="center"/>
    </xf>
    <xf numFmtId="0" fontId="22" fillId="0" borderId="0" xfId="0" applyFont="1" applyBorder="1" applyAlignment="1">
      <alignment vertical="center"/>
    </xf>
    <xf numFmtId="0" fontId="23" fillId="0" borderId="0" xfId="0" applyFont="1" applyBorder="1" applyAlignment="1">
      <alignment horizontal="right" vertical="center"/>
    </xf>
    <xf numFmtId="0" fontId="24" fillId="0" borderId="0" xfId="0" applyFont="1" applyBorder="1" applyAlignment="1">
      <alignment horizontal="right" vertical="center"/>
    </xf>
    <xf numFmtId="0" fontId="21" fillId="0" borderId="0" xfId="0" applyFont="1" applyFill="1" applyBorder="1" applyAlignment="1">
      <alignment horizontal="center" vertical="center"/>
    </xf>
    <xf numFmtId="10" fontId="23" fillId="0" borderId="0" xfId="0" applyNumberFormat="1" applyFont="1" applyFill="1" applyBorder="1" applyAlignment="1">
      <alignment horizontal="center" vertical="center"/>
    </xf>
    <xf numFmtId="0" fontId="20" fillId="0" borderId="0" xfId="0" applyFont="1" applyFill="1" applyBorder="1" applyAlignment="1">
      <alignment vertical="center"/>
    </xf>
    <xf numFmtId="0" fontId="22" fillId="0" borderId="0" xfId="0" applyFont="1" applyFill="1" applyBorder="1" applyAlignment="1">
      <alignment horizontal="center" vertical="center" wrapText="1"/>
    </xf>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wrapText="1"/>
    </xf>
    <xf numFmtId="10" fontId="22" fillId="0" borderId="0" xfId="0" applyNumberFormat="1" applyFont="1" applyFill="1" applyBorder="1" applyAlignment="1">
      <alignment horizontal="center" vertical="center"/>
    </xf>
    <xf numFmtId="0" fontId="25" fillId="3" borderId="0" xfId="0" applyFont="1" applyFill="1" applyAlignment="1">
      <alignment vertical="center"/>
    </xf>
    <xf numFmtId="0" fontId="26" fillId="2" borderId="0" xfId="0" applyFont="1" applyFill="1" applyBorder="1" applyAlignment="1">
      <alignment vertical="center"/>
    </xf>
    <xf numFmtId="2" fontId="22" fillId="0" borderId="0" xfId="0" applyNumberFormat="1" applyFont="1" applyFill="1" applyBorder="1" applyAlignment="1">
      <alignment horizontal="center" vertical="center"/>
    </xf>
    <xf numFmtId="2" fontId="21" fillId="0" borderId="0" xfId="0" applyNumberFormat="1" applyFont="1" applyFill="1" applyBorder="1" applyAlignment="1">
      <alignment horizontal="center" vertical="center"/>
    </xf>
    <xf numFmtId="10" fontId="27" fillId="0" borderId="0" xfId="2" applyNumberFormat="1" applyFont="1" applyAlignment="1">
      <alignment horizontal="center" vertical="center"/>
    </xf>
    <xf numFmtId="0" fontId="22" fillId="0" borderId="0" xfId="0" applyFont="1" applyBorder="1" applyAlignment="1">
      <alignment horizontal="left" vertical="center"/>
    </xf>
    <xf numFmtId="43" fontId="0" fillId="0" borderId="0" xfId="0" applyNumberFormat="1" applyAlignment="1">
      <alignment horizontal="center" vertical="center"/>
    </xf>
    <xf numFmtId="0" fontId="21" fillId="0" borderId="8" xfId="0" applyFont="1" applyBorder="1" applyAlignment="1">
      <alignment vertical="center"/>
    </xf>
    <xf numFmtId="9" fontId="0" fillId="0" borderId="0" xfId="2" applyFont="1"/>
    <xf numFmtId="9" fontId="22" fillId="0" borderId="0" xfId="2" applyFont="1" applyFill="1" applyBorder="1" applyAlignment="1">
      <alignment horizontal="center" vertical="center"/>
    </xf>
    <xf numFmtId="10" fontId="23" fillId="0" borderId="0" xfId="0" applyNumberFormat="1" applyFont="1" applyFill="1" applyBorder="1" applyAlignment="1">
      <alignment horizontal="right" vertical="center"/>
    </xf>
    <xf numFmtId="2" fontId="22" fillId="0" borderId="0" xfId="0" applyNumberFormat="1" applyFont="1" applyFill="1" applyBorder="1" applyAlignment="1">
      <alignment horizontal="right" vertical="center"/>
    </xf>
    <xf numFmtId="10" fontId="22" fillId="0" borderId="0" xfId="0" applyNumberFormat="1" applyFont="1" applyFill="1" applyBorder="1" applyAlignment="1">
      <alignment horizontal="right" vertical="center"/>
    </xf>
    <xf numFmtId="2" fontId="21" fillId="0" borderId="0" xfId="0" applyNumberFormat="1" applyFont="1" applyFill="1" applyBorder="1" applyAlignment="1">
      <alignment horizontal="right" vertical="center"/>
    </xf>
    <xf numFmtId="10" fontId="27" fillId="0" borderId="0" xfId="2" applyNumberFormat="1" applyFont="1" applyAlignment="1">
      <alignment horizontal="right" vertical="center"/>
    </xf>
    <xf numFmtId="167" fontId="26" fillId="2" borderId="0" xfId="0" applyNumberFormat="1" applyFont="1" applyFill="1" applyBorder="1" applyAlignment="1">
      <alignment horizontal="center" vertical="center"/>
    </xf>
    <xf numFmtId="168" fontId="26" fillId="2" borderId="0" xfId="0" applyNumberFormat="1" applyFont="1" applyFill="1" applyBorder="1" applyAlignment="1">
      <alignment horizontal="right" vertical="center"/>
    </xf>
    <xf numFmtId="0" fontId="17" fillId="0" borderId="0" xfId="0" quotePrefix="1" applyFont="1" applyAlignment="1">
      <alignment horizontal="center" vertical="top"/>
    </xf>
    <xf numFmtId="0" fontId="17" fillId="0" borderId="8" xfId="0" applyFont="1" applyBorder="1" applyAlignment="1">
      <alignment vertical="center"/>
    </xf>
    <xf numFmtId="43" fontId="17" fillId="0" borderId="8" xfId="0" applyNumberFormat="1" applyFont="1" applyBorder="1" applyAlignment="1">
      <alignment vertical="center"/>
    </xf>
    <xf numFmtId="10" fontId="0" fillId="0" borderId="0" xfId="2" applyNumberFormat="1" applyFont="1"/>
    <xf numFmtId="0" fontId="0" fillId="0" borderId="0" xfId="0" applyFont="1"/>
    <xf numFmtId="0" fontId="0" fillId="0" borderId="13" xfId="0" applyBorder="1"/>
    <xf numFmtId="0" fontId="0" fillId="0" borderId="0" xfId="0" applyBorder="1"/>
    <xf numFmtId="0" fontId="0" fillId="0" borderId="14" xfId="0" applyBorder="1"/>
    <xf numFmtId="0" fontId="2" fillId="2" borderId="13" xfId="0" applyFont="1" applyFill="1" applyBorder="1"/>
    <xf numFmtId="0" fontId="2" fillId="2" borderId="0" xfId="0" applyFont="1" applyFill="1" applyBorder="1"/>
    <xf numFmtId="0" fontId="17" fillId="0" borderId="13" xfId="0" applyFont="1" applyBorder="1"/>
    <xf numFmtId="0" fontId="17" fillId="0" borderId="15" xfId="0" applyFont="1" applyBorder="1"/>
    <xf numFmtId="0" fontId="2" fillId="2" borderId="14" xfId="0" applyFont="1" applyFill="1" applyBorder="1" applyAlignment="1">
      <alignment horizontal="center"/>
    </xf>
    <xf numFmtId="0" fontId="2" fillId="2" borderId="0" xfId="0" applyFont="1" applyFill="1" applyAlignment="1">
      <alignment horizontal="center" vertical="center"/>
    </xf>
    <xf numFmtId="2" fontId="20" fillId="0" borderId="0" xfId="0" applyNumberFormat="1" applyFont="1" applyBorder="1" applyAlignment="1">
      <alignment vertical="center"/>
    </xf>
    <xf numFmtId="2" fontId="22" fillId="0" borderId="0" xfId="2" applyNumberFormat="1" applyFont="1" applyFill="1" applyBorder="1" applyAlignment="1">
      <alignment horizontal="center" vertical="center"/>
    </xf>
    <xf numFmtId="2" fontId="22" fillId="0" borderId="0" xfId="0" applyNumberFormat="1" applyFont="1" applyFill="1" applyBorder="1" applyAlignment="1">
      <alignment horizontal="center" vertical="center" wrapText="1"/>
    </xf>
    <xf numFmtId="2" fontId="0" fillId="0" borderId="0" xfId="0" applyNumberFormat="1" applyAlignment="1">
      <alignment horizontal="center" vertical="center"/>
    </xf>
    <xf numFmtId="2" fontId="17" fillId="0" borderId="0" xfId="0" applyNumberFormat="1" applyFont="1" applyAlignment="1">
      <alignment horizontal="center" vertical="center"/>
    </xf>
    <xf numFmtId="2" fontId="0" fillId="0" borderId="0" xfId="2" applyNumberFormat="1" applyFont="1" applyAlignment="1">
      <alignment horizontal="center" vertical="center"/>
    </xf>
    <xf numFmtId="0" fontId="0" fillId="0" borderId="0" xfId="0" applyAlignment="1">
      <alignment horizontal="center" vertical="center"/>
    </xf>
    <xf numFmtId="167" fontId="2" fillId="2" borderId="0" xfId="0" applyNumberFormat="1" applyFont="1" applyFill="1" applyAlignment="1">
      <alignment horizontal="center" vertical="center"/>
    </xf>
    <xf numFmtId="168" fontId="2" fillId="2" borderId="0" xfId="0" applyNumberFormat="1" applyFont="1" applyFill="1" applyAlignment="1">
      <alignment horizontal="center" vertical="center"/>
    </xf>
    <xf numFmtId="169" fontId="2" fillId="2" borderId="0" xfId="0" applyNumberFormat="1" applyFont="1" applyFill="1" applyAlignment="1">
      <alignment horizontal="center" vertical="center"/>
    </xf>
    <xf numFmtId="0" fontId="4" fillId="3" borderId="0" xfId="0" applyFont="1" applyFill="1" applyAlignment="1">
      <alignment horizontal="center" vertical="center"/>
    </xf>
    <xf numFmtId="0" fontId="17" fillId="0" borderId="8" xfId="0" applyFont="1" applyBorder="1" applyAlignment="1">
      <alignment horizontal="center" vertical="center"/>
    </xf>
    <xf numFmtId="9" fontId="0" fillId="0" borderId="0" xfId="0" applyNumberFormat="1" applyAlignment="1">
      <alignment horizontal="center" vertical="center"/>
    </xf>
    <xf numFmtId="10" fontId="0" fillId="0" borderId="0" xfId="0" applyNumberFormat="1" applyAlignment="1">
      <alignment horizontal="center" vertical="center"/>
    </xf>
    <xf numFmtId="43" fontId="2" fillId="2" borderId="0" xfId="0" applyNumberFormat="1" applyFont="1" applyFill="1" applyAlignment="1">
      <alignment horizontal="center" vertical="center"/>
    </xf>
    <xf numFmtId="0" fontId="2" fillId="2" borderId="0" xfId="0" applyFont="1" applyFill="1" applyAlignment="1">
      <alignment horizontal="left" vertical="center"/>
    </xf>
    <xf numFmtId="0" fontId="0" fillId="0" borderId="0" xfId="0" applyFont="1" applyAlignment="1">
      <alignment horizontal="center" vertical="center"/>
    </xf>
    <xf numFmtId="10" fontId="1" fillId="0" borderId="0" xfId="2" applyNumberFormat="1" applyFont="1" applyAlignment="1">
      <alignment horizontal="center" vertical="center"/>
    </xf>
    <xf numFmtId="10" fontId="0" fillId="0" borderId="0" xfId="0" applyNumberFormat="1" applyFont="1" applyAlignment="1">
      <alignment horizontal="center" vertical="center"/>
    </xf>
    <xf numFmtId="10" fontId="0" fillId="0" borderId="0" xfId="2" applyNumberFormat="1" applyFont="1" applyAlignment="1">
      <alignment horizontal="center" vertical="center"/>
    </xf>
    <xf numFmtId="10" fontId="2" fillId="2" borderId="0" xfId="0" applyNumberFormat="1" applyFont="1" applyFill="1" applyAlignment="1">
      <alignment horizontal="center" vertical="center"/>
    </xf>
    <xf numFmtId="10" fontId="17" fillId="0" borderId="0" xfId="0" applyNumberFormat="1" applyFont="1" applyBorder="1" applyAlignment="1">
      <alignment horizontal="center" vertical="center"/>
    </xf>
    <xf numFmtId="0" fontId="17" fillId="0" borderId="14" xfId="0" applyFont="1" applyBorder="1" applyAlignment="1">
      <alignment horizontal="center" vertical="center"/>
    </xf>
    <xf numFmtId="2" fontId="17" fillId="0" borderId="14" xfId="0" applyNumberFormat="1" applyFont="1" applyBorder="1" applyAlignment="1">
      <alignment horizontal="center" vertical="center"/>
    </xf>
    <xf numFmtId="10" fontId="17" fillId="0" borderId="16" xfId="0" applyNumberFormat="1" applyFont="1" applyBorder="1" applyAlignment="1">
      <alignment horizontal="center" vertical="center"/>
    </xf>
    <xf numFmtId="2" fontId="17" fillId="0" borderId="17" xfId="0" applyNumberFormat="1" applyFont="1" applyBorder="1" applyAlignment="1">
      <alignment horizontal="center" vertical="center"/>
    </xf>
    <xf numFmtId="0" fontId="2" fillId="2" borderId="0" xfId="0" applyFont="1" applyFill="1" applyAlignment="1">
      <alignment horizontal="center" vertical="center"/>
    </xf>
    <xf numFmtId="0" fontId="0" fillId="5" borderId="0" xfId="0" applyFill="1" applyAlignment="1">
      <alignment horizontal="center" vertical="center"/>
    </xf>
    <xf numFmtId="166" fontId="0" fillId="5" borderId="0" xfId="1" applyNumberFormat="1" applyFont="1" applyFill="1" applyAlignment="1">
      <alignment horizontal="center" vertical="center"/>
    </xf>
    <xf numFmtId="166" fontId="0" fillId="5" borderId="0" xfId="0" applyNumberFormat="1" applyFill="1" applyAlignment="1">
      <alignment horizontal="center" vertical="center"/>
    </xf>
    <xf numFmtId="43" fontId="0" fillId="5" borderId="0" xfId="0" applyNumberFormat="1" applyFill="1" applyAlignment="1">
      <alignment horizontal="center" vertical="center"/>
    </xf>
    <xf numFmtId="43" fontId="0" fillId="5" borderId="0" xfId="1" applyFont="1" applyFill="1" applyAlignment="1">
      <alignment horizontal="center" vertical="center"/>
    </xf>
    <xf numFmtId="43" fontId="17" fillId="5" borderId="8" xfId="1" applyFont="1" applyFill="1" applyBorder="1" applyAlignment="1">
      <alignment horizontal="center" vertical="center"/>
    </xf>
    <xf numFmtId="0" fontId="16" fillId="5" borderId="1" xfId="0" applyFont="1" applyFill="1" applyBorder="1" applyAlignment="1">
      <alignment horizontal="left" vertical="center"/>
    </xf>
    <xf numFmtId="165" fontId="16" fillId="5" borderId="1" xfId="0" applyNumberFormat="1" applyFont="1" applyFill="1" applyBorder="1" applyAlignment="1">
      <alignment horizontal="center" vertical="center"/>
    </xf>
    <xf numFmtId="0" fontId="0" fillId="0" borderId="0" xfId="0" applyAlignment="1">
      <alignment vertical="center"/>
    </xf>
    <xf numFmtId="0" fontId="0" fillId="0" borderId="0" xfId="0" applyAlignment="1">
      <alignment horizontal="right" vertical="center"/>
    </xf>
    <xf numFmtId="0" fontId="4" fillId="3" borderId="0" xfId="0" applyFont="1" applyFill="1" applyAlignment="1">
      <alignment horizontal="right" vertical="center"/>
    </xf>
    <xf numFmtId="0" fontId="2" fillId="2" borderId="0" xfId="0" applyFont="1" applyFill="1" applyAlignment="1">
      <alignment horizontal="right" vertical="center"/>
    </xf>
    <xf numFmtId="0" fontId="21" fillId="0" borderId="0" xfId="0" applyFont="1" applyBorder="1" applyAlignment="1">
      <alignment horizontal="right" vertical="center"/>
    </xf>
    <xf numFmtId="0" fontId="21" fillId="0" borderId="0" xfId="0" applyFont="1" applyBorder="1" applyAlignment="1">
      <alignment horizontal="right" vertical="center" wrapText="1"/>
    </xf>
    <xf numFmtId="43" fontId="22" fillId="0" borderId="0" xfId="0" applyNumberFormat="1" applyFont="1" applyBorder="1" applyAlignment="1">
      <alignment horizontal="right" vertical="center"/>
    </xf>
    <xf numFmtId="43" fontId="21" fillId="0" borderId="8" xfId="0" applyNumberFormat="1" applyFont="1" applyBorder="1" applyAlignment="1">
      <alignment horizontal="right" vertical="center"/>
    </xf>
    <xf numFmtId="0" fontId="20" fillId="0" borderId="0" xfId="0" applyFont="1" applyBorder="1" applyAlignment="1">
      <alignment horizontal="right" vertical="center"/>
    </xf>
    <xf numFmtId="2" fontId="0" fillId="0" borderId="0" xfId="0" applyNumberFormat="1" applyAlignment="1">
      <alignment horizontal="right" vertical="center"/>
    </xf>
    <xf numFmtId="43" fontId="21" fillId="0" borderId="0" xfId="0" applyNumberFormat="1" applyFont="1" applyFill="1" applyBorder="1" applyAlignment="1">
      <alignment horizontal="right" vertical="center"/>
    </xf>
    <xf numFmtId="0" fontId="20" fillId="0" borderId="0" xfId="0" applyFont="1" applyFill="1" applyBorder="1" applyAlignment="1">
      <alignment horizontal="right" vertical="center"/>
    </xf>
    <xf numFmtId="0" fontId="22" fillId="0" borderId="0" xfId="0" applyFont="1" applyFill="1" applyBorder="1" applyAlignment="1">
      <alignment horizontal="right" vertical="center"/>
    </xf>
    <xf numFmtId="43" fontId="0" fillId="0" borderId="0" xfId="1" applyFont="1" applyAlignment="1">
      <alignment horizontal="center" vertical="center"/>
    </xf>
    <xf numFmtId="43" fontId="17" fillId="0" borderId="8" xfId="1" applyFont="1" applyBorder="1" applyAlignment="1">
      <alignment horizontal="center" vertical="center"/>
    </xf>
    <xf numFmtId="0" fontId="18" fillId="5" borderId="1" xfId="0" applyFont="1" applyFill="1" applyBorder="1" applyAlignment="1">
      <alignment horizontal="center" vertical="center"/>
    </xf>
    <xf numFmtId="0" fontId="18" fillId="5" borderId="1" xfId="0" applyFont="1" applyFill="1" applyBorder="1" applyAlignment="1">
      <alignment horizontal="center" vertical="center" wrapText="1"/>
    </xf>
    <xf numFmtId="0" fontId="0" fillId="0" borderId="0" xfId="0" applyAlignment="1">
      <alignment vertical="center" wrapText="1"/>
    </xf>
    <xf numFmtId="0" fontId="28" fillId="0" borderId="0" xfId="0" applyFont="1" applyAlignment="1">
      <alignment vertical="center"/>
    </xf>
    <xf numFmtId="0" fontId="28" fillId="0" borderId="0" xfId="0" applyFont="1"/>
    <xf numFmtId="0" fontId="29" fillId="0" borderId="0" xfId="3"/>
    <xf numFmtId="164" fontId="7" fillId="0" borderId="1" xfId="2" applyNumberFormat="1" applyFont="1" applyBorder="1" applyAlignment="1">
      <alignment horizontal="center" vertical="center"/>
    </xf>
    <xf numFmtId="0" fontId="10" fillId="5" borderId="1" xfId="0" applyFont="1" applyFill="1" applyBorder="1" applyAlignment="1">
      <alignment horizontal="center" vertical="center"/>
    </xf>
    <xf numFmtId="0" fontId="8" fillId="5" borderId="1" xfId="0" applyFont="1" applyFill="1" applyBorder="1" applyAlignment="1">
      <alignment horizontal="center" vertical="center"/>
    </xf>
    <xf numFmtId="43" fontId="10" fillId="0" borderId="1" xfId="1" applyFont="1" applyBorder="1" applyAlignment="1">
      <alignment horizontal="center" vertical="center"/>
    </xf>
    <xf numFmtId="43" fontId="10" fillId="7" borderId="1" xfId="1" applyFont="1" applyFill="1" applyBorder="1" applyAlignment="1">
      <alignment horizontal="center" vertical="center"/>
    </xf>
    <xf numFmtId="43" fontId="12" fillId="2" borderId="1" xfId="1" applyFont="1" applyFill="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9" fontId="10" fillId="0" borderId="0" xfId="0" applyNumberFormat="1" applyFont="1" applyAlignment="1">
      <alignment horizontal="center" vertical="center"/>
    </xf>
    <xf numFmtId="10" fontId="10" fillId="0" borderId="0" xfId="0" applyNumberFormat="1" applyFont="1" applyAlignment="1">
      <alignment horizontal="center" vertical="center"/>
    </xf>
    <xf numFmtId="0" fontId="22" fillId="0" borderId="18" xfId="0" applyFont="1" applyBorder="1" applyAlignment="1">
      <alignment horizontal="center" vertical="center" wrapText="1"/>
    </xf>
    <xf numFmtId="0" fontId="30" fillId="0" borderId="0" xfId="0" applyFont="1" applyAlignment="1">
      <alignment horizontal="center" vertical="center"/>
    </xf>
    <xf numFmtId="0" fontId="26" fillId="2" borderId="1" xfId="0" applyFont="1" applyFill="1" applyBorder="1" applyAlignment="1">
      <alignment vertical="center"/>
    </xf>
    <xf numFmtId="0" fontId="26" fillId="2" borderId="1" xfId="0" applyFont="1" applyFill="1" applyBorder="1" applyAlignment="1">
      <alignment horizontal="center" vertical="center" wrapText="1"/>
    </xf>
    <xf numFmtId="0" fontId="21" fillId="0" borderId="1" xfId="0" applyFont="1" applyBorder="1" applyAlignment="1">
      <alignment vertical="center"/>
    </xf>
    <xf numFmtId="0" fontId="20" fillId="0" borderId="1" xfId="0" applyFont="1" applyBorder="1"/>
    <xf numFmtId="0" fontId="20" fillId="0" borderId="1" xfId="0" applyFont="1" applyBorder="1" applyAlignment="1">
      <alignment vertical="center"/>
    </xf>
    <xf numFmtId="0" fontId="22" fillId="0" borderId="1" xfId="0" applyFont="1" applyBorder="1" applyAlignment="1">
      <alignment horizontal="center" vertical="center"/>
    </xf>
    <xf numFmtId="0" fontId="22" fillId="0" borderId="1" xfId="0" applyFont="1" applyBorder="1" applyAlignment="1">
      <alignment vertical="center"/>
    </xf>
    <xf numFmtId="0" fontId="21" fillId="10" borderId="1" xfId="0" applyFont="1" applyFill="1" applyBorder="1" applyAlignment="1">
      <alignment vertical="center"/>
    </xf>
    <xf numFmtId="43" fontId="22" fillId="0" borderId="1" xfId="1" applyFont="1" applyBorder="1" applyAlignment="1">
      <alignment horizontal="center" vertical="center"/>
    </xf>
    <xf numFmtId="43" fontId="21" fillId="10" borderId="1" xfId="1" applyFont="1" applyFill="1" applyBorder="1" applyAlignment="1">
      <alignment horizontal="center" vertical="center"/>
    </xf>
    <xf numFmtId="43" fontId="20" fillId="0" borderId="1" xfId="1" applyFont="1" applyBorder="1" applyAlignment="1">
      <alignment vertical="center"/>
    </xf>
    <xf numFmtId="43" fontId="26" fillId="2" borderId="1" xfId="1" applyFont="1" applyFill="1" applyBorder="1" applyAlignment="1">
      <alignment horizontal="center" vertical="center"/>
    </xf>
    <xf numFmtId="43" fontId="22" fillId="0" borderId="1" xfId="1" applyFont="1" applyBorder="1" applyAlignment="1">
      <alignment vertical="center"/>
    </xf>
    <xf numFmtId="43" fontId="21" fillId="0" borderId="1" xfId="1" applyFont="1" applyBorder="1" applyAlignment="1">
      <alignment horizontal="center" vertical="center"/>
    </xf>
    <xf numFmtId="43" fontId="32" fillId="0" borderId="1" xfId="1" applyFont="1" applyBorder="1" applyAlignment="1">
      <alignment horizontal="center" vertical="center"/>
    </xf>
    <xf numFmtId="43" fontId="0" fillId="0" borderId="0" xfId="1" applyFont="1"/>
    <xf numFmtId="43" fontId="17" fillId="0" borderId="0" xfId="1" applyFont="1"/>
    <xf numFmtId="0" fontId="26" fillId="2" borderId="19" xfId="0" applyFont="1" applyFill="1" applyBorder="1" applyAlignment="1">
      <alignment vertical="center"/>
    </xf>
    <xf numFmtId="0" fontId="26" fillId="2" borderId="20" xfId="0" applyFont="1" applyFill="1" applyBorder="1" applyAlignment="1">
      <alignment horizontal="center" vertical="center"/>
    </xf>
    <xf numFmtId="0" fontId="22" fillId="0" borderId="18" xfId="0" applyFont="1" applyBorder="1" applyAlignment="1">
      <alignment vertical="center"/>
    </xf>
    <xf numFmtId="0" fontId="21" fillId="10" borderId="18" xfId="0" applyFont="1" applyFill="1" applyBorder="1" applyAlignment="1">
      <alignment vertical="center"/>
    </xf>
    <xf numFmtId="0" fontId="21" fillId="10" borderId="17" xfId="0" applyFont="1" applyFill="1" applyBorder="1" applyAlignment="1">
      <alignment horizontal="center" vertical="center"/>
    </xf>
    <xf numFmtId="43" fontId="22" fillId="0" borderId="17" xfId="0" applyNumberFormat="1" applyFont="1" applyBorder="1" applyAlignment="1">
      <alignment horizontal="center" vertical="center"/>
    </xf>
    <xf numFmtId="0" fontId="34" fillId="2" borderId="0" xfId="0" applyFont="1" applyFill="1" applyAlignment="1">
      <alignment vertical="center" wrapText="1"/>
    </xf>
    <xf numFmtId="0" fontId="34" fillId="2" borderId="0" xfId="0" applyFont="1" applyFill="1" applyAlignment="1">
      <alignment horizontal="center" vertical="center" wrapText="1"/>
    </xf>
    <xf numFmtId="4" fontId="32" fillId="0" borderId="0" xfId="0" applyNumberFormat="1" applyFont="1" applyAlignment="1">
      <alignment horizontal="center" vertical="center" wrapText="1"/>
    </xf>
    <xf numFmtId="0" fontId="35" fillId="13" borderId="0" xfId="0" applyFont="1" applyFill="1" applyAlignment="1">
      <alignment horizontal="left" wrapText="1"/>
    </xf>
    <xf numFmtId="0" fontId="32" fillId="13" borderId="0" xfId="0" applyFont="1" applyFill="1" applyAlignment="1">
      <alignment vertical="center" wrapText="1"/>
    </xf>
    <xf numFmtId="10" fontId="17" fillId="8" borderId="0" xfId="0" applyNumberFormat="1" applyFont="1" applyFill="1" applyAlignment="1">
      <alignment horizontal="center" vertical="center"/>
    </xf>
    <xf numFmtId="1" fontId="35" fillId="13" borderId="0" xfId="0" applyNumberFormat="1" applyFont="1" applyFill="1" applyAlignment="1">
      <alignment horizontal="center" vertical="center" wrapText="1"/>
    </xf>
    <xf numFmtId="0" fontId="2" fillId="2" borderId="0" xfId="0" applyFont="1" applyFill="1" applyAlignment="1">
      <alignment horizontal="left"/>
    </xf>
    <xf numFmtId="1" fontId="2" fillId="2" borderId="0" xfId="0" applyNumberFormat="1" applyFont="1" applyFill="1" applyAlignment="1">
      <alignment horizontal="center" vertical="center"/>
    </xf>
    <xf numFmtId="0" fontId="33" fillId="2" borderId="0" xfId="0" applyFont="1" applyFill="1"/>
    <xf numFmtId="0" fontId="0" fillId="0" borderId="0" xfId="0" applyAlignment="1">
      <alignment horizontal="left"/>
    </xf>
    <xf numFmtId="0" fontId="2" fillId="2" borderId="0" xfId="0" applyFont="1" applyFill="1" applyAlignment="1">
      <alignment horizontal="center" vertical="center" wrapText="1"/>
    </xf>
    <xf numFmtId="0" fontId="32" fillId="0" borderId="0" xfId="0" applyFont="1" applyAlignment="1">
      <alignment horizontal="left" vertical="top" wrapText="1"/>
    </xf>
    <xf numFmtId="43" fontId="2" fillId="2" borderId="0" xfId="1" applyFont="1" applyFill="1" applyAlignment="1">
      <alignment horizontal="center" vertical="center"/>
    </xf>
    <xf numFmtId="0" fontId="18" fillId="12" borderId="0" xfId="0" applyFont="1" applyFill="1" applyAlignment="1">
      <alignment horizontal="center" vertical="center"/>
    </xf>
    <xf numFmtId="0" fontId="34" fillId="2" borderId="0" xfId="0" applyFont="1" applyFill="1" applyAlignment="1">
      <alignment horizontal="center" vertical="center" wrapText="1"/>
    </xf>
    <xf numFmtId="0" fontId="2" fillId="11" borderId="0" xfId="0" applyFont="1" applyFill="1" applyAlignment="1">
      <alignment horizontal="left" vertical="center"/>
    </xf>
    <xf numFmtId="0" fontId="34" fillId="2" borderId="0" xfId="0" applyFont="1" applyFill="1" applyAlignment="1">
      <alignment horizontal="center" vertical="center" wrapText="1"/>
    </xf>
    <xf numFmtId="0" fontId="0" fillId="0" borderId="0" xfId="0" applyAlignment="1">
      <alignment horizontal="left" vertical="center"/>
    </xf>
    <xf numFmtId="0" fontId="17" fillId="8" borderId="0" xfId="0" applyFont="1" applyFill="1" applyAlignment="1">
      <alignment horizontal="left" vertical="center" wrapText="1"/>
    </xf>
    <xf numFmtId="0" fontId="15" fillId="2" borderId="9" xfId="0" applyFont="1" applyFill="1" applyBorder="1" applyAlignment="1">
      <alignment horizontal="center" vertical="center"/>
    </xf>
    <xf numFmtId="0" fontId="15" fillId="2" borderId="8" xfId="0" applyFont="1" applyFill="1" applyBorder="1" applyAlignment="1">
      <alignment horizontal="center" vertical="center"/>
    </xf>
    <xf numFmtId="43" fontId="6" fillId="2" borderId="1" xfId="1" applyFont="1" applyFill="1" applyBorder="1" applyAlignment="1">
      <alignment horizontal="center" vertical="center" wrapText="1"/>
    </xf>
    <xf numFmtId="43" fontId="7" fillId="4" borderId="1" xfId="1" applyFont="1" applyFill="1" applyBorder="1" applyAlignment="1">
      <alignment horizontal="center" vertical="center"/>
    </xf>
    <xf numFmtId="0" fontId="8" fillId="5" borderId="1" xfId="0" applyFont="1" applyFill="1" applyBorder="1" applyAlignment="1">
      <alignment horizont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1" xfId="0" applyFont="1" applyFill="1" applyBorder="1" applyAlignment="1">
      <alignment vertical="center"/>
    </xf>
    <xf numFmtId="0" fontId="17" fillId="5" borderId="1" xfId="0" applyFont="1" applyFill="1" applyBorder="1" applyAlignment="1">
      <alignment horizontal="center" vertical="center"/>
    </xf>
    <xf numFmtId="0" fontId="2" fillId="2" borderId="0" xfId="0" applyFont="1" applyFill="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32" fillId="0" borderId="0" xfId="0" applyFont="1" applyFill="1" applyAlignment="1">
      <alignment horizontal="left" wrapText="1"/>
    </xf>
    <xf numFmtId="4" fontId="32" fillId="0" borderId="0" xfId="0" applyNumberFormat="1" applyFont="1" applyFill="1" applyAlignment="1">
      <alignment horizontal="center" vertical="center" wrapText="1"/>
    </xf>
    <xf numFmtId="0" fontId="32" fillId="0" borderId="0" xfId="0" applyFont="1" applyFill="1" applyAlignment="1">
      <alignment vertical="center" wrapText="1"/>
    </xf>
    <xf numFmtId="0" fontId="35" fillId="5" borderId="0" xfId="0" applyFont="1" applyFill="1" applyAlignment="1">
      <alignment horizontal="left" wrapText="1"/>
    </xf>
    <xf numFmtId="4" fontId="35" fillId="5" borderId="0" xfId="0" applyNumberFormat="1" applyFont="1" applyFill="1" applyAlignment="1">
      <alignment horizontal="center" vertical="center" wrapText="1"/>
    </xf>
    <xf numFmtId="0" fontId="32" fillId="5" borderId="0" xfId="0" applyFont="1" applyFill="1" applyAlignment="1">
      <alignment vertical="center" wrapText="1"/>
    </xf>
    <xf numFmtId="43" fontId="35" fillId="5" borderId="0" xfId="1" applyFont="1" applyFill="1" applyAlignment="1">
      <alignment horizontal="center" vertical="center"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1">
                <a:solidFill>
                  <a:schemeClr val="bg1"/>
                </a:solidFill>
              </a:rPr>
              <a:t>EBITDA Margin %</a:t>
            </a:r>
          </a:p>
        </c:rich>
      </c:tx>
      <c:layout>
        <c:manualLayout>
          <c:xMode val="edge"/>
          <c:yMode val="edge"/>
          <c:x val="0.41598887418143637"/>
          <c:y val="3.5928132419214352E-2"/>
        </c:manualLayout>
      </c:layout>
      <c:overlay val="0"/>
      <c:spPr>
        <a:solidFill>
          <a:srgbClr val="002060"/>
        </a:solid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'Historical P&amp;L'!$B$36</c:f>
              <c:strCache>
                <c:ptCount val="1"/>
                <c:pt idx="0">
                  <c:v>EBITDA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'Historical P&amp;L'!$C$34:$L$34</c:f>
              <c:numCache>
                <c:formatCode>"FY"\ 0\ "A"</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'Historical P&amp;L'!$C$36:$L$36</c:f>
              <c:numCache>
                <c:formatCode>0.00%</c:formatCode>
                <c:ptCount val="10"/>
                <c:pt idx="0">
                  <c:v>0.7086717317264869</c:v>
                </c:pt>
                <c:pt idx="1">
                  <c:v>0.74786220376252133</c:v>
                </c:pt>
                <c:pt idx="2">
                  <c:v>0.70954750059227678</c:v>
                </c:pt>
                <c:pt idx="3">
                  <c:v>0.76338132152085636</c:v>
                </c:pt>
                <c:pt idx="4">
                  <c:v>0.43563988095238093</c:v>
                </c:pt>
                <c:pt idx="5">
                  <c:v>0.40566483084185673</c:v>
                </c:pt>
                <c:pt idx="6">
                  <c:v>-1.4531435349940747E-2</c:v>
                </c:pt>
                <c:pt idx="7">
                  <c:v>0.29896528458367599</c:v>
                </c:pt>
                <c:pt idx="8">
                  <c:v>-6.672229255380363E-2</c:v>
                </c:pt>
                <c:pt idx="9">
                  <c:v>0.20922631425657207</c:v>
                </c:pt>
              </c:numCache>
            </c:numRef>
          </c:val>
          <c:extLst>
            <c:ext xmlns:c16="http://schemas.microsoft.com/office/drawing/2014/chart" uri="{C3380CC4-5D6E-409C-BE32-E72D297353CC}">
              <c16:uniqueId val="{00000001-A774-4D4B-B6B2-E8249CA6EF6C}"/>
            </c:ext>
          </c:extLst>
        </c:ser>
        <c:dLbls>
          <c:dLblPos val="outEnd"/>
          <c:showLegendKey val="0"/>
          <c:showVal val="1"/>
          <c:showCatName val="0"/>
          <c:showSerName val="0"/>
          <c:showPercent val="0"/>
          <c:showBubbleSize val="0"/>
        </c:dLbls>
        <c:gapWidth val="219"/>
        <c:overlap val="-27"/>
        <c:axId val="324100024"/>
        <c:axId val="324099632"/>
      </c:barChart>
      <c:catAx>
        <c:axId val="3241000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i="1" baseline="0"/>
                  <a:t>For Financial Year</a:t>
                </a:r>
                <a:endParaRPr lang="en-IN" b="1" i="1"/>
              </a:p>
            </c:rich>
          </c:tx>
          <c:layout>
            <c:manualLayout>
              <c:xMode val="edge"/>
              <c:yMode val="edge"/>
              <c:x val="0.46042373165266298"/>
              <c:y val="0.9153491708396841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FY&quot;\ 0\ &quot;A&quot;"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099632"/>
        <c:crosses val="autoZero"/>
        <c:auto val="1"/>
        <c:lblAlgn val="ctr"/>
        <c:lblOffset val="100"/>
        <c:noMultiLvlLbl val="1"/>
      </c:catAx>
      <c:valAx>
        <c:axId val="3240996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i="1"/>
                  <a:t>EBITDA Margin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1000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IN" sz="1200" b="1"/>
              <a:t>Enterprise Value</a:t>
            </a:r>
          </a:p>
        </c:rich>
      </c:tx>
      <c:overlay val="0"/>
      <c:spPr>
        <a:solidFill>
          <a:schemeClr val="accent3"/>
        </a:solid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'DCF, WACC &amp; SENSITIVITY'!$F$31</c:f>
              <c:strCache>
                <c:ptCount val="1"/>
              </c:strCache>
            </c:strRef>
          </c:tx>
          <c:spPr>
            <a:solidFill>
              <a:schemeClr val="accent1"/>
            </a:solidFill>
            <a:ln>
              <a:noFill/>
            </a:ln>
            <a:effectLst/>
          </c:spPr>
          <c:invertIfNegative val="0"/>
          <c:dLbls>
            <c:spPr>
              <a:solidFill>
                <a:schemeClr val="accent3"/>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'DCF, WACC &amp; SENSITIVITY'!$E$32:$E$35</c:f>
              <c:strCache>
                <c:ptCount val="4"/>
                <c:pt idx="1">
                  <c:v>Bullish Case</c:v>
                </c:pt>
                <c:pt idx="2">
                  <c:v>Base Case</c:v>
                </c:pt>
                <c:pt idx="3">
                  <c:v>Bearish Case</c:v>
                </c:pt>
              </c:strCache>
            </c:strRef>
          </c:cat>
          <c:val>
            <c:numRef>
              <c:f>'DCF, WACC &amp; SENSITIVITY'!$F$32:$F$35</c:f>
              <c:numCache>
                <c:formatCode>0.00%</c:formatCode>
                <c:ptCount val="4"/>
                <c:pt idx="1">
                  <c:v>0.14496497603220099</c:v>
                </c:pt>
                <c:pt idx="2">
                  <c:v>0.154964976032201</c:v>
                </c:pt>
                <c:pt idx="3">
                  <c:v>0.16496497603220101</c:v>
                </c:pt>
              </c:numCache>
            </c:numRef>
          </c:val>
          <c:extLst>
            <c:ext xmlns:c16="http://schemas.microsoft.com/office/drawing/2014/chart" uri="{C3380CC4-5D6E-409C-BE32-E72D297353CC}">
              <c16:uniqueId val="{00000000-3982-4A68-BBBE-8CBDE2502E56}"/>
            </c:ext>
          </c:extLst>
        </c:ser>
        <c:ser>
          <c:idx val="1"/>
          <c:order val="1"/>
          <c:tx>
            <c:strRef>
              <c:f>'DCF, WACC &amp; SENSITIVITY'!$G$31</c:f>
              <c:strCache>
                <c:ptCount val="1"/>
                <c:pt idx="0">
                  <c:v>Value</c:v>
                </c:pt>
              </c:strCache>
            </c:strRef>
          </c:tx>
          <c:spPr>
            <a:solidFill>
              <a:schemeClr val="accent6">
                <a:lumMod val="75000"/>
              </a:schemeClr>
            </a:solidFill>
            <a:ln>
              <a:noFill/>
            </a:ln>
            <a:effectLst/>
          </c:spPr>
          <c:invertIfNegative val="0"/>
          <c:dLbls>
            <c:spPr>
              <a:solidFill>
                <a:schemeClr val="accent3"/>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'DCF, WACC &amp; SENSITIVITY'!$E$32:$E$35</c:f>
              <c:strCache>
                <c:ptCount val="4"/>
                <c:pt idx="1">
                  <c:v>Bullish Case</c:v>
                </c:pt>
                <c:pt idx="2">
                  <c:v>Base Case</c:v>
                </c:pt>
                <c:pt idx="3">
                  <c:v>Bearish Case</c:v>
                </c:pt>
              </c:strCache>
            </c:strRef>
          </c:cat>
          <c:val>
            <c:numRef>
              <c:f>'DCF, WACC &amp; SENSITIVITY'!$G$32:$G$35</c:f>
              <c:numCache>
                <c:formatCode>General</c:formatCode>
                <c:ptCount val="4"/>
                <c:pt idx="1">
                  <c:v>36.770000000000003</c:v>
                </c:pt>
                <c:pt idx="2" formatCode="0.00">
                  <c:v>36.33</c:v>
                </c:pt>
                <c:pt idx="3" formatCode="0.00">
                  <c:v>35.9</c:v>
                </c:pt>
              </c:numCache>
            </c:numRef>
          </c:val>
          <c:extLst>
            <c:ext xmlns:c16="http://schemas.microsoft.com/office/drawing/2014/chart" uri="{C3380CC4-5D6E-409C-BE32-E72D297353CC}">
              <c16:uniqueId val="{00000001-3982-4A68-BBBE-8CBDE2502E56}"/>
            </c:ext>
          </c:extLst>
        </c:ser>
        <c:dLbls>
          <c:dLblPos val="outEnd"/>
          <c:showLegendKey val="0"/>
          <c:showVal val="1"/>
          <c:showCatName val="0"/>
          <c:showSerName val="0"/>
          <c:showPercent val="0"/>
          <c:showBubbleSize val="0"/>
        </c:dLbls>
        <c:gapWidth val="219"/>
        <c:overlap val="-27"/>
        <c:axId val="290571264"/>
        <c:axId val="290571656"/>
      </c:barChart>
      <c:catAx>
        <c:axId val="29057126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IN" b="1"/>
                  <a:t>Discount Rate</a:t>
                </a:r>
              </a:p>
            </c:rich>
          </c:tx>
          <c:layout>
            <c:manualLayout>
              <c:xMode val="edge"/>
              <c:yMode val="edge"/>
              <c:x val="0.47287243023661257"/>
              <c:y val="0.90953201025310437"/>
            </c:manualLayout>
          </c:layout>
          <c:overlay val="0"/>
          <c:spPr>
            <a:solidFill>
              <a:schemeClr val="accent3"/>
            </a:solid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0571656"/>
        <c:crosses val="autoZero"/>
        <c:auto val="1"/>
        <c:lblAlgn val="ctr"/>
        <c:lblOffset val="100"/>
        <c:noMultiLvlLbl val="0"/>
      </c:catAx>
      <c:valAx>
        <c:axId val="2905716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IN" b="1"/>
                  <a:t>EV</a:t>
                </a:r>
              </a:p>
            </c:rich>
          </c:tx>
          <c:overlay val="0"/>
          <c:spPr>
            <a:solidFill>
              <a:schemeClr val="accent3"/>
            </a:solid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0571264"/>
        <c:crosses val="autoZero"/>
        <c:crossBetween val="between"/>
      </c:valAx>
      <c:spPr>
        <a:noFill/>
        <a:ln>
          <a:noFill/>
        </a:ln>
        <a:effectLst/>
      </c:spPr>
    </c:plotArea>
    <c:plotVisOnly val="1"/>
    <c:dispBlanksAs val="gap"/>
    <c:showDLblsOverMax val="0"/>
  </c:chart>
  <c:spPr>
    <a:solidFill>
      <a:srgbClr val="002060"/>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solidFill>
                  <a:schemeClr val="bg1"/>
                </a:solidFill>
              </a:rPr>
              <a:t>EBIT Margin %</a:t>
            </a:r>
          </a:p>
        </c:rich>
      </c:tx>
      <c:layout>
        <c:manualLayout>
          <c:xMode val="edge"/>
          <c:yMode val="edge"/>
          <c:x val="0.41784309552720855"/>
          <c:y val="3.6199089290453512E-2"/>
        </c:manualLayout>
      </c:layout>
      <c:overlay val="0"/>
      <c:spPr>
        <a:solidFill>
          <a:srgbClr val="00206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'Historical P&amp;L'!$B$37</c:f>
              <c:strCache>
                <c:ptCount val="1"/>
                <c:pt idx="0">
                  <c:v>EBIT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'Historical P&amp;L'!$C$34:$L$34</c:f>
              <c:numCache>
                <c:formatCode>"FY"\ 0\ "A"</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'Historical P&amp;L'!$C$37:$L$37</c:f>
              <c:numCache>
                <c:formatCode>0.00%</c:formatCode>
                <c:ptCount val="10"/>
                <c:pt idx="0">
                  <c:v>0.42939481268011537</c:v>
                </c:pt>
                <c:pt idx="1">
                  <c:v>0.42022966039579768</c:v>
                </c:pt>
                <c:pt idx="2">
                  <c:v>0.28334517886756705</c:v>
                </c:pt>
                <c:pt idx="3">
                  <c:v>0.4693613879660391</c:v>
                </c:pt>
                <c:pt idx="4">
                  <c:v>0.15438988095238093</c:v>
                </c:pt>
                <c:pt idx="5">
                  <c:v>2.6907946498819731E-2</c:v>
                </c:pt>
                <c:pt idx="6">
                  <c:v>-0.39383155397390279</c:v>
                </c:pt>
                <c:pt idx="7">
                  <c:v>1.5612826334270672E-2</c:v>
                </c:pt>
                <c:pt idx="8">
                  <c:v>-0.46069941781324775</c:v>
                </c:pt>
                <c:pt idx="9">
                  <c:v>-9.780530748587786E-2</c:v>
                </c:pt>
              </c:numCache>
            </c:numRef>
          </c:val>
          <c:extLst>
            <c:ext xmlns:c16="http://schemas.microsoft.com/office/drawing/2014/chart" uri="{C3380CC4-5D6E-409C-BE32-E72D297353CC}">
              <c16:uniqueId val="{00000001-0AB3-4894-85A4-7EC869E18E49}"/>
            </c:ext>
          </c:extLst>
        </c:ser>
        <c:dLbls>
          <c:dLblPos val="outEnd"/>
          <c:showLegendKey val="0"/>
          <c:showVal val="1"/>
          <c:showCatName val="0"/>
          <c:showSerName val="0"/>
          <c:showPercent val="0"/>
          <c:showBubbleSize val="0"/>
        </c:dLbls>
        <c:gapWidth val="219"/>
        <c:overlap val="-27"/>
        <c:axId val="324100808"/>
        <c:axId val="324103160"/>
      </c:barChart>
      <c:catAx>
        <c:axId val="3241008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i="1"/>
                  <a:t>For Financial year</a:t>
                </a:r>
              </a:p>
            </c:rich>
          </c:tx>
          <c:layout>
            <c:manualLayout>
              <c:xMode val="edge"/>
              <c:yMode val="edge"/>
              <c:x val="0.51312571706979737"/>
              <c:y val="0.9189455187568815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FY&quot;\ 0\ &quot;A&quot;"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103160"/>
        <c:crosses val="autoZero"/>
        <c:auto val="1"/>
        <c:lblAlgn val="ctr"/>
        <c:lblOffset val="100"/>
        <c:noMultiLvlLbl val="1"/>
      </c:catAx>
      <c:valAx>
        <c:axId val="324103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i="1"/>
                  <a:t>EBIT Margin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100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2812587665194851"/>
          <c:y val="3.3385492689037136E-2"/>
        </c:manualLayout>
      </c:layout>
      <c:overlay val="0"/>
      <c:spPr>
        <a:solidFill>
          <a:srgbClr val="002060"/>
        </a:solidFill>
        <a:ln>
          <a:noFill/>
        </a:ln>
        <a:effectLst/>
      </c:spPr>
      <c:txPr>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'Historical P&amp;L'!$B$38</c:f>
              <c:strCache>
                <c:ptCount val="1"/>
                <c:pt idx="0">
                  <c:v>PAT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'Historical P&amp;L'!$C$34:$L$34</c:f>
              <c:numCache>
                <c:formatCode>"FY"\ 0\ "A"</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'Historical P&amp;L'!$C$38:$L$38</c:f>
              <c:numCache>
                <c:formatCode>0.00%</c:formatCode>
                <c:ptCount val="10"/>
                <c:pt idx="0">
                  <c:v>-6.5479304044225532E-3</c:v>
                </c:pt>
                <c:pt idx="1">
                  <c:v>-4.4052734585437797E-3</c:v>
                </c:pt>
                <c:pt idx="2">
                  <c:v>-0.28002842928216054</c:v>
                </c:pt>
                <c:pt idx="3">
                  <c:v>7.0690291620524148E-2</c:v>
                </c:pt>
                <c:pt idx="4">
                  <c:v>-0.10267857142857145</c:v>
                </c:pt>
                <c:pt idx="5">
                  <c:v>-0.12604248623131403</c:v>
                </c:pt>
                <c:pt idx="6">
                  <c:v>-0.42037366548042709</c:v>
                </c:pt>
                <c:pt idx="7">
                  <c:v>-1.1160742867555471E-2</c:v>
                </c:pt>
                <c:pt idx="8">
                  <c:v>-0.52362479710771836</c:v>
                </c:pt>
                <c:pt idx="9">
                  <c:v>-0.19757865882964912</c:v>
                </c:pt>
              </c:numCache>
            </c:numRef>
          </c:val>
          <c:extLst>
            <c:ext xmlns:c16="http://schemas.microsoft.com/office/drawing/2014/chart" uri="{C3380CC4-5D6E-409C-BE32-E72D297353CC}">
              <c16:uniqueId val="{00000001-A0D8-4A54-893D-DD5B25BA6EBC}"/>
            </c:ext>
          </c:extLst>
        </c:ser>
        <c:dLbls>
          <c:dLblPos val="outEnd"/>
          <c:showLegendKey val="0"/>
          <c:showVal val="1"/>
          <c:showCatName val="0"/>
          <c:showSerName val="0"/>
          <c:showPercent val="0"/>
          <c:showBubbleSize val="0"/>
        </c:dLbls>
        <c:gapWidth val="219"/>
        <c:overlap val="-27"/>
        <c:axId val="324103944"/>
        <c:axId val="324099240"/>
      </c:barChart>
      <c:catAx>
        <c:axId val="324103944"/>
        <c:scaling>
          <c:orientation val="minMax"/>
        </c:scaling>
        <c:delete val="0"/>
        <c:axPos val="b"/>
        <c:title>
          <c:tx>
            <c:rich>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For Financial Year</a:t>
                </a:r>
              </a:p>
            </c:rich>
          </c:tx>
          <c:layout>
            <c:manualLayout>
              <c:xMode val="edge"/>
              <c:yMode val="edge"/>
              <c:x val="0.50958923692371538"/>
              <c:y val="0.92355840014291857"/>
            </c:manualLayout>
          </c:layout>
          <c:overlay val="0"/>
          <c:spPr>
            <a:noFill/>
            <a:ln>
              <a:noFill/>
            </a:ln>
            <a:effectLst/>
          </c:spPr>
          <c:txPr>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quot;FY&quot;\ 0\ &quot;A&quot;"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099240"/>
        <c:crosses val="autoZero"/>
        <c:auto val="1"/>
        <c:lblAlgn val="ctr"/>
        <c:lblOffset val="100"/>
        <c:noMultiLvlLbl val="1"/>
      </c:catAx>
      <c:valAx>
        <c:axId val="3240992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PAT Margin %</a:t>
                </a:r>
              </a:p>
            </c:rich>
          </c:tx>
          <c:layout>
            <c:manualLayout>
              <c:xMode val="edge"/>
              <c:yMode val="edge"/>
              <c:x val="1.5617374328940947E-2"/>
              <c:y val="0.40252731384813828"/>
            </c:manualLayout>
          </c:layout>
          <c:overlay val="0"/>
          <c:spPr>
            <a:noFill/>
            <a:ln>
              <a:noFill/>
            </a:ln>
            <a:effectLst/>
          </c:spPr>
          <c:txPr>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103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6086491895662332"/>
          <c:y val="3.0962743225909476E-2"/>
        </c:manualLayout>
      </c:layout>
      <c:overlay val="0"/>
      <c:spPr>
        <a:solidFill>
          <a:srgbClr val="002060"/>
        </a:solidFill>
        <a:ln>
          <a:noFill/>
        </a:ln>
        <a:effectLst/>
      </c:spPr>
      <c:txPr>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'Historical P&amp;L'!$B$39</c:f>
              <c:strCache>
                <c:ptCount val="1"/>
                <c:pt idx="0">
                  <c:v>Revenue growth Rate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'Historical P&amp;L'!$C$34:$L$34</c:f>
              <c:numCache>
                <c:formatCode>"FY"\ 0\ "A"</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'Historical P&amp;L'!$C$39:$L$39</c:f>
              <c:numCache>
                <c:formatCode>0.00%</c:formatCode>
                <c:ptCount val="10"/>
                <c:pt idx="1">
                  <c:v>7.2308095362850322E-2</c:v>
                </c:pt>
                <c:pt idx="2">
                  <c:v>3.1272904959687375E-2</c:v>
                </c:pt>
                <c:pt idx="3">
                  <c:v>0.28358208955223874</c:v>
                </c:pt>
                <c:pt idx="4">
                  <c:v>-7.7519379844961378E-3</c:v>
                </c:pt>
                <c:pt idx="5">
                  <c:v>0.18210565476190466</c:v>
                </c:pt>
                <c:pt idx="6">
                  <c:v>6.1211644374508323E-2</c:v>
                </c:pt>
                <c:pt idx="7">
                  <c:v>0.50541963226571762</c:v>
                </c:pt>
                <c:pt idx="8">
                  <c:v>-7.2208459943560177E-3</c:v>
                </c:pt>
                <c:pt idx="9">
                  <c:v>-0.17222826324206986</c:v>
                </c:pt>
              </c:numCache>
            </c:numRef>
          </c:val>
          <c:extLst>
            <c:ext xmlns:c16="http://schemas.microsoft.com/office/drawing/2014/chart" uri="{C3380CC4-5D6E-409C-BE32-E72D297353CC}">
              <c16:uniqueId val="{00000001-CDA5-4A57-A55D-12EAD075069A}"/>
            </c:ext>
          </c:extLst>
        </c:ser>
        <c:dLbls>
          <c:dLblPos val="outEnd"/>
          <c:showLegendKey val="0"/>
          <c:showVal val="1"/>
          <c:showCatName val="0"/>
          <c:showSerName val="0"/>
          <c:showPercent val="0"/>
          <c:showBubbleSize val="0"/>
        </c:dLbls>
        <c:gapWidth val="219"/>
        <c:overlap val="-27"/>
        <c:axId val="325666616"/>
        <c:axId val="325668968"/>
      </c:barChart>
      <c:catAx>
        <c:axId val="325666616"/>
        <c:scaling>
          <c:orientation val="minMax"/>
        </c:scaling>
        <c:delete val="0"/>
        <c:axPos val="b"/>
        <c:title>
          <c:tx>
            <c:rich>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Financial Year</a:t>
                </a:r>
              </a:p>
            </c:rich>
          </c:tx>
          <c:layout>
            <c:manualLayout>
              <c:xMode val="edge"/>
              <c:yMode val="edge"/>
              <c:x val="0.48569014158441448"/>
              <c:y val="0.91018854055464149"/>
            </c:manualLayout>
          </c:layout>
          <c:overlay val="0"/>
          <c:spPr>
            <a:noFill/>
            <a:ln>
              <a:noFill/>
            </a:ln>
            <a:effectLst/>
          </c:spPr>
          <c:txPr>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quot;FY&quot;\ 0\ &quot;A&quot;"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5668968"/>
        <c:crosses val="autoZero"/>
        <c:auto val="1"/>
        <c:lblAlgn val="ctr"/>
        <c:lblOffset val="100"/>
        <c:noMultiLvlLbl val="1"/>
      </c:catAx>
      <c:valAx>
        <c:axId val="325668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Growth %</a:t>
                </a:r>
              </a:p>
            </c:rich>
          </c:tx>
          <c:layout>
            <c:manualLayout>
              <c:xMode val="edge"/>
              <c:yMode val="edge"/>
              <c:x val="2.320674719978285E-2"/>
              <c:y val="0.41138819447894059"/>
            </c:manualLayout>
          </c:layout>
          <c:overlay val="0"/>
          <c:spPr>
            <a:noFill/>
            <a:ln>
              <a:noFill/>
            </a:ln>
            <a:effectLst/>
          </c:spPr>
          <c:txPr>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56666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IN"/>
              <a:t>Key Financial Ratios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lineChart>
        <c:grouping val="standard"/>
        <c:varyColors val="0"/>
        <c:ser>
          <c:idx val="0"/>
          <c:order val="0"/>
          <c:tx>
            <c:strRef>
              <c:f>'Historical P&amp;L'!$B$36</c:f>
              <c:strCache>
                <c:ptCount val="1"/>
                <c:pt idx="0">
                  <c:v>EBITDA Margin %</c:v>
                </c:pt>
              </c:strCache>
            </c:strRef>
          </c:tx>
          <c:spPr>
            <a:ln w="34925" cap="rnd">
              <a:solidFill>
                <a:schemeClr val="accent1"/>
              </a:solidFill>
              <a:round/>
            </a:ln>
            <a:effectLst>
              <a:outerShdw blurRad="40000" dist="23000" dir="5400000" rotWithShape="0">
                <a:srgbClr val="000000">
                  <a:alpha val="35000"/>
                </a:srgbClr>
              </a:outerShdw>
            </a:effectLst>
          </c:spPr>
          <c:marker>
            <c:symbol val="none"/>
          </c:marker>
          <c:cat>
            <c:strRef>
              <c:f>'Historical P&amp;L'!$C$34:$M$34</c:f>
              <c:strCache>
                <c:ptCount val="11"/>
                <c:pt idx="0">
                  <c:v>FY 2015 A</c:v>
                </c:pt>
                <c:pt idx="1">
                  <c:v>FY 2016 A</c:v>
                </c:pt>
                <c:pt idx="2">
                  <c:v>FY 2017 A</c:v>
                </c:pt>
                <c:pt idx="3">
                  <c:v>FY 2018 A</c:v>
                </c:pt>
                <c:pt idx="4">
                  <c:v>FY 2019 A</c:v>
                </c:pt>
                <c:pt idx="5">
                  <c:v>FY 2020 A</c:v>
                </c:pt>
                <c:pt idx="6">
                  <c:v>FY 2021 A</c:v>
                </c:pt>
                <c:pt idx="7">
                  <c:v>FY 2022 A</c:v>
                </c:pt>
                <c:pt idx="8">
                  <c:v>FY 2023 A</c:v>
                </c:pt>
                <c:pt idx="9">
                  <c:v>FY 2024 A</c:v>
                </c:pt>
                <c:pt idx="10">
                  <c:v>Sept 24 P</c:v>
                </c:pt>
              </c:strCache>
            </c:strRef>
          </c:cat>
          <c:val>
            <c:numRef>
              <c:f>'Historical P&amp;L'!$C$36:$M$36</c:f>
              <c:numCache>
                <c:formatCode>0.00%</c:formatCode>
                <c:ptCount val="11"/>
                <c:pt idx="0">
                  <c:v>0.7086717317264869</c:v>
                </c:pt>
                <c:pt idx="1">
                  <c:v>0.74786220376252133</c:v>
                </c:pt>
                <c:pt idx="2">
                  <c:v>0.70954750059227678</c:v>
                </c:pt>
                <c:pt idx="3">
                  <c:v>0.76338132152085636</c:v>
                </c:pt>
                <c:pt idx="4">
                  <c:v>0.43563988095238093</c:v>
                </c:pt>
                <c:pt idx="5">
                  <c:v>0.40566483084185673</c:v>
                </c:pt>
                <c:pt idx="6">
                  <c:v>-1.4531435349940747E-2</c:v>
                </c:pt>
                <c:pt idx="7">
                  <c:v>0.29896528458367599</c:v>
                </c:pt>
                <c:pt idx="8">
                  <c:v>-6.672229255380363E-2</c:v>
                </c:pt>
                <c:pt idx="9">
                  <c:v>0.20922631425657207</c:v>
                </c:pt>
                <c:pt idx="10">
                  <c:v>0.40970735189150609</c:v>
                </c:pt>
              </c:numCache>
            </c:numRef>
          </c:val>
          <c:smooth val="0"/>
          <c:extLst>
            <c:ext xmlns:c16="http://schemas.microsoft.com/office/drawing/2014/chart" uri="{C3380CC4-5D6E-409C-BE32-E72D297353CC}">
              <c16:uniqueId val="{00000000-9CF3-435B-A81E-384E8D258BA5}"/>
            </c:ext>
          </c:extLst>
        </c:ser>
        <c:ser>
          <c:idx val="1"/>
          <c:order val="1"/>
          <c:tx>
            <c:strRef>
              <c:f>'Historical P&amp;L'!$B$37</c:f>
              <c:strCache>
                <c:ptCount val="1"/>
                <c:pt idx="0">
                  <c:v>EBIT Margin %</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cat>
            <c:strRef>
              <c:f>'Historical P&amp;L'!$C$34:$M$34</c:f>
              <c:strCache>
                <c:ptCount val="11"/>
                <c:pt idx="0">
                  <c:v>FY 2015 A</c:v>
                </c:pt>
                <c:pt idx="1">
                  <c:v>FY 2016 A</c:v>
                </c:pt>
                <c:pt idx="2">
                  <c:v>FY 2017 A</c:v>
                </c:pt>
                <c:pt idx="3">
                  <c:v>FY 2018 A</c:v>
                </c:pt>
                <c:pt idx="4">
                  <c:v>FY 2019 A</c:v>
                </c:pt>
                <c:pt idx="5">
                  <c:v>FY 2020 A</c:v>
                </c:pt>
                <c:pt idx="6">
                  <c:v>FY 2021 A</c:v>
                </c:pt>
                <c:pt idx="7">
                  <c:v>FY 2022 A</c:v>
                </c:pt>
                <c:pt idx="8">
                  <c:v>FY 2023 A</c:v>
                </c:pt>
                <c:pt idx="9">
                  <c:v>FY 2024 A</c:v>
                </c:pt>
                <c:pt idx="10">
                  <c:v>Sept 24 P</c:v>
                </c:pt>
              </c:strCache>
            </c:strRef>
          </c:cat>
          <c:val>
            <c:numRef>
              <c:f>'Historical P&amp;L'!$C$37:$M$37</c:f>
              <c:numCache>
                <c:formatCode>0.00%</c:formatCode>
                <c:ptCount val="11"/>
                <c:pt idx="0">
                  <c:v>0.42939481268011537</c:v>
                </c:pt>
                <c:pt idx="1">
                  <c:v>0.42022966039579768</c:v>
                </c:pt>
                <c:pt idx="2">
                  <c:v>0.28334517886756705</c:v>
                </c:pt>
                <c:pt idx="3">
                  <c:v>0.4693613879660391</c:v>
                </c:pt>
                <c:pt idx="4">
                  <c:v>0.15438988095238093</c:v>
                </c:pt>
                <c:pt idx="5">
                  <c:v>2.6907946498819731E-2</c:v>
                </c:pt>
                <c:pt idx="6">
                  <c:v>-0.39383155397390279</c:v>
                </c:pt>
                <c:pt idx="7">
                  <c:v>1.5612826334270672E-2</c:v>
                </c:pt>
                <c:pt idx="8">
                  <c:v>-0.46069941781324775</c:v>
                </c:pt>
                <c:pt idx="9">
                  <c:v>-9.780530748587786E-2</c:v>
                </c:pt>
                <c:pt idx="10">
                  <c:v>-3.1881989055436502E-2</c:v>
                </c:pt>
              </c:numCache>
            </c:numRef>
          </c:val>
          <c:smooth val="0"/>
          <c:extLst>
            <c:ext xmlns:c16="http://schemas.microsoft.com/office/drawing/2014/chart" uri="{C3380CC4-5D6E-409C-BE32-E72D297353CC}">
              <c16:uniqueId val="{00000001-9CF3-435B-A81E-384E8D258BA5}"/>
            </c:ext>
          </c:extLst>
        </c:ser>
        <c:ser>
          <c:idx val="2"/>
          <c:order val="2"/>
          <c:tx>
            <c:strRef>
              <c:f>'Historical P&amp;L'!$B$38</c:f>
              <c:strCache>
                <c:ptCount val="1"/>
                <c:pt idx="0">
                  <c:v>PAT Margin %</c:v>
                </c:pt>
              </c:strCache>
            </c:strRef>
          </c:tx>
          <c:spPr>
            <a:ln w="34925" cap="rnd">
              <a:solidFill>
                <a:schemeClr val="accent3"/>
              </a:solidFill>
              <a:round/>
            </a:ln>
            <a:effectLst>
              <a:outerShdw blurRad="40000" dist="23000" dir="5400000" rotWithShape="0">
                <a:srgbClr val="000000">
                  <a:alpha val="35000"/>
                </a:srgbClr>
              </a:outerShdw>
            </a:effectLst>
          </c:spPr>
          <c:marker>
            <c:symbol val="none"/>
          </c:marker>
          <c:cat>
            <c:strRef>
              <c:f>'Historical P&amp;L'!$C$34:$M$34</c:f>
              <c:strCache>
                <c:ptCount val="11"/>
                <c:pt idx="0">
                  <c:v>FY 2015 A</c:v>
                </c:pt>
                <c:pt idx="1">
                  <c:v>FY 2016 A</c:v>
                </c:pt>
                <c:pt idx="2">
                  <c:v>FY 2017 A</c:v>
                </c:pt>
                <c:pt idx="3">
                  <c:v>FY 2018 A</c:v>
                </c:pt>
                <c:pt idx="4">
                  <c:v>FY 2019 A</c:v>
                </c:pt>
                <c:pt idx="5">
                  <c:v>FY 2020 A</c:v>
                </c:pt>
                <c:pt idx="6">
                  <c:v>FY 2021 A</c:v>
                </c:pt>
                <c:pt idx="7">
                  <c:v>FY 2022 A</c:v>
                </c:pt>
                <c:pt idx="8">
                  <c:v>FY 2023 A</c:v>
                </c:pt>
                <c:pt idx="9">
                  <c:v>FY 2024 A</c:v>
                </c:pt>
                <c:pt idx="10">
                  <c:v>Sept 24 P</c:v>
                </c:pt>
              </c:strCache>
            </c:strRef>
          </c:cat>
          <c:val>
            <c:numRef>
              <c:f>'Historical P&amp;L'!$C$38:$M$38</c:f>
              <c:numCache>
                <c:formatCode>0.00%</c:formatCode>
                <c:ptCount val="11"/>
                <c:pt idx="0">
                  <c:v>-6.5479304044225532E-3</c:v>
                </c:pt>
                <c:pt idx="1">
                  <c:v>-4.4052734585437797E-3</c:v>
                </c:pt>
                <c:pt idx="2">
                  <c:v>-0.28002842928216054</c:v>
                </c:pt>
                <c:pt idx="3">
                  <c:v>7.0690291620524148E-2</c:v>
                </c:pt>
                <c:pt idx="4">
                  <c:v>-0.10267857142857145</c:v>
                </c:pt>
                <c:pt idx="5">
                  <c:v>-0.12604248623131403</c:v>
                </c:pt>
                <c:pt idx="6">
                  <c:v>-0.42037366548042709</c:v>
                </c:pt>
                <c:pt idx="7">
                  <c:v>-1.1160742867555471E-2</c:v>
                </c:pt>
                <c:pt idx="8">
                  <c:v>-0.52362479710771836</c:v>
                </c:pt>
                <c:pt idx="9">
                  <c:v>-0.19757865882964912</c:v>
                </c:pt>
                <c:pt idx="10">
                  <c:v>-0.13085891030216504</c:v>
                </c:pt>
              </c:numCache>
            </c:numRef>
          </c:val>
          <c:smooth val="0"/>
          <c:extLst>
            <c:ext xmlns:c16="http://schemas.microsoft.com/office/drawing/2014/chart" uri="{C3380CC4-5D6E-409C-BE32-E72D297353CC}">
              <c16:uniqueId val="{00000002-9CF3-435B-A81E-384E8D258BA5}"/>
            </c:ext>
          </c:extLst>
        </c:ser>
        <c:ser>
          <c:idx val="3"/>
          <c:order val="3"/>
          <c:tx>
            <c:strRef>
              <c:f>'Historical P&amp;L'!$B$39</c:f>
              <c:strCache>
                <c:ptCount val="1"/>
                <c:pt idx="0">
                  <c:v>Revenue growth Rate (%)</c:v>
                </c:pt>
              </c:strCache>
            </c:strRef>
          </c:tx>
          <c:spPr>
            <a:ln w="34925" cap="rnd">
              <a:solidFill>
                <a:schemeClr val="accent4"/>
              </a:solidFill>
              <a:round/>
            </a:ln>
            <a:effectLst>
              <a:outerShdw blurRad="40000" dist="23000" dir="5400000" rotWithShape="0">
                <a:srgbClr val="000000">
                  <a:alpha val="35000"/>
                </a:srgbClr>
              </a:outerShdw>
            </a:effectLst>
          </c:spPr>
          <c:marker>
            <c:symbol val="none"/>
          </c:marker>
          <c:cat>
            <c:strRef>
              <c:f>'Historical P&amp;L'!$C$34:$M$34</c:f>
              <c:strCache>
                <c:ptCount val="11"/>
                <c:pt idx="0">
                  <c:v>FY 2015 A</c:v>
                </c:pt>
                <c:pt idx="1">
                  <c:v>FY 2016 A</c:v>
                </c:pt>
                <c:pt idx="2">
                  <c:v>FY 2017 A</c:v>
                </c:pt>
                <c:pt idx="3">
                  <c:v>FY 2018 A</c:v>
                </c:pt>
                <c:pt idx="4">
                  <c:v>FY 2019 A</c:v>
                </c:pt>
                <c:pt idx="5">
                  <c:v>FY 2020 A</c:v>
                </c:pt>
                <c:pt idx="6">
                  <c:v>FY 2021 A</c:v>
                </c:pt>
                <c:pt idx="7">
                  <c:v>FY 2022 A</c:v>
                </c:pt>
                <c:pt idx="8">
                  <c:v>FY 2023 A</c:v>
                </c:pt>
                <c:pt idx="9">
                  <c:v>FY 2024 A</c:v>
                </c:pt>
                <c:pt idx="10">
                  <c:v>Sept 24 P</c:v>
                </c:pt>
              </c:strCache>
            </c:strRef>
          </c:cat>
          <c:val>
            <c:numRef>
              <c:f>'Historical P&amp;L'!$C$39:$M$39</c:f>
              <c:numCache>
                <c:formatCode>0.00%</c:formatCode>
                <c:ptCount val="11"/>
                <c:pt idx="1">
                  <c:v>7.2308095362850322E-2</c:v>
                </c:pt>
                <c:pt idx="2">
                  <c:v>3.1272904959687375E-2</c:v>
                </c:pt>
                <c:pt idx="3">
                  <c:v>0.28358208955223874</c:v>
                </c:pt>
                <c:pt idx="4">
                  <c:v>-7.7519379844961378E-3</c:v>
                </c:pt>
                <c:pt idx="5">
                  <c:v>0.18210565476190466</c:v>
                </c:pt>
                <c:pt idx="6">
                  <c:v>6.1211644374508323E-2</c:v>
                </c:pt>
                <c:pt idx="7">
                  <c:v>0.50541963226571762</c:v>
                </c:pt>
                <c:pt idx="8">
                  <c:v>-7.2208459943560177E-3</c:v>
                </c:pt>
                <c:pt idx="9">
                  <c:v>-0.17222826324206986</c:v>
                </c:pt>
                <c:pt idx="10">
                  <c:v>-0.49624309776335762</c:v>
                </c:pt>
              </c:numCache>
            </c:numRef>
          </c:val>
          <c:smooth val="0"/>
          <c:extLst>
            <c:ext xmlns:c16="http://schemas.microsoft.com/office/drawing/2014/chart" uri="{C3380CC4-5D6E-409C-BE32-E72D297353CC}">
              <c16:uniqueId val="{00000003-9CF3-435B-A81E-384E8D258BA5}"/>
            </c:ext>
          </c:extLst>
        </c:ser>
        <c:dLbls>
          <c:showLegendKey val="0"/>
          <c:showVal val="0"/>
          <c:showCatName val="0"/>
          <c:showSerName val="0"/>
          <c:showPercent val="0"/>
          <c:showBubbleSize val="0"/>
        </c:dLbls>
        <c:smooth val="0"/>
        <c:axId val="1303492399"/>
        <c:axId val="1303499471"/>
      </c:lineChart>
      <c:catAx>
        <c:axId val="1303492399"/>
        <c:scaling>
          <c:orientation val="minMax"/>
        </c:scaling>
        <c:delete val="0"/>
        <c:axPos val="b"/>
        <c:title>
          <c:tx>
            <c:rich>
              <a:bodyPr rot="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IN"/>
                  <a:t>Financial Year</a:t>
                </a:r>
              </a:p>
            </c:rich>
          </c:tx>
          <c:overlay val="0"/>
          <c:spPr>
            <a:noFill/>
            <a:ln>
              <a:noFill/>
            </a:ln>
            <a:effectLst/>
          </c:spPr>
          <c:txPr>
            <a:bodyPr rot="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1303499471"/>
        <c:crosses val="autoZero"/>
        <c:auto val="1"/>
        <c:lblAlgn val="ctr"/>
        <c:lblOffset val="100"/>
        <c:noMultiLvlLbl val="0"/>
      </c:catAx>
      <c:valAx>
        <c:axId val="1303499471"/>
        <c:scaling>
          <c:orientation val="minMax"/>
        </c:scaling>
        <c:delete val="0"/>
        <c:axPos val="l"/>
        <c:majorGridlines>
          <c:spPr>
            <a:ln w="9525" cap="flat" cmpd="sng" algn="ctr">
              <a:solidFill>
                <a:schemeClr val="lt1">
                  <a:lumMod val="95000"/>
                  <a:alpha val="10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r>
                  <a:rPr lang="en-IN"/>
                  <a:t>%</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3034923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solidFill>
                  <a:schemeClr val="bg1"/>
                </a:solidFill>
              </a:rPr>
              <a:t>EBIT Margin %</a:t>
            </a:r>
          </a:p>
        </c:rich>
      </c:tx>
      <c:layout>
        <c:manualLayout>
          <c:xMode val="edge"/>
          <c:yMode val="edge"/>
          <c:x val="0.41784309552720855"/>
          <c:y val="3.6199089290453512E-2"/>
        </c:manualLayout>
      </c:layout>
      <c:overlay val="0"/>
      <c:spPr>
        <a:solidFill>
          <a:srgbClr val="00206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612058549791523"/>
          <c:y val="0.13811652690393375"/>
          <c:w val="0.83165718839145908"/>
          <c:h val="0.75742895577496594"/>
        </c:manualLayout>
      </c:layout>
      <c:barChart>
        <c:barDir val="col"/>
        <c:grouping val="clustered"/>
        <c:varyColors val="0"/>
        <c:ser>
          <c:idx val="0"/>
          <c:order val="0"/>
          <c:tx>
            <c:strRef>
              <c:f>'Projected P&amp;L'!$B$43</c:f>
              <c:strCache>
                <c:ptCount val="1"/>
                <c:pt idx="0">
                  <c:v>EBIT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'Projected P&amp;L'!$C$40:$E$40</c:f>
              <c:numCache>
                <c:formatCode>"FY"\ 0\ "E"</c:formatCode>
                <c:ptCount val="3"/>
                <c:pt idx="0">
                  <c:v>2025</c:v>
                </c:pt>
                <c:pt idx="1">
                  <c:v>2026</c:v>
                </c:pt>
                <c:pt idx="2">
                  <c:v>2027</c:v>
                </c:pt>
              </c:numCache>
            </c:numRef>
          </c:cat>
          <c:val>
            <c:numRef>
              <c:f>'Projected P&amp;L'!$C$43:$E$43</c:f>
              <c:numCache>
                <c:formatCode>0.00%</c:formatCode>
                <c:ptCount val="3"/>
                <c:pt idx="0">
                  <c:v>0</c:v>
                </c:pt>
                <c:pt idx="1">
                  <c:v>0</c:v>
                </c:pt>
                <c:pt idx="2">
                  <c:v>0</c:v>
                </c:pt>
              </c:numCache>
            </c:numRef>
          </c:val>
          <c:extLst>
            <c:ext xmlns:c16="http://schemas.microsoft.com/office/drawing/2014/chart" uri="{C3380CC4-5D6E-409C-BE32-E72D297353CC}">
              <c16:uniqueId val="{00000001-3E6C-4AC9-AAE4-AEEE69F8F707}"/>
            </c:ext>
          </c:extLst>
        </c:ser>
        <c:dLbls>
          <c:dLblPos val="outEnd"/>
          <c:showLegendKey val="0"/>
          <c:showVal val="1"/>
          <c:showCatName val="0"/>
          <c:showSerName val="0"/>
          <c:showPercent val="0"/>
          <c:showBubbleSize val="0"/>
        </c:dLbls>
        <c:gapWidth val="219"/>
        <c:overlap val="-27"/>
        <c:axId val="324105512"/>
        <c:axId val="324104336"/>
      </c:barChart>
      <c:catAx>
        <c:axId val="3241055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i="1"/>
                  <a:t>For Financial year</a:t>
                </a:r>
              </a:p>
            </c:rich>
          </c:tx>
          <c:layout>
            <c:manualLayout>
              <c:xMode val="edge"/>
              <c:yMode val="edge"/>
              <c:x val="0.51312571706979737"/>
              <c:y val="0.9189455187568815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FY&quot;\ 0\ &quot;E&quot;"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104336"/>
        <c:crosses val="autoZero"/>
        <c:auto val="1"/>
        <c:lblAlgn val="ctr"/>
        <c:lblOffset val="100"/>
        <c:noMultiLvlLbl val="1"/>
      </c:catAx>
      <c:valAx>
        <c:axId val="3241043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i="1"/>
                  <a:t>EBIT Margin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1055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2812587665194851"/>
          <c:y val="3.3385492689037136E-2"/>
        </c:manualLayout>
      </c:layout>
      <c:overlay val="0"/>
      <c:spPr>
        <a:solidFill>
          <a:srgbClr val="002060"/>
        </a:solidFill>
        <a:ln>
          <a:noFill/>
        </a:ln>
        <a:effectLst/>
      </c:spPr>
      <c:txPr>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'Projected P&amp;L'!$B$44</c:f>
              <c:strCache>
                <c:ptCount val="1"/>
                <c:pt idx="0">
                  <c:v>PAT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'Projected P&amp;L'!$C$40:$E$40</c:f>
              <c:numCache>
                <c:formatCode>"FY"\ 0\ "E"</c:formatCode>
                <c:ptCount val="3"/>
                <c:pt idx="0">
                  <c:v>2025</c:v>
                </c:pt>
                <c:pt idx="1">
                  <c:v>2026</c:v>
                </c:pt>
                <c:pt idx="2">
                  <c:v>2027</c:v>
                </c:pt>
              </c:numCache>
            </c:numRef>
          </c:cat>
          <c:val>
            <c:numRef>
              <c:f>'Projected P&amp;L'!$C$44:$E$44</c:f>
              <c:numCache>
                <c:formatCode>0.00%</c:formatCode>
                <c:ptCount val="3"/>
                <c:pt idx="0">
                  <c:v>0</c:v>
                </c:pt>
                <c:pt idx="1">
                  <c:v>0</c:v>
                </c:pt>
                <c:pt idx="2">
                  <c:v>0</c:v>
                </c:pt>
              </c:numCache>
            </c:numRef>
          </c:val>
          <c:extLst>
            <c:ext xmlns:c16="http://schemas.microsoft.com/office/drawing/2014/chart" uri="{C3380CC4-5D6E-409C-BE32-E72D297353CC}">
              <c16:uniqueId val="{00000001-8D4A-4A14-8968-313CA0EB1FEA}"/>
            </c:ext>
          </c:extLst>
        </c:ser>
        <c:dLbls>
          <c:dLblPos val="outEnd"/>
          <c:showLegendKey val="0"/>
          <c:showVal val="1"/>
          <c:showCatName val="0"/>
          <c:showSerName val="0"/>
          <c:showPercent val="0"/>
          <c:showBubbleSize val="0"/>
        </c:dLbls>
        <c:gapWidth val="219"/>
        <c:overlap val="-27"/>
        <c:axId val="324101592"/>
        <c:axId val="324101984"/>
      </c:barChart>
      <c:catAx>
        <c:axId val="324101592"/>
        <c:scaling>
          <c:orientation val="minMax"/>
        </c:scaling>
        <c:delete val="0"/>
        <c:axPos val="b"/>
        <c:title>
          <c:tx>
            <c:rich>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Finacial Year</a:t>
                </a:r>
              </a:p>
            </c:rich>
          </c:tx>
          <c:layout>
            <c:manualLayout>
              <c:xMode val="edge"/>
              <c:yMode val="edge"/>
              <c:x val="0.50958923692371538"/>
              <c:y val="0.92355840014291857"/>
            </c:manualLayout>
          </c:layout>
          <c:overlay val="0"/>
          <c:spPr>
            <a:noFill/>
            <a:ln>
              <a:noFill/>
            </a:ln>
            <a:effectLst/>
          </c:spPr>
          <c:txPr>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quot;FY&quot;\ 0\ &quot;E&quot;"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101984"/>
        <c:crosses val="autoZero"/>
        <c:auto val="1"/>
        <c:lblAlgn val="ctr"/>
        <c:lblOffset val="100"/>
        <c:noMultiLvlLbl val="1"/>
      </c:catAx>
      <c:valAx>
        <c:axId val="3241019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PAT Margin %</a:t>
                </a:r>
              </a:p>
            </c:rich>
          </c:tx>
          <c:layout>
            <c:manualLayout>
              <c:xMode val="edge"/>
              <c:yMode val="edge"/>
              <c:x val="1.5617374328940947E-2"/>
              <c:y val="0.40252731384813828"/>
            </c:manualLayout>
          </c:layout>
          <c:overlay val="0"/>
          <c:spPr>
            <a:noFill/>
            <a:ln>
              <a:noFill/>
            </a:ln>
            <a:effectLst/>
          </c:spPr>
          <c:txPr>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1015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6086491895662332"/>
          <c:y val="3.0962743225909476E-2"/>
        </c:manualLayout>
      </c:layout>
      <c:overlay val="0"/>
      <c:spPr>
        <a:solidFill>
          <a:srgbClr val="002060"/>
        </a:solidFill>
        <a:ln>
          <a:noFill/>
        </a:ln>
        <a:effectLst/>
      </c:spPr>
      <c:txPr>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'Projected P&amp;L'!$B$45</c:f>
              <c:strCache>
                <c:ptCount val="1"/>
                <c:pt idx="0">
                  <c:v>Revenue growth Rate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'Projected P&amp;L'!$C$40:$E$40</c:f>
              <c:numCache>
                <c:formatCode>"FY"\ 0\ "E"</c:formatCode>
                <c:ptCount val="3"/>
                <c:pt idx="0">
                  <c:v>2025</c:v>
                </c:pt>
                <c:pt idx="1">
                  <c:v>2026</c:v>
                </c:pt>
                <c:pt idx="2">
                  <c:v>2027</c:v>
                </c:pt>
              </c:numCache>
            </c:numRef>
          </c:cat>
          <c:val>
            <c:numRef>
              <c:f>'Projected P&amp;L'!$C$45:$E$45</c:f>
              <c:numCache>
                <c:formatCode>0.00%</c:formatCode>
                <c:ptCount val="3"/>
                <c:pt idx="1">
                  <c:v>0</c:v>
                </c:pt>
                <c:pt idx="2">
                  <c:v>0</c:v>
                </c:pt>
              </c:numCache>
            </c:numRef>
          </c:val>
          <c:extLst>
            <c:ext xmlns:c16="http://schemas.microsoft.com/office/drawing/2014/chart" uri="{C3380CC4-5D6E-409C-BE32-E72D297353CC}">
              <c16:uniqueId val="{00000001-3A82-46B9-936B-C7BCB5943D19}"/>
            </c:ext>
          </c:extLst>
        </c:ser>
        <c:dLbls>
          <c:dLblPos val="outEnd"/>
          <c:showLegendKey val="0"/>
          <c:showVal val="1"/>
          <c:showCatName val="0"/>
          <c:showSerName val="0"/>
          <c:showPercent val="0"/>
          <c:showBubbleSize val="0"/>
        </c:dLbls>
        <c:gapWidth val="219"/>
        <c:overlap val="-27"/>
        <c:axId val="324100416"/>
        <c:axId val="324103552"/>
      </c:barChart>
      <c:catAx>
        <c:axId val="324100416"/>
        <c:scaling>
          <c:orientation val="minMax"/>
        </c:scaling>
        <c:delete val="0"/>
        <c:axPos val="b"/>
        <c:title>
          <c:tx>
            <c:rich>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Financial Year</a:t>
                </a:r>
              </a:p>
            </c:rich>
          </c:tx>
          <c:layout>
            <c:manualLayout>
              <c:xMode val="edge"/>
              <c:yMode val="edge"/>
              <c:x val="0.48569014158441448"/>
              <c:y val="0.91018854055464149"/>
            </c:manualLayout>
          </c:layout>
          <c:overlay val="0"/>
          <c:spPr>
            <a:noFill/>
            <a:ln>
              <a:noFill/>
            </a:ln>
            <a:effectLst/>
          </c:spPr>
          <c:txPr>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quot;FY&quot;\ 0\ &quot;E&quot;"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103552"/>
        <c:crosses val="autoZero"/>
        <c:auto val="1"/>
        <c:lblAlgn val="ctr"/>
        <c:lblOffset val="100"/>
        <c:noMultiLvlLbl val="1"/>
      </c:catAx>
      <c:valAx>
        <c:axId val="3241035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Growth %</a:t>
                </a:r>
              </a:p>
            </c:rich>
          </c:tx>
          <c:layout>
            <c:manualLayout>
              <c:xMode val="edge"/>
              <c:yMode val="edge"/>
              <c:x val="2.320674719978285E-2"/>
              <c:y val="0.41138819447894059"/>
            </c:manualLayout>
          </c:layout>
          <c:overlay val="0"/>
          <c:spPr>
            <a:noFill/>
            <a:ln>
              <a:noFill/>
            </a:ln>
            <a:effectLst/>
          </c:spPr>
          <c:txPr>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100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0461540795834583"/>
          <c:y val="3.1101729753660309E-2"/>
        </c:manualLayout>
      </c:layout>
      <c:overlay val="0"/>
      <c:spPr>
        <a:solidFill>
          <a:srgbClr val="002060"/>
        </a:solidFill>
        <a:ln>
          <a:noFill/>
        </a:ln>
        <a:effectLst/>
      </c:spPr>
      <c:txPr>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'Projected P&amp;L'!$B$42</c:f>
              <c:strCache>
                <c:ptCount val="1"/>
                <c:pt idx="0">
                  <c:v>EBITDA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'Projected P&amp;L'!$C$40:$E$40</c:f>
              <c:numCache>
                <c:formatCode>"FY"\ 0\ "E"</c:formatCode>
                <c:ptCount val="3"/>
                <c:pt idx="0">
                  <c:v>2025</c:v>
                </c:pt>
                <c:pt idx="1">
                  <c:v>2026</c:v>
                </c:pt>
                <c:pt idx="2">
                  <c:v>2027</c:v>
                </c:pt>
              </c:numCache>
            </c:numRef>
          </c:cat>
          <c:val>
            <c:numRef>
              <c:f>'Projected P&amp;L'!$C$42:$E$42</c:f>
              <c:numCache>
                <c:formatCode>0.00%</c:formatCode>
                <c:ptCount val="3"/>
                <c:pt idx="0">
                  <c:v>0</c:v>
                </c:pt>
                <c:pt idx="1">
                  <c:v>0</c:v>
                </c:pt>
                <c:pt idx="2">
                  <c:v>0</c:v>
                </c:pt>
              </c:numCache>
            </c:numRef>
          </c:val>
          <c:extLst>
            <c:ext xmlns:c16="http://schemas.microsoft.com/office/drawing/2014/chart" uri="{C3380CC4-5D6E-409C-BE32-E72D297353CC}">
              <c16:uniqueId val="{00000001-7403-44CA-ACE1-9741313455DE}"/>
            </c:ext>
          </c:extLst>
        </c:ser>
        <c:dLbls>
          <c:dLblPos val="outEnd"/>
          <c:showLegendKey val="0"/>
          <c:showVal val="1"/>
          <c:showCatName val="0"/>
          <c:showSerName val="0"/>
          <c:showPercent val="0"/>
          <c:showBubbleSize val="0"/>
        </c:dLbls>
        <c:gapWidth val="219"/>
        <c:overlap val="-27"/>
        <c:axId val="324104728"/>
        <c:axId val="324105120"/>
      </c:barChart>
      <c:catAx>
        <c:axId val="324104728"/>
        <c:scaling>
          <c:orientation val="minMax"/>
        </c:scaling>
        <c:delete val="0"/>
        <c:axPos val="b"/>
        <c:title>
          <c:tx>
            <c:rich>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Financial</a:t>
                </a:r>
                <a:r>
                  <a:rPr lang="en-IN" b="1" i="1" baseline="0"/>
                  <a:t> Year</a:t>
                </a:r>
                <a:endParaRPr lang="en-IN" b="1" i="1"/>
              </a:p>
            </c:rich>
          </c:tx>
          <c:overlay val="0"/>
          <c:spPr>
            <a:noFill/>
            <a:ln>
              <a:noFill/>
            </a:ln>
            <a:effectLst/>
          </c:spPr>
          <c:txPr>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quot;FY&quot;\ 0\ &quot;E&quot;"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105120"/>
        <c:crosses val="autoZero"/>
        <c:auto val="1"/>
        <c:lblAlgn val="ctr"/>
        <c:lblOffset val="100"/>
        <c:noMultiLvlLbl val="0"/>
      </c:catAx>
      <c:valAx>
        <c:axId val="3241051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EBITDA Margin %</a:t>
                </a:r>
              </a:p>
            </c:rich>
          </c:tx>
          <c:layout>
            <c:manualLayout>
              <c:xMode val="edge"/>
              <c:yMode val="edge"/>
              <c:x val="2.0720015649322056E-2"/>
              <c:y val="0.32699143028808147"/>
            </c:manualLayout>
          </c:layout>
          <c:overlay val="0"/>
          <c:spPr>
            <a:noFill/>
            <a:ln>
              <a:noFill/>
            </a:ln>
            <a:effectLst/>
          </c:spPr>
          <c:txPr>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104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261936</xdr:colOff>
      <xdr:row>41</xdr:row>
      <xdr:rowOff>19049</xdr:rowOff>
    </xdr:from>
    <xdr:to>
      <xdr:col>7</xdr:col>
      <xdr:colOff>28575</xdr:colOff>
      <xdr:row>58</xdr:row>
      <xdr:rowOff>47625</xdr:rowOff>
    </xdr:to>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409575</xdr:colOff>
      <xdr:row>41</xdr:row>
      <xdr:rowOff>33336</xdr:rowOff>
    </xdr:from>
    <xdr:to>
      <xdr:col>15</xdr:col>
      <xdr:colOff>495300</xdr:colOff>
      <xdr:row>58</xdr:row>
      <xdr:rowOff>38099</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28574</xdr:colOff>
      <xdr:row>60</xdr:row>
      <xdr:rowOff>14286</xdr:rowOff>
    </xdr:from>
    <xdr:to>
      <xdr:col>7</xdr:col>
      <xdr:colOff>76199</xdr:colOff>
      <xdr:row>77</xdr:row>
      <xdr:rowOff>104775</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447674</xdr:colOff>
      <xdr:row>59</xdr:row>
      <xdr:rowOff>85725</xdr:rowOff>
    </xdr:from>
    <xdr:to>
      <xdr:col>15</xdr:col>
      <xdr:colOff>504825</xdr:colOff>
      <xdr:row>77</xdr:row>
      <xdr:rowOff>38100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523875</xdr:colOff>
      <xdr:row>38</xdr:row>
      <xdr:rowOff>157162</xdr:rowOff>
    </xdr:from>
    <xdr:to>
      <xdr:col>15</xdr:col>
      <xdr:colOff>180975</xdr:colOff>
      <xdr:row>55</xdr:row>
      <xdr:rowOff>114300</xdr:rowOff>
    </xdr:to>
    <xdr:graphicFrame macro="">
      <xdr:nvGraphicFramePr>
        <xdr:cNvPr id="6" name="Chart 5">
          <a:extLst>
            <a:ext uri="{FF2B5EF4-FFF2-40B4-BE49-F238E27FC236}">
              <a16:creationId xmlns:a16="http://schemas.microsoft.com/office/drawing/2014/main" id="{1099B021-00E1-4172-9EBE-7E059575E5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47</xdr:row>
      <xdr:rowOff>4762</xdr:rowOff>
    </xdr:from>
    <xdr:to>
      <xdr:col>11</xdr:col>
      <xdr:colOff>352425</xdr:colOff>
      <xdr:row>63</xdr:row>
      <xdr:rowOff>142876</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9524</xdr:colOff>
      <xdr:row>65</xdr:row>
      <xdr:rowOff>4761</xdr:rowOff>
    </xdr:from>
    <xdr:to>
      <xdr:col>5</xdr:col>
      <xdr:colOff>0</xdr:colOff>
      <xdr:row>81</xdr:row>
      <xdr:rowOff>152400</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64</xdr:row>
      <xdr:rowOff>180975</xdr:rowOff>
    </xdr:from>
    <xdr:to>
      <xdr:col>11</xdr:col>
      <xdr:colOff>733425</xdr:colOff>
      <xdr:row>81</xdr:row>
      <xdr:rowOff>142875</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4761</xdr:colOff>
      <xdr:row>47</xdr:row>
      <xdr:rowOff>0</xdr:rowOff>
    </xdr:from>
    <xdr:to>
      <xdr:col>5</xdr:col>
      <xdr:colOff>0</xdr:colOff>
      <xdr:row>63</xdr:row>
      <xdr:rowOff>114300</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538162</xdr:colOff>
      <xdr:row>27</xdr:row>
      <xdr:rowOff>171450</xdr:rowOff>
    </xdr:from>
    <xdr:to>
      <xdr:col>15</xdr:col>
      <xdr:colOff>295276</xdr:colOff>
      <xdr:row>44</xdr:row>
      <xdr:rowOff>114300</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kunaldesai.blog/nifty-return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hyperlink" Target="https://economictimes.indiatimes.com/madhucon-projects-ltd/stocks/companyid-6422.c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R39"/>
  <sheetViews>
    <sheetView showGridLines="0" topLeftCell="A29" zoomScaleNormal="100" workbookViewId="0">
      <selection activeCell="M34" sqref="M34"/>
    </sheetView>
  </sheetViews>
  <sheetFormatPr defaultRowHeight="15" x14ac:dyDescent="0.25"/>
  <cols>
    <col min="1" max="1" width="4" customWidth="1"/>
    <col min="2" max="2" width="32.5703125" customWidth="1"/>
    <col min="3" max="16" width="11.7109375" customWidth="1"/>
    <col min="17" max="17" width="12.5703125" bestFit="1" customWidth="1"/>
    <col min="19" max="19" width="10" bestFit="1" customWidth="1"/>
  </cols>
  <sheetData>
    <row r="1" spans="2:18" ht="12.75" customHeight="1" x14ac:dyDescent="0.25"/>
    <row r="2" spans="2:18" ht="18.75" customHeight="1" x14ac:dyDescent="0.25">
      <c r="B2" s="53" t="s">
        <v>149</v>
      </c>
      <c r="C2" s="3"/>
      <c r="D2" s="3"/>
      <c r="E2" s="3"/>
      <c r="F2" s="3"/>
      <c r="G2" s="3"/>
      <c r="H2" s="3"/>
      <c r="I2" s="3"/>
      <c r="J2" s="3"/>
    </row>
    <row r="3" spans="2:18" ht="12.75" customHeight="1" x14ac:dyDescent="0.25"/>
    <row r="4" spans="2:18" ht="18.75" customHeight="1" x14ac:dyDescent="0.25">
      <c r="B4" s="34" t="s">
        <v>91</v>
      </c>
      <c r="C4" s="1"/>
      <c r="D4" s="1"/>
      <c r="E4" s="1"/>
      <c r="F4" s="1"/>
      <c r="G4" s="1"/>
      <c r="H4" s="1"/>
      <c r="I4" s="1"/>
      <c r="J4" s="1"/>
    </row>
    <row r="5" spans="2:18" ht="11.25" customHeight="1" x14ac:dyDescent="0.25"/>
    <row r="6" spans="2:18" ht="18" customHeight="1" x14ac:dyDescent="0.25">
      <c r="B6" s="54" t="s">
        <v>76</v>
      </c>
      <c r="C6" s="68">
        <v>2015</v>
      </c>
      <c r="D6" s="68">
        <f>C6+1</f>
        <v>2016</v>
      </c>
      <c r="E6" s="68">
        <f t="shared" ref="E6:I6" si="0">D6+1</f>
        <v>2017</v>
      </c>
      <c r="F6" s="68">
        <f t="shared" si="0"/>
        <v>2018</v>
      </c>
      <c r="G6" s="68">
        <f t="shared" si="0"/>
        <v>2019</v>
      </c>
      <c r="H6" s="68">
        <f t="shared" si="0"/>
        <v>2020</v>
      </c>
      <c r="I6" s="68">
        <f t="shared" si="0"/>
        <v>2021</v>
      </c>
      <c r="J6" s="68">
        <f t="shared" ref="J6" si="1">I6+1</f>
        <v>2022</v>
      </c>
      <c r="K6" s="68">
        <f t="shared" ref="K6" si="2">J6+1</f>
        <v>2023</v>
      </c>
      <c r="L6" s="68">
        <f t="shared" ref="L6" si="3">K6+1</f>
        <v>2024</v>
      </c>
      <c r="M6" s="68" t="s">
        <v>155</v>
      </c>
    </row>
    <row r="7" spans="2:18" x14ac:dyDescent="0.25">
      <c r="B7" s="36"/>
      <c r="C7" s="36"/>
      <c r="D7" s="36"/>
      <c r="E7" s="37"/>
      <c r="F7" s="37"/>
      <c r="G7" s="37"/>
      <c r="H7" s="37"/>
      <c r="I7" s="37"/>
      <c r="M7" s="88"/>
    </row>
    <row r="8" spans="2:18" x14ac:dyDescent="0.25">
      <c r="B8" s="38" t="s">
        <v>77</v>
      </c>
      <c r="C8" s="36">
        <v>38.17</v>
      </c>
      <c r="D8" s="36">
        <v>40.93</v>
      </c>
      <c r="E8" s="36">
        <v>42.21</v>
      </c>
      <c r="F8" s="36">
        <v>54.18</v>
      </c>
      <c r="G8" s="36">
        <v>53.76</v>
      </c>
      <c r="H8" s="36">
        <v>63.55</v>
      </c>
      <c r="I8" s="37">
        <v>67.44</v>
      </c>
      <c r="J8" s="56">
        <f>10152.55/10^2</f>
        <v>101.52549999999999</v>
      </c>
      <c r="K8" s="88">
        <f>10079.24/10^2</f>
        <v>100.7924</v>
      </c>
      <c r="L8" s="88">
        <f>8343.31/10^2</f>
        <v>83.433099999999996</v>
      </c>
      <c r="M8" s="88">
        <v>42.03</v>
      </c>
      <c r="N8" s="73">
        <f>(L8/E8)^(1/9)-1</f>
        <v>7.8649475083134357E-2</v>
      </c>
    </row>
    <row r="9" spans="2:18" ht="15.75" hidden="1" thickBot="1" x14ac:dyDescent="0.3">
      <c r="B9" s="38"/>
      <c r="C9" s="39"/>
      <c r="D9" s="39"/>
      <c r="E9" s="39"/>
      <c r="F9" s="39"/>
      <c r="G9" s="39"/>
      <c r="H9" s="39"/>
      <c r="I9" s="40"/>
      <c r="J9" s="25"/>
      <c r="K9" s="87"/>
      <c r="L9" s="87"/>
      <c r="M9" s="150">
        <v>24.81</v>
      </c>
      <c r="N9" s="73" t="e">
        <f>(L9/E9)^(1/9)-1</f>
        <v>#DIV/0!</v>
      </c>
    </row>
    <row r="10" spans="2:18" x14ac:dyDescent="0.25">
      <c r="B10" s="38" t="s">
        <v>78</v>
      </c>
      <c r="C10" s="41">
        <v>11.12</v>
      </c>
      <c r="D10" s="41">
        <v>10.32</v>
      </c>
      <c r="E10" s="41">
        <v>12.26</v>
      </c>
      <c r="F10" s="41">
        <v>12.82</v>
      </c>
      <c r="G10" s="41">
        <v>30.34</v>
      </c>
      <c r="H10" s="41">
        <v>37.770000000000003</v>
      </c>
      <c r="I10" s="40">
        <v>68.42</v>
      </c>
      <c r="J10" s="55">
        <f>+(6726.34+324.75+66.2)/10^2</f>
        <v>71.172899999999998</v>
      </c>
      <c r="K10" s="87">
        <f>+(10362.18+336.84+52.73)/10^2</f>
        <v>107.5175</v>
      </c>
      <c r="L10" s="87">
        <f>+(6056.96+368.54+172.17)/10^2</f>
        <v>65.976699999999994</v>
      </c>
      <c r="M10" s="151">
        <v>24.81</v>
      </c>
      <c r="N10" s="73">
        <f>(L10/E10)^(1/9)-1</f>
        <v>0.20562188906080459</v>
      </c>
    </row>
    <row r="11" spans="2:18" hidden="1" x14ac:dyDescent="0.25">
      <c r="B11" s="38"/>
      <c r="C11" s="39"/>
      <c r="D11" s="39"/>
      <c r="E11" s="39"/>
      <c r="F11" s="39"/>
      <c r="G11" s="39"/>
      <c r="H11" s="39"/>
      <c r="I11" s="39"/>
      <c r="J11" s="84"/>
      <c r="K11" s="25"/>
      <c r="L11" s="87"/>
    </row>
    <row r="12" spans="2:18" x14ac:dyDescent="0.25">
      <c r="B12" s="38" t="s">
        <v>79</v>
      </c>
      <c r="C12" s="46">
        <f>C8-C10</f>
        <v>27.050000000000004</v>
      </c>
      <c r="D12" s="46">
        <f t="shared" ref="D12:J12" si="4">D8-D10</f>
        <v>30.61</v>
      </c>
      <c r="E12" s="46">
        <f t="shared" si="4"/>
        <v>29.950000000000003</v>
      </c>
      <c r="F12" s="46">
        <f t="shared" si="4"/>
        <v>41.36</v>
      </c>
      <c r="G12" s="46">
        <f t="shared" si="4"/>
        <v>23.419999999999998</v>
      </c>
      <c r="H12" s="46">
        <f t="shared" si="4"/>
        <v>25.779999999999994</v>
      </c>
      <c r="I12" s="46">
        <f t="shared" si="4"/>
        <v>-0.98000000000000398</v>
      </c>
      <c r="J12" s="56">
        <f t="shared" si="4"/>
        <v>30.352599999999995</v>
      </c>
      <c r="K12" s="56">
        <f t="shared" ref="K12:M12" si="5">K8-K10</f>
        <v>-6.7250999999999976</v>
      </c>
      <c r="L12" s="56">
        <f t="shared" si="5"/>
        <v>17.456400000000002</v>
      </c>
      <c r="M12" s="56">
        <f t="shared" si="5"/>
        <v>17.220000000000002</v>
      </c>
    </row>
    <row r="13" spans="2:18" x14ac:dyDescent="0.25">
      <c r="B13" s="42" t="s">
        <v>80</v>
      </c>
      <c r="C13" s="47">
        <f>C12/C8</f>
        <v>0.7086717317264869</v>
      </c>
      <c r="D13" s="47">
        <f t="shared" ref="D13:J13" si="6">D12/D8</f>
        <v>0.74786220376252133</v>
      </c>
      <c r="E13" s="47">
        <f t="shared" si="6"/>
        <v>0.70954750059227678</v>
      </c>
      <c r="F13" s="47">
        <f t="shared" si="6"/>
        <v>0.76338132152085636</v>
      </c>
      <c r="G13" s="47">
        <f t="shared" si="6"/>
        <v>0.43563988095238093</v>
      </c>
      <c r="H13" s="47">
        <f t="shared" si="6"/>
        <v>0.40566483084185673</v>
      </c>
      <c r="I13" s="47">
        <f t="shared" si="6"/>
        <v>-1.4531435349940747E-2</v>
      </c>
      <c r="J13" s="47">
        <f t="shared" si="6"/>
        <v>0.29896528458367599</v>
      </c>
      <c r="K13" s="47">
        <f t="shared" ref="K13:M13" si="7">K12/K8</f>
        <v>-6.672229255380363E-2</v>
      </c>
      <c r="L13" s="47">
        <f t="shared" si="7"/>
        <v>0.20922631425657207</v>
      </c>
      <c r="M13" s="47">
        <f t="shared" si="7"/>
        <v>0.40970735189150609</v>
      </c>
    </row>
    <row r="14" spans="2:18" hidden="1" x14ac:dyDescent="0.25">
      <c r="B14" s="43"/>
      <c r="C14" s="48"/>
      <c r="D14" s="48"/>
      <c r="E14" s="48"/>
      <c r="F14" s="48"/>
      <c r="G14" s="48"/>
      <c r="H14" s="48"/>
      <c r="I14" s="49"/>
      <c r="J14" s="25"/>
      <c r="K14" s="25"/>
      <c r="L14" s="87"/>
    </row>
    <row r="15" spans="2:18" x14ac:dyDescent="0.25">
      <c r="B15" s="43" t="s">
        <v>81</v>
      </c>
      <c r="C15" s="50">
        <v>10.66</v>
      </c>
      <c r="D15" s="50">
        <v>13.41</v>
      </c>
      <c r="E15" s="50">
        <v>17.989999999999998</v>
      </c>
      <c r="F15" s="50">
        <v>15.93</v>
      </c>
      <c r="G15" s="50">
        <v>15.12</v>
      </c>
      <c r="H15" s="50">
        <v>24.07</v>
      </c>
      <c r="I15" s="49">
        <v>25.58</v>
      </c>
      <c r="J15" s="55">
        <f>2876.75/10^2</f>
        <v>28.767499999999998</v>
      </c>
      <c r="K15" s="55">
        <f>3970.99/10^2</f>
        <v>39.709899999999998</v>
      </c>
      <c r="L15" s="55">
        <f>2561.66/10^2</f>
        <v>25.616599999999998</v>
      </c>
      <c r="M15" s="151">
        <v>18.559999999999999</v>
      </c>
      <c r="N15" s="61"/>
      <c r="O15" s="61"/>
      <c r="P15" s="61"/>
      <c r="Q15" s="61"/>
      <c r="R15" s="61"/>
    </row>
    <row r="16" spans="2:18" hidden="1" x14ac:dyDescent="0.25">
      <c r="B16" s="43"/>
      <c r="C16" s="50"/>
      <c r="D16" s="62"/>
      <c r="E16" s="62"/>
      <c r="F16" s="62"/>
      <c r="G16" s="62"/>
      <c r="H16" s="62"/>
      <c r="I16" s="62"/>
      <c r="J16" s="85"/>
      <c r="K16" s="25"/>
      <c r="L16" s="87"/>
    </row>
    <row r="17" spans="2:15" x14ac:dyDescent="0.25">
      <c r="B17" s="38" t="s">
        <v>82</v>
      </c>
      <c r="C17" s="46">
        <f>C12-C15</f>
        <v>16.390000000000004</v>
      </c>
      <c r="D17" s="46">
        <f t="shared" ref="D17:J17" si="8">D12-D15</f>
        <v>17.2</v>
      </c>
      <c r="E17" s="46">
        <f t="shared" si="8"/>
        <v>11.960000000000004</v>
      </c>
      <c r="F17" s="46">
        <f t="shared" si="8"/>
        <v>25.43</v>
      </c>
      <c r="G17" s="46">
        <f t="shared" si="8"/>
        <v>8.2999999999999989</v>
      </c>
      <c r="H17" s="46">
        <f t="shared" si="8"/>
        <v>1.7099999999999937</v>
      </c>
      <c r="I17" s="46">
        <f t="shared" si="8"/>
        <v>-26.560000000000002</v>
      </c>
      <c r="J17" s="56">
        <f t="shared" si="8"/>
        <v>1.5850999999999971</v>
      </c>
      <c r="K17" s="56">
        <f t="shared" ref="K17:M17" si="9">K12-K15</f>
        <v>-46.434999999999995</v>
      </c>
      <c r="L17" s="56">
        <f t="shared" si="9"/>
        <v>-8.1601999999999961</v>
      </c>
      <c r="M17" s="56">
        <f t="shared" si="9"/>
        <v>-1.3399999999999963</v>
      </c>
    </row>
    <row r="18" spans="2:15" x14ac:dyDescent="0.25">
      <c r="B18" s="42" t="s">
        <v>83</v>
      </c>
      <c r="C18" s="47">
        <f>C17/C8</f>
        <v>0.42939481268011537</v>
      </c>
      <c r="D18" s="47">
        <f t="shared" ref="D18:J18" si="10">D17/D8</f>
        <v>0.42022966039579768</v>
      </c>
      <c r="E18" s="47">
        <f t="shared" si="10"/>
        <v>0.28334517886756705</v>
      </c>
      <c r="F18" s="47">
        <f t="shared" si="10"/>
        <v>0.4693613879660391</v>
      </c>
      <c r="G18" s="47">
        <f t="shared" si="10"/>
        <v>0.15438988095238093</v>
      </c>
      <c r="H18" s="47">
        <f t="shared" si="10"/>
        <v>2.6907946498819731E-2</v>
      </c>
      <c r="I18" s="47">
        <f t="shared" si="10"/>
        <v>-0.39383155397390279</v>
      </c>
      <c r="J18" s="47">
        <f t="shared" si="10"/>
        <v>1.5612826334270672E-2</v>
      </c>
      <c r="K18" s="47">
        <f t="shared" ref="K18:M18" si="11">K17/K8</f>
        <v>-0.46069941781324775</v>
      </c>
      <c r="L18" s="47">
        <f t="shared" si="11"/>
        <v>-9.780530748587786E-2</v>
      </c>
      <c r="M18" s="47">
        <f t="shared" si="11"/>
        <v>-3.1881989055436502E-2</v>
      </c>
    </row>
    <row r="19" spans="2:15" hidden="1" x14ac:dyDescent="0.25">
      <c r="B19" s="44"/>
      <c r="C19" s="48"/>
      <c r="D19" s="48"/>
      <c r="E19" s="48"/>
      <c r="F19" s="48"/>
      <c r="G19" s="48"/>
      <c r="H19" s="48"/>
      <c r="I19" s="51"/>
      <c r="J19" s="25"/>
      <c r="K19" s="25"/>
      <c r="L19" s="87"/>
    </row>
    <row r="20" spans="2:15" x14ac:dyDescent="0.25">
      <c r="B20" s="43" t="s">
        <v>84</v>
      </c>
      <c r="C20" s="50">
        <v>25.93</v>
      </c>
      <c r="D20" s="50">
        <v>24.58</v>
      </c>
      <c r="E20" s="50">
        <v>23.78</v>
      </c>
      <c r="F20" s="50">
        <v>21.6</v>
      </c>
      <c r="G20" s="50">
        <v>13.82</v>
      </c>
      <c r="H20" s="50">
        <v>9.7200000000000006</v>
      </c>
      <c r="I20" s="49">
        <v>1.79</v>
      </c>
      <c r="J20" s="86">
        <f>271.82/10^2</f>
        <v>2.7181999999999999</v>
      </c>
      <c r="K20" s="86">
        <f>634.24/10^2</f>
        <v>6.3424000000000005</v>
      </c>
      <c r="L20" s="89">
        <f>832.44/10^2</f>
        <v>8.3244000000000007</v>
      </c>
      <c r="M20" s="151">
        <v>4.16</v>
      </c>
      <c r="N20" s="61"/>
      <c r="O20" s="61"/>
    </row>
    <row r="21" spans="2:15" hidden="1" x14ac:dyDescent="0.25">
      <c r="B21" s="43"/>
      <c r="C21" s="50"/>
      <c r="D21" s="50"/>
      <c r="E21" s="50"/>
      <c r="F21" s="50"/>
      <c r="G21" s="50"/>
      <c r="H21" s="50"/>
      <c r="I21" s="50"/>
      <c r="J21" s="55"/>
      <c r="K21" s="25"/>
      <c r="L21" s="87"/>
    </row>
    <row r="22" spans="2:15" x14ac:dyDescent="0.25">
      <c r="B22" s="38" t="s">
        <v>85</v>
      </c>
      <c r="C22" s="46">
        <f>C17-C20</f>
        <v>-9.5399999999999956</v>
      </c>
      <c r="D22" s="46">
        <f t="shared" ref="D22:J22" si="12">D17-D20</f>
        <v>-7.379999999999999</v>
      </c>
      <c r="E22" s="46">
        <f t="shared" si="12"/>
        <v>-11.819999999999997</v>
      </c>
      <c r="F22" s="46">
        <f t="shared" si="12"/>
        <v>3.8299999999999983</v>
      </c>
      <c r="G22" s="46">
        <f t="shared" si="12"/>
        <v>-5.5200000000000014</v>
      </c>
      <c r="H22" s="46">
        <f t="shared" si="12"/>
        <v>-8.0100000000000069</v>
      </c>
      <c r="I22" s="46">
        <f t="shared" si="12"/>
        <v>-28.35</v>
      </c>
      <c r="J22" s="56">
        <f t="shared" si="12"/>
        <v>-1.1331000000000029</v>
      </c>
      <c r="K22" s="56">
        <f t="shared" ref="K22:M22" si="13">K17-K20</f>
        <v>-52.777399999999993</v>
      </c>
      <c r="L22" s="56">
        <f t="shared" si="13"/>
        <v>-16.484599999999997</v>
      </c>
      <c r="M22" s="56">
        <f t="shared" si="13"/>
        <v>-5.4999999999999964</v>
      </c>
    </row>
    <row r="23" spans="2:15" x14ac:dyDescent="0.25">
      <c r="B23" s="42" t="s">
        <v>86</v>
      </c>
      <c r="C23" s="47">
        <f>C22/C8</f>
        <v>-0.24993450353680888</v>
      </c>
      <c r="D23" s="47">
        <f t="shared" ref="D23:J23" si="14">D22/D8</f>
        <v>-0.18030784265819691</v>
      </c>
      <c r="E23" s="47">
        <f t="shared" si="14"/>
        <v>-0.28002842928216054</v>
      </c>
      <c r="F23" s="47">
        <f t="shared" si="14"/>
        <v>7.0690291620524148E-2</v>
      </c>
      <c r="G23" s="47">
        <f t="shared" si="14"/>
        <v>-0.10267857142857145</v>
      </c>
      <c r="H23" s="47">
        <f t="shared" si="14"/>
        <v>-0.12604248623131403</v>
      </c>
      <c r="I23" s="47">
        <f t="shared" si="14"/>
        <v>-0.42037366548042709</v>
      </c>
      <c r="J23" s="47">
        <f t="shared" si="14"/>
        <v>-1.1160742867555471E-2</v>
      </c>
      <c r="K23" s="47">
        <f t="shared" ref="K23:M23" si="15">K22/K8</f>
        <v>-0.52362479710771836</v>
      </c>
      <c r="L23" s="47">
        <f t="shared" si="15"/>
        <v>-0.19757865882964912</v>
      </c>
      <c r="M23" s="47">
        <f t="shared" si="15"/>
        <v>-0.13085891030216504</v>
      </c>
    </row>
    <row r="24" spans="2:15" hidden="1" x14ac:dyDescent="0.25">
      <c r="B24" s="45"/>
      <c r="C24" s="48"/>
      <c r="D24" s="48"/>
      <c r="E24" s="48"/>
      <c r="F24" s="48"/>
      <c r="G24" s="48"/>
      <c r="H24" s="48"/>
      <c r="I24" s="49"/>
      <c r="J24" s="25"/>
      <c r="K24" s="25"/>
      <c r="L24" s="87"/>
    </row>
    <row r="25" spans="2:15" x14ac:dyDescent="0.25">
      <c r="B25" s="43" t="s">
        <v>87</v>
      </c>
      <c r="C25" s="55">
        <v>0</v>
      </c>
      <c r="D25" s="55">
        <v>0</v>
      </c>
      <c r="E25" s="55">
        <v>0</v>
      </c>
      <c r="F25" s="55">
        <v>0</v>
      </c>
      <c r="G25" s="55">
        <v>0</v>
      </c>
      <c r="H25" s="55">
        <v>0</v>
      </c>
      <c r="I25" s="55">
        <v>0</v>
      </c>
      <c r="J25" s="55">
        <v>0</v>
      </c>
      <c r="K25" s="55">
        <v>0</v>
      </c>
      <c r="L25" s="55">
        <v>0</v>
      </c>
      <c r="M25" s="55">
        <v>0</v>
      </c>
    </row>
    <row r="26" spans="2:15" x14ac:dyDescent="0.25">
      <c r="B26" s="42" t="s">
        <v>88</v>
      </c>
      <c r="C26" s="52">
        <v>0</v>
      </c>
      <c r="D26" s="52">
        <v>0</v>
      </c>
      <c r="E26" s="52">
        <v>0</v>
      </c>
      <c r="F26" s="52">
        <v>0</v>
      </c>
      <c r="G26" s="52">
        <v>0</v>
      </c>
      <c r="H26" s="52">
        <v>0</v>
      </c>
      <c r="I26" s="52">
        <v>0</v>
      </c>
      <c r="J26" s="55">
        <v>0</v>
      </c>
      <c r="K26" s="55">
        <v>0</v>
      </c>
      <c r="L26" s="55">
        <v>0</v>
      </c>
      <c r="M26" s="55">
        <v>0</v>
      </c>
    </row>
    <row r="27" spans="2:15" hidden="1" x14ac:dyDescent="0.25">
      <c r="B27" s="44"/>
      <c r="C27" s="48"/>
      <c r="D27" s="48"/>
      <c r="E27" s="48"/>
      <c r="F27" s="48"/>
      <c r="G27" s="48"/>
      <c r="H27" s="48"/>
      <c r="I27" s="49"/>
      <c r="J27" s="25"/>
      <c r="K27" s="25"/>
      <c r="L27" s="87"/>
    </row>
    <row r="28" spans="2:15" x14ac:dyDescent="0.25">
      <c r="B28" s="38" t="s">
        <v>89</v>
      </c>
      <c r="C28" s="56">
        <f>C22-C25</f>
        <v>-9.5399999999999956</v>
      </c>
      <c r="D28" s="56">
        <f t="shared" ref="D28:J28" si="16">D22-D25</f>
        <v>-7.379999999999999</v>
      </c>
      <c r="E28" s="56">
        <f t="shared" si="16"/>
        <v>-11.819999999999997</v>
      </c>
      <c r="F28" s="56">
        <f t="shared" si="16"/>
        <v>3.8299999999999983</v>
      </c>
      <c r="G28" s="56">
        <f t="shared" si="16"/>
        <v>-5.5200000000000014</v>
      </c>
      <c r="H28" s="56">
        <f t="shared" si="16"/>
        <v>-8.0100000000000069</v>
      </c>
      <c r="I28" s="56">
        <f t="shared" si="16"/>
        <v>-28.35</v>
      </c>
      <c r="J28" s="56">
        <f t="shared" si="16"/>
        <v>-1.1331000000000029</v>
      </c>
      <c r="K28" s="56">
        <f t="shared" ref="K28:M28" si="17">K22-K25</f>
        <v>-52.777399999999993</v>
      </c>
      <c r="L28" s="56">
        <f t="shared" si="17"/>
        <v>-16.484599999999997</v>
      </c>
      <c r="M28" s="56">
        <f t="shared" si="17"/>
        <v>-5.4999999999999964</v>
      </c>
    </row>
    <row r="29" spans="2:15" x14ac:dyDescent="0.25">
      <c r="B29" s="42" t="s">
        <v>90</v>
      </c>
      <c r="C29" s="47">
        <f>C28/C8</f>
        <v>-0.24993450353680888</v>
      </c>
      <c r="D29" s="47">
        <f t="shared" ref="D29:J29" si="18">D28/D8</f>
        <v>-0.18030784265819691</v>
      </c>
      <c r="E29" s="47">
        <f t="shared" si="18"/>
        <v>-0.28002842928216054</v>
      </c>
      <c r="F29" s="47">
        <f t="shared" si="18"/>
        <v>7.0690291620524148E-2</v>
      </c>
      <c r="G29" s="47">
        <f t="shared" si="18"/>
        <v>-0.10267857142857145</v>
      </c>
      <c r="H29" s="47">
        <f t="shared" si="18"/>
        <v>-0.12604248623131403</v>
      </c>
      <c r="I29" s="47">
        <f t="shared" si="18"/>
        <v>-0.42037366548042709</v>
      </c>
      <c r="J29" s="47">
        <f t="shared" si="18"/>
        <v>-1.1160742867555471E-2</v>
      </c>
      <c r="K29" s="47">
        <f t="shared" ref="K29:M29" si="19">K28/K8</f>
        <v>-0.52362479710771836</v>
      </c>
      <c r="L29" s="47">
        <f t="shared" si="19"/>
        <v>-0.19757865882964912</v>
      </c>
      <c r="M29" s="47">
        <f t="shared" si="19"/>
        <v>-0.13085891030216504</v>
      </c>
    </row>
    <row r="30" spans="2:15" x14ac:dyDescent="0.25">
      <c r="L30" s="90"/>
    </row>
    <row r="32" spans="2:15" ht="17.25" customHeight="1" x14ac:dyDescent="0.25">
      <c r="B32" s="34" t="s">
        <v>92</v>
      </c>
      <c r="C32" s="1"/>
      <c r="D32" s="1"/>
      <c r="E32" s="1"/>
      <c r="F32" s="1"/>
      <c r="G32" s="1"/>
      <c r="H32" s="1"/>
      <c r="I32" s="1"/>
      <c r="J32" s="1"/>
      <c r="K32" s="1"/>
      <c r="L32" s="1"/>
      <c r="M32" s="1"/>
    </row>
    <row r="34" spans="2:13" ht="16.5" customHeight="1" x14ac:dyDescent="0.25">
      <c r="B34" s="54" t="s">
        <v>76</v>
      </c>
      <c r="C34" s="68">
        <v>2015</v>
      </c>
      <c r="D34" s="68">
        <f>C34+1</f>
        <v>2016</v>
      </c>
      <c r="E34" s="68">
        <f t="shared" ref="E34:I34" si="20">D34+1</f>
        <v>2017</v>
      </c>
      <c r="F34" s="68">
        <f t="shared" si="20"/>
        <v>2018</v>
      </c>
      <c r="G34" s="68">
        <f t="shared" si="20"/>
        <v>2019</v>
      </c>
      <c r="H34" s="68">
        <f t="shared" si="20"/>
        <v>2020</v>
      </c>
      <c r="I34" s="68">
        <f t="shared" si="20"/>
        <v>2021</v>
      </c>
      <c r="J34" s="68">
        <f t="shared" ref="J34" si="21">I34+1</f>
        <v>2022</v>
      </c>
      <c r="K34" s="68">
        <f t="shared" ref="K34" si="22">J34+1</f>
        <v>2023</v>
      </c>
      <c r="L34" s="68">
        <f t="shared" ref="L34" si="23">K34+1</f>
        <v>2024</v>
      </c>
      <c r="M34" s="68" t="str">
        <f>+M6</f>
        <v>Sept 24 P</v>
      </c>
    </row>
    <row r="35" spans="2:13" ht="11.25" customHeight="1" x14ac:dyDescent="0.25"/>
    <row r="36" spans="2:13" ht="17.25" customHeight="1" x14ac:dyDescent="0.25">
      <c r="B36" t="s">
        <v>93</v>
      </c>
      <c r="C36" s="57">
        <f>C12/C8</f>
        <v>0.7086717317264869</v>
      </c>
      <c r="D36" s="57">
        <f t="shared" ref="D36:J36" si="24">D12/D8</f>
        <v>0.74786220376252133</v>
      </c>
      <c r="E36" s="57">
        <f>E12/E8</f>
        <v>0.70954750059227678</v>
      </c>
      <c r="F36" s="57">
        <f t="shared" si="24"/>
        <v>0.76338132152085636</v>
      </c>
      <c r="G36" s="57">
        <f t="shared" si="24"/>
        <v>0.43563988095238093</v>
      </c>
      <c r="H36" s="57">
        <f t="shared" si="24"/>
        <v>0.40566483084185673</v>
      </c>
      <c r="I36" s="57">
        <f t="shared" si="24"/>
        <v>-1.4531435349940747E-2</v>
      </c>
      <c r="J36" s="57">
        <f t="shared" si="24"/>
        <v>0.29896528458367599</v>
      </c>
      <c r="K36" s="57">
        <f t="shared" ref="K36:L36" si="25">K12/K8</f>
        <v>-6.672229255380363E-2</v>
      </c>
      <c r="L36" s="57">
        <f t="shared" si="25"/>
        <v>0.20922631425657207</v>
      </c>
      <c r="M36" s="57">
        <f t="shared" ref="M36" si="26">M12/M8</f>
        <v>0.40970735189150609</v>
      </c>
    </row>
    <row r="37" spans="2:13" ht="16.5" customHeight="1" x14ac:dyDescent="0.25">
      <c r="B37" t="s">
        <v>94</v>
      </c>
      <c r="C37" s="57">
        <f>C17/C8</f>
        <v>0.42939481268011537</v>
      </c>
      <c r="D37" s="57">
        <f t="shared" ref="D37:J37" si="27">D17/D8</f>
        <v>0.42022966039579768</v>
      </c>
      <c r="E37" s="57">
        <f t="shared" si="27"/>
        <v>0.28334517886756705</v>
      </c>
      <c r="F37" s="57">
        <f t="shared" si="27"/>
        <v>0.4693613879660391</v>
      </c>
      <c r="G37" s="57">
        <f t="shared" si="27"/>
        <v>0.15438988095238093</v>
      </c>
      <c r="H37" s="57">
        <f t="shared" si="27"/>
        <v>2.6907946498819731E-2</v>
      </c>
      <c r="I37" s="57">
        <f t="shared" si="27"/>
        <v>-0.39383155397390279</v>
      </c>
      <c r="J37" s="57">
        <f t="shared" si="27"/>
        <v>1.5612826334270672E-2</v>
      </c>
      <c r="K37" s="57">
        <f t="shared" ref="K37:L37" si="28">K17/K8</f>
        <v>-0.46069941781324775</v>
      </c>
      <c r="L37" s="57">
        <f t="shared" si="28"/>
        <v>-9.780530748587786E-2</v>
      </c>
      <c r="M37" s="57">
        <f t="shared" ref="M37" si="29">M17/M8</f>
        <v>-3.1881989055436502E-2</v>
      </c>
    </row>
    <row r="38" spans="2:13" ht="18" customHeight="1" x14ac:dyDescent="0.25">
      <c r="B38" t="s">
        <v>95</v>
      </c>
      <c r="C38" s="57">
        <f>C29/C8</f>
        <v>-6.5479304044225532E-3</v>
      </c>
      <c r="D38" s="57">
        <f t="shared" ref="D38" si="30">D29/D8</f>
        <v>-4.4052734585437797E-3</v>
      </c>
      <c r="E38" s="57">
        <f>E28/E8</f>
        <v>-0.28002842928216054</v>
      </c>
      <c r="F38" s="57">
        <f t="shared" ref="F38:L38" si="31">F28/F8</f>
        <v>7.0690291620524148E-2</v>
      </c>
      <c r="G38" s="57">
        <f t="shared" si="31"/>
        <v>-0.10267857142857145</v>
      </c>
      <c r="H38" s="57">
        <f t="shared" si="31"/>
        <v>-0.12604248623131403</v>
      </c>
      <c r="I38" s="57">
        <f t="shared" si="31"/>
        <v>-0.42037366548042709</v>
      </c>
      <c r="J38" s="57">
        <f t="shared" si="31"/>
        <v>-1.1160742867555471E-2</v>
      </c>
      <c r="K38" s="57">
        <f t="shared" si="31"/>
        <v>-0.52362479710771836</v>
      </c>
      <c r="L38" s="57">
        <f t="shared" si="31"/>
        <v>-0.19757865882964912</v>
      </c>
      <c r="M38" s="57">
        <f t="shared" ref="M38" si="32">M28/M8</f>
        <v>-0.13085891030216504</v>
      </c>
    </row>
    <row r="39" spans="2:13" ht="16.5" customHeight="1" x14ac:dyDescent="0.25">
      <c r="B39" t="s">
        <v>96</v>
      </c>
      <c r="C39" s="57"/>
      <c r="D39" s="57">
        <f>D8/C8-1</f>
        <v>7.2308095362850322E-2</v>
      </c>
      <c r="E39" s="57">
        <f t="shared" ref="E39:J39" si="33">E8/D8-1</f>
        <v>3.1272904959687375E-2</v>
      </c>
      <c r="F39" s="57">
        <f t="shared" si="33"/>
        <v>0.28358208955223874</v>
      </c>
      <c r="G39" s="57">
        <f t="shared" si="33"/>
        <v>-7.7519379844961378E-3</v>
      </c>
      <c r="H39" s="57">
        <f t="shared" si="33"/>
        <v>0.18210565476190466</v>
      </c>
      <c r="I39" s="57">
        <f t="shared" si="33"/>
        <v>6.1211644374508323E-2</v>
      </c>
      <c r="J39" s="57">
        <f t="shared" si="33"/>
        <v>0.50541963226571762</v>
      </c>
      <c r="K39" s="57">
        <f t="shared" ref="K39" si="34">K8/J8-1</f>
        <v>-7.2208459943560177E-3</v>
      </c>
      <c r="L39" s="57">
        <f t="shared" ref="L39:M39" si="35">L8/K8-1</f>
        <v>-0.17222826324206986</v>
      </c>
      <c r="M39" s="57">
        <f t="shared" si="35"/>
        <v>-0.49624309776335762</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BD73B-1C6E-4C63-A71F-B226FB978C80}">
  <dimension ref="B2:M41"/>
  <sheetViews>
    <sheetView workbookViewId="0">
      <selection activeCell="I18" sqref="I17:I18"/>
    </sheetView>
  </sheetViews>
  <sheetFormatPr defaultRowHeight="15" x14ac:dyDescent="0.25"/>
  <cols>
    <col min="2" max="2" width="28.42578125" bestFit="1" customWidth="1"/>
    <col min="3" max="3" width="17.7109375" customWidth="1"/>
    <col min="4" max="4" width="22.28515625" customWidth="1"/>
    <col min="8" max="8" width="27" bestFit="1" customWidth="1"/>
    <col min="9" max="9" width="11" bestFit="1" customWidth="1"/>
    <col min="10" max="10" width="9.85546875" bestFit="1" customWidth="1"/>
  </cols>
  <sheetData>
    <row r="2" spans="2:13" ht="32.25" x14ac:dyDescent="0.25">
      <c r="B2" s="152" t="s">
        <v>156</v>
      </c>
      <c r="C2" s="153" t="s">
        <v>157</v>
      </c>
      <c r="D2" s="153" t="s">
        <v>158</v>
      </c>
    </row>
    <row r="3" spans="2:13" x14ac:dyDescent="0.25">
      <c r="B3" s="154" t="s">
        <v>159</v>
      </c>
      <c r="C3" s="155"/>
      <c r="D3" s="155"/>
    </row>
    <row r="4" spans="2:13" x14ac:dyDescent="0.25">
      <c r="B4" s="154" t="s">
        <v>160</v>
      </c>
      <c r="C4" s="156"/>
      <c r="D4" s="157"/>
    </row>
    <row r="5" spans="2:13" x14ac:dyDescent="0.25">
      <c r="B5" s="158" t="s">
        <v>161</v>
      </c>
      <c r="C5" s="160">
        <v>302.54000000000002</v>
      </c>
      <c r="D5" s="160">
        <v>44.33</v>
      </c>
      <c r="H5" t="s">
        <v>163</v>
      </c>
    </row>
    <row r="6" spans="2:13" x14ac:dyDescent="0.25">
      <c r="B6" s="158" t="s">
        <v>162</v>
      </c>
      <c r="C6" s="160">
        <v>10134</v>
      </c>
      <c r="D6" s="160">
        <v>0</v>
      </c>
      <c r="H6" s="35" t="s">
        <v>189</v>
      </c>
      <c r="I6" s="35" t="s">
        <v>190</v>
      </c>
      <c r="J6" s="35" t="s">
        <v>191</v>
      </c>
      <c r="K6" s="35"/>
    </row>
    <row r="7" spans="2:13" x14ac:dyDescent="0.25">
      <c r="B7" s="158" t="s">
        <v>163</v>
      </c>
      <c r="C7" s="160">
        <v>28.72</v>
      </c>
      <c r="D7" s="160">
        <f>+J11</f>
        <v>0</v>
      </c>
      <c r="H7" t="s">
        <v>192</v>
      </c>
      <c r="I7" s="167">
        <v>5.68</v>
      </c>
    </row>
    <row r="8" spans="2:13" x14ac:dyDescent="0.25">
      <c r="B8" s="159" t="s">
        <v>164</v>
      </c>
      <c r="C8" s="161">
        <f>SUM(C5:C7)</f>
        <v>10465.26</v>
      </c>
      <c r="D8" s="161">
        <f>SUM(D5:D7)</f>
        <v>44.33</v>
      </c>
      <c r="H8" t="s">
        <v>193</v>
      </c>
      <c r="I8" s="167">
        <v>16.254999999999999</v>
      </c>
    </row>
    <row r="9" spans="2:13" x14ac:dyDescent="0.25">
      <c r="B9" s="154" t="s">
        <v>165</v>
      </c>
      <c r="C9" s="162"/>
      <c r="D9" s="160"/>
      <c r="H9" t="s">
        <v>194</v>
      </c>
      <c r="I9" s="167">
        <v>0.215</v>
      </c>
      <c r="M9">
        <f>44.33/302.54</f>
        <v>0.14652607919613933</v>
      </c>
    </row>
    <row r="10" spans="2:13" x14ac:dyDescent="0.25">
      <c r="B10" s="158" t="s">
        <v>166</v>
      </c>
      <c r="C10" s="160">
        <v>0.47</v>
      </c>
      <c r="D10" s="160">
        <v>0</v>
      </c>
      <c r="H10" t="s">
        <v>195</v>
      </c>
      <c r="I10" s="167">
        <v>6.57</v>
      </c>
    </row>
    <row r="11" spans="2:13" x14ac:dyDescent="0.25">
      <c r="B11" s="158" t="s">
        <v>167</v>
      </c>
      <c r="C11" s="160">
        <v>2540.63</v>
      </c>
      <c r="D11" s="160">
        <f>+C11</f>
        <v>2540.63</v>
      </c>
      <c r="H11" s="35" t="s">
        <v>16</v>
      </c>
      <c r="I11" s="168">
        <f>SUM(I7:I10)</f>
        <v>28.72</v>
      </c>
      <c r="J11" s="168">
        <f>SUM(J7:J10)</f>
        <v>0</v>
      </c>
    </row>
    <row r="12" spans="2:13" x14ac:dyDescent="0.25">
      <c r="B12" s="158" t="s">
        <v>168</v>
      </c>
      <c r="C12" s="160">
        <v>198.02</v>
      </c>
      <c r="D12" s="160">
        <f>+J19</f>
        <v>73.45</v>
      </c>
    </row>
    <row r="13" spans="2:13" x14ac:dyDescent="0.25">
      <c r="B13" s="158" t="s">
        <v>169</v>
      </c>
      <c r="C13" s="160">
        <v>227.16</v>
      </c>
      <c r="D13" s="160">
        <f>+J31</f>
        <v>160.76500000000001</v>
      </c>
    </row>
    <row r="14" spans="2:13" x14ac:dyDescent="0.25">
      <c r="B14" s="159" t="s">
        <v>170</v>
      </c>
      <c r="C14" s="161">
        <f>SUM(C10:C13)</f>
        <v>2966.2799999999997</v>
      </c>
      <c r="D14" s="161">
        <f>SUM(D10:D13)</f>
        <v>2774.8449999999998</v>
      </c>
      <c r="H14" t="s">
        <v>168</v>
      </c>
    </row>
    <row r="15" spans="2:13" x14ac:dyDescent="0.25">
      <c r="B15" s="152" t="s">
        <v>171</v>
      </c>
      <c r="C15" s="163">
        <f>+C14+C8</f>
        <v>13431.54</v>
      </c>
      <c r="D15" s="163">
        <f>+D14+D8</f>
        <v>2819.1749999999997</v>
      </c>
      <c r="H15" s="35" t="s">
        <v>189</v>
      </c>
      <c r="I15" s="35" t="s">
        <v>190</v>
      </c>
      <c r="J15" s="35" t="s">
        <v>191</v>
      </c>
    </row>
    <row r="16" spans="2:13" x14ac:dyDescent="0.25">
      <c r="B16" s="154" t="s">
        <v>172</v>
      </c>
      <c r="C16" s="160"/>
      <c r="D16" s="160"/>
      <c r="H16" t="s">
        <v>196</v>
      </c>
      <c r="I16" s="167">
        <v>173.94</v>
      </c>
      <c r="J16" s="167">
        <f>45.38+3.99</f>
        <v>49.370000000000005</v>
      </c>
    </row>
    <row r="17" spans="2:12" x14ac:dyDescent="0.25">
      <c r="B17" s="154" t="s">
        <v>173</v>
      </c>
      <c r="C17" s="164"/>
      <c r="D17" s="166"/>
      <c r="H17" t="s">
        <v>197</v>
      </c>
      <c r="I17" s="167">
        <v>22.39</v>
      </c>
      <c r="J17" s="167">
        <v>22.39</v>
      </c>
    </row>
    <row r="18" spans="2:12" x14ac:dyDescent="0.25">
      <c r="B18" s="158" t="s">
        <v>174</v>
      </c>
      <c r="C18" s="160">
        <v>7466</v>
      </c>
      <c r="D18" s="160">
        <v>7466</v>
      </c>
      <c r="H18" t="s">
        <v>198</v>
      </c>
      <c r="I18" s="167">
        <v>1.69</v>
      </c>
      <c r="J18" s="167">
        <v>1.69</v>
      </c>
    </row>
    <row r="19" spans="2:12" x14ac:dyDescent="0.25">
      <c r="B19" s="158" t="s">
        <v>175</v>
      </c>
      <c r="C19" s="160">
        <v>-21548.11</v>
      </c>
      <c r="D19" s="160">
        <v>-21548.11</v>
      </c>
      <c r="H19" s="35" t="s">
        <v>16</v>
      </c>
      <c r="I19" s="168">
        <f>SUM(I16:I18)</f>
        <v>198.01999999999998</v>
      </c>
      <c r="J19" s="168">
        <f>SUM(J16:J18)</f>
        <v>73.45</v>
      </c>
      <c r="K19">
        <v>73.45</v>
      </c>
      <c r="L19" s="24">
        <f>+K19/I19</f>
        <v>0.37092212907787098</v>
      </c>
    </row>
    <row r="20" spans="2:12" x14ac:dyDescent="0.25">
      <c r="B20" s="159" t="s">
        <v>176</v>
      </c>
      <c r="C20" s="161">
        <f>SUM(C18:C19)</f>
        <v>-14082.11</v>
      </c>
      <c r="D20" s="161">
        <f>SUM(D18:D19)</f>
        <v>-14082.11</v>
      </c>
    </row>
    <row r="21" spans="2:12" x14ac:dyDescent="0.25">
      <c r="B21" s="154" t="s">
        <v>177</v>
      </c>
      <c r="C21" s="160"/>
      <c r="D21" s="160"/>
    </row>
    <row r="22" spans="2:12" x14ac:dyDescent="0.25">
      <c r="B22" s="154" t="s">
        <v>178</v>
      </c>
      <c r="C22" s="165"/>
      <c r="D22" s="165"/>
      <c r="H22" t="s">
        <v>169</v>
      </c>
    </row>
    <row r="23" spans="2:12" x14ac:dyDescent="0.25">
      <c r="B23" s="158" t="s">
        <v>179</v>
      </c>
      <c r="C23" s="160">
        <v>2047.91</v>
      </c>
      <c r="D23" s="160">
        <f>+C23</f>
        <v>2047.91</v>
      </c>
      <c r="H23" s="35" t="s">
        <v>189</v>
      </c>
      <c r="I23" s="35" t="s">
        <v>190</v>
      </c>
      <c r="J23" s="35" t="s">
        <v>191</v>
      </c>
    </row>
    <row r="24" spans="2:12" x14ac:dyDescent="0.25">
      <c r="B24" s="158" t="s">
        <v>180</v>
      </c>
      <c r="C24" s="160">
        <v>3</v>
      </c>
      <c r="D24" s="160">
        <f t="shared" ref="D24:D25" si="0">+C24</f>
        <v>3</v>
      </c>
      <c r="H24" t="s">
        <v>199</v>
      </c>
      <c r="I24" s="167">
        <v>8.7100000000000009</v>
      </c>
    </row>
    <row r="25" spans="2:12" x14ac:dyDescent="0.25">
      <c r="B25" s="158" t="s">
        <v>181</v>
      </c>
      <c r="C25" s="160">
        <v>16780.97</v>
      </c>
      <c r="D25" s="160">
        <f t="shared" si="0"/>
        <v>16780.97</v>
      </c>
      <c r="H25" t="s">
        <v>200</v>
      </c>
      <c r="I25" s="167">
        <v>2.2000000000000002</v>
      </c>
    </row>
    <row r="26" spans="2:12" x14ac:dyDescent="0.25">
      <c r="B26" s="159" t="s">
        <v>182</v>
      </c>
      <c r="C26" s="161">
        <f>SUM(C23:C25)</f>
        <v>18831.88</v>
      </c>
      <c r="D26" s="161">
        <f>SUM(D23:D25)</f>
        <v>18831.88</v>
      </c>
      <c r="H26" t="s">
        <v>201</v>
      </c>
      <c r="I26" s="167">
        <v>8.59</v>
      </c>
    </row>
    <row r="27" spans="2:12" x14ac:dyDescent="0.25">
      <c r="B27" s="154" t="s">
        <v>183</v>
      </c>
      <c r="C27" s="165"/>
      <c r="D27" s="165"/>
      <c r="H27" t="s">
        <v>197</v>
      </c>
      <c r="I27" s="167">
        <v>123.55</v>
      </c>
      <c r="J27" s="24">
        <f>+I27</f>
        <v>123.55</v>
      </c>
    </row>
    <row r="28" spans="2:12" x14ac:dyDescent="0.25">
      <c r="B28" s="158" t="s">
        <v>184</v>
      </c>
      <c r="C28" s="160">
        <v>25.2</v>
      </c>
      <c r="D28" s="166">
        <f>+C28</f>
        <v>25.2</v>
      </c>
      <c r="H28" t="s">
        <v>198</v>
      </c>
      <c r="I28" s="167">
        <v>37.04</v>
      </c>
      <c r="J28" s="24">
        <f t="shared" ref="J28:J29" si="1">+I28</f>
        <v>37.04</v>
      </c>
    </row>
    <row r="29" spans="2:12" x14ac:dyDescent="0.25">
      <c r="B29" s="158" t="s">
        <v>180</v>
      </c>
      <c r="C29" s="160">
        <v>8199.85</v>
      </c>
      <c r="D29" s="166">
        <f t="shared" ref="D29:D31" si="2">+C29</f>
        <v>8199.85</v>
      </c>
      <c r="H29" t="s">
        <v>202</v>
      </c>
      <c r="I29" s="167">
        <v>0.17499999999999999</v>
      </c>
      <c r="J29" s="24">
        <f t="shared" si="1"/>
        <v>0.17499999999999999</v>
      </c>
    </row>
    <row r="30" spans="2:12" x14ac:dyDescent="0.25">
      <c r="B30" s="158" t="s">
        <v>181</v>
      </c>
      <c r="C30" s="160">
        <v>203.03</v>
      </c>
      <c r="D30" s="166">
        <f t="shared" si="2"/>
        <v>203.03</v>
      </c>
      <c r="H30" t="s">
        <v>203</v>
      </c>
      <c r="I30" s="167">
        <v>46.89</v>
      </c>
    </row>
    <row r="31" spans="2:12" x14ac:dyDescent="0.25">
      <c r="B31" s="158" t="s">
        <v>185</v>
      </c>
      <c r="C31" s="160">
        <v>253.69</v>
      </c>
      <c r="D31" s="166">
        <f t="shared" si="2"/>
        <v>253.69</v>
      </c>
      <c r="H31" s="35" t="s">
        <v>16</v>
      </c>
      <c r="I31" s="168">
        <f>SUM(I24:I30)</f>
        <v>227.15500000000003</v>
      </c>
      <c r="J31" s="168">
        <f>SUM(J24:J30)</f>
        <v>160.76500000000001</v>
      </c>
      <c r="K31">
        <v>160.55000000000001</v>
      </c>
      <c r="L31" s="24">
        <f>+K31/I31</f>
        <v>0.70678611520767753</v>
      </c>
    </row>
    <row r="32" spans="2:12" x14ac:dyDescent="0.25">
      <c r="B32" s="159" t="s">
        <v>186</v>
      </c>
      <c r="C32" s="161">
        <f>SUM(C28:C31)</f>
        <v>8681.7700000000023</v>
      </c>
      <c r="D32" s="161">
        <f>SUM(D28:D31)</f>
        <v>8681.7700000000023</v>
      </c>
    </row>
    <row r="33" spans="2:4" x14ac:dyDescent="0.25">
      <c r="B33" s="159" t="s">
        <v>187</v>
      </c>
      <c r="C33" s="161">
        <f>+C32+C26</f>
        <v>27513.65</v>
      </c>
      <c r="D33" s="161">
        <f>+D32+D26</f>
        <v>27513.65</v>
      </c>
    </row>
    <row r="34" spans="2:4" x14ac:dyDescent="0.25">
      <c r="B34" s="152" t="s">
        <v>188</v>
      </c>
      <c r="C34" s="163">
        <f>+C33+C20</f>
        <v>13431.54</v>
      </c>
      <c r="D34" s="163">
        <f>+D33+D20</f>
        <v>13431.54</v>
      </c>
    </row>
    <row r="37" spans="2:4" ht="15.75" thickBot="1" x14ac:dyDescent="0.3"/>
    <row r="38" spans="2:4" ht="15.75" thickBot="1" x14ac:dyDescent="0.3">
      <c r="B38" s="169" t="s">
        <v>156</v>
      </c>
      <c r="C38" s="170" t="s">
        <v>204</v>
      </c>
    </row>
    <row r="39" spans="2:4" ht="15.75" thickBot="1" x14ac:dyDescent="0.3">
      <c r="B39" s="171" t="s">
        <v>205</v>
      </c>
      <c r="C39" s="174">
        <f>+D15</f>
        <v>2819.1749999999997</v>
      </c>
    </row>
    <row r="40" spans="2:4" ht="15.75" thickBot="1" x14ac:dyDescent="0.3">
      <c r="B40" s="171" t="s">
        <v>206</v>
      </c>
      <c r="C40" s="174">
        <f>+D33</f>
        <v>27513.65</v>
      </c>
    </row>
    <row r="41" spans="2:4" ht="15.75" thickBot="1" x14ac:dyDescent="0.3">
      <c r="B41" s="172" t="s">
        <v>207</v>
      </c>
      <c r="C41" s="173" t="str">
        <f>+IF(C39-C40&gt;0,C39-C40,"Nil")</f>
        <v>Nil</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FA739-2551-4786-A07C-AB709AB38C09}">
  <dimension ref="A2:M87"/>
  <sheetViews>
    <sheetView showGridLines="0" tabSelected="1" workbookViewId="0">
      <selection activeCell="G20" sqref="G20"/>
    </sheetView>
  </sheetViews>
  <sheetFormatPr defaultRowHeight="15" x14ac:dyDescent="0.25"/>
  <cols>
    <col min="2" max="2" width="44" customWidth="1"/>
    <col min="3" max="3" width="16.85546875" style="90" bestFit="1" customWidth="1"/>
    <col min="4" max="4" width="34.85546875" customWidth="1"/>
    <col min="6" max="6" width="19" customWidth="1"/>
    <col min="7" max="7" width="16.85546875" bestFit="1" customWidth="1"/>
    <col min="8" max="8" width="16" bestFit="1" customWidth="1"/>
    <col min="9" max="9" width="13" customWidth="1"/>
    <col min="10" max="10" width="10.42578125" customWidth="1"/>
    <col min="11" max="11" width="16.85546875" bestFit="1" customWidth="1"/>
  </cols>
  <sheetData>
    <row r="2" spans="1:13" x14ac:dyDescent="0.25">
      <c r="B2" s="191" t="s">
        <v>55</v>
      </c>
      <c r="C2" s="191"/>
      <c r="D2" s="191"/>
    </row>
    <row r="4" spans="1:13" ht="18" customHeight="1" x14ac:dyDescent="0.25">
      <c r="B4" s="175" t="s">
        <v>156</v>
      </c>
      <c r="C4" s="190" t="s">
        <v>208</v>
      </c>
      <c r="D4" s="176" t="s">
        <v>54</v>
      </c>
      <c r="G4" s="119" t="s">
        <v>209</v>
      </c>
      <c r="H4" s="189">
        <v>5</v>
      </c>
      <c r="M4">
        <v>5</v>
      </c>
    </row>
    <row r="5" spans="1:13" ht="15.75" customHeight="1" x14ac:dyDescent="0.25">
      <c r="B5" s="214" t="s">
        <v>227</v>
      </c>
      <c r="C5" s="215">
        <v>2889678319</v>
      </c>
      <c r="D5" s="216"/>
      <c r="M5">
        <v>7</v>
      </c>
    </row>
    <row r="6" spans="1:13" ht="15.75" customHeight="1" x14ac:dyDescent="0.25">
      <c r="B6" s="214" t="s">
        <v>226</v>
      </c>
      <c r="C6" s="215">
        <v>1661087972</v>
      </c>
      <c r="D6" s="216"/>
    </row>
    <row r="7" spans="1:13" ht="15.75" customHeight="1" x14ac:dyDescent="0.25">
      <c r="B7" s="217" t="s">
        <v>228</v>
      </c>
      <c r="C7" s="218">
        <f>+C5-C6</f>
        <v>1228590347</v>
      </c>
      <c r="D7" s="219"/>
    </row>
    <row r="8" spans="1:13" ht="30" x14ac:dyDescent="0.25">
      <c r="A8" s="96">
        <v>0.1</v>
      </c>
      <c r="B8" s="187" t="s">
        <v>219</v>
      </c>
      <c r="C8" s="177">
        <f>C7*A8</f>
        <v>122859034.7</v>
      </c>
      <c r="G8" s="192" t="s">
        <v>133</v>
      </c>
      <c r="H8" s="192"/>
      <c r="I8" s="192"/>
    </row>
    <row r="9" spans="1:13" x14ac:dyDescent="0.25">
      <c r="B9" s="217" t="s">
        <v>218</v>
      </c>
      <c r="C9" s="220">
        <f>+C7-C8</f>
        <v>1105731312.3</v>
      </c>
      <c r="D9" s="219"/>
      <c r="G9" s="193" t="s">
        <v>225</v>
      </c>
      <c r="H9" s="193"/>
      <c r="I9" s="102">
        <v>0.1416</v>
      </c>
      <c r="J9" s="139" t="s">
        <v>210</v>
      </c>
    </row>
    <row r="10" spans="1:13" ht="30" x14ac:dyDescent="0.25">
      <c r="B10" s="99" t="s">
        <v>217</v>
      </c>
      <c r="C10" s="188">
        <f>H14</f>
        <v>460253537.8323189</v>
      </c>
      <c r="D10" s="186" t="s">
        <v>224</v>
      </c>
      <c r="G10" s="193" t="s">
        <v>132</v>
      </c>
      <c r="H10" s="193"/>
      <c r="I10" s="97">
        <v>0.05</v>
      </c>
    </row>
    <row r="11" spans="1:13" x14ac:dyDescent="0.25">
      <c r="G11" s="194" t="s">
        <v>211</v>
      </c>
      <c r="H11" s="194"/>
      <c r="I11" s="180">
        <f>SUM(I9:I10)</f>
        <v>0.19159999999999999</v>
      </c>
    </row>
    <row r="13" spans="1:13" x14ac:dyDescent="0.25">
      <c r="A13" s="96"/>
      <c r="E13" s="15"/>
      <c r="H13" s="177">
        <f>C9</f>
        <v>1105731312.3</v>
      </c>
      <c r="I13" s="87">
        <f>1/(1+I11)^H4</f>
        <v>0.41624355999737289</v>
      </c>
    </row>
    <row r="14" spans="1:13" x14ac:dyDescent="0.25">
      <c r="A14" s="96"/>
      <c r="E14" s="15"/>
      <c r="G14" s="119" t="s">
        <v>212</v>
      </c>
      <c r="H14" s="177">
        <f>H13*I13</f>
        <v>460253537.8323189</v>
      </c>
    </row>
    <row r="16" spans="1:13" hidden="1" x14ac:dyDescent="0.25">
      <c r="B16" s="178" t="s">
        <v>213</v>
      </c>
      <c r="C16" s="181">
        <f>H14</f>
        <v>460253537.8323189</v>
      </c>
      <c r="D16" s="179" t="s">
        <v>214</v>
      </c>
    </row>
    <row r="17" spans="2:8" hidden="1" x14ac:dyDescent="0.25">
      <c r="B17" s="178" t="s">
        <v>215</v>
      </c>
      <c r="C17" s="181" t="e">
        <f>C16-#REF!</f>
        <v>#REF!</v>
      </c>
      <c r="D17" s="179" t="s">
        <v>216</v>
      </c>
    </row>
    <row r="18" spans="2:8" ht="19.5" hidden="1" customHeight="1" x14ac:dyDescent="0.25">
      <c r="B18" s="182" t="s">
        <v>116</v>
      </c>
      <c r="C18" s="183" t="e">
        <f>C17</f>
        <v>#REF!</v>
      </c>
      <c r="D18" s="184"/>
    </row>
    <row r="19" spans="2:8" x14ac:dyDescent="0.25">
      <c r="B19" s="185"/>
    </row>
    <row r="20" spans="2:8" ht="38.25" customHeight="1" x14ac:dyDescent="0.25">
      <c r="H20" s="103">
        <f>+H14/C5</f>
        <v>0.15927500815786094</v>
      </c>
    </row>
    <row r="25" spans="2:8" x14ac:dyDescent="0.25">
      <c r="C25" s="132"/>
    </row>
    <row r="26" spans="2:8" x14ac:dyDescent="0.25">
      <c r="C26" s="132"/>
    </row>
    <row r="27" spans="2:8" x14ac:dyDescent="0.25">
      <c r="C27" s="132"/>
    </row>
    <row r="28" spans="2:8" x14ac:dyDescent="0.25">
      <c r="C28" s="132"/>
    </row>
    <row r="29" spans="2:8" x14ac:dyDescent="0.25">
      <c r="C29" s="132"/>
    </row>
    <row r="30" spans="2:8" x14ac:dyDescent="0.25">
      <c r="C30" s="132"/>
    </row>
    <row r="31" spans="2:8" x14ac:dyDescent="0.25">
      <c r="B31" s="120" t="s">
        <v>220</v>
      </c>
      <c r="C31" s="132">
        <v>10896079</v>
      </c>
    </row>
    <row r="32" spans="2:8" x14ac:dyDescent="0.25">
      <c r="B32" s="120" t="s">
        <v>221</v>
      </c>
      <c r="C32" s="132">
        <v>106248800</v>
      </c>
    </row>
    <row r="33" spans="2:4" x14ac:dyDescent="0.25">
      <c r="B33" s="120" t="s">
        <v>222</v>
      </c>
      <c r="C33" s="132">
        <v>108200000</v>
      </c>
    </row>
    <row r="34" spans="2:4" x14ac:dyDescent="0.25">
      <c r="B34" s="120">
        <v>2</v>
      </c>
      <c r="C34" s="132">
        <v>20157954</v>
      </c>
      <c r="D34" t="s">
        <v>223</v>
      </c>
    </row>
    <row r="35" spans="2:4" x14ac:dyDescent="0.25">
      <c r="B35" s="120">
        <v>3</v>
      </c>
      <c r="C35" s="132">
        <v>24358799</v>
      </c>
    </row>
    <row r="36" spans="2:4" x14ac:dyDescent="0.25">
      <c r="B36" s="120">
        <v>5</v>
      </c>
      <c r="C36" s="132">
        <v>1472909370</v>
      </c>
    </row>
    <row r="37" spans="2:4" x14ac:dyDescent="0.25">
      <c r="B37" s="120">
        <v>6</v>
      </c>
      <c r="C37" s="132">
        <v>55075516</v>
      </c>
      <c r="D37" t="s">
        <v>223</v>
      </c>
    </row>
    <row r="38" spans="2:4" x14ac:dyDescent="0.25">
      <c r="B38" s="120">
        <v>7</v>
      </c>
      <c r="C38" s="132">
        <v>9489000</v>
      </c>
    </row>
    <row r="39" spans="2:4" x14ac:dyDescent="0.25">
      <c r="B39" s="120">
        <v>15</v>
      </c>
      <c r="C39" s="132">
        <v>12500000</v>
      </c>
      <c r="D39" t="s">
        <v>223</v>
      </c>
    </row>
    <row r="40" spans="2:4" x14ac:dyDescent="0.25">
      <c r="B40" s="120"/>
      <c r="C40" s="132">
        <f>SUM(C31:C39)</f>
        <v>1819835518</v>
      </c>
      <c r="D40" s="24">
        <f>+C31+C32+C33-C34-C39-C37+C38+C36+C35</f>
        <v>1644368578</v>
      </c>
    </row>
    <row r="41" spans="2:4" x14ac:dyDescent="0.25">
      <c r="C41" s="132"/>
    </row>
    <row r="42" spans="2:4" x14ac:dyDescent="0.25">
      <c r="C42" s="132"/>
    </row>
    <row r="43" spans="2:4" x14ac:dyDescent="0.25">
      <c r="C43" s="132"/>
    </row>
    <row r="44" spans="2:4" x14ac:dyDescent="0.25">
      <c r="C44" s="132"/>
    </row>
    <row r="45" spans="2:4" x14ac:dyDescent="0.25">
      <c r="C45" s="132"/>
    </row>
    <row r="46" spans="2:4" x14ac:dyDescent="0.25">
      <c r="C46" s="132"/>
    </row>
    <row r="47" spans="2:4" x14ac:dyDescent="0.25">
      <c r="C47" s="132"/>
    </row>
    <row r="48" spans="2:4" x14ac:dyDescent="0.25">
      <c r="C48" s="132"/>
    </row>
    <row r="49" spans="3:3" x14ac:dyDescent="0.25">
      <c r="C49" s="132"/>
    </row>
    <row r="50" spans="3:3" x14ac:dyDescent="0.25">
      <c r="C50" s="132"/>
    </row>
    <row r="51" spans="3:3" x14ac:dyDescent="0.25">
      <c r="C51" s="132"/>
    </row>
    <row r="52" spans="3:3" x14ac:dyDescent="0.25">
      <c r="C52" s="132"/>
    </row>
    <row r="53" spans="3:3" x14ac:dyDescent="0.25">
      <c r="C53" s="132"/>
    </row>
    <row r="54" spans="3:3" x14ac:dyDescent="0.25">
      <c r="C54" s="132"/>
    </row>
    <row r="55" spans="3:3" x14ac:dyDescent="0.25">
      <c r="C55" s="132"/>
    </row>
    <row r="56" spans="3:3" x14ac:dyDescent="0.25">
      <c r="C56" s="132"/>
    </row>
    <row r="57" spans="3:3" x14ac:dyDescent="0.25">
      <c r="C57" s="132"/>
    </row>
    <row r="58" spans="3:3" x14ac:dyDescent="0.25">
      <c r="C58" s="132"/>
    </row>
    <row r="59" spans="3:3" x14ac:dyDescent="0.25">
      <c r="C59" s="132"/>
    </row>
    <row r="60" spans="3:3" x14ac:dyDescent="0.25">
      <c r="C60" s="132"/>
    </row>
    <row r="61" spans="3:3" x14ac:dyDescent="0.25">
      <c r="C61" s="132"/>
    </row>
    <row r="62" spans="3:3" x14ac:dyDescent="0.25">
      <c r="C62" s="132"/>
    </row>
    <row r="63" spans="3:3" x14ac:dyDescent="0.25">
      <c r="C63" s="132"/>
    </row>
    <row r="64" spans="3:3" x14ac:dyDescent="0.25">
      <c r="C64" s="132"/>
    </row>
    <row r="65" spans="3:3" x14ac:dyDescent="0.25">
      <c r="C65" s="132"/>
    </row>
    <row r="66" spans="3:3" x14ac:dyDescent="0.25">
      <c r="C66" s="132"/>
    </row>
    <row r="67" spans="3:3" x14ac:dyDescent="0.25">
      <c r="C67" s="132"/>
    </row>
    <row r="68" spans="3:3" x14ac:dyDescent="0.25">
      <c r="C68" s="132"/>
    </row>
    <row r="69" spans="3:3" x14ac:dyDescent="0.25">
      <c r="C69" s="132"/>
    </row>
    <row r="70" spans="3:3" x14ac:dyDescent="0.25">
      <c r="C70" s="132"/>
    </row>
    <row r="71" spans="3:3" x14ac:dyDescent="0.25">
      <c r="C71" s="132"/>
    </row>
    <row r="72" spans="3:3" x14ac:dyDescent="0.25">
      <c r="C72" s="132"/>
    </row>
    <row r="73" spans="3:3" x14ac:dyDescent="0.25">
      <c r="C73" s="132"/>
    </row>
    <row r="74" spans="3:3" x14ac:dyDescent="0.25">
      <c r="C74" s="132"/>
    </row>
    <row r="75" spans="3:3" x14ac:dyDescent="0.25">
      <c r="C75" s="132"/>
    </row>
    <row r="76" spans="3:3" x14ac:dyDescent="0.25">
      <c r="C76" s="132"/>
    </row>
    <row r="77" spans="3:3" x14ac:dyDescent="0.25">
      <c r="C77" s="132"/>
    </row>
    <row r="78" spans="3:3" x14ac:dyDescent="0.25">
      <c r="C78" s="132"/>
    </row>
    <row r="79" spans="3:3" x14ac:dyDescent="0.25">
      <c r="C79" s="132"/>
    </row>
    <row r="80" spans="3:3" x14ac:dyDescent="0.25">
      <c r="C80" s="132"/>
    </row>
    <row r="81" spans="3:3" x14ac:dyDescent="0.25">
      <c r="C81" s="132"/>
    </row>
    <row r="82" spans="3:3" x14ac:dyDescent="0.25">
      <c r="C82" s="132"/>
    </row>
    <row r="83" spans="3:3" x14ac:dyDescent="0.25">
      <c r="C83" s="132"/>
    </row>
    <row r="84" spans="3:3" x14ac:dyDescent="0.25">
      <c r="C84" s="132"/>
    </row>
    <row r="85" spans="3:3" x14ac:dyDescent="0.25">
      <c r="C85" s="132"/>
    </row>
    <row r="86" spans="3:3" x14ac:dyDescent="0.25">
      <c r="C86" s="132"/>
    </row>
    <row r="87" spans="3:3" x14ac:dyDescent="0.25">
      <c r="C87" s="132"/>
    </row>
  </sheetData>
  <mergeCells count="5">
    <mergeCell ref="B2:D2"/>
    <mergeCell ref="G8:I8"/>
    <mergeCell ref="G9:H9"/>
    <mergeCell ref="G10:H10"/>
    <mergeCell ref="G11:H11"/>
  </mergeCells>
  <dataValidations count="1">
    <dataValidation type="list" allowBlank="1" showInputMessage="1" showErrorMessage="1" sqref="H4" xr:uid="{4947F0EB-1A24-4FB1-B30E-0DDDC6D3C11D}">
      <formula1>$M$4:$M$5</formula1>
    </dataValidation>
  </dataValidations>
  <hyperlinks>
    <hyperlink ref="J9" r:id="rId1" xr:uid="{58132C75-1B1E-49EC-8DDC-47563666BEF2}"/>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K34"/>
  <sheetViews>
    <sheetView showGridLines="0" topLeftCell="A10" workbookViewId="0">
      <selection activeCell="B23" sqref="B23"/>
    </sheetView>
  </sheetViews>
  <sheetFormatPr defaultRowHeight="15" x14ac:dyDescent="0.25"/>
  <cols>
    <col min="1" max="1" width="8.85546875" style="90" customWidth="1"/>
    <col min="2" max="2" width="33.5703125" customWidth="1"/>
    <col min="3" max="5" width="16.7109375" style="111" customWidth="1"/>
    <col min="6" max="9" width="16.7109375" style="90" customWidth="1"/>
  </cols>
  <sheetData>
    <row r="2" spans="1:9" ht="18" customHeight="1" x14ac:dyDescent="0.25">
      <c r="B2" s="4" t="s">
        <v>72</v>
      </c>
      <c r="C2" s="94"/>
      <c r="D2" s="94"/>
      <c r="E2" s="94"/>
      <c r="F2" s="94"/>
      <c r="G2" s="94"/>
      <c r="H2" s="94"/>
      <c r="I2" s="94"/>
    </row>
    <row r="3" spans="1:9" ht="12.75" customHeight="1" x14ac:dyDescent="0.25"/>
    <row r="4" spans="1:9" ht="19.5" customHeight="1" x14ac:dyDescent="0.25">
      <c r="B4" s="34" t="s">
        <v>73</v>
      </c>
      <c r="C4" s="91">
        <v>2022</v>
      </c>
      <c r="D4" s="91">
        <f>+C4+1</f>
        <v>2023</v>
      </c>
      <c r="E4" s="91">
        <f>+D4+1</f>
        <v>2024</v>
      </c>
      <c r="F4" s="92">
        <f t="shared" ref="F4:H4" si="0">E4+1</f>
        <v>2025</v>
      </c>
      <c r="G4" s="92">
        <f t="shared" si="0"/>
        <v>2026</v>
      </c>
      <c r="H4" s="92">
        <f t="shared" si="0"/>
        <v>2027</v>
      </c>
      <c r="I4" s="93"/>
    </row>
    <row r="5" spans="1:9" ht="14.25" customHeight="1" x14ac:dyDescent="0.25"/>
    <row r="6" spans="1:9" x14ac:dyDescent="0.25">
      <c r="B6" s="137" t="s">
        <v>74</v>
      </c>
    </row>
    <row r="7" spans="1:9" ht="17.25" customHeight="1" x14ac:dyDescent="0.25">
      <c r="A7" s="96">
        <v>0.1</v>
      </c>
      <c r="B7" s="119" t="s">
        <v>59</v>
      </c>
      <c r="C7" s="115">
        <v>6726.34</v>
      </c>
      <c r="D7" s="115">
        <v>10362.18</v>
      </c>
      <c r="E7" s="115">
        <v>6056.96</v>
      </c>
      <c r="F7" s="132">
        <f t="shared" ref="F7:G7" si="1">E7*(1+$A$7)</f>
        <v>6662.6560000000009</v>
      </c>
      <c r="G7" s="132">
        <f t="shared" si="1"/>
        <v>7328.9216000000015</v>
      </c>
      <c r="H7" s="132">
        <f>G7*(1+$A$7)*7/12</f>
        <v>4702.7246933333345</v>
      </c>
    </row>
    <row r="8" spans="1:9" ht="18.75" customHeight="1" x14ac:dyDescent="0.25">
      <c r="A8" s="96">
        <v>0.09</v>
      </c>
      <c r="B8" s="119" t="s">
        <v>60</v>
      </c>
      <c r="C8" s="115">
        <v>324.75</v>
      </c>
      <c r="D8" s="115">
        <v>336.84</v>
      </c>
      <c r="E8" s="115">
        <v>368.54</v>
      </c>
      <c r="F8" s="132">
        <f t="shared" ref="F8:G8" si="2">E8*(1+$A$8)</f>
        <v>401.70860000000005</v>
      </c>
      <c r="G8" s="132">
        <f t="shared" si="2"/>
        <v>437.8623740000001</v>
      </c>
      <c r="H8" s="132">
        <f>G8*(1+$A$8)*7/12</f>
        <v>278.40749280166676</v>
      </c>
    </row>
    <row r="9" spans="1:9" ht="18.75" customHeight="1" x14ac:dyDescent="0.25">
      <c r="A9" s="97">
        <v>0.13300000000000001</v>
      </c>
      <c r="B9" s="119" t="s">
        <v>61</v>
      </c>
      <c r="C9" s="115">
        <v>271.82</v>
      </c>
      <c r="D9" s="115">
        <v>634.24</v>
      </c>
      <c r="E9" s="115">
        <v>832.44</v>
      </c>
      <c r="F9" s="132">
        <f t="shared" ref="F9:G9" si="3">E9*(1+$A$9)</f>
        <v>943.15452000000005</v>
      </c>
      <c r="G9" s="132">
        <f t="shared" si="3"/>
        <v>1068.5940711600001</v>
      </c>
      <c r="H9" s="132">
        <f>G9*(1+$A$9)*7/12</f>
        <v>706.2516315308302</v>
      </c>
    </row>
    <row r="10" spans="1:9" ht="30" x14ac:dyDescent="0.25">
      <c r="B10" s="136" t="s">
        <v>62</v>
      </c>
      <c r="C10" s="115">
        <v>2876.75</v>
      </c>
      <c r="D10" s="115">
        <v>3970.99</v>
      </c>
      <c r="E10" s="115">
        <v>2561.66</v>
      </c>
      <c r="F10" s="132">
        <f t="shared" ref="F10:G10" si="4">E10</f>
        <v>2561.66</v>
      </c>
      <c r="G10" s="132">
        <f t="shared" si="4"/>
        <v>2561.66</v>
      </c>
      <c r="H10" s="132">
        <f>G10*7/12</f>
        <v>1494.3016666666665</v>
      </c>
    </row>
    <row r="11" spans="1:9" ht="17.25" customHeight="1" x14ac:dyDescent="0.25">
      <c r="A11" s="96">
        <v>0.09</v>
      </c>
      <c r="B11" s="119" t="s">
        <v>63</v>
      </c>
      <c r="C11" s="115">
        <v>66.2</v>
      </c>
      <c r="D11" s="115">
        <v>52.73</v>
      </c>
      <c r="E11" s="115">
        <v>172.17</v>
      </c>
      <c r="F11" s="132">
        <f t="shared" ref="F11:G11" si="5">E11*(1+$A$11)</f>
        <v>187.6653</v>
      </c>
      <c r="G11" s="132">
        <f t="shared" si="5"/>
        <v>204.55517700000001</v>
      </c>
      <c r="H11" s="132">
        <f>G11*(1+$A$11)*7/12</f>
        <v>130.06300004250002</v>
      </c>
    </row>
    <row r="12" spans="1:9" ht="16.5" customHeight="1" x14ac:dyDescent="0.25">
      <c r="B12" s="71" t="s">
        <v>16</v>
      </c>
      <c r="C12" s="116">
        <f>SUM(C7:C11)</f>
        <v>10265.86</v>
      </c>
      <c r="D12" s="116">
        <f t="shared" ref="D12:E12" si="6">SUM(D7:D11)</f>
        <v>15356.98</v>
      </c>
      <c r="E12" s="116">
        <f t="shared" si="6"/>
        <v>9991.77</v>
      </c>
      <c r="F12" s="133"/>
      <c r="G12" s="133"/>
      <c r="H12" s="133"/>
      <c r="I12" s="95"/>
    </row>
    <row r="16" spans="1:9" ht="19.5" customHeight="1" x14ac:dyDescent="0.25">
      <c r="B16" s="34" t="s">
        <v>73</v>
      </c>
      <c r="C16" s="91">
        <v>2022</v>
      </c>
      <c r="D16" s="91">
        <f t="shared" ref="D16:I16" si="7">C16+1</f>
        <v>2023</v>
      </c>
      <c r="E16" s="91">
        <f t="shared" si="7"/>
        <v>2024</v>
      </c>
      <c r="F16" s="92">
        <f t="shared" si="7"/>
        <v>2025</v>
      </c>
      <c r="G16" s="92">
        <f t="shared" si="7"/>
        <v>2026</v>
      </c>
      <c r="H16" s="92">
        <f t="shared" si="7"/>
        <v>2027</v>
      </c>
      <c r="I16" s="92">
        <f t="shared" si="7"/>
        <v>2028</v>
      </c>
    </row>
    <row r="18" spans="2:11" x14ac:dyDescent="0.25">
      <c r="B18" s="138" t="s">
        <v>75</v>
      </c>
    </row>
    <row r="19" spans="2:11" ht="17.25" customHeight="1" x14ac:dyDescent="0.25">
      <c r="B19" s="119" t="s">
        <v>64</v>
      </c>
      <c r="C19" s="115">
        <v>1233.07</v>
      </c>
      <c r="D19" s="115">
        <v>669.33</v>
      </c>
      <c r="E19" s="115">
        <v>268.39</v>
      </c>
      <c r="F19" s="132">
        <v>57845442.62250454</v>
      </c>
      <c r="G19" s="132">
        <v>57845442.62250454</v>
      </c>
      <c r="H19" s="132">
        <v>57845442.62250454</v>
      </c>
      <c r="I19" s="132">
        <v>27393683.309255898</v>
      </c>
      <c r="J19" s="24">
        <f>+I19/H19</f>
        <v>0.47356683720142362</v>
      </c>
      <c r="K19">
        <f>+J19*12</f>
        <v>5.6828020464170832</v>
      </c>
    </row>
    <row r="20" spans="2:11" ht="17.25" customHeight="1" x14ac:dyDescent="0.25">
      <c r="B20" s="119" t="s">
        <v>65</v>
      </c>
      <c r="C20" s="115">
        <v>2933.57</v>
      </c>
      <c r="D20" s="115">
        <v>1277.42</v>
      </c>
      <c r="E20" s="115">
        <v>0</v>
      </c>
      <c r="F20" s="132">
        <v>0</v>
      </c>
      <c r="G20" s="132">
        <v>0</v>
      </c>
      <c r="H20" s="132">
        <v>0</v>
      </c>
      <c r="I20" s="132">
        <v>0</v>
      </c>
    </row>
    <row r="21" spans="2:11" ht="17.25" customHeight="1" x14ac:dyDescent="0.25">
      <c r="B21" s="119" t="s">
        <v>75</v>
      </c>
      <c r="C21" s="115"/>
      <c r="D21" s="115">
        <v>991.2</v>
      </c>
      <c r="E21" s="115">
        <v>44.07</v>
      </c>
      <c r="F21" s="132"/>
      <c r="G21" s="132"/>
      <c r="H21" s="132"/>
      <c r="I21" s="132"/>
    </row>
    <row r="22" spans="2:11" ht="18" customHeight="1" x14ac:dyDescent="0.25">
      <c r="B22" s="119" t="s">
        <v>66</v>
      </c>
      <c r="C22" s="115">
        <v>330.59</v>
      </c>
      <c r="D22" s="115"/>
      <c r="E22" s="115">
        <v>0</v>
      </c>
      <c r="F22" s="132">
        <v>0</v>
      </c>
      <c r="G22" s="132">
        <v>0</v>
      </c>
      <c r="H22" s="132">
        <v>0</v>
      </c>
      <c r="I22" s="132">
        <v>0</v>
      </c>
    </row>
    <row r="23" spans="2:11" ht="18" customHeight="1" x14ac:dyDescent="0.25">
      <c r="B23" s="119"/>
      <c r="C23" s="115"/>
      <c r="D23" s="115"/>
      <c r="E23" s="115"/>
      <c r="F23" s="132"/>
      <c r="G23" s="132"/>
      <c r="H23" s="132"/>
      <c r="I23" s="132"/>
    </row>
    <row r="24" spans="2:11" ht="17.25" customHeight="1" x14ac:dyDescent="0.25">
      <c r="B24" s="137" t="s">
        <v>67</v>
      </c>
      <c r="C24" s="112"/>
      <c r="D24" s="112"/>
      <c r="E24" s="115"/>
      <c r="F24" s="132"/>
      <c r="G24" s="132"/>
      <c r="H24" s="132"/>
      <c r="I24" s="132"/>
    </row>
    <row r="25" spans="2:11" ht="17.25" customHeight="1" x14ac:dyDescent="0.25">
      <c r="B25" s="119" t="s">
        <v>68</v>
      </c>
      <c r="C25" s="115">
        <v>4.76</v>
      </c>
      <c r="D25" s="115">
        <v>5.18</v>
      </c>
      <c r="E25" s="115">
        <v>5.57</v>
      </c>
      <c r="F25" s="132">
        <v>1000000</v>
      </c>
      <c r="G25" s="132">
        <v>1000000</v>
      </c>
      <c r="H25" s="132">
        <v>1000000</v>
      </c>
      <c r="I25" s="132">
        <v>1000000</v>
      </c>
    </row>
    <row r="26" spans="2:11" ht="18" customHeight="1" x14ac:dyDescent="0.25">
      <c r="B26" s="119" t="s">
        <v>69</v>
      </c>
      <c r="C26" s="112"/>
      <c r="D26" s="112"/>
      <c r="E26" s="115"/>
      <c r="F26" s="132"/>
      <c r="G26" s="132"/>
      <c r="H26" s="132"/>
      <c r="I26" s="132"/>
    </row>
    <row r="27" spans="2:11" ht="17.25" customHeight="1" x14ac:dyDescent="0.25">
      <c r="B27" s="119" t="s">
        <v>70</v>
      </c>
      <c r="C27" s="115">
        <v>15.6</v>
      </c>
      <c r="D27" s="115">
        <v>16.62</v>
      </c>
      <c r="E27" s="115">
        <v>37.58</v>
      </c>
      <c r="F27" s="132">
        <f t="shared" ref="F27:I27" si="8">E27</f>
        <v>37.58</v>
      </c>
      <c r="G27" s="132">
        <f t="shared" si="8"/>
        <v>37.58</v>
      </c>
      <c r="H27" s="132">
        <f t="shared" si="8"/>
        <v>37.58</v>
      </c>
      <c r="I27" s="132">
        <f t="shared" si="8"/>
        <v>37.58</v>
      </c>
    </row>
    <row r="28" spans="2:11" ht="16.5" customHeight="1" x14ac:dyDescent="0.25">
      <c r="B28" s="119" t="s">
        <v>71</v>
      </c>
      <c r="C28" s="112"/>
      <c r="D28" s="112"/>
      <c r="F28" s="132"/>
      <c r="G28" s="132"/>
      <c r="H28" s="132"/>
      <c r="I28" s="132"/>
    </row>
    <row r="29" spans="2:11" ht="17.25" customHeight="1" x14ac:dyDescent="0.25">
      <c r="B29" s="71" t="s">
        <v>16</v>
      </c>
      <c r="C29" s="116">
        <f>SUM(C19:C28)</f>
        <v>4517.5900000000011</v>
      </c>
      <c r="D29" s="116">
        <f>SUM(D19:D28)</f>
        <v>2959.7499999999995</v>
      </c>
      <c r="E29" s="116">
        <f t="shared" ref="E29:I29" si="9">SUM(E19:E28)</f>
        <v>355.60999999999996</v>
      </c>
      <c r="F29" s="133">
        <f t="shared" si="9"/>
        <v>58845480.202504538</v>
      </c>
      <c r="G29" s="133">
        <f t="shared" si="9"/>
        <v>58845480.202504538</v>
      </c>
      <c r="H29" s="133">
        <f t="shared" si="9"/>
        <v>58845480.202504538</v>
      </c>
      <c r="I29" s="133">
        <f t="shared" si="9"/>
        <v>28393720.889255896</v>
      </c>
    </row>
    <row r="30" spans="2:11" x14ac:dyDescent="0.25">
      <c r="C30" s="114">
        <f>C29/10^7</f>
        <v>4.5175900000000009E-4</v>
      </c>
      <c r="D30" s="114">
        <f t="shared" ref="D30:I30" si="10">D29/10^7</f>
        <v>2.9597499999999997E-4</v>
      </c>
      <c r="E30" s="114">
        <f t="shared" si="10"/>
        <v>3.5560999999999994E-5</v>
      </c>
      <c r="F30" s="132">
        <f t="shared" si="10"/>
        <v>5.8845480202504534</v>
      </c>
      <c r="G30" s="132">
        <f t="shared" si="10"/>
        <v>5.8845480202504534</v>
      </c>
      <c r="H30" s="132">
        <f t="shared" si="10"/>
        <v>5.8845480202504534</v>
      </c>
      <c r="I30" s="132">
        <f t="shared" si="10"/>
        <v>2.8393720889255896</v>
      </c>
    </row>
    <row r="34" spans="3:3" x14ac:dyDescent="0.25">
      <c r="C34" s="1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51"/>
  <sheetViews>
    <sheetView showGridLines="0" zoomScale="90" zoomScaleNormal="90" workbookViewId="0">
      <selection activeCell="F19" sqref="F19:F20"/>
    </sheetView>
  </sheetViews>
  <sheetFormatPr defaultRowHeight="15" x14ac:dyDescent="0.25"/>
  <cols>
    <col min="1" max="1" width="3.28515625" customWidth="1"/>
    <col min="2" max="2" width="15.42578125" customWidth="1"/>
    <col min="3" max="7" width="9.140625" style="90"/>
    <col min="8" max="8" width="10.85546875" style="90" customWidth="1"/>
    <col min="9" max="9" width="9.140625" style="90"/>
    <col min="10" max="10" width="10.42578125" style="90" customWidth="1"/>
    <col min="11" max="11" width="10.28515625" style="90" customWidth="1"/>
    <col min="12" max="14" width="9.140625" style="90"/>
    <col min="15" max="15" width="9.42578125" style="90" customWidth="1"/>
    <col min="16" max="16" width="10.85546875" style="90" customWidth="1"/>
    <col min="17" max="17" width="10.140625" style="90" customWidth="1"/>
    <col min="18" max="18" width="9.140625" style="90"/>
    <col min="21" max="21" width="13.85546875" customWidth="1"/>
    <col min="22" max="22" width="18.85546875" customWidth="1"/>
    <col min="23" max="23" width="21.42578125" customWidth="1"/>
  </cols>
  <sheetData>
    <row r="1" spans="2:17" ht="15.75" customHeight="1" x14ac:dyDescent="0.25"/>
    <row r="2" spans="2:17" ht="20.25" customHeight="1" x14ac:dyDescent="0.25">
      <c r="B2" s="2" t="s">
        <v>1</v>
      </c>
      <c r="C2" s="110"/>
      <c r="D2" s="110"/>
      <c r="E2" s="110"/>
      <c r="F2" s="110"/>
      <c r="G2" s="110"/>
      <c r="H2" s="110"/>
      <c r="I2" s="110"/>
      <c r="J2" s="110"/>
      <c r="K2" s="110"/>
      <c r="L2" s="110"/>
      <c r="M2" s="110"/>
      <c r="N2" s="110"/>
      <c r="O2" s="110"/>
      <c r="P2" s="110"/>
      <c r="Q2" s="110"/>
    </row>
    <row r="3" spans="2:17" ht="9" customHeight="1" x14ac:dyDescent="0.25"/>
    <row r="4" spans="2:17" ht="18" customHeight="1" x14ac:dyDescent="0.25">
      <c r="B4" s="4" t="s">
        <v>0</v>
      </c>
      <c r="C4" s="94"/>
      <c r="D4" s="94"/>
      <c r="E4" s="94"/>
      <c r="F4" s="94"/>
      <c r="G4" s="94"/>
      <c r="H4" s="94"/>
      <c r="I4" s="94"/>
      <c r="J4" s="94"/>
      <c r="K4" s="94"/>
      <c r="L4" s="94"/>
      <c r="M4" s="94"/>
      <c r="N4" s="94"/>
      <c r="O4" s="94"/>
      <c r="P4" s="94"/>
      <c r="Q4" s="94"/>
    </row>
    <row r="5" spans="2:17" ht="9" customHeight="1" x14ac:dyDescent="0.25"/>
    <row r="6" spans="2:17" x14ac:dyDescent="0.25">
      <c r="B6" s="197" t="s">
        <v>32</v>
      </c>
      <c r="C6" s="197"/>
      <c r="D6" s="197"/>
      <c r="E6" s="197"/>
      <c r="F6" s="197"/>
      <c r="G6" s="197"/>
      <c r="H6" s="197"/>
      <c r="I6" s="197"/>
      <c r="J6" s="197"/>
      <c r="K6" s="197"/>
      <c r="L6" s="197"/>
      <c r="M6" s="197"/>
      <c r="N6" s="197"/>
      <c r="O6" s="197"/>
      <c r="P6" s="197"/>
      <c r="Q6" s="197"/>
    </row>
    <row r="7" spans="2:17" x14ac:dyDescent="0.25">
      <c r="B7" s="198" t="s">
        <v>2</v>
      </c>
      <c r="C7" s="198"/>
      <c r="D7" s="198"/>
      <c r="E7" s="198"/>
      <c r="F7" s="198"/>
      <c r="G7" s="198"/>
      <c r="H7" s="198"/>
      <c r="I7" s="198"/>
      <c r="J7" s="198"/>
      <c r="K7" s="198"/>
      <c r="L7" s="198"/>
      <c r="M7" s="198"/>
      <c r="N7" s="198"/>
      <c r="O7" s="198"/>
      <c r="P7" s="198"/>
      <c r="Q7" s="198"/>
    </row>
    <row r="8" spans="2:17" ht="46.5" customHeight="1" x14ac:dyDescent="0.25">
      <c r="B8" s="13" t="s">
        <v>3</v>
      </c>
      <c r="C8" s="14" t="s">
        <v>33</v>
      </c>
      <c r="D8" s="14" t="s">
        <v>5</v>
      </c>
      <c r="E8" s="14" t="s">
        <v>34</v>
      </c>
      <c r="F8" s="14" t="s">
        <v>35</v>
      </c>
      <c r="G8" s="14" t="s">
        <v>36</v>
      </c>
      <c r="H8" s="14" t="s">
        <v>37</v>
      </c>
      <c r="I8" s="14" t="s">
        <v>38</v>
      </c>
      <c r="J8" s="14" t="s">
        <v>39</v>
      </c>
      <c r="K8" s="14" t="s">
        <v>40</v>
      </c>
      <c r="L8" s="14" t="s">
        <v>41</v>
      </c>
      <c r="M8" s="14" t="s">
        <v>42</v>
      </c>
      <c r="N8" s="14" t="s">
        <v>43</v>
      </c>
      <c r="O8" s="14" t="s">
        <v>16</v>
      </c>
      <c r="P8" s="14" t="s">
        <v>17</v>
      </c>
      <c r="Q8" s="14" t="s">
        <v>18</v>
      </c>
    </row>
    <row r="9" spans="2:17" ht="17.100000000000001" customHeight="1" x14ac:dyDescent="0.25">
      <c r="B9" s="5" t="s">
        <v>19</v>
      </c>
      <c r="C9" s="5"/>
      <c r="D9" s="5"/>
      <c r="E9" s="5"/>
      <c r="F9" s="5"/>
      <c r="G9" s="5"/>
      <c r="H9" s="5"/>
      <c r="I9" s="5"/>
      <c r="J9" s="5">
        <v>1.65</v>
      </c>
      <c r="K9" s="5">
        <v>2.1</v>
      </c>
      <c r="L9" s="5">
        <v>2.0499999999999998</v>
      </c>
      <c r="M9" s="5">
        <v>1.89</v>
      </c>
      <c r="N9" s="5">
        <v>2.0299999999999998</v>
      </c>
      <c r="O9" s="6">
        <f>SUM(C9:N9)</f>
        <v>9.7199999999999989</v>
      </c>
      <c r="P9" s="5">
        <f>AVERAGE(C9:N9)</f>
        <v>1.9439999999999997</v>
      </c>
      <c r="Q9" s="5"/>
    </row>
    <row r="10" spans="2:17" ht="17.100000000000001" customHeight="1" x14ac:dyDescent="0.25">
      <c r="B10" s="5" t="s">
        <v>20</v>
      </c>
      <c r="C10" s="5">
        <v>1.93</v>
      </c>
      <c r="D10" s="5">
        <v>2.06</v>
      </c>
      <c r="E10" s="5">
        <v>1.98</v>
      </c>
      <c r="F10" s="5">
        <v>1.94</v>
      </c>
      <c r="G10" s="5">
        <v>1.96</v>
      </c>
      <c r="H10" s="5">
        <v>2.11</v>
      </c>
      <c r="I10" s="5">
        <v>2.23</v>
      </c>
      <c r="J10" s="5">
        <v>2.13</v>
      </c>
      <c r="K10" s="5">
        <v>2.58</v>
      </c>
      <c r="L10" s="5">
        <v>2.5499999999999998</v>
      </c>
      <c r="M10" s="5">
        <v>2.3199999999999998</v>
      </c>
      <c r="N10" s="5">
        <v>2.4500000000000002</v>
      </c>
      <c r="O10" s="6">
        <f t="shared" ref="O10:O23" si="0">SUM(C10:N10)</f>
        <v>26.240000000000002</v>
      </c>
      <c r="P10" s="5">
        <f t="shared" ref="P10:P21" si="1">AVERAGE(C10:N10)</f>
        <v>2.186666666666667</v>
      </c>
      <c r="Q10" s="140">
        <f>P10/P9-1</f>
        <v>0.12482853223593993</v>
      </c>
    </row>
    <row r="11" spans="2:17" ht="17.100000000000001" customHeight="1" x14ac:dyDescent="0.25">
      <c r="B11" s="5" t="s">
        <v>21</v>
      </c>
      <c r="C11" s="5">
        <v>2.29</v>
      </c>
      <c r="D11" s="5">
        <v>2.5099999999999998</v>
      </c>
      <c r="E11" s="5">
        <v>2.42</v>
      </c>
      <c r="F11" s="5">
        <v>2.4700000000000002</v>
      </c>
      <c r="G11" s="5">
        <v>2.29</v>
      </c>
      <c r="H11" s="5">
        <v>2.61</v>
      </c>
      <c r="I11" s="5">
        <v>2.4500000000000002</v>
      </c>
      <c r="J11" s="5">
        <v>2.52</v>
      </c>
      <c r="K11" s="5">
        <v>2.74</v>
      </c>
      <c r="L11" s="5">
        <v>2.74</v>
      </c>
      <c r="M11" s="5">
        <v>3.05</v>
      </c>
      <c r="N11" s="5">
        <v>3.36</v>
      </c>
      <c r="O11" s="6">
        <f t="shared" si="0"/>
        <v>31.45</v>
      </c>
      <c r="P11" s="5">
        <f t="shared" si="1"/>
        <v>2.6208333333333331</v>
      </c>
      <c r="Q11" s="140">
        <f t="shared" ref="Q11:Q21" si="2">P11/P10-1</f>
        <v>0.1985518292682924</v>
      </c>
    </row>
    <row r="12" spans="2:17" ht="17.100000000000001" customHeight="1" x14ac:dyDescent="0.25">
      <c r="B12" s="5" t="s">
        <v>22</v>
      </c>
      <c r="C12" s="5">
        <v>3.26</v>
      </c>
      <c r="D12" s="5">
        <v>3.46</v>
      </c>
      <c r="E12" s="5">
        <v>3.32</v>
      </c>
      <c r="F12" s="5">
        <v>3.39</v>
      </c>
      <c r="G12" s="5">
        <v>2.85</v>
      </c>
      <c r="H12" s="5">
        <v>2.69</v>
      </c>
      <c r="I12" s="5">
        <v>2.81</v>
      </c>
      <c r="J12" s="5">
        <v>2.71</v>
      </c>
      <c r="K12" s="5">
        <v>3.24</v>
      </c>
      <c r="L12" s="5">
        <v>3.16</v>
      </c>
      <c r="M12" s="5">
        <v>2.9</v>
      </c>
      <c r="N12" s="5">
        <v>3.24</v>
      </c>
      <c r="O12" s="6">
        <f t="shared" si="0"/>
        <v>37.030000000000008</v>
      </c>
      <c r="P12" s="5">
        <f t="shared" si="1"/>
        <v>3.0858333333333339</v>
      </c>
      <c r="Q12" s="140">
        <f t="shared" si="2"/>
        <v>0.17742448330683658</v>
      </c>
    </row>
    <row r="13" spans="2:17" ht="17.100000000000001" customHeight="1" x14ac:dyDescent="0.25">
      <c r="B13" s="5" t="s">
        <v>23</v>
      </c>
      <c r="C13" s="5">
        <v>3.21</v>
      </c>
      <c r="D13" s="5">
        <v>3.5</v>
      </c>
      <c r="E13" s="5">
        <v>3.25</v>
      </c>
      <c r="F13" s="5">
        <v>3.15</v>
      </c>
      <c r="G13" s="5">
        <v>2.86</v>
      </c>
      <c r="H13" s="5">
        <v>3.02</v>
      </c>
      <c r="I13" s="5">
        <v>3.04</v>
      </c>
      <c r="J13" s="5">
        <v>2.79</v>
      </c>
      <c r="K13" s="5">
        <v>3.21</v>
      </c>
      <c r="L13" s="5">
        <v>3.22</v>
      </c>
      <c r="M13" s="5">
        <v>2.91</v>
      </c>
      <c r="N13" s="5">
        <v>3.06</v>
      </c>
      <c r="O13" s="6">
        <f t="shared" si="0"/>
        <v>37.22</v>
      </c>
      <c r="P13" s="5">
        <f t="shared" si="1"/>
        <v>3.1016666666666666</v>
      </c>
      <c r="Q13" s="140">
        <f t="shared" si="2"/>
        <v>5.1309748852279569E-3</v>
      </c>
    </row>
    <row r="14" spans="2:17" ht="17.100000000000001" customHeight="1" x14ac:dyDescent="0.25">
      <c r="B14" s="5" t="s">
        <v>24</v>
      </c>
      <c r="C14" s="5">
        <v>2.93</v>
      </c>
      <c r="D14" s="5">
        <v>3.24</v>
      </c>
      <c r="E14" s="5">
        <v>3.07</v>
      </c>
      <c r="F14" s="5">
        <v>3.11</v>
      </c>
      <c r="G14" s="5">
        <v>2.98</v>
      </c>
      <c r="H14" s="5">
        <v>3.03</v>
      </c>
      <c r="I14" s="5">
        <v>3.05</v>
      </c>
      <c r="J14" s="5">
        <v>3.1</v>
      </c>
      <c r="K14" s="5">
        <v>3.49</v>
      </c>
      <c r="L14" s="5">
        <v>3.49</v>
      </c>
      <c r="M14" s="5">
        <v>3.18</v>
      </c>
      <c r="N14" s="5">
        <v>3.37</v>
      </c>
      <c r="O14" s="6">
        <f t="shared" si="0"/>
        <v>38.04</v>
      </c>
      <c r="P14" s="5">
        <f t="shared" si="1"/>
        <v>3.17</v>
      </c>
      <c r="Q14" s="140">
        <f t="shared" si="2"/>
        <v>2.2031166039763628E-2</v>
      </c>
    </row>
    <row r="15" spans="2:17" ht="17.100000000000001" customHeight="1" x14ac:dyDescent="0.25">
      <c r="B15" s="5" t="s">
        <v>25</v>
      </c>
      <c r="C15" s="5">
        <v>3.31</v>
      </c>
      <c r="D15" s="5">
        <v>3.71</v>
      </c>
      <c r="E15" s="5">
        <v>3.47</v>
      </c>
      <c r="F15" s="5">
        <v>3.41</v>
      </c>
      <c r="G15" s="5">
        <v>3.47</v>
      </c>
      <c r="H15" s="5">
        <v>3.23</v>
      </c>
      <c r="I15" s="5">
        <v>3.51</v>
      </c>
      <c r="J15" s="5">
        <v>3.21</v>
      </c>
      <c r="K15" s="5">
        <v>2.21</v>
      </c>
      <c r="L15" s="5">
        <v>3.77</v>
      </c>
      <c r="M15" s="5">
        <v>3.62</v>
      </c>
      <c r="N15" s="5">
        <v>3.75</v>
      </c>
      <c r="O15" s="6">
        <f t="shared" si="0"/>
        <v>40.67</v>
      </c>
      <c r="P15" s="5">
        <f t="shared" si="1"/>
        <v>3.3891666666666667</v>
      </c>
      <c r="Q15" s="140">
        <f t="shared" si="2"/>
        <v>6.9137749737118837E-2</v>
      </c>
    </row>
    <row r="16" spans="2:17" ht="17.100000000000001" customHeight="1" x14ac:dyDescent="0.25">
      <c r="B16" s="5" t="s">
        <v>26</v>
      </c>
      <c r="C16" s="5">
        <v>3.55</v>
      </c>
      <c r="D16" s="5">
        <v>3.7</v>
      </c>
      <c r="E16" s="5">
        <v>3.59</v>
      </c>
      <c r="F16" s="5">
        <v>3.6</v>
      </c>
      <c r="G16" s="5">
        <v>3.69</v>
      </c>
      <c r="H16" s="5">
        <v>3.36</v>
      </c>
      <c r="I16" s="5">
        <v>3.68</v>
      </c>
      <c r="J16" s="5">
        <v>1.04</v>
      </c>
      <c r="K16" s="5">
        <v>3.81</v>
      </c>
      <c r="L16" s="5">
        <v>3.97</v>
      </c>
      <c r="M16" s="5">
        <v>3.73</v>
      </c>
      <c r="N16" s="5">
        <v>4.03</v>
      </c>
      <c r="O16" s="6">
        <f t="shared" si="0"/>
        <v>41.749999999999993</v>
      </c>
      <c r="P16" s="5">
        <f t="shared" si="1"/>
        <v>3.4791666666666661</v>
      </c>
      <c r="Q16" s="140">
        <f t="shared" si="2"/>
        <v>2.6555200393410194E-2</v>
      </c>
    </row>
    <row r="17" spans="2:18" ht="17.100000000000001" customHeight="1" x14ac:dyDescent="0.25">
      <c r="B17" s="7" t="s">
        <v>27</v>
      </c>
      <c r="C17" s="7">
        <v>3.94</v>
      </c>
      <c r="D17" s="7">
        <v>4.22</v>
      </c>
      <c r="E17" s="7">
        <v>3.99</v>
      </c>
      <c r="F17" s="7">
        <v>3.81</v>
      </c>
      <c r="G17" s="7">
        <v>4.13</v>
      </c>
      <c r="H17" s="7">
        <v>4.2</v>
      </c>
      <c r="I17" s="7">
        <v>4.12</v>
      </c>
      <c r="J17" s="7">
        <v>4.28</v>
      </c>
      <c r="K17" s="7">
        <v>4.7300000000000004</v>
      </c>
      <c r="L17" s="7">
        <v>4.5999999999999996</v>
      </c>
      <c r="M17" s="7">
        <v>3.9</v>
      </c>
      <c r="N17" s="7">
        <v>4.3099999999999996</v>
      </c>
      <c r="O17" s="6">
        <f t="shared" si="0"/>
        <v>50.230000000000004</v>
      </c>
      <c r="P17" s="5">
        <f t="shared" si="1"/>
        <v>4.185833333333334</v>
      </c>
      <c r="Q17" s="140">
        <f t="shared" si="2"/>
        <v>0.20311377245509021</v>
      </c>
    </row>
    <row r="18" spans="2:18" ht="17.100000000000001" customHeight="1" x14ac:dyDescent="0.25">
      <c r="B18" s="7" t="s">
        <v>28</v>
      </c>
      <c r="C18" s="7">
        <v>4.17</v>
      </c>
      <c r="D18" s="7">
        <v>4.59</v>
      </c>
      <c r="E18" s="8">
        <v>4.26</v>
      </c>
      <c r="F18" s="7">
        <v>3.98</v>
      </c>
      <c r="G18" s="7">
        <v>4.45</v>
      </c>
      <c r="H18" s="7">
        <v>4.24</v>
      </c>
      <c r="I18" s="7">
        <v>4.49</v>
      </c>
      <c r="J18" s="7">
        <v>3.45</v>
      </c>
      <c r="K18" s="7">
        <v>3.95</v>
      </c>
      <c r="L18" s="7">
        <v>3.88</v>
      </c>
      <c r="M18" s="7">
        <v>3.57</v>
      </c>
      <c r="N18" s="7">
        <v>3.96</v>
      </c>
      <c r="O18" s="6">
        <f t="shared" si="0"/>
        <v>48.990000000000009</v>
      </c>
      <c r="P18" s="5">
        <f t="shared" si="1"/>
        <v>4.0825000000000005</v>
      </c>
      <c r="Q18" s="140">
        <f t="shared" si="2"/>
        <v>-2.468644236512052E-2</v>
      </c>
    </row>
    <row r="19" spans="2:18" ht="17.100000000000001" customHeight="1" x14ac:dyDescent="0.25">
      <c r="B19" s="7" t="s">
        <v>29</v>
      </c>
      <c r="C19" s="7">
        <v>3.88</v>
      </c>
      <c r="D19" s="7">
        <v>4.28</v>
      </c>
      <c r="E19" s="8">
        <v>3.98</v>
      </c>
      <c r="F19" s="7">
        <v>3.99</v>
      </c>
      <c r="G19" s="7">
        <v>4.1100000000000003</v>
      </c>
      <c r="H19" s="7">
        <v>4.22</v>
      </c>
      <c r="I19" s="7">
        <v>4.2699999999999996</v>
      </c>
      <c r="J19" s="7">
        <v>4.28</v>
      </c>
      <c r="K19" s="7">
        <v>4.7</v>
      </c>
      <c r="L19" s="7">
        <v>4.51</v>
      </c>
      <c r="M19" s="7">
        <v>4.17</v>
      </c>
      <c r="N19" s="7">
        <v>3.23</v>
      </c>
      <c r="O19" s="6">
        <f t="shared" si="0"/>
        <v>49.62</v>
      </c>
      <c r="P19" s="5">
        <f t="shared" si="1"/>
        <v>4.1349999999999998</v>
      </c>
      <c r="Q19" s="140">
        <f t="shared" si="2"/>
        <v>1.2859767299448599E-2</v>
      </c>
    </row>
    <row r="20" spans="2:18" ht="17.100000000000001" customHeight="1" x14ac:dyDescent="0.25">
      <c r="B20" s="5" t="s">
        <v>30</v>
      </c>
      <c r="C20" s="5">
        <v>0.56000000000000005</v>
      </c>
      <c r="D20" s="5">
        <v>2.95</v>
      </c>
      <c r="E20" s="9">
        <v>3.22</v>
      </c>
      <c r="F20" s="5">
        <v>2.77</v>
      </c>
      <c r="G20" s="10">
        <v>3.18</v>
      </c>
      <c r="H20" s="10">
        <v>3.74</v>
      </c>
      <c r="I20" s="10">
        <v>4</v>
      </c>
      <c r="J20" s="10">
        <v>3.72</v>
      </c>
      <c r="K20" s="10">
        <v>4.34</v>
      </c>
      <c r="L20" s="7">
        <v>4.63</v>
      </c>
      <c r="M20" s="7">
        <v>4.53</v>
      </c>
      <c r="N20" s="7">
        <v>4.9800000000000004</v>
      </c>
      <c r="O20" s="6">
        <f t="shared" si="0"/>
        <v>42.620000000000005</v>
      </c>
      <c r="P20" s="5">
        <f t="shared" si="1"/>
        <v>3.5516666666666672</v>
      </c>
      <c r="Q20" s="140">
        <f t="shared" si="2"/>
        <v>-0.14107214832728721</v>
      </c>
    </row>
    <row r="21" spans="2:18" ht="17.100000000000001" customHeight="1" x14ac:dyDescent="0.25">
      <c r="B21" s="5" t="s">
        <v>31</v>
      </c>
      <c r="C21" s="5">
        <v>4.3</v>
      </c>
      <c r="D21" s="5">
        <v>2.91</v>
      </c>
      <c r="E21" s="9">
        <v>3.48</v>
      </c>
      <c r="F21" s="5">
        <v>4.75</v>
      </c>
      <c r="G21" s="5">
        <v>4.75</v>
      </c>
      <c r="H21" s="5">
        <v>5.08</v>
      </c>
      <c r="I21" s="5">
        <v>5.12</v>
      </c>
      <c r="J21" s="5">
        <v>4.5999999999999996</v>
      </c>
      <c r="K21" s="5">
        <v>5.78</v>
      </c>
      <c r="L21" s="5">
        <v>5.26</v>
      </c>
      <c r="M21" s="5">
        <v>4.8499999999999996</v>
      </c>
      <c r="N21" s="5">
        <v>5.47</v>
      </c>
      <c r="O21" s="6">
        <f t="shared" si="0"/>
        <v>56.349999999999994</v>
      </c>
      <c r="P21" s="5">
        <f t="shared" si="1"/>
        <v>4.6958333333333329</v>
      </c>
      <c r="Q21" s="140">
        <f t="shared" si="2"/>
        <v>0.32214922571562621</v>
      </c>
    </row>
    <row r="22" spans="2:18" ht="17.100000000000001" customHeight="1" x14ac:dyDescent="0.25">
      <c r="B22" s="5" t="s">
        <v>145</v>
      </c>
      <c r="C22" s="5"/>
      <c r="D22" s="5"/>
      <c r="E22" s="9"/>
      <c r="F22" s="5"/>
      <c r="G22" s="5"/>
      <c r="H22" s="5"/>
      <c r="I22" s="5"/>
      <c r="J22" s="5"/>
      <c r="K22" s="5"/>
      <c r="L22" s="5"/>
      <c r="M22" s="5"/>
      <c r="N22" s="5"/>
      <c r="O22" s="6">
        <f t="shared" si="0"/>
        <v>0</v>
      </c>
      <c r="P22" s="5" t="e">
        <f t="shared" ref="P22:P23" si="3">AVERAGE(C22:N22)</f>
        <v>#DIV/0!</v>
      </c>
      <c r="Q22" s="140" t="e">
        <f t="shared" ref="Q22:Q23" si="4">P22/P21-1</f>
        <v>#DIV/0!</v>
      </c>
    </row>
    <row r="23" spans="2:18" ht="17.100000000000001" customHeight="1" x14ac:dyDescent="0.25">
      <c r="B23" s="5" t="s">
        <v>146</v>
      </c>
      <c r="C23" s="5"/>
      <c r="D23" s="5"/>
      <c r="E23" s="9"/>
      <c r="F23" s="5"/>
      <c r="G23" s="5"/>
      <c r="H23" s="5"/>
      <c r="I23" s="5"/>
      <c r="J23" s="5"/>
      <c r="K23" s="5"/>
      <c r="L23" s="5"/>
      <c r="M23" s="5"/>
      <c r="N23" s="5"/>
      <c r="O23" s="6">
        <f t="shared" si="0"/>
        <v>0</v>
      </c>
      <c r="P23" s="5" t="e">
        <f t="shared" si="3"/>
        <v>#DIV/0!</v>
      </c>
      <c r="Q23" s="140" t="e">
        <f t="shared" si="4"/>
        <v>#DIV/0!</v>
      </c>
    </row>
    <row r="24" spans="2:18" ht="17.100000000000001" customHeight="1" x14ac:dyDescent="0.25">
      <c r="B24" s="11" t="s">
        <v>16</v>
      </c>
      <c r="C24" s="11">
        <f>SUM(C9:C23)</f>
        <v>37.330000000000005</v>
      </c>
      <c r="D24" s="11">
        <f t="shared" ref="D24:O24" si="5">SUM(D9:D23)</f>
        <v>41.129999999999995</v>
      </c>
      <c r="E24" s="11">
        <f t="shared" si="5"/>
        <v>40.029999999999994</v>
      </c>
      <c r="F24" s="11">
        <f t="shared" si="5"/>
        <v>40.370000000000005</v>
      </c>
      <c r="G24" s="11">
        <f t="shared" si="5"/>
        <v>40.72</v>
      </c>
      <c r="H24" s="11">
        <f t="shared" si="5"/>
        <v>41.529999999999994</v>
      </c>
      <c r="I24" s="11">
        <f t="shared" si="5"/>
        <v>42.77</v>
      </c>
      <c r="J24" s="11">
        <f t="shared" si="5"/>
        <v>39.480000000000004</v>
      </c>
      <c r="K24" s="11">
        <f t="shared" si="5"/>
        <v>46.88000000000001</v>
      </c>
      <c r="L24" s="11">
        <f t="shared" si="5"/>
        <v>47.83</v>
      </c>
      <c r="M24" s="11">
        <f t="shared" si="5"/>
        <v>44.620000000000005</v>
      </c>
      <c r="N24" s="11">
        <f t="shared" si="5"/>
        <v>47.239999999999995</v>
      </c>
      <c r="O24" s="11">
        <f t="shared" si="5"/>
        <v>509.93000000000006</v>
      </c>
      <c r="P24" s="11"/>
      <c r="Q24" s="141"/>
    </row>
    <row r="25" spans="2:18" ht="17.100000000000001" customHeight="1" x14ac:dyDescent="0.25">
      <c r="B25" s="199" t="s">
        <v>147</v>
      </c>
      <c r="C25" s="199"/>
      <c r="D25" s="199"/>
      <c r="E25" s="199"/>
      <c r="F25" s="199"/>
      <c r="G25" s="199"/>
      <c r="H25" s="199"/>
      <c r="I25" s="199"/>
      <c r="J25" s="199"/>
      <c r="K25" s="199"/>
      <c r="L25" s="199"/>
      <c r="M25" s="199"/>
      <c r="N25" s="199"/>
      <c r="O25" s="199"/>
      <c r="P25" s="142"/>
      <c r="Q25" s="12" t="e">
        <f>AVERAGE(Q10:Q23)</f>
        <v>#DIV/0!</v>
      </c>
    </row>
    <row r="26" spans="2:18" ht="17.100000000000001" customHeight="1" x14ac:dyDescent="0.25">
      <c r="B26" s="199" t="s">
        <v>148</v>
      </c>
      <c r="C26" s="199"/>
      <c r="D26" s="199"/>
      <c r="E26" s="199"/>
      <c r="F26" s="199"/>
      <c r="G26" s="199"/>
      <c r="H26" s="199"/>
      <c r="I26" s="199"/>
      <c r="J26" s="199"/>
      <c r="K26" s="199"/>
      <c r="L26" s="199"/>
      <c r="M26" s="199"/>
      <c r="N26" s="199"/>
      <c r="O26" s="199"/>
      <c r="P26" s="142"/>
      <c r="Q26" s="12" t="e">
        <f>AVERAGE(Q12:Q23)</f>
        <v>#DIV/0!</v>
      </c>
    </row>
    <row r="28" spans="2:18" x14ac:dyDescent="0.25">
      <c r="G28" s="96"/>
      <c r="H28" s="96"/>
      <c r="I28" s="96"/>
      <c r="J28" s="96"/>
      <c r="K28" s="96"/>
      <c r="L28" s="96"/>
      <c r="M28" s="96"/>
    </row>
    <row r="32" spans="2:18" ht="18.75" customHeight="1" x14ac:dyDescent="0.25">
      <c r="B32" s="200" t="s">
        <v>44</v>
      </c>
      <c r="C32" s="201"/>
      <c r="D32" s="201"/>
      <c r="E32" s="201"/>
      <c r="F32" s="201"/>
      <c r="G32" s="201"/>
      <c r="H32" s="201"/>
      <c r="I32" s="201"/>
      <c r="J32" s="201"/>
      <c r="K32" s="201"/>
      <c r="L32" s="201"/>
      <c r="M32" s="201"/>
      <c r="N32" s="201"/>
      <c r="O32" s="201"/>
      <c r="P32" s="201"/>
      <c r="Q32" s="201"/>
      <c r="R32" s="201"/>
    </row>
    <row r="33" spans="2:18" ht="20.25" customHeight="1" x14ac:dyDescent="0.25">
      <c r="B33" s="195" t="s">
        <v>2</v>
      </c>
      <c r="C33" s="196"/>
      <c r="D33" s="196"/>
      <c r="E33" s="196"/>
      <c r="F33" s="196"/>
      <c r="G33" s="196"/>
      <c r="H33" s="196"/>
      <c r="I33" s="196"/>
      <c r="J33" s="196"/>
      <c r="K33" s="196"/>
      <c r="L33" s="196"/>
      <c r="M33" s="196"/>
      <c r="N33" s="196"/>
      <c r="O33" s="196"/>
      <c r="P33" s="196"/>
      <c r="Q33" s="196"/>
      <c r="R33" s="196"/>
    </row>
    <row r="34" spans="2:18" ht="49.5" customHeight="1" x14ac:dyDescent="0.25">
      <c r="B34" s="117" t="s">
        <v>3</v>
      </c>
      <c r="C34" s="118">
        <v>40268</v>
      </c>
      <c r="D34" s="118">
        <f>EDATE(C34,12)</f>
        <v>40633</v>
      </c>
      <c r="E34" s="118">
        <f t="shared" ref="E34:L34" si="6">EDATE(D34,12)</f>
        <v>40999</v>
      </c>
      <c r="F34" s="118">
        <f t="shared" si="6"/>
        <v>41364</v>
      </c>
      <c r="G34" s="118">
        <f t="shared" si="6"/>
        <v>41729</v>
      </c>
      <c r="H34" s="118">
        <f t="shared" si="6"/>
        <v>42094</v>
      </c>
      <c r="I34" s="118">
        <f t="shared" si="6"/>
        <v>42460</v>
      </c>
      <c r="J34" s="118">
        <f t="shared" si="6"/>
        <v>42825</v>
      </c>
      <c r="K34" s="118">
        <f t="shared" si="6"/>
        <v>43190</v>
      </c>
      <c r="L34" s="118">
        <f t="shared" si="6"/>
        <v>43555</v>
      </c>
      <c r="M34" s="118">
        <f t="shared" ref="M34" si="7">EDATE(L34,12)</f>
        <v>43921</v>
      </c>
      <c r="N34" s="118">
        <f t="shared" ref="N34" si="8">EDATE(M34,12)</f>
        <v>44286</v>
      </c>
      <c r="O34" s="118">
        <f t="shared" ref="O34" si="9">EDATE(N34,12)</f>
        <v>44651</v>
      </c>
      <c r="P34" s="118">
        <f t="shared" ref="P34" si="10">EDATE(O34,12)</f>
        <v>45016</v>
      </c>
      <c r="Q34" s="118">
        <f t="shared" ref="Q34" si="11">EDATE(P34,12)</f>
        <v>45382</v>
      </c>
      <c r="R34" s="118">
        <f t="shared" ref="R34" si="12">EDATE(Q34,12)</f>
        <v>45747</v>
      </c>
    </row>
    <row r="35" spans="2:18" ht="17.100000000000001" customHeight="1" x14ac:dyDescent="0.25">
      <c r="B35" s="17" t="s">
        <v>4</v>
      </c>
      <c r="C35" s="143"/>
      <c r="D35" s="143">
        <v>1.93</v>
      </c>
      <c r="E35" s="143">
        <v>2.29</v>
      </c>
      <c r="F35" s="143">
        <v>3.26</v>
      </c>
      <c r="G35" s="143">
        <v>3.21</v>
      </c>
      <c r="H35" s="143">
        <v>2.93</v>
      </c>
      <c r="I35" s="143">
        <v>3.31</v>
      </c>
      <c r="J35" s="143">
        <v>3.55</v>
      </c>
      <c r="K35" s="143">
        <v>3.94</v>
      </c>
      <c r="L35" s="143">
        <v>4.17</v>
      </c>
      <c r="M35" s="143">
        <v>3.88</v>
      </c>
      <c r="N35" s="143">
        <v>0.56000000000000005</v>
      </c>
      <c r="O35" s="143">
        <v>4.3</v>
      </c>
      <c r="P35" s="143"/>
      <c r="Q35" s="143"/>
      <c r="R35" s="143"/>
    </row>
    <row r="36" spans="2:18" ht="17.100000000000001" customHeight="1" x14ac:dyDescent="0.25">
      <c r="B36" s="17" t="s">
        <v>5</v>
      </c>
      <c r="C36" s="143"/>
      <c r="D36" s="143">
        <v>2.06</v>
      </c>
      <c r="E36" s="143">
        <v>2.5099999999999998</v>
      </c>
      <c r="F36" s="143">
        <v>3.46</v>
      </c>
      <c r="G36" s="143">
        <v>3.5</v>
      </c>
      <c r="H36" s="143">
        <v>3.24</v>
      </c>
      <c r="I36" s="143">
        <v>3.71</v>
      </c>
      <c r="J36" s="143">
        <v>3.7</v>
      </c>
      <c r="K36" s="143">
        <v>4.22</v>
      </c>
      <c r="L36" s="143">
        <v>4.59</v>
      </c>
      <c r="M36" s="143">
        <v>4.28</v>
      </c>
      <c r="N36" s="143">
        <v>2.95</v>
      </c>
      <c r="O36" s="143">
        <v>2.91</v>
      </c>
      <c r="P36" s="143"/>
      <c r="Q36" s="143"/>
      <c r="R36" s="143"/>
    </row>
    <row r="37" spans="2:18" ht="17.100000000000001" customHeight="1" x14ac:dyDescent="0.25">
      <c r="B37" s="17" t="s">
        <v>6</v>
      </c>
      <c r="C37" s="143"/>
      <c r="D37" s="143">
        <v>1.98</v>
      </c>
      <c r="E37" s="143">
        <v>2.42</v>
      </c>
      <c r="F37" s="143">
        <v>3.32</v>
      </c>
      <c r="G37" s="143">
        <v>3.25</v>
      </c>
      <c r="H37" s="143">
        <v>3.07</v>
      </c>
      <c r="I37" s="143">
        <v>3.47</v>
      </c>
      <c r="J37" s="143">
        <v>3.59</v>
      </c>
      <c r="K37" s="143">
        <v>3.99</v>
      </c>
      <c r="L37" s="143">
        <v>4.26</v>
      </c>
      <c r="M37" s="143">
        <v>3.98</v>
      </c>
      <c r="N37" s="143">
        <v>3.22</v>
      </c>
      <c r="O37" s="143">
        <v>3.48</v>
      </c>
      <c r="P37" s="143"/>
      <c r="Q37" s="143"/>
      <c r="R37" s="143"/>
    </row>
    <row r="38" spans="2:18" ht="17.100000000000001" customHeight="1" x14ac:dyDescent="0.25">
      <c r="B38" s="17" t="s">
        <v>7</v>
      </c>
      <c r="C38" s="143"/>
      <c r="D38" s="143">
        <v>1.94</v>
      </c>
      <c r="E38" s="143">
        <v>2.4700000000000002</v>
      </c>
      <c r="F38" s="143">
        <v>3.39</v>
      </c>
      <c r="G38" s="143">
        <v>3.15</v>
      </c>
      <c r="H38" s="143">
        <v>3.11</v>
      </c>
      <c r="I38" s="143">
        <v>3.41</v>
      </c>
      <c r="J38" s="143">
        <v>3.6</v>
      </c>
      <c r="K38" s="143">
        <v>3.81</v>
      </c>
      <c r="L38" s="143">
        <v>3.98</v>
      </c>
      <c r="M38" s="143">
        <v>3.99</v>
      </c>
      <c r="N38" s="143">
        <v>2.77</v>
      </c>
      <c r="O38" s="143">
        <v>4.75</v>
      </c>
      <c r="P38" s="143"/>
      <c r="Q38" s="143"/>
      <c r="R38" s="143"/>
    </row>
    <row r="39" spans="2:18" ht="17.100000000000001" customHeight="1" x14ac:dyDescent="0.25">
      <c r="B39" s="17" t="s">
        <v>8</v>
      </c>
      <c r="C39" s="143"/>
      <c r="D39" s="143">
        <v>1.96</v>
      </c>
      <c r="E39" s="143">
        <v>2.29</v>
      </c>
      <c r="F39" s="143">
        <v>2.85</v>
      </c>
      <c r="G39" s="143">
        <v>2.86</v>
      </c>
      <c r="H39" s="143">
        <v>2.98</v>
      </c>
      <c r="I39" s="143">
        <v>3.47</v>
      </c>
      <c r="J39" s="143">
        <v>3.69</v>
      </c>
      <c r="K39" s="143">
        <v>4.13</v>
      </c>
      <c r="L39" s="143">
        <v>4.45</v>
      </c>
      <c r="M39" s="143">
        <v>4.1100000000000003</v>
      </c>
      <c r="N39" s="143">
        <v>3.18</v>
      </c>
      <c r="O39" s="143">
        <v>4.75</v>
      </c>
      <c r="P39" s="143"/>
      <c r="Q39" s="143"/>
      <c r="R39" s="143"/>
    </row>
    <row r="40" spans="2:18" ht="17.100000000000001" customHeight="1" x14ac:dyDescent="0.25">
      <c r="B40" s="17" t="s">
        <v>9</v>
      </c>
      <c r="C40" s="143"/>
      <c r="D40" s="143">
        <v>2.11</v>
      </c>
      <c r="E40" s="143">
        <v>2.61</v>
      </c>
      <c r="F40" s="143">
        <v>2.69</v>
      </c>
      <c r="G40" s="143">
        <v>3.02</v>
      </c>
      <c r="H40" s="143">
        <v>3.03</v>
      </c>
      <c r="I40" s="143">
        <v>3.23</v>
      </c>
      <c r="J40" s="143">
        <v>3.36</v>
      </c>
      <c r="K40" s="143">
        <v>4.2</v>
      </c>
      <c r="L40" s="143">
        <v>4.24</v>
      </c>
      <c r="M40" s="143">
        <v>4.22</v>
      </c>
      <c r="N40" s="143">
        <v>3.74</v>
      </c>
      <c r="O40" s="143">
        <v>5.08</v>
      </c>
      <c r="P40" s="143"/>
      <c r="Q40" s="143"/>
      <c r="R40" s="143"/>
    </row>
    <row r="41" spans="2:18" ht="17.100000000000001" customHeight="1" x14ac:dyDescent="0.25">
      <c r="B41" s="17" t="s">
        <v>10</v>
      </c>
      <c r="C41" s="143"/>
      <c r="D41" s="143">
        <v>2.23</v>
      </c>
      <c r="E41" s="143">
        <v>2.4500000000000002</v>
      </c>
      <c r="F41" s="143">
        <v>2.81</v>
      </c>
      <c r="G41" s="143">
        <v>3.04</v>
      </c>
      <c r="H41" s="143">
        <v>3.05</v>
      </c>
      <c r="I41" s="143">
        <v>3.51</v>
      </c>
      <c r="J41" s="143">
        <v>3.68</v>
      </c>
      <c r="K41" s="143">
        <v>4.12</v>
      </c>
      <c r="L41" s="143">
        <v>4.49</v>
      </c>
      <c r="M41" s="143">
        <v>4.28</v>
      </c>
      <c r="N41" s="143">
        <v>4</v>
      </c>
      <c r="O41" s="143">
        <v>5.12</v>
      </c>
      <c r="P41" s="143"/>
      <c r="Q41" s="143"/>
      <c r="R41" s="143"/>
    </row>
    <row r="42" spans="2:18" ht="17.100000000000001" customHeight="1" x14ac:dyDescent="0.25">
      <c r="B42" s="17" t="s">
        <v>11</v>
      </c>
      <c r="C42" s="143">
        <v>1.65</v>
      </c>
      <c r="D42" s="143">
        <v>2.13</v>
      </c>
      <c r="E42" s="143">
        <v>2.52</v>
      </c>
      <c r="F42" s="143">
        <v>2.71</v>
      </c>
      <c r="G42" s="143">
        <v>2.79</v>
      </c>
      <c r="H42" s="143">
        <v>3.1</v>
      </c>
      <c r="I42" s="143">
        <v>3.21</v>
      </c>
      <c r="J42" s="143">
        <v>1.04</v>
      </c>
      <c r="K42" s="143">
        <v>4.28</v>
      </c>
      <c r="L42" s="143">
        <v>3.45</v>
      </c>
      <c r="M42" s="143">
        <v>4.28</v>
      </c>
      <c r="N42" s="143">
        <v>3.72</v>
      </c>
      <c r="O42" s="143">
        <v>4.5999999999999996</v>
      </c>
      <c r="P42" s="143"/>
      <c r="Q42" s="143"/>
      <c r="R42" s="143"/>
    </row>
    <row r="43" spans="2:18" ht="17.100000000000001" customHeight="1" x14ac:dyDescent="0.25">
      <c r="B43" s="17" t="s">
        <v>12</v>
      </c>
      <c r="C43" s="143">
        <v>2.1</v>
      </c>
      <c r="D43" s="143">
        <v>2.58</v>
      </c>
      <c r="E43" s="143">
        <v>2.74</v>
      </c>
      <c r="F43" s="143">
        <v>3.24</v>
      </c>
      <c r="G43" s="143">
        <v>3.21</v>
      </c>
      <c r="H43" s="143">
        <v>3.49</v>
      </c>
      <c r="I43" s="143">
        <v>2.21</v>
      </c>
      <c r="J43" s="143">
        <v>3.81</v>
      </c>
      <c r="K43" s="143">
        <v>4.7300000000000004</v>
      </c>
      <c r="L43" s="143">
        <v>3.95</v>
      </c>
      <c r="M43" s="143">
        <v>4.7</v>
      </c>
      <c r="N43" s="143">
        <v>4.34</v>
      </c>
      <c r="O43" s="143">
        <v>5.78</v>
      </c>
      <c r="P43" s="143"/>
      <c r="Q43" s="143"/>
      <c r="R43" s="143"/>
    </row>
    <row r="44" spans="2:18" ht="17.100000000000001" customHeight="1" x14ac:dyDescent="0.25">
      <c r="B44" s="17" t="s">
        <v>13</v>
      </c>
      <c r="C44" s="143">
        <v>2.0499999999999998</v>
      </c>
      <c r="D44" s="143">
        <v>2.5499999999999998</v>
      </c>
      <c r="E44" s="143">
        <v>2.74</v>
      </c>
      <c r="F44" s="143">
        <v>3.16</v>
      </c>
      <c r="G44" s="143">
        <v>3.22</v>
      </c>
      <c r="H44" s="143">
        <v>3.49</v>
      </c>
      <c r="I44" s="143">
        <v>3.77</v>
      </c>
      <c r="J44" s="143">
        <v>3.97</v>
      </c>
      <c r="K44" s="143">
        <v>4.5999999999999996</v>
      </c>
      <c r="L44" s="143">
        <v>3.87</v>
      </c>
      <c r="M44" s="143">
        <v>4.51</v>
      </c>
      <c r="N44" s="144">
        <v>4.63</v>
      </c>
      <c r="O44" s="143">
        <v>5.26</v>
      </c>
      <c r="P44" s="143"/>
      <c r="Q44" s="143"/>
      <c r="R44" s="143"/>
    </row>
    <row r="45" spans="2:18" ht="17.100000000000001" customHeight="1" x14ac:dyDescent="0.25">
      <c r="B45" s="17" t="s">
        <v>14</v>
      </c>
      <c r="C45" s="143">
        <v>1.89</v>
      </c>
      <c r="D45" s="143">
        <v>2.3199999999999998</v>
      </c>
      <c r="E45" s="143">
        <v>3.05</v>
      </c>
      <c r="F45" s="143">
        <v>2.9</v>
      </c>
      <c r="G45" s="143">
        <v>2.91</v>
      </c>
      <c r="H45" s="143">
        <v>3.18</v>
      </c>
      <c r="I45" s="143">
        <v>3.62</v>
      </c>
      <c r="J45" s="143">
        <v>3.73</v>
      </c>
      <c r="K45" s="143">
        <v>3.9</v>
      </c>
      <c r="L45" s="143">
        <v>3.57</v>
      </c>
      <c r="M45" s="143">
        <v>4.17</v>
      </c>
      <c r="N45" s="144">
        <v>4.53</v>
      </c>
      <c r="O45" s="143">
        <v>4.8499999999999996</v>
      </c>
      <c r="P45" s="143"/>
      <c r="Q45" s="143"/>
      <c r="R45" s="143"/>
    </row>
    <row r="46" spans="2:18" ht="17.100000000000001" customHeight="1" x14ac:dyDescent="0.25">
      <c r="B46" s="17" t="s">
        <v>15</v>
      </c>
      <c r="C46" s="143">
        <v>2.0299999999999998</v>
      </c>
      <c r="D46" s="143">
        <v>2.4500000000000002</v>
      </c>
      <c r="E46" s="143">
        <v>3.36</v>
      </c>
      <c r="F46" s="143">
        <v>3.24</v>
      </c>
      <c r="G46" s="143">
        <v>3.06</v>
      </c>
      <c r="H46" s="143">
        <v>3.37</v>
      </c>
      <c r="I46" s="143">
        <v>3.75</v>
      </c>
      <c r="J46" s="143">
        <v>4.03</v>
      </c>
      <c r="K46" s="143">
        <v>4.3099999999999996</v>
      </c>
      <c r="L46" s="143">
        <v>3.96</v>
      </c>
      <c r="M46" s="143">
        <v>3.23</v>
      </c>
      <c r="N46" s="144">
        <v>4.9800000000000004</v>
      </c>
      <c r="O46" s="143">
        <v>5.47</v>
      </c>
      <c r="P46" s="143"/>
      <c r="Q46" s="143"/>
      <c r="R46" s="143"/>
    </row>
    <row r="47" spans="2:18" ht="17.100000000000001" customHeight="1" x14ac:dyDescent="0.25">
      <c r="B47" s="16" t="s">
        <v>16</v>
      </c>
      <c r="C47" s="145">
        <f t="shared" ref="C47:O47" si="13">SUM(C35:C46)</f>
        <v>9.7199999999999989</v>
      </c>
      <c r="D47" s="145">
        <f t="shared" si="13"/>
        <v>26.240000000000002</v>
      </c>
      <c r="E47" s="145">
        <f t="shared" si="13"/>
        <v>31.45</v>
      </c>
      <c r="F47" s="145">
        <f t="shared" si="13"/>
        <v>37.030000000000008</v>
      </c>
      <c r="G47" s="145">
        <f t="shared" si="13"/>
        <v>37.22</v>
      </c>
      <c r="H47" s="145">
        <f t="shared" si="13"/>
        <v>38.04</v>
      </c>
      <c r="I47" s="145">
        <f t="shared" si="13"/>
        <v>40.67</v>
      </c>
      <c r="J47" s="145">
        <f t="shared" si="13"/>
        <v>41.749999999999993</v>
      </c>
      <c r="K47" s="145">
        <f t="shared" si="13"/>
        <v>50.230000000000004</v>
      </c>
      <c r="L47" s="145">
        <f t="shared" si="13"/>
        <v>48.980000000000004</v>
      </c>
      <c r="M47" s="145">
        <f t="shared" si="13"/>
        <v>49.63</v>
      </c>
      <c r="N47" s="145">
        <f t="shared" si="13"/>
        <v>42.620000000000005</v>
      </c>
      <c r="O47" s="145">
        <f t="shared" si="13"/>
        <v>56.349999999999994</v>
      </c>
      <c r="P47" s="145" t="e">
        <f>P48*12</f>
        <v>#DIV/0!</v>
      </c>
      <c r="Q47" s="145" t="e">
        <f>Q48*12</f>
        <v>#DIV/0!</v>
      </c>
      <c r="R47" s="145" t="e">
        <f>R48*12</f>
        <v>#DIV/0!</v>
      </c>
    </row>
    <row r="48" spans="2:18" ht="25.5" customHeight="1" x14ac:dyDescent="0.25">
      <c r="B48" s="23" t="s">
        <v>17</v>
      </c>
      <c r="C48" s="145">
        <f>AVERAGE(C35:C46)</f>
        <v>1.9439999999999997</v>
      </c>
      <c r="D48" s="145">
        <f t="shared" ref="D48:O48" si="14">AVERAGE(D35:D46)</f>
        <v>2.186666666666667</v>
      </c>
      <c r="E48" s="145">
        <f t="shared" si="14"/>
        <v>2.6208333333333331</v>
      </c>
      <c r="F48" s="145">
        <f t="shared" si="14"/>
        <v>3.0858333333333339</v>
      </c>
      <c r="G48" s="145">
        <f t="shared" si="14"/>
        <v>3.1016666666666666</v>
      </c>
      <c r="H48" s="145">
        <f t="shared" si="14"/>
        <v>3.17</v>
      </c>
      <c r="I48" s="145">
        <f t="shared" si="14"/>
        <v>3.3891666666666667</v>
      </c>
      <c r="J48" s="145">
        <f t="shared" si="14"/>
        <v>3.4791666666666661</v>
      </c>
      <c r="K48" s="145">
        <f t="shared" si="14"/>
        <v>4.185833333333334</v>
      </c>
      <c r="L48" s="145">
        <f t="shared" si="14"/>
        <v>4.081666666666667</v>
      </c>
      <c r="M48" s="145">
        <f t="shared" si="14"/>
        <v>4.1358333333333333</v>
      </c>
      <c r="N48" s="145">
        <f t="shared" si="14"/>
        <v>3.5516666666666672</v>
      </c>
      <c r="O48" s="145">
        <f t="shared" si="14"/>
        <v>4.6958333333333329</v>
      </c>
      <c r="P48" s="145" t="e">
        <f>O48*(1+P49)</f>
        <v>#DIV/0!</v>
      </c>
      <c r="Q48" s="145" t="e">
        <f>P48*(1+Q49)</f>
        <v>#DIV/0!</v>
      </c>
      <c r="R48" s="145" t="e">
        <f>Q48*(1+R49)</f>
        <v>#DIV/0!</v>
      </c>
    </row>
    <row r="49" spans="2:23" ht="33" customHeight="1" x14ac:dyDescent="0.25">
      <c r="B49" s="20" t="s">
        <v>45</v>
      </c>
      <c r="C49" s="146"/>
      <c r="D49" s="21">
        <f>D48/C48-1</f>
        <v>0.12482853223593993</v>
      </c>
      <c r="E49" s="21">
        <f t="shared" ref="E49:M49" si="15">E48/D48-1</f>
        <v>0.1985518292682924</v>
      </c>
      <c r="F49" s="21">
        <f t="shared" si="15"/>
        <v>0.17742448330683658</v>
      </c>
      <c r="G49" s="21">
        <f t="shared" si="15"/>
        <v>5.1309748852279569E-3</v>
      </c>
      <c r="H49" s="21">
        <f t="shared" si="15"/>
        <v>2.2031166039763628E-2</v>
      </c>
      <c r="I49" s="21">
        <f t="shared" si="15"/>
        <v>6.9137749737118837E-2</v>
      </c>
      <c r="J49" s="21">
        <f t="shared" si="15"/>
        <v>2.6555200393410194E-2</v>
      </c>
      <c r="K49" s="21">
        <f t="shared" si="15"/>
        <v>0.20311377245509021</v>
      </c>
      <c r="L49" s="21">
        <f t="shared" si="15"/>
        <v>-2.4885526577742456E-2</v>
      </c>
      <c r="M49" s="21">
        <f t="shared" si="15"/>
        <v>1.3270722743977004E-2</v>
      </c>
      <c r="N49" s="21">
        <f>N48/M48-1</f>
        <v>-0.1412452145879507</v>
      </c>
      <c r="O49" s="21">
        <f>O48/N48-1</f>
        <v>0.32214922571562621</v>
      </c>
      <c r="P49" s="22" t="e">
        <f>Q25</f>
        <v>#DIV/0!</v>
      </c>
      <c r="Q49" s="22" t="e">
        <f>P49</f>
        <v>#DIV/0!</v>
      </c>
      <c r="R49" s="22" t="e">
        <f>Q49</f>
        <v>#DIV/0!</v>
      </c>
    </row>
    <row r="50" spans="2:23" x14ac:dyDescent="0.25">
      <c r="B50" s="18"/>
      <c r="C50" s="147"/>
      <c r="D50" s="148"/>
      <c r="E50" s="148"/>
      <c r="F50" s="148"/>
      <c r="G50" s="148"/>
      <c r="H50" s="148"/>
      <c r="I50" s="148"/>
      <c r="J50" s="148"/>
      <c r="K50" s="148"/>
      <c r="L50" s="148"/>
      <c r="M50" s="148"/>
      <c r="N50" s="147"/>
      <c r="O50" s="149"/>
      <c r="P50" s="149"/>
      <c r="Q50" s="149"/>
      <c r="R50" s="149"/>
      <c r="S50" s="19"/>
      <c r="T50" s="19"/>
      <c r="U50" s="19"/>
      <c r="V50" s="19"/>
      <c r="W50" s="19"/>
    </row>
    <row r="51" spans="2:23" x14ac:dyDescent="0.25">
      <c r="O51" s="59"/>
      <c r="P51" s="87"/>
      <c r="Q51" s="87"/>
      <c r="R51" s="87"/>
      <c r="S51" s="25"/>
      <c r="T51" s="25"/>
    </row>
  </sheetData>
  <mergeCells count="6">
    <mergeCell ref="B33:R33"/>
    <mergeCell ref="B6:Q6"/>
    <mergeCell ref="B7:Q7"/>
    <mergeCell ref="B25:O25"/>
    <mergeCell ref="B26:O26"/>
    <mergeCell ref="B32:R32"/>
  </mergeCells>
  <pageMargins left="0.7" right="0.7" top="0.75" bottom="0.75" header="0.3" footer="0.3"/>
  <pageSetup orientation="portrait" r:id="rId1"/>
  <ignoredErrors>
    <ignoredError sqref="C47:O47 C48:O48"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D19"/>
  <sheetViews>
    <sheetView showGridLines="0" workbookViewId="0">
      <selection activeCell="C30" sqref="C30:C31"/>
    </sheetView>
  </sheetViews>
  <sheetFormatPr defaultRowHeight="15" x14ac:dyDescent="0.25"/>
  <cols>
    <col min="1" max="1" width="4.7109375" customWidth="1"/>
    <col min="2" max="2" width="11.28515625" customWidth="1"/>
    <col min="3" max="3" width="22.7109375" customWidth="1"/>
    <col min="4" max="4" width="23" customWidth="1"/>
  </cols>
  <sheetData>
    <row r="1" spans="2:4" ht="12" customHeight="1" x14ac:dyDescent="0.25"/>
    <row r="2" spans="2:4" ht="18.75" customHeight="1" x14ac:dyDescent="0.25">
      <c r="B2" s="4" t="s">
        <v>58</v>
      </c>
      <c r="C2" s="3"/>
      <c r="D2" s="3"/>
    </row>
    <row r="3" spans="2:4" ht="12.75" customHeight="1" x14ac:dyDescent="0.25"/>
    <row r="4" spans="2:4" x14ac:dyDescent="0.25">
      <c r="B4" s="202" t="s">
        <v>46</v>
      </c>
      <c r="C4" s="203"/>
      <c r="D4" s="204"/>
    </row>
    <row r="5" spans="2:4" x14ac:dyDescent="0.25">
      <c r="B5" s="205"/>
      <c r="C5" s="206"/>
      <c r="D5" s="207"/>
    </row>
    <row r="6" spans="2:4" x14ac:dyDescent="0.25">
      <c r="B6" s="26" t="s">
        <v>47</v>
      </c>
      <c r="C6" s="26" t="s">
        <v>48</v>
      </c>
      <c r="D6" s="26" t="s">
        <v>49</v>
      </c>
    </row>
    <row r="7" spans="2:4" x14ac:dyDescent="0.25">
      <c r="B7" s="27">
        <v>44287</v>
      </c>
      <c r="C7" s="28">
        <v>4.2972840000000003</v>
      </c>
      <c r="D7" s="28">
        <v>2.47363</v>
      </c>
    </row>
    <row r="8" spans="2:4" x14ac:dyDescent="0.25">
      <c r="B8" s="27">
        <v>44317</v>
      </c>
      <c r="C8" s="28">
        <v>2.9059810000000001</v>
      </c>
      <c r="D8" s="28">
        <v>1.43523</v>
      </c>
    </row>
    <row r="9" spans="2:4" x14ac:dyDescent="0.25">
      <c r="B9" s="27">
        <v>44348</v>
      </c>
      <c r="C9" s="28">
        <v>3.4803225000000002</v>
      </c>
      <c r="D9" s="28">
        <v>1.80748</v>
      </c>
    </row>
    <row r="10" spans="2:4" x14ac:dyDescent="0.25">
      <c r="B10" s="27">
        <v>44378</v>
      </c>
      <c r="C10" s="28">
        <v>4.754874</v>
      </c>
      <c r="D10" s="28">
        <v>2.6830500000000002</v>
      </c>
    </row>
    <row r="11" spans="2:4" x14ac:dyDescent="0.25">
      <c r="B11" s="27">
        <v>44409</v>
      </c>
      <c r="C11" s="28">
        <v>4.7529349999999999</v>
      </c>
      <c r="D11" s="28">
        <v>2.7685</v>
      </c>
    </row>
    <row r="12" spans="2:4" x14ac:dyDescent="0.25">
      <c r="B12" s="27">
        <v>44440</v>
      </c>
      <c r="C12" s="28">
        <v>5.0816644999999996</v>
      </c>
      <c r="D12" s="28">
        <v>2.84335</v>
      </c>
    </row>
    <row r="13" spans="2:4" x14ac:dyDescent="0.25">
      <c r="B13" s="27">
        <v>44470</v>
      </c>
      <c r="C13" s="28">
        <v>5.1164009999999998</v>
      </c>
      <c r="D13" s="28">
        <v>3.06447</v>
      </c>
    </row>
    <row r="14" spans="2:4" x14ac:dyDescent="0.25">
      <c r="B14" s="27">
        <v>44501</v>
      </c>
      <c r="C14" s="28">
        <v>4.6011699999999998</v>
      </c>
      <c r="D14" s="28">
        <v>2.7013099999999999</v>
      </c>
    </row>
    <row r="15" spans="2:4" x14ac:dyDescent="0.25">
      <c r="B15" s="27">
        <v>44531</v>
      </c>
      <c r="C15" s="28">
        <v>5.7777180000000001</v>
      </c>
      <c r="D15" s="28">
        <v>3.2225299999999999</v>
      </c>
    </row>
    <row r="16" spans="2:4" x14ac:dyDescent="0.25">
      <c r="B16" s="27">
        <v>44562</v>
      </c>
      <c r="C16" s="28">
        <v>5.2567399999999997</v>
      </c>
      <c r="D16" s="28">
        <v>2.8515000000000001</v>
      </c>
    </row>
    <row r="17" spans="2:4" x14ac:dyDescent="0.25">
      <c r="B17" s="27">
        <v>44593</v>
      </c>
      <c r="C17" s="28">
        <v>4.851159</v>
      </c>
      <c r="D17" s="28">
        <v>2.6468699999999998</v>
      </c>
    </row>
    <row r="18" spans="2:4" x14ac:dyDescent="0.25">
      <c r="B18" s="27">
        <v>44621</v>
      </c>
      <c r="C18" s="28">
        <v>5.4729834999999998</v>
      </c>
      <c r="D18" s="28">
        <v>3.0548700000000002</v>
      </c>
    </row>
    <row r="19" spans="2:4" x14ac:dyDescent="0.25">
      <c r="B19" s="26" t="s">
        <v>16</v>
      </c>
      <c r="C19" s="29">
        <f>SUM(C7:C18)</f>
        <v>56.349232499999999</v>
      </c>
      <c r="D19" s="29">
        <f>SUM(D7:D18)</f>
        <v>31.552790000000002</v>
      </c>
    </row>
  </sheetData>
  <mergeCells count="1">
    <mergeCell ref="B4:D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G13"/>
  <sheetViews>
    <sheetView showGridLines="0" workbookViewId="0">
      <selection activeCell="F11" sqref="F11"/>
    </sheetView>
  </sheetViews>
  <sheetFormatPr defaultRowHeight="15" x14ac:dyDescent="0.25"/>
  <cols>
    <col min="1" max="1" width="5.28515625" customWidth="1"/>
    <col min="2" max="2" width="8.5703125" customWidth="1"/>
    <col min="3" max="3" width="28" customWidth="1"/>
    <col min="4" max="4" width="20.5703125" customWidth="1"/>
    <col min="5" max="5" width="16" customWidth="1"/>
    <col min="6" max="6" width="17.28515625" customWidth="1"/>
    <col min="7" max="7" width="43.85546875" customWidth="1"/>
  </cols>
  <sheetData>
    <row r="2" spans="2:7" ht="18.75" customHeight="1" x14ac:dyDescent="0.25">
      <c r="B2" s="4" t="str">
        <f>+'Historical P&amp;L'!B2</f>
        <v xml:space="preserve"> TN(DK) EXPRESSWAYS LIMITED</v>
      </c>
      <c r="C2" s="3"/>
      <c r="D2" s="3"/>
      <c r="E2" s="3"/>
      <c r="F2" s="3"/>
      <c r="G2" s="3"/>
    </row>
    <row r="4" spans="2:7" ht="18" customHeight="1" x14ac:dyDescent="0.25">
      <c r="B4" s="208" t="s">
        <v>50</v>
      </c>
      <c r="C4" s="208"/>
      <c r="D4" s="208"/>
      <c r="E4" s="208"/>
      <c r="F4" s="208"/>
      <c r="G4" s="208"/>
    </row>
    <row r="5" spans="2:7" x14ac:dyDescent="0.25">
      <c r="B5" s="209" t="s">
        <v>51</v>
      </c>
      <c r="C5" s="209"/>
      <c r="D5" s="209"/>
      <c r="E5" s="209"/>
      <c r="F5" s="209"/>
      <c r="G5" s="209"/>
    </row>
    <row r="6" spans="2:7" ht="36.75" customHeight="1" x14ac:dyDescent="0.25">
      <c r="B6" s="134" t="s">
        <v>150</v>
      </c>
      <c r="C6" s="134" t="s">
        <v>52</v>
      </c>
      <c r="D6" s="135" t="s">
        <v>53</v>
      </c>
      <c r="E6" s="135" t="s">
        <v>151</v>
      </c>
      <c r="F6" s="135" t="s">
        <v>152</v>
      </c>
      <c r="G6" s="134" t="s">
        <v>54</v>
      </c>
    </row>
    <row r="7" spans="2:7" ht="155.25" customHeight="1" x14ac:dyDescent="0.25">
      <c r="B7" s="32">
        <v>1</v>
      </c>
      <c r="C7" s="30" t="s">
        <v>55</v>
      </c>
      <c r="D7" s="31">
        <v>7.8823999999999996</v>
      </c>
      <c r="E7" s="31" t="s">
        <v>56</v>
      </c>
      <c r="F7" s="31">
        <v>132</v>
      </c>
      <c r="G7" s="33" t="s">
        <v>57</v>
      </c>
    </row>
    <row r="10" spans="2:7" x14ac:dyDescent="0.25">
      <c r="D10">
        <v>7.88</v>
      </c>
    </row>
    <row r="11" spans="2:7" x14ac:dyDescent="0.25">
      <c r="D11">
        <v>110</v>
      </c>
    </row>
    <row r="12" spans="2:7" x14ac:dyDescent="0.25">
      <c r="D12">
        <v>132</v>
      </c>
    </row>
    <row r="13" spans="2:7" x14ac:dyDescent="0.25">
      <c r="D13">
        <f>SUM(D10:D12)</f>
        <v>249.88</v>
      </c>
    </row>
  </sheetData>
  <mergeCells count="2">
    <mergeCell ref="B4:G4"/>
    <mergeCell ref="B5:G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5"/>
  <sheetViews>
    <sheetView showGridLines="0" workbookViewId="0">
      <selection activeCell="B3" sqref="B3"/>
    </sheetView>
  </sheetViews>
  <sheetFormatPr defaultRowHeight="15" x14ac:dyDescent="0.25"/>
  <cols>
    <col min="1" max="1" width="4" customWidth="1"/>
    <col min="2" max="2" width="38.28515625" customWidth="1"/>
    <col min="3" max="5" width="13.7109375" style="120" customWidth="1"/>
    <col min="6" max="14" width="11.7109375" customWidth="1"/>
    <col min="15" max="15" width="12.5703125" bestFit="1" customWidth="1"/>
    <col min="17" max="17" width="10" bestFit="1" customWidth="1"/>
  </cols>
  <sheetData>
    <row r="1" spans="1:5" ht="12.75" customHeight="1" x14ac:dyDescent="0.25"/>
    <row r="2" spans="1:5" ht="18.75" customHeight="1" x14ac:dyDescent="0.25">
      <c r="B2" s="53" t="str">
        <f>+'Historical P&amp;L'!B2</f>
        <v xml:space="preserve"> TN(DK) EXPRESSWAYS LIMITED</v>
      </c>
      <c r="C2" s="121"/>
      <c r="D2" s="121"/>
      <c r="E2" s="121"/>
    </row>
    <row r="3" spans="1:5" ht="12.75" customHeight="1" x14ac:dyDescent="0.25"/>
    <row r="4" spans="1:5" ht="18.75" customHeight="1" x14ac:dyDescent="0.25">
      <c r="B4" s="34" t="s">
        <v>97</v>
      </c>
      <c r="C4" s="122"/>
      <c r="D4" s="122"/>
      <c r="E4" s="122"/>
    </row>
    <row r="5" spans="1:5" ht="11.25" customHeight="1" x14ac:dyDescent="0.25"/>
    <row r="6" spans="1:5" ht="18" customHeight="1" x14ac:dyDescent="0.25">
      <c r="B6" s="54" t="s">
        <v>76</v>
      </c>
      <c r="C6" s="69">
        <v>2025</v>
      </c>
      <c r="D6" s="69">
        <f>C6+1</f>
        <v>2026</v>
      </c>
      <c r="E6" s="69">
        <f t="shared" ref="E6" si="0">D6+1</f>
        <v>2027</v>
      </c>
    </row>
    <row r="7" spans="1:5" x14ac:dyDescent="0.25">
      <c r="B7" s="36"/>
      <c r="C7" s="123"/>
      <c r="D7" s="123"/>
      <c r="E7" s="124"/>
    </row>
    <row r="8" spans="1:5" ht="16.5" customHeight="1" x14ac:dyDescent="0.25">
      <c r="B8" s="58" t="s">
        <v>98</v>
      </c>
      <c r="C8" s="125" t="e">
        <f>'RKA Toll Revenue'!P47</f>
        <v>#DIV/0!</v>
      </c>
      <c r="D8" s="125" t="e">
        <f>'RKA Toll Revenue'!Q47</f>
        <v>#DIV/0!</v>
      </c>
      <c r="E8" s="125" t="e">
        <f>'RKA Toll Revenue'!R47</f>
        <v>#DIV/0!</v>
      </c>
    </row>
    <row r="9" spans="1:5" x14ac:dyDescent="0.25">
      <c r="B9" s="58" t="s">
        <v>75</v>
      </c>
      <c r="C9" s="125">
        <f>'Other Income &amp; Expenditure'!E30</f>
        <v>3.5560999999999994E-5</v>
      </c>
      <c r="D9" s="125">
        <f>'Other Income &amp; Expenditure'!F30</f>
        <v>5.8845480202504534</v>
      </c>
      <c r="E9" s="125">
        <f>'Other Income &amp; Expenditure'!G30</f>
        <v>5.8845480202504534</v>
      </c>
    </row>
    <row r="10" spans="1:5" ht="18" customHeight="1" x14ac:dyDescent="0.25">
      <c r="B10" s="60" t="s">
        <v>77</v>
      </c>
      <c r="C10" s="126" t="e">
        <f>SUM(C8:C9)</f>
        <v>#DIV/0!</v>
      </c>
      <c r="D10" s="126" t="e">
        <f t="shared" ref="D10:E10" si="1">SUM(D8:D9)</f>
        <v>#DIV/0!</v>
      </c>
      <c r="E10" s="126" t="e">
        <f t="shared" si="1"/>
        <v>#DIV/0!</v>
      </c>
    </row>
    <row r="11" spans="1:5" x14ac:dyDescent="0.25">
      <c r="B11" s="38"/>
      <c r="C11" s="127"/>
      <c r="D11" s="127"/>
      <c r="E11" s="127"/>
    </row>
    <row r="12" spans="1:5" x14ac:dyDescent="0.25">
      <c r="B12" t="s">
        <v>59</v>
      </c>
      <c r="C12" s="125">
        <f>'Other Income &amp; Expenditure'!D7/10^7</f>
        <v>1.036218E-3</v>
      </c>
      <c r="D12" s="125">
        <f>'Other Income &amp; Expenditure'!E7/10^7</f>
        <v>6.0569599999999997E-4</v>
      </c>
      <c r="E12" s="125">
        <f>'Other Income &amp; Expenditure'!F7/10^7</f>
        <v>6.6626560000000007E-4</v>
      </c>
    </row>
    <row r="13" spans="1:5" x14ac:dyDescent="0.25">
      <c r="B13" t="s">
        <v>60</v>
      </c>
      <c r="C13" s="125">
        <f>'Other Income &amp; Expenditure'!D8/10^7</f>
        <v>3.3683999999999998E-5</v>
      </c>
      <c r="D13" s="125">
        <f>'Other Income &amp; Expenditure'!E8/10^7</f>
        <v>3.6854000000000003E-5</v>
      </c>
      <c r="E13" s="125">
        <f>'Other Income &amp; Expenditure'!F8/10^7</f>
        <v>4.0170860000000003E-5</v>
      </c>
    </row>
    <row r="14" spans="1:5" x14ac:dyDescent="0.25">
      <c r="B14" t="s">
        <v>63</v>
      </c>
      <c r="C14" s="125">
        <f>'Other Income &amp; Expenditure'!D11/10^7</f>
        <v>5.2729999999999993E-6</v>
      </c>
      <c r="D14" s="125">
        <f>'Other Income &amp; Expenditure'!E11/10^7</f>
        <v>1.7216999999999998E-5</v>
      </c>
      <c r="E14" s="125">
        <f>'Other Income &amp; Expenditure'!F11/10^7</f>
        <v>1.8766529999999999E-5</v>
      </c>
    </row>
    <row r="15" spans="1:5" x14ac:dyDescent="0.25">
      <c r="A15">
        <v>110</v>
      </c>
      <c r="B15" t="s">
        <v>99</v>
      </c>
      <c r="C15" s="128">
        <f>$A$15/3</f>
        <v>36.666666666666664</v>
      </c>
      <c r="D15" s="128">
        <f t="shared" ref="D15:E15" si="2">$A$15/3</f>
        <v>36.666666666666664</v>
      </c>
      <c r="E15" s="128">
        <f t="shared" si="2"/>
        <v>36.666666666666664</v>
      </c>
    </row>
    <row r="16" spans="1:5" ht="18" customHeight="1" x14ac:dyDescent="0.25">
      <c r="B16" s="60" t="s">
        <v>78</v>
      </c>
      <c r="C16" s="126">
        <f>SUM(C12:C15)</f>
        <v>36.667741841666661</v>
      </c>
      <c r="D16" s="126">
        <f t="shared" ref="D16:E16" si="3">SUM(D12:D15)</f>
        <v>36.667326433666666</v>
      </c>
      <c r="E16" s="126">
        <f t="shared" si="3"/>
        <v>36.667391869656662</v>
      </c>
    </row>
    <row r="17" spans="2:5" x14ac:dyDescent="0.25">
      <c r="B17" s="38"/>
      <c r="C17" s="127"/>
      <c r="D17" s="127"/>
      <c r="E17" s="127"/>
    </row>
    <row r="18" spans="2:5" x14ac:dyDescent="0.25">
      <c r="B18" s="38" t="s">
        <v>79</v>
      </c>
      <c r="C18" s="129" t="e">
        <f>C10-C16</f>
        <v>#DIV/0!</v>
      </c>
      <c r="D18" s="129" t="e">
        <f>D10-D16</f>
        <v>#DIV/0!</v>
      </c>
      <c r="E18" s="129" t="e">
        <f>E10-E16</f>
        <v>#DIV/0!</v>
      </c>
    </row>
    <row r="19" spans="2:5" x14ac:dyDescent="0.25">
      <c r="B19" s="42" t="s">
        <v>80</v>
      </c>
      <c r="C19" s="63" t="e">
        <f>C18/C10</f>
        <v>#DIV/0!</v>
      </c>
      <c r="D19" s="63" t="e">
        <f>D18/D10</f>
        <v>#DIV/0!</v>
      </c>
      <c r="E19" s="63" t="e">
        <f>E18/E10</f>
        <v>#DIV/0!</v>
      </c>
    </row>
    <row r="20" spans="2:5" x14ac:dyDescent="0.25">
      <c r="B20" s="43"/>
      <c r="C20" s="130"/>
      <c r="D20" s="130"/>
      <c r="E20" s="130"/>
    </row>
    <row r="21" spans="2:5" x14ac:dyDescent="0.25">
      <c r="B21" s="43" t="s">
        <v>81</v>
      </c>
      <c r="C21" s="64">
        <f>'Other Income &amp; Expenditure'!D10/10^7</f>
        <v>3.9709899999999999E-4</v>
      </c>
      <c r="D21" s="64">
        <f>'Other Income &amp; Expenditure'!E10/10^7</f>
        <v>2.56166E-4</v>
      </c>
      <c r="E21" s="64">
        <f>'Other Income &amp; Expenditure'!F10/10^7</f>
        <v>2.56166E-4</v>
      </c>
    </row>
    <row r="22" spans="2:5" x14ac:dyDescent="0.25">
      <c r="B22" s="43"/>
      <c r="C22" s="131"/>
      <c r="D22" s="131"/>
      <c r="E22" s="131"/>
    </row>
    <row r="23" spans="2:5" x14ac:dyDescent="0.25">
      <c r="B23" s="38" t="s">
        <v>82</v>
      </c>
      <c r="C23" s="129" t="e">
        <f>C18-C21</f>
        <v>#DIV/0!</v>
      </c>
      <c r="D23" s="129" t="e">
        <f t="shared" ref="D23:E23" si="4">D18-D21</f>
        <v>#DIV/0!</v>
      </c>
      <c r="E23" s="129" t="e">
        <f t="shared" si="4"/>
        <v>#DIV/0!</v>
      </c>
    </row>
    <row r="24" spans="2:5" x14ac:dyDescent="0.25">
      <c r="B24" s="42" t="s">
        <v>83</v>
      </c>
      <c r="C24" s="63" t="e">
        <f>C23/C10</f>
        <v>#DIV/0!</v>
      </c>
      <c r="D24" s="63" t="e">
        <f>D23/D10</f>
        <v>#DIV/0!</v>
      </c>
      <c r="E24" s="63" t="e">
        <f>E23/E10</f>
        <v>#DIV/0!</v>
      </c>
    </row>
    <row r="25" spans="2:5" x14ac:dyDescent="0.25">
      <c r="B25" s="44"/>
      <c r="C25" s="130"/>
      <c r="D25" s="130"/>
      <c r="E25" s="130"/>
    </row>
    <row r="26" spans="2:5" x14ac:dyDescent="0.25">
      <c r="B26" s="43" t="s">
        <v>84</v>
      </c>
      <c r="C26" s="64">
        <f>'Other Income &amp; Expenditure'!D9/10^7</f>
        <v>6.3423999999999994E-5</v>
      </c>
      <c r="D26" s="64">
        <f>'Other Income &amp; Expenditure'!E9/10^7</f>
        <v>8.3244000000000005E-5</v>
      </c>
      <c r="E26" s="64">
        <f>'Other Income &amp; Expenditure'!F9/10^7</f>
        <v>9.4315452000000004E-5</v>
      </c>
    </row>
    <row r="27" spans="2:5" x14ac:dyDescent="0.25">
      <c r="B27" s="43"/>
      <c r="C27" s="131"/>
      <c r="D27" s="131"/>
      <c r="E27" s="131"/>
    </row>
    <row r="28" spans="2:5" x14ac:dyDescent="0.25">
      <c r="B28" s="38" t="s">
        <v>85</v>
      </c>
      <c r="C28" s="129" t="e">
        <f>C23-C26</f>
        <v>#DIV/0!</v>
      </c>
      <c r="D28" s="129" t="e">
        <f t="shared" ref="D28:E28" si="5">D23-D26</f>
        <v>#DIV/0!</v>
      </c>
      <c r="E28" s="129" t="e">
        <f t="shared" si="5"/>
        <v>#DIV/0!</v>
      </c>
    </row>
    <row r="29" spans="2:5" x14ac:dyDescent="0.25">
      <c r="B29" s="42" t="s">
        <v>86</v>
      </c>
      <c r="C29" s="63" t="e">
        <f>C28/C10</f>
        <v>#DIV/0!</v>
      </c>
      <c r="D29" s="63" t="e">
        <f>D28/D10</f>
        <v>#DIV/0!</v>
      </c>
      <c r="E29" s="63" t="e">
        <f>E28/E10</f>
        <v>#DIV/0!</v>
      </c>
    </row>
    <row r="30" spans="2:5" x14ac:dyDescent="0.25">
      <c r="B30" s="45"/>
      <c r="C30" s="130"/>
      <c r="D30" s="130"/>
      <c r="E30" s="130"/>
    </row>
    <row r="31" spans="2:5" x14ac:dyDescent="0.25">
      <c r="B31" s="43" t="s">
        <v>87</v>
      </c>
      <c r="C31" s="64">
        <v>0</v>
      </c>
      <c r="D31" s="64">
        <v>0</v>
      </c>
      <c r="E31" s="64">
        <v>0</v>
      </c>
    </row>
    <row r="32" spans="2:5" x14ac:dyDescent="0.25">
      <c r="B32" s="42" t="s">
        <v>88</v>
      </c>
      <c r="C32" s="65">
        <v>0</v>
      </c>
      <c r="D32" s="65">
        <v>0</v>
      </c>
      <c r="E32" s="65">
        <v>0</v>
      </c>
    </row>
    <row r="33" spans="2:5" x14ac:dyDescent="0.25">
      <c r="B33" s="44"/>
      <c r="C33" s="130"/>
      <c r="D33" s="130"/>
      <c r="E33" s="130"/>
    </row>
    <row r="34" spans="2:5" x14ac:dyDescent="0.25">
      <c r="B34" s="38" t="s">
        <v>89</v>
      </c>
      <c r="C34" s="66" t="e">
        <f>C28-C31</f>
        <v>#DIV/0!</v>
      </c>
      <c r="D34" s="66" t="e">
        <f t="shared" ref="D34:E34" si="6">D28-D31</f>
        <v>#DIV/0!</v>
      </c>
      <c r="E34" s="66" t="e">
        <f t="shared" si="6"/>
        <v>#DIV/0!</v>
      </c>
    </row>
    <row r="35" spans="2:5" x14ac:dyDescent="0.25">
      <c r="B35" s="42" t="s">
        <v>90</v>
      </c>
      <c r="C35" s="63" t="e">
        <f>C34/C10</f>
        <v>#DIV/0!</v>
      </c>
      <c r="D35" s="63" t="e">
        <f>D34/D10</f>
        <v>#DIV/0!</v>
      </c>
      <c r="E35" s="63" t="e">
        <f>E34/E10</f>
        <v>#DIV/0!</v>
      </c>
    </row>
    <row r="38" spans="2:5" ht="17.25" customHeight="1" x14ac:dyDescent="0.25">
      <c r="B38" s="34" t="s">
        <v>100</v>
      </c>
      <c r="C38" s="122"/>
      <c r="D38" s="122"/>
      <c r="E38" s="122"/>
    </row>
    <row r="40" spans="2:5" ht="16.5" customHeight="1" x14ac:dyDescent="0.25">
      <c r="B40" s="54" t="s">
        <v>76</v>
      </c>
      <c r="C40" s="69">
        <v>2025</v>
      </c>
      <c r="D40" s="69">
        <f>C40+1</f>
        <v>2026</v>
      </c>
      <c r="E40" s="69">
        <f t="shared" ref="E40" si="7">D40+1</f>
        <v>2027</v>
      </c>
    </row>
    <row r="41" spans="2:5" ht="11.25" customHeight="1" x14ac:dyDescent="0.25"/>
    <row r="42" spans="2:5" ht="17.25" customHeight="1" x14ac:dyDescent="0.25">
      <c r="B42" t="s">
        <v>93</v>
      </c>
      <c r="C42" s="67" t="e">
        <f>C18/C10</f>
        <v>#DIV/0!</v>
      </c>
      <c r="D42" s="67" t="e">
        <f>D18/D10</f>
        <v>#DIV/0!</v>
      </c>
      <c r="E42" s="67" t="e">
        <f>E18/E10</f>
        <v>#DIV/0!</v>
      </c>
    </row>
    <row r="43" spans="2:5" ht="16.5" customHeight="1" x14ac:dyDescent="0.25">
      <c r="B43" t="s">
        <v>94</v>
      </c>
      <c r="C43" s="67" t="e">
        <f>C23/C10</f>
        <v>#DIV/0!</v>
      </c>
      <c r="D43" s="67" t="e">
        <f>D23/D10</f>
        <v>#DIV/0!</v>
      </c>
      <c r="E43" s="67" t="e">
        <f>E23/E10</f>
        <v>#DIV/0!</v>
      </c>
    </row>
    <row r="44" spans="2:5" ht="18" customHeight="1" x14ac:dyDescent="0.25">
      <c r="B44" t="s">
        <v>95</v>
      </c>
      <c r="C44" s="67" t="e">
        <f>C35/C10</f>
        <v>#DIV/0!</v>
      </c>
      <c r="D44" s="67" t="e">
        <f>D35/D10</f>
        <v>#DIV/0!</v>
      </c>
      <c r="E44" s="67" t="e">
        <f>E35/E10</f>
        <v>#DIV/0!</v>
      </c>
    </row>
    <row r="45" spans="2:5" ht="16.5" customHeight="1" x14ac:dyDescent="0.25">
      <c r="B45" t="s">
        <v>96</v>
      </c>
      <c r="C45" s="67"/>
      <c r="D45" s="67" t="e">
        <f>D10/C10-1</f>
        <v>#DIV/0!</v>
      </c>
      <c r="E45" s="67" t="e">
        <f>E10/D10-1</f>
        <v>#DIV/0!</v>
      </c>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7"/>
  <sheetViews>
    <sheetView showGridLines="0" topLeftCell="A34" workbookViewId="0">
      <selection activeCell="B56" sqref="B56"/>
    </sheetView>
  </sheetViews>
  <sheetFormatPr defaultRowHeight="15" x14ac:dyDescent="0.25"/>
  <cols>
    <col min="1" max="1" width="6.7109375" customWidth="1"/>
    <col min="2" max="2" width="38.28515625" customWidth="1"/>
    <col min="3" max="7" width="13.7109375" customWidth="1"/>
    <col min="8" max="16" width="11.7109375" customWidth="1"/>
    <col min="17" max="17" width="12.5703125" bestFit="1" customWidth="1"/>
    <col min="19" max="19" width="10" bestFit="1" customWidth="1"/>
  </cols>
  <sheetData>
    <row r="1" spans="1:7" ht="12.75" customHeight="1" x14ac:dyDescent="0.25"/>
    <row r="2" spans="1:7" ht="18.75" customHeight="1" x14ac:dyDescent="0.25">
      <c r="B2" s="53" t="str">
        <f>+'Historical P&amp;L'!B2</f>
        <v xml:space="preserve"> TN(DK) EXPRESSWAYS LIMITED</v>
      </c>
      <c r="C2" s="3"/>
      <c r="D2" s="3"/>
      <c r="E2" s="3"/>
      <c r="F2" s="3"/>
      <c r="G2" s="3"/>
    </row>
    <row r="3" spans="1:7" ht="12.75" customHeight="1" x14ac:dyDescent="0.25"/>
    <row r="4" spans="1:7" ht="18.75" customHeight="1" x14ac:dyDescent="0.25">
      <c r="B4" s="34" t="s">
        <v>101</v>
      </c>
      <c r="C4" s="1"/>
      <c r="D4" s="1"/>
      <c r="E4" s="1"/>
      <c r="F4" s="1"/>
      <c r="G4" s="1"/>
    </row>
    <row r="5" spans="1:7" ht="11.25" customHeight="1" x14ac:dyDescent="0.25"/>
    <row r="6" spans="1:7" ht="18" customHeight="1" x14ac:dyDescent="0.25">
      <c r="B6" s="54" t="s">
        <v>73</v>
      </c>
      <c r="C6" s="69">
        <v>2023</v>
      </c>
      <c r="D6" s="69">
        <f>C6+1</f>
        <v>2024</v>
      </c>
      <c r="E6" s="69">
        <f t="shared" ref="E6:G6" si="0">D6+1</f>
        <v>2025</v>
      </c>
      <c r="F6" s="69">
        <f t="shared" si="0"/>
        <v>2026</v>
      </c>
      <c r="G6" s="69">
        <f t="shared" si="0"/>
        <v>2027</v>
      </c>
    </row>
    <row r="7" spans="1:7" hidden="1" x14ac:dyDescent="0.25">
      <c r="B7" s="36"/>
      <c r="C7" s="36"/>
      <c r="D7" s="36"/>
      <c r="E7" s="37"/>
      <c r="F7" s="37"/>
      <c r="G7" s="37"/>
    </row>
    <row r="8" spans="1:7" ht="16.5" hidden="1" customHeight="1" x14ac:dyDescent="0.25">
      <c r="B8" t="s">
        <v>79</v>
      </c>
      <c r="C8" s="24" t="e">
        <f>'Projected P&amp;L'!C18</f>
        <v>#DIV/0!</v>
      </c>
      <c r="D8" s="24" t="e">
        <f>'Projected P&amp;L'!D18</f>
        <v>#DIV/0!</v>
      </c>
      <c r="E8" s="24" t="e">
        <f>'Projected P&amp;L'!E18</f>
        <v>#DIV/0!</v>
      </c>
      <c r="F8" s="24" t="e">
        <f>'Projected P&amp;L'!#REF!</f>
        <v>#REF!</v>
      </c>
      <c r="G8" s="24" t="e">
        <f>'Projected P&amp;L'!#REF!</f>
        <v>#REF!</v>
      </c>
    </row>
    <row r="9" spans="1:7" hidden="1" x14ac:dyDescent="0.25">
      <c r="A9" s="70" t="s">
        <v>103</v>
      </c>
      <c r="B9" t="s">
        <v>102</v>
      </c>
      <c r="C9" s="25">
        <f>'Projected P&amp;L'!C21</f>
        <v>3.9709899999999999E-4</v>
      </c>
      <c r="D9" s="25">
        <f>'Projected P&amp;L'!D21</f>
        <v>2.56166E-4</v>
      </c>
      <c r="E9" s="25">
        <f>'Projected P&amp;L'!E21</f>
        <v>2.56166E-4</v>
      </c>
      <c r="F9" s="25" t="e">
        <f>'Projected P&amp;L'!#REF!</f>
        <v>#REF!</v>
      </c>
      <c r="G9" s="25" t="e">
        <f>'Projected P&amp;L'!#REF!</f>
        <v>#REF!</v>
      </c>
    </row>
    <row r="10" spans="1:7" ht="18" hidden="1" customHeight="1" x14ac:dyDescent="0.25">
      <c r="B10" t="s">
        <v>82</v>
      </c>
      <c r="C10" s="24" t="e">
        <f>C8-C9</f>
        <v>#DIV/0!</v>
      </c>
      <c r="D10" s="24" t="e">
        <f t="shared" ref="D10:G10" si="1">D8-D9</f>
        <v>#DIV/0!</v>
      </c>
      <c r="E10" s="24" t="e">
        <f t="shared" si="1"/>
        <v>#DIV/0!</v>
      </c>
      <c r="F10" s="24" t="e">
        <f t="shared" si="1"/>
        <v>#REF!</v>
      </c>
      <c r="G10" s="24" t="e">
        <f t="shared" si="1"/>
        <v>#REF!</v>
      </c>
    </row>
    <row r="11" spans="1:7" ht="18" hidden="1" customHeight="1" x14ac:dyDescent="0.25">
      <c r="A11" s="15">
        <v>0</v>
      </c>
      <c r="B11" t="s">
        <v>106</v>
      </c>
      <c r="C11" s="15">
        <f>(1-$A$11)</f>
        <v>1</v>
      </c>
      <c r="D11" s="15">
        <f t="shared" ref="D11:G11" si="2">(1-$A$11)</f>
        <v>1</v>
      </c>
      <c r="E11" s="15">
        <f t="shared" si="2"/>
        <v>1</v>
      </c>
      <c r="F11" s="15">
        <f t="shared" si="2"/>
        <v>1</v>
      </c>
      <c r="G11" s="15">
        <f t="shared" si="2"/>
        <v>1</v>
      </c>
    </row>
    <row r="12" spans="1:7" hidden="1" x14ac:dyDescent="0.25">
      <c r="B12" t="s">
        <v>105</v>
      </c>
      <c r="C12" s="24" t="e">
        <f>C10*C11</f>
        <v>#DIV/0!</v>
      </c>
      <c r="D12" s="24" t="e">
        <f t="shared" ref="D12:G12" si="3">D10*D11</f>
        <v>#DIV/0!</v>
      </c>
      <c r="E12" s="24" t="e">
        <f t="shared" si="3"/>
        <v>#DIV/0!</v>
      </c>
      <c r="F12" s="24" t="e">
        <f t="shared" si="3"/>
        <v>#REF!</v>
      </c>
      <c r="G12" s="24" t="e">
        <f t="shared" si="3"/>
        <v>#REF!</v>
      </c>
    </row>
    <row r="13" spans="1:7" hidden="1" x14ac:dyDescent="0.25">
      <c r="B13" t="s">
        <v>107</v>
      </c>
      <c r="C13" s="24" t="e">
        <f>C12</f>
        <v>#DIV/0!</v>
      </c>
      <c r="D13" s="24" t="e">
        <f t="shared" ref="D13:G13" si="4">D12</f>
        <v>#DIV/0!</v>
      </c>
      <c r="E13" s="24" t="e">
        <f t="shared" si="4"/>
        <v>#DIV/0!</v>
      </c>
      <c r="F13" s="24" t="e">
        <f t="shared" si="4"/>
        <v>#REF!</v>
      </c>
      <c r="G13" s="24" t="e">
        <f t="shared" si="4"/>
        <v>#REF!</v>
      </c>
    </row>
    <row r="14" spans="1:7" hidden="1" x14ac:dyDescent="0.25">
      <c r="B14" t="s">
        <v>108</v>
      </c>
      <c r="C14" s="25">
        <f>'Projected P&amp;L'!C21</f>
        <v>3.9709899999999999E-4</v>
      </c>
      <c r="D14" s="25">
        <f>'Projected P&amp;L'!D21</f>
        <v>2.56166E-4</v>
      </c>
      <c r="E14" s="25">
        <f>'Projected P&amp;L'!E21</f>
        <v>2.56166E-4</v>
      </c>
      <c r="F14" s="25" t="e">
        <f>'Projected P&amp;L'!#REF!</f>
        <v>#REF!</v>
      </c>
      <c r="G14" s="25" t="e">
        <f>'Projected P&amp;L'!#REF!</f>
        <v>#REF!</v>
      </c>
    </row>
    <row r="15" spans="1:7" hidden="1" x14ac:dyDescent="0.25">
      <c r="B15" t="s">
        <v>109</v>
      </c>
      <c r="C15" s="25">
        <v>0</v>
      </c>
      <c r="D15" s="25">
        <v>0</v>
      </c>
      <c r="E15" s="25">
        <v>0</v>
      </c>
      <c r="F15" s="25">
        <v>0</v>
      </c>
      <c r="G15" s="25">
        <v>0</v>
      </c>
    </row>
    <row r="16" spans="1:7" hidden="1" x14ac:dyDescent="0.25">
      <c r="B16" t="s">
        <v>110</v>
      </c>
      <c r="C16" s="25">
        <v>0</v>
      </c>
      <c r="D16" s="25">
        <v>0</v>
      </c>
      <c r="E16" s="25">
        <v>0</v>
      </c>
      <c r="F16" s="25">
        <v>0</v>
      </c>
      <c r="G16" s="25">
        <v>0</v>
      </c>
    </row>
    <row r="17" spans="2:9" ht="18" hidden="1" customHeight="1" x14ac:dyDescent="0.25">
      <c r="B17" s="71" t="s">
        <v>111</v>
      </c>
      <c r="C17" s="72" t="e">
        <f>C13+C14-C15-C16</f>
        <v>#DIV/0!</v>
      </c>
      <c r="D17" s="72" t="e">
        <f t="shared" ref="D17:G17" si="5">D13+D14-D15-D16</f>
        <v>#DIV/0!</v>
      </c>
      <c r="E17" s="72" t="e">
        <f t="shared" si="5"/>
        <v>#DIV/0!</v>
      </c>
      <c r="F17" s="72" t="e">
        <f t="shared" si="5"/>
        <v>#REF!</v>
      </c>
      <c r="G17" s="72" t="e">
        <f t="shared" si="5"/>
        <v>#REF!</v>
      </c>
    </row>
    <row r="18" spans="2:9" hidden="1" x14ac:dyDescent="0.25"/>
    <row r="19" spans="2:9" x14ac:dyDescent="0.25">
      <c r="B19" t="s">
        <v>112</v>
      </c>
      <c r="C19" s="87">
        <f>4/12</f>
        <v>0.33333333333333331</v>
      </c>
      <c r="D19" s="87">
        <f>C19+1</f>
        <v>1.3333333333333333</v>
      </c>
      <c r="E19" s="87">
        <f t="shared" ref="E19:F19" si="6">D19+1</f>
        <v>2.333333333333333</v>
      </c>
      <c r="F19" s="87">
        <f t="shared" si="6"/>
        <v>3.333333333333333</v>
      </c>
      <c r="G19" s="87">
        <f>F19+(7/12)</f>
        <v>3.9166666666666665</v>
      </c>
    </row>
    <row r="20" spans="2:9" x14ac:dyDescent="0.25">
      <c r="B20" t="s">
        <v>113</v>
      </c>
      <c r="C20" s="87">
        <f>1/(1+$C$22)^C19</f>
        <v>0.95017212615193647</v>
      </c>
      <c r="D20" s="87">
        <f t="shared" ref="D20:G20" si="7">1/(1+$C$22)^D19</f>
        <v>0.81509671708988252</v>
      </c>
      <c r="E20" s="87">
        <f t="shared" si="7"/>
        <v>0.69922347743598878</v>
      </c>
      <c r="F20" s="87">
        <f t="shared" si="7"/>
        <v>0.59982264821680442</v>
      </c>
      <c r="G20" s="87">
        <f t="shared" si="7"/>
        <v>0.5485002885617134</v>
      </c>
    </row>
    <row r="21" spans="2:9" x14ac:dyDescent="0.25">
      <c r="C21" s="90"/>
      <c r="D21" s="90"/>
      <c r="E21" s="90"/>
      <c r="F21" s="90"/>
      <c r="G21" s="90"/>
    </row>
    <row r="22" spans="2:9" x14ac:dyDescent="0.25">
      <c r="B22" t="s">
        <v>114</v>
      </c>
      <c r="C22" s="97">
        <v>0.16571703238397267</v>
      </c>
      <c r="D22" s="90"/>
      <c r="E22" s="90"/>
      <c r="F22" s="90"/>
      <c r="G22" s="90"/>
    </row>
    <row r="23" spans="2:9" x14ac:dyDescent="0.25">
      <c r="C23" s="90"/>
      <c r="D23" s="90"/>
      <c r="E23" s="90"/>
      <c r="F23" s="90"/>
      <c r="G23" s="90"/>
    </row>
    <row r="24" spans="2:9" x14ac:dyDescent="0.25">
      <c r="B24" t="s">
        <v>115</v>
      </c>
      <c r="C24" s="59" t="e">
        <f>C17*C20</f>
        <v>#DIV/0!</v>
      </c>
      <c r="D24" s="59" t="e">
        <f t="shared" ref="D24:G24" si="8">D17*D20</f>
        <v>#DIV/0!</v>
      </c>
      <c r="E24" s="59" t="e">
        <f t="shared" si="8"/>
        <v>#DIV/0!</v>
      </c>
      <c r="F24" s="59" t="e">
        <f t="shared" si="8"/>
        <v>#REF!</v>
      </c>
      <c r="G24" s="59" t="e">
        <f t="shared" si="8"/>
        <v>#REF!</v>
      </c>
      <c r="I24" s="24"/>
    </row>
    <row r="25" spans="2:9" x14ac:dyDescent="0.25">
      <c r="C25" s="90"/>
      <c r="D25" s="90"/>
      <c r="E25" s="90"/>
      <c r="F25" s="90"/>
      <c r="G25" s="90"/>
    </row>
    <row r="26" spans="2:9" ht="19.5" customHeight="1" x14ac:dyDescent="0.25">
      <c r="B26" s="34" t="s">
        <v>116</v>
      </c>
      <c r="C26" s="98" t="e">
        <f>SUM(C24:E24)</f>
        <v>#DIV/0!</v>
      </c>
      <c r="D26" s="99" t="s">
        <v>144</v>
      </c>
      <c r="E26" s="83"/>
      <c r="F26" s="83"/>
      <c r="G26" s="83"/>
    </row>
    <row r="28" spans="2:9" ht="15.75" thickBot="1" x14ac:dyDescent="0.3"/>
    <row r="29" spans="2:9" ht="17.25" customHeight="1" x14ac:dyDescent="0.25">
      <c r="B29" s="210" t="s">
        <v>138</v>
      </c>
      <c r="C29" s="210"/>
      <c r="E29" s="211" t="s">
        <v>139</v>
      </c>
      <c r="F29" s="212"/>
      <c r="G29" s="213"/>
    </row>
    <row r="30" spans="2:9" ht="12" customHeight="1" x14ac:dyDescent="0.25">
      <c r="E30" s="75"/>
      <c r="F30" s="76"/>
      <c r="G30" s="77"/>
    </row>
    <row r="31" spans="2:9" x14ac:dyDescent="0.25">
      <c r="B31" s="35" t="s">
        <v>117</v>
      </c>
      <c r="C31" s="100">
        <v>87.11</v>
      </c>
      <c r="E31" s="78" t="s">
        <v>133</v>
      </c>
      <c r="F31" s="79"/>
      <c r="G31" s="82" t="s">
        <v>140</v>
      </c>
    </row>
    <row r="32" spans="2:9" x14ac:dyDescent="0.25">
      <c r="B32" s="35" t="s">
        <v>118</v>
      </c>
      <c r="C32" s="100">
        <v>76.86</v>
      </c>
      <c r="E32" s="75"/>
      <c r="F32" s="76"/>
      <c r="G32" s="77"/>
    </row>
    <row r="33" spans="2:7" x14ac:dyDescent="0.25">
      <c r="B33" s="35" t="s">
        <v>119</v>
      </c>
      <c r="C33" s="100">
        <f>SUM(C31:C32)</f>
        <v>163.97</v>
      </c>
      <c r="E33" s="80" t="s">
        <v>142</v>
      </c>
      <c r="F33" s="105">
        <f>F34-1%</f>
        <v>0.14496497603220099</v>
      </c>
      <c r="G33" s="106">
        <v>36.770000000000003</v>
      </c>
    </row>
    <row r="34" spans="2:7" x14ac:dyDescent="0.25">
      <c r="B34" s="35"/>
      <c r="C34" s="100"/>
      <c r="E34" s="80" t="s">
        <v>141</v>
      </c>
      <c r="F34" s="105">
        <f>C41</f>
        <v>0.154964976032201</v>
      </c>
      <c r="G34" s="107">
        <v>36.33</v>
      </c>
    </row>
    <row r="35" spans="2:7" ht="15.75" thickBot="1" x14ac:dyDescent="0.3">
      <c r="B35" s="74" t="s">
        <v>120</v>
      </c>
      <c r="C35" s="101">
        <f>C31/C33</f>
        <v>0.53125571750930045</v>
      </c>
      <c r="E35" s="81" t="s">
        <v>143</v>
      </c>
      <c r="F35" s="108">
        <f>F34+1%</f>
        <v>0.16496497603220101</v>
      </c>
      <c r="G35" s="109">
        <v>35.9</v>
      </c>
    </row>
    <row r="36" spans="2:7" x14ac:dyDescent="0.25">
      <c r="B36" s="74" t="s">
        <v>121</v>
      </c>
      <c r="C36" s="102">
        <f>C49</f>
        <v>0.13300000000000001</v>
      </c>
    </row>
    <row r="37" spans="2:7" x14ac:dyDescent="0.25">
      <c r="B37" s="74" t="s">
        <v>122</v>
      </c>
      <c r="C37" s="101">
        <f>C32/C33</f>
        <v>0.46874428249069949</v>
      </c>
    </row>
    <row r="38" spans="2:7" x14ac:dyDescent="0.25">
      <c r="B38" s="74" t="s">
        <v>123</v>
      </c>
      <c r="C38" s="103">
        <f>C53</f>
        <v>0.13719199999999998</v>
      </c>
    </row>
    <row r="39" spans="2:7" x14ac:dyDescent="0.25">
      <c r="B39" s="74" t="s">
        <v>114</v>
      </c>
      <c r="C39" s="102">
        <f>C35*C36+C37*C38</f>
        <v>0.13496497603220101</v>
      </c>
    </row>
    <row r="40" spans="2:7" x14ac:dyDescent="0.25">
      <c r="B40" s="74" t="s">
        <v>132</v>
      </c>
      <c r="C40" s="102">
        <v>0.02</v>
      </c>
    </row>
    <row r="41" spans="2:7" ht="16.5" customHeight="1" x14ac:dyDescent="0.25">
      <c r="B41" s="34" t="s">
        <v>133</v>
      </c>
      <c r="C41" s="104">
        <f>C39+C40</f>
        <v>0.154964976032201</v>
      </c>
    </row>
    <row r="42" spans="2:7" x14ac:dyDescent="0.25">
      <c r="B42" s="35"/>
      <c r="C42" s="74"/>
    </row>
    <row r="43" spans="2:7" ht="17.25" customHeight="1" x14ac:dyDescent="0.25"/>
    <row r="44" spans="2:7" ht="16.5" customHeight="1" x14ac:dyDescent="0.25">
      <c r="B44" s="34" t="s">
        <v>124</v>
      </c>
      <c r="C44" s="83" t="s">
        <v>121</v>
      </c>
    </row>
    <row r="45" spans="2:7" ht="16.5" customHeight="1" x14ac:dyDescent="0.25">
      <c r="C45" s="90"/>
    </row>
    <row r="46" spans="2:7" ht="14.25" customHeight="1" x14ac:dyDescent="0.25">
      <c r="B46" t="s">
        <v>125</v>
      </c>
      <c r="C46" s="97">
        <v>0.13300000000000001</v>
      </c>
    </row>
    <row r="47" spans="2:7" ht="17.25" customHeight="1" x14ac:dyDescent="0.25">
      <c r="B47" t="s">
        <v>126</v>
      </c>
      <c r="C47" s="97">
        <v>0</v>
      </c>
    </row>
    <row r="48" spans="2:7" ht="16.5" customHeight="1" x14ac:dyDescent="0.25">
      <c r="B48" t="s">
        <v>104</v>
      </c>
      <c r="C48" s="96">
        <f>1-C47</f>
        <v>1</v>
      </c>
    </row>
    <row r="49" spans="1:7" ht="18" customHeight="1" x14ac:dyDescent="0.25">
      <c r="B49" t="s">
        <v>127</v>
      </c>
      <c r="C49" s="97">
        <f>C46*C48</f>
        <v>0.13300000000000001</v>
      </c>
    </row>
    <row r="50" spans="1:7" ht="16.5" customHeight="1" x14ac:dyDescent="0.25">
      <c r="C50" s="90"/>
    </row>
    <row r="51" spans="1:7" ht="15.75" customHeight="1" x14ac:dyDescent="0.25">
      <c r="B51" s="34" t="s">
        <v>137</v>
      </c>
      <c r="C51" s="83" t="s">
        <v>123</v>
      </c>
    </row>
    <row r="52" spans="1:7" x14ac:dyDescent="0.25">
      <c r="C52" s="90"/>
    </row>
    <row r="53" spans="1:7" x14ac:dyDescent="0.25">
      <c r="B53" t="s">
        <v>123</v>
      </c>
      <c r="C53" s="103">
        <f>C54+C55*C57</f>
        <v>0.13719199999999998</v>
      </c>
    </row>
    <row r="54" spans="1:7" x14ac:dyDescent="0.25">
      <c r="B54" t="s">
        <v>128</v>
      </c>
      <c r="C54" s="97">
        <v>6.8760000000000002E-2</v>
      </c>
      <c r="D54" t="s">
        <v>134</v>
      </c>
      <c r="G54" t="s">
        <v>153</v>
      </c>
    </row>
    <row r="55" spans="1:7" x14ac:dyDescent="0.25">
      <c r="A55" t="s">
        <v>136</v>
      </c>
      <c r="B55" t="s">
        <v>129</v>
      </c>
      <c r="C55" s="90">
        <v>1.3</v>
      </c>
      <c r="D55" s="139" t="s">
        <v>135</v>
      </c>
    </row>
    <row r="56" spans="1:7" x14ac:dyDescent="0.25">
      <c r="B56" t="s">
        <v>130</v>
      </c>
      <c r="C56" s="97">
        <v>0.12139999999999999</v>
      </c>
      <c r="D56" t="s">
        <v>154</v>
      </c>
    </row>
    <row r="57" spans="1:7" x14ac:dyDescent="0.25">
      <c r="B57" t="s">
        <v>131</v>
      </c>
      <c r="C57" s="103">
        <f>C56-C54</f>
        <v>5.2639999999999992E-2</v>
      </c>
    </row>
  </sheetData>
  <mergeCells count="2">
    <mergeCell ref="B29:C29"/>
    <mergeCell ref="E29:G29"/>
  </mergeCells>
  <dataValidations count="1">
    <dataValidation type="list" allowBlank="1" showInputMessage="1" showErrorMessage="1" sqref="C22" xr:uid="{00000000-0002-0000-0000-000000000000}">
      <formula1>$F$33:$F$35</formula1>
    </dataValidation>
  </dataValidations>
  <hyperlinks>
    <hyperlink ref="D55" r:id="rId1" xr:uid="{92BBC765-9874-4C04-8A2A-35378648766F}"/>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Historical P&amp;L</vt:lpstr>
      <vt:lpstr>Sheet1</vt:lpstr>
      <vt:lpstr>Arbitration Method RK</vt:lpstr>
      <vt:lpstr>Other Income &amp; Expenditure</vt:lpstr>
      <vt:lpstr>RKA Toll Revenue</vt:lpstr>
      <vt:lpstr>Toll collection 2022</vt:lpstr>
      <vt:lpstr>MMR Details</vt:lpstr>
      <vt:lpstr>Projected P&amp;L</vt:lpstr>
      <vt:lpstr>DCF, WACC &amp; SENSITIVITY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2024-12-30T05:29:00Z</dcterms:modified>
</cp:coreProperties>
</file>