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Land" sheetId="1" r:id="rId1"/>
    <sheet name="Building Sheet" sheetId="3" r:id="rId2"/>
    <sheet name="Boundary Wall" sheetId="5" r:id="rId3"/>
  </sheets>
  <calcPr calcId="152511"/>
</workbook>
</file>

<file path=xl/calcChain.xml><?xml version="1.0" encoding="utf-8"?>
<calcChain xmlns="http://schemas.openxmlformats.org/spreadsheetml/2006/main">
  <c r="B9" i="5" l="1"/>
  <c r="D1" i="1" l="1"/>
  <c r="H24" i="1" l="1"/>
  <c r="H23" i="1"/>
  <c r="H22" i="1"/>
  <c r="H21" i="1"/>
  <c r="H20" i="1"/>
  <c r="H19" i="1" l="1"/>
  <c r="H25" i="1" s="1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5" i="3"/>
  <c r="J9" i="5" l="1"/>
  <c r="H9" i="5"/>
  <c r="E9" i="5"/>
  <c r="K9" i="5" l="1"/>
  <c r="L9" i="5" s="1"/>
  <c r="N9" i="5" s="1"/>
  <c r="D5" i="1" l="1"/>
  <c r="F22" i="3"/>
  <c r="L6" i="3"/>
  <c r="O6" i="3"/>
  <c r="L7" i="3"/>
  <c r="O7" i="3"/>
  <c r="R7" i="3" s="1"/>
  <c r="Q7" i="3"/>
  <c r="L8" i="3"/>
  <c r="O8" i="3"/>
  <c r="Q8" i="3"/>
  <c r="L9" i="3"/>
  <c r="O9" i="3"/>
  <c r="L10" i="3"/>
  <c r="O10" i="3"/>
  <c r="R10" i="3" s="1"/>
  <c r="L11" i="3"/>
  <c r="O11" i="3"/>
  <c r="Q11" i="3"/>
  <c r="L12" i="3"/>
  <c r="O12" i="3"/>
  <c r="Q12" i="3"/>
  <c r="L13" i="3"/>
  <c r="O13" i="3"/>
  <c r="L14" i="3"/>
  <c r="O14" i="3"/>
  <c r="L15" i="3"/>
  <c r="O15" i="3"/>
  <c r="R15" i="3" s="1"/>
  <c r="Q15" i="3"/>
  <c r="L16" i="3"/>
  <c r="O16" i="3"/>
  <c r="Q16" i="3"/>
  <c r="L17" i="3"/>
  <c r="O17" i="3"/>
  <c r="L18" i="3"/>
  <c r="O18" i="3"/>
  <c r="R18" i="3" s="1"/>
  <c r="L19" i="3"/>
  <c r="O19" i="3"/>
  <c r="Q19" i="3"/>
  <c r="L20" i="3"/>
  <c r="O20" i="3"/>
  <c r="Q20" i="3"/>
  <c r="L21" i="3"/>
  <c r="O21" i="3"/>
  <c r="G19" i="3"/>
  <c r="G6" i="3"/>
  <c r="G22" i="3" s="1"/>
  <c r="G7" i="3"/>
  <c r="G8" i="3"/>
  <c r="G9" i="3"/>
  <c r="Q9" i="3" s="1"/>
  <c r="G10" i="3"/>
  <c r="Q10" i="3" s="1"/>
  <c r="G11" i="3"/>
  <c r="G12" i="3"/>
  <c r="G13" i="3"/>
  <c r="Q13" i="3" s="1"/>
  <c r="G14" i="3"/>
  <c r="Q14" i="3" s="1"/>
  <c r="G15" i="3"/>
  <c r="G16" i="3"/>
  <c r="G17" i="3"/>
  <c r="Q17" i="3" s="1"/>
  <c r="G18" i="3"/>
  <c r="Q18" i="3" s="1"/>
  <c r="G20" i="3"/>
  <c r="G21" i="3"/>
  <c r="Q21" i="3" s="1"/>
  <c r="G5" i="3"/>
  <c r="R17" i="3" l="1"/>
  <c r="S18" i="3"/>
  <c r="S10" i="3"/>
  <c r="U10" i="3" s="1"/>
  <c r="R8" i="3"/>
  <c r="S8" i="3" s="1"/>
  <c r="U8" i="3" s="1"/>
  <c r="Q6" i="3"/>
  <c r="S17" i="3"/>
  <c r="U17" i="3" s="1"/>
  <c r="R9" i="3"/>
  <c r="S9" i="3" s="1"/>
  <c r="U9" i="3" s="1"/>
  <c r="R19" i="3"/>
  <c r="S19" i="3" s="1"/>
  <c r="U19" i="3" s="1"/>
  <c r="R11" i="3"/>
  <c r="R16" i="3"/>
  <c r="S16" i="3" s="1"/>
  <c r="U16" i="3" s="1"/>
  <c r="R20" i="3"/>
  <c r="S20" i="3" s="1"/>
  <c r="U20" i="3" s="1"/>
  <c r="S7" i="3"/>
  <c r="U7" i="3" s="1"/>
  <c r="R12" i="3"/>
  <c r="S12" i="3" s="1"/>
  <c r="U12" i="3" s="1"/>
  <c r="R14" i="3"/>
  <c r="S14" i="3" s="1"/>
  <c r="U14" i="3" s="1"/>
  <c r="S15" i="3"/>
  <c r="U15" i="3" s="1"/>
  <c r="R21" i="3"/>
  <c r="S21" i="3" s="1"/>
  <c r="U21" i="3" s="1"/>
  <c r="S11" i="3"/>
  <c r="U11" i="3" s="1"/>
  <c r="U18" i="3"/>
  <c r="R6" i="3"/>
  <c r="R13" i="3"/>
  <c r="S13" i="3" s="1"/>
  <c r="U13" i="3" s="1"/>
  <c r="D14" i="1"/>
  <c r="S6" i="3" l="1"/>
  <c r="U6" i="3" s="1"/>
  <c r="J5" i="5"/>
  <c r="H5" i="5"/>
  <c r="E5" i="5"/>
  <c r="K5" i="5" l="1"/>
  <c r="L5" i="5" s="1"/>
  <c r="N5" i="5" s="1"/>
  <c r="N11" i="5" s="1"/>
  <c r="N12" i="5" s="1"/>
  <c r="K15" i="1" s="1"/>
  <c r="Q5" i="3" l="1"/>
  <c r="Q22" i="3" s="1"/>
  <c r="W22" i="3" s="1"/>
  <c r="W23" i="3" s="1"/>
  <c r="O5" i="3"/>
  <c r="L5" i="3"/>
  <c r="G14" i="1"/>
  <c r="S29" i="3" l="1"/>
  <c r="R5" i="3"/>
  <c r="S5" i="3" s="1"/>
  <c r="S22" i="3" s="1"/>
  <c r="E15" i="1"/>
  <c r="D15" i="1"/>
  <c r="J4" i="1"/>
  <c r="K4" i="1" s="1"/>
  <c r="U5" i="3" l="1"/>
  <c r="K5" i="1"/>
  <c r="K13" i="1" s="1"/>
  <c r="G15" i="1"/>
  <c r="U22" i="3" l="1"/>
  <c r="K14" i="1" s="1"/>
  <c r="K16" i="1" s="1"/>
  <c r="K17" i="1" s="1"/>
  <c r="K18" i="1" l="1"/>
  <c r="K19" i="1"/>
  <c r="S14" i="1"/>
  <c r="S15" i="1" s="1"/>
  <c r="T16" i="1" s="1"/>
  <c r="T17" i="1" l="1"/>
</calcChain>
</file>

<file path=xl/sharedStrings.xml><?xml version="1.0" encoding="utf-8"?>
<sst xmlns="http://schemas.openxmlformats.org/spreadsheetml/2006/main" count="164" uniqueCount="96">
  <si>
    <t>flat</t>
  </si>
  <si>
    <t>round off</t>
  </si>
  <si>
    <t>Ria</t>
  </si>
  <si>
    <t>FMV</t>
  </si>
  <si>
    <t>Discription</t>
  </si>
  <si>
    <t>Total</t>
  </si>
  <si>
    <t xml:space="preserve">Total </t>
  </si>
  <si>
    <t>Sr No.</t>
  </si>
  <si>
    <t>Rate Range</t>
  </si>
  <si>
    <t>Basic rate on Super Area</t>
  </si>
  <si>
    <t>Discount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</si>
  <si>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</si>
  <si>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</si>
  <si>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</si>
  <si>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</si>
  <si>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</si>
  <si>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</si>
  <si>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 xml:space="preserve"> Circle rate in Rs.</t>
  </si>
  <si>
    <t>CIRCLE RATE</t>
  </si>
  <si>
    <t>Roundoff</t>
  </si>
  <si>
    <t>Dis</t>
  </si>
  <si>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</si>
  <si>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</si>
  <si>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</si>
  <si>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</si>
  <si>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</si>
  <si>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</si>
  <si>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</si>
  <si>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</si>
  <si>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</si>
  <si>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</si>
  <si>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</si>
  <si>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</si>
  <si>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</si>
  <si>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</si>
  <si>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</si>
  <si>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</si>
  <si>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</si>
  <si>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
(INR)</t>
  </si>
  <si>
    <t>2. Construction year of the building is taken as per the details mentioned by the owner's representative.</t>
  </si>
  <si>
    <r>
      <t>4.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</si>
  <si>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Land</t>
  </si>
  <si>
    <t>Building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</si>
  <si>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</si>
  <si>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</si>
  <si>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</si>
  <si>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</si>
  <si>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</si>
  <si>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 xml:space="preserve">1. The subject property is situated at </t>
  </si>
  <si>
    <t xml:space="preserve">3. Basement and Ground floor building and structures belongs to Mr. </t>
  </si>
  <si>
    <t>Circle rate per sq.yrd.</t>
  </si>
  <si>
    <r>
      <t xml:space="preserve">3. </t>
    </r>
    <r>
      <rPr>
        <b/>
        <i/>
        <sz val="10"/>
        <color theme="1"/>
        <rFont val="Calibri"/>
        <family val="2"/>
        <scheme val="minor"/>
      </rPr>
      <t>All the structure that has been taken as per site survey measurment and approved map.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</si>
  <si>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floor,type of structure, age of the building etc. has been taken as per the Site Survey.</t>
    </r>
  </si>
  <si>
    <t>BUILDING VALUATION FOR M/S. VISION METALS AIDS PRIVATE LIMITED</t>
  </si>
  <si>
    <t>Utility Block</t>
  </si>
  <si>
    <t>Hazardous Scrap Yard</t>
  </si>
  <si>
    <t>Main Building</t>
  </si>
  <si>
    <t>Toilet Block Co2 Side</t>
  </si>
  <si>
    <t>Canteen Block</t>
  </si>
  <si>
    <t>WTP</t>
  </si>
  <si>
    <t>Admin Block gate</t>
  </si>
  <si>
    <t>PTS Room</t>
  </si>
  <si>
    <t xml:space="preserve"> Isolation Bard, HR office, &amp; Account Office</t>
  </si>
  <si>
    <t xml:space="preserve">Temple, Electrical Store Room </t>
  </si>
  <si>
    <t xml:space="preserve">Company Staff Accomodation Area </t>
  </si>
  <si>
    <t xml:space="preserve"> Electrical VCB &amp; Metring Room</t>
  </si>
  <si>
    <t>Gate Entry Security Check Block</t>
  </si>
  <si>
    <t xml:space="preserve">Ground </t>
  </si>
  <si>
    <t>First</t>
  </si>
  <si>
    <t>Second</t>
  </si>
  <si>
    <t>Floor</t>
  </si>
  <si>
    <t>RCC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</si>
  <si>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</si>
  <si>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t>Super area Area in acre</t>
  </si>
  <si>
    <t xml:space="preserve">VALUATION OF M/s Wave Beverages </t>
  </si>
  <si>
    <t>Industrial Land</t>
  </si>
  <si>
    <t>1,40,00,000-1,60,00,000</t>
  </si>
  <si>
    <t>RCC + Shed + puff panels</t>
  </si>
  <si>
    <t>RCC + Shed</t>
  </si>
  <si>
    <t>Boundary Wall and road</t>
  </si>
  <si>
    <t>Kanal</t>
  </si>
  <si>
    <t>Marla</t>
  </si>
  <si>
    <t>Acre</t>
  </si>
  <si>
    <t>Conveyence Deed dated 06-01-2020</t>
  </si>
  <si>
    <t>Purchaser</t>
  </si>
  <si>
    <t>Seller</t>
  </si>
  <si>
    <t>M/s Wave Beverages Pvt. Ltd.</t>
  </si>
  <si>
    <t xml:space="preserve">Mr. Balwant Singh </t>
  </si>
  <si>
    <t>TIR Dated 10-01-2022</t>
  </si>
  <si>
    <t>Conveyence Deed dated 24-12-2019</t>
  </si>
  <si>
    <t xml:space="preserve">Mr. Pawan Kumar </t>
  </si>
  <si>
    <t>Conveyence Deed dated 26-12-2019</t>
  </si>
  <si>
    <t>Mr. Rakesh</t>
  </si>
  <si>
    <t>TIR Dated 07-03-2022</t>
  </si>
  <si>
    <r>
      <t xml:space="preserve">Road
</t>
    </r>
    <r>
      <rPr>
        <b/>
        <i/>
        <sz val="10"/>
        <rFont val="Calibri"/>
        <family val="2"/>
        <scheme val="minor"/>
      </rPr>
      <t>(in mtr.)As per approved plan approx.</t>
    </r>
  </si>
  <si>
    <t>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</si>
</sst>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0.000"/>
    <numFmt numFmtId="168" formatCode="_ * #,##0.000_ ;_ * \-#,##0.000_ ;_ * &quot;-&quot;??_ ;_ @_ "/>
    <numFmt numFmtId="169" formatCode="0.0000"/>
    <numFmt numFmtId="170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164" fontId="0" fillId="0" borderId="2" xfId="1" applyNumberFormat="1" applyFont="1" applyBorder="1"/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164" fontId="0" fillId="0" borderId="6" xfId="1" applyNumberFormat="1" applyFont="1" applyBorder="1" applyAlignment="1">
      <alignment horizontal="center" vertical="center"/>
    </xf>
    <xf numFmtId="0" fontId="0" fillId="2" borderId="1" xfId="0" applyFill="1" applyBorder="1"/>
    <xf numFmtId="43" fontId="0" fillId="0" borderId="0" xfId="0" applyNumberFormat="1"/>
    <xf numFmtId="0" fontId="3" fillId="4" borderId="6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 wrapText="1"/>
    </xf>
    <xf numFmtId="0" fontId="1" fillId="0" borderId="6" xfId="2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10" fontId="1" fillId="0" borderId="6" xfId="2" applyNumberFormat="1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 wrapText="1"/>
    </xf>
    <xf numFmtId="164" fontId="0" fillId="0" borderId="6" xfId="3" applyNumberFormat="1" applyFont="1" applyBorder="1" applyAlignment="1">
      <alignment horizontal="center" vertical="center"/>
    </xf>
    <xf numFmtId="164" fontId="0" fillId="0" borderId="6" xfId="3" applyNumberFormat="1" applyFont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2" fillId="0" borderId="6" xfId="0" applyNumberFormat="1" applyFont="1" applyBorder="1"/>
    <xf numFmtId="166" fontId="2" fillId="0" borderId="6" xfId="0" applyNumberFormat="1" applyFont="1" applyBorder="1"/>
    <xf numFmtId="164" fontId="0" fillId="5" borderId="6" xfId="1" applyNumberFormat="1" applyFont="1" applyFill="1" applyBorder="1" applyAlignment="1">
      <alignment horizontal="centerContinuous"/>
    </xf>
    <xf numFmtId="0" fontId="2" fillId="5" borderId="6" xfId="0" applyFont="1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1" fontId="0" fillId="0" borderId="0" xfId="0" applyNumberFormat="1"/>
    <xf numFmtId="0" fontId="2" fillId="0" borderId="6" xfId="0" applyFont="1" applyBorder="1" applyAlignment="1">
      <alignment horizontal="center"/>
    </xf>
    <xf numFmtId="164" fontId="2" fillId="0" borderId="6" xfId="3" applyNumberFormat="1" applyFont="1" applyBorder="1" applyAlignment="1">
      <alignment horizontal="center" vertical="center"/>
    </xf>
    <xf numFmtId="164" fontId="2" fillId="0" borderId="6" xfId="1" applyNumberFormat="1" applyFont="1" applyBorder="1"/>
    <xf numFmtId="164" fontId="2" fillId="0" borderId="6" xfId="2" applyNumberFormat="1" applyFont="1" applyBorder="1" applyAlignment="1">
      <alignment vertical="center"/>
    </xf>
    <xf numFmtId="0" fontId="2" fillId="0" borderId="6" xfId="2" applyFont="1" applyBorder="1" applyAlignment="1">
      <alignment vertical="center"/>
    </xf>
    <xf numFmtId="164" fontId="2" fillId="0" borderId="0" xfId="1" applyNumberFormat="1" applyFont="1"/>
    <xf numFmtId="0" fontId="2" fillId="6" borderId="6" xfId="0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Continuous"/>
    </xf>
    <xf numFmtId="0" fontId="0" fillId="5" borderId="8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7" fillId="8" borderId="6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43" fontId="9" fillId="0" borderId="6" xfId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Continuous" vertical="center" wrapText="1"/>
    </xf>
    <xf numFmtId="0" fontId="6" fillId="7" borderId="8" xfId="0" applyFont="1" applyFill="1" applyBorder="1" applyAlignment="1">
      <alignment horizontal="centerContinuous" vertical="center" wrapText="1"/>
    </xf>
    <xf numFmtId="0" fontId="6" fillId="7" borderId="9" xfId="0" applyFont="1" applyFill="1" applyBorder="1" applyAlignment="1">
      <alignment horizontal="centerContinuous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170" fontId="0" fillId="0" borderId="6" xfId="5" applyNumberFormat="1" applyFont="1" applyBorder="1" applyAlignment="1">
      <alignment horizontal="center" vertical="center"/>
    </xf>
    <xf numFmtId="9" fontId="0" fillId="0" borderId="6" xfId="4" applyFont="1" applyBorder="1" applyAlignment="1">
      <alignment horizontal="center" vertical="center"/>
    </xf>
    <xf numFmtId="9" fontId="9" fillId="3" borderId="6" xfId="4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64" fontId="0" fillId="0" borderId="10" xfId="1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64" fontId="0" fillId="0" borderId="6" xfId="1" applyNumberFormat="1" applyFont="1" applyFill="1" applyBorder="1"/>
    <xf numFmtId="164" fontId="0" fillId="0" borderId="10" xfId="1" applyNumberFormat="1" applyFont="1" applyFill="1" applyBorder="1"/>
    <xf numFmtId="0" fontId="0" fillId="3" borderId="6" xfId="0" applyFill="1" applyBorder="1" applyAlignment="1">
      <alignment horizontal="center" vertical="center" wrapText="1"/>
    </xf>
    <xf numFmtId="0" fontId="2" fillId="0" borderId="6" xfId="0" applyFont="1" applyBorder="1"/>
    <xf numFmtId="170" fontId="2" fillId="0" borderId="6" xfId="0" applyNumberFormat="1" applyFont="1" applyBorder="1"/>
    <xf numFmtId="164" fontId="0" fillId="0" borderId="0" xfId="1" applyNumberFormat="1" applyFont="1" applyBorder="1"/>
    <xf numFmtId="43" fontId="0" fillId="0" borderId="6" xfId="1" applyFont="1" applyBorder="1"/>
    <xf numFmtId="0" fontId="0" fillId="3" borderId="6" xfId="0" applyFill="1" applyBorder="1" applyAlignment="1">
      <alignment horizontal="left"/>
    </xf>
    <xf numFmtId="0" fontId="0" fillId="3" borderId="10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43" fontId="0" fillId="0" borderId="6" xfId="0" applyNumberFormat="1" applyBorder="1"/>
    <xf numFmtId="164" fontId="0" fillId="0" borderId="0" xfId="1" applyNumberFormat="1" applyFont="1"/>
    <xf numFmtId="0" fontId="9" fillId="6" borderId="6" xfId="0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7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</cellXfs>
  <cellStyles count="6">
    <cellStyle name="Comma" xfId="1" builtinId="3"/>
    <cellStyle name="Comma 3" xfId="3"/>
    <cellStyle name="Currency" xfId="5" builtinId="4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abSelected="1" workbookViewId="0">
      <selection activeCell="I13" sqref="I13"/>
    </sheetView>
  </sheetViews>
  <sheetFormatPr defaultRowHeight="15" x14ac:dyDescent="0.25"/>
  <cols>
    <col min="2" max="2" width="9.85546875" customWidth="1"/>
    <col min="3" max="3" width="19" bestFit="1" customWidth="1"/>
    <col min="4" max="4" width="17.85546875" customWidth="1"/>
    <col min="5" max="5" width="17.7109375" customWidth="1"/>
    <col min="6" max="6" width="22.42578125" customWidth="1"/>
    <col min="7" max="7" width="15.7109375" customWidth="1"/>
    <col min="8" max="8" width="10" bestFit="1" customWidth="1"/>
    <col min="9" max="9" width="15.28515625" bestFit="1" customWidth="1"/>
    <col min="10" max="10" width="22.5703125" bestFit="1" customWidth="1"/>
    <col min="11" max="11" width="18.85546875" customWidth="1"/>
    <col min="12" max="12" width="16.28515625" bestFit="1" customWidth="1"/>
    <col min="13" max="13" width="17.28515625" customWidth="1"/>
    <col min="14" max="14" width="16.710937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1" spans="2:20" x14ac:dyDescent="0.25">
      <c r="D1" s="5">
        <f>D4*8</f>
        <v>195.68</v>
      </c>
      <c r="E1" s="5" t="s">
        <v>80</v>
      </c>
    </row>
    <row r="2" spans="2:20" x14ac:dyDescent="0.25">
      <c r="B2" s="35" t="s">
        <v>74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20" ht="30" x14ac:dyDescent="0.25">
      <c r="B3" s="19" t="s">
        <v>7</v>
      </c>
      <c r="C3" s="19" t="s">
        <v>4</v>
      </c>
      <c r="D3" s="34" t="s">
        <v>73</v>
      </c>
      <c r="E3" s="34" t="s">
        <v>16</v>
      </c>
      <c r="F3" s="34" t="s">
        <v>8</v>
      </c>
      <c r="G3" s="34" t="s">
        <v>9</v>
      </c>
      <c r="H3" s="19" t="s">
        <v>10</v>
      </c>
      <c r="I3" s="19" t="s">
        <v>95</v>
      </c>
      <c r="J3" s="19" t="s">
        <v>11</v>
      </c>
      <c r="K3" s="19" t="s">
        <v>3</v>
      </c>
      <c r="L3" s="19" t="s">
        <v>12</v>
      </c>
    </row>
    <row r="4" spans="2:20" x14ac:dyDescent="0.25">
      <c r="B4" s="12">
        <v>1</v>
      </c>
      <c r="C4" s="20" t="s">
        <v>75</v>
      </c>
      <c r="D4" s="20">
        <v>24.46</v>
      </c>
      <c r="E4" s="7"/>
      <c r="F4" s="17" t="s">
        <v>76</v>
      </c>
      <c r="G4" s="14">
        <v>14000000</v>
      </c>
      <c r="H4" s="15">
        <v>0.45</v>
      </c>
      <c r="I4" s="15">
        <v>0.05</v>
      </c>
      <c r="J4" s="13">
        <f>G4*(1+I4)*(1-H4)</f>
        <v>8085000.0000000009</v>
      </c>
      <c r="K4" s="13">
        <f>J4*D4</f>
        <v>197759100.00000003</v>
      </c>
      <c r="L4" s="18"/>
    </row>
    <row r="5" spans="2:20" x14ac:dyDescent="0.25">
      <c r="B5" s="81" t="s">
        <v>5</v>
      </c>
      <c r="C5" s="82"/>
      <c r="D5" s="31">
        <f>SUM(D4)</f>
        <v>24.46</v>
      </c>
      <c r="E5" s="30"/>
      <c r="F5" s="31"/>
      <c r="G5" s="31"/>
      <c r="H5" s="31"/>
      <c r="I5" s="31"/>
      <c r="J5" s="31"/>
      <c r="K5" s="28">
        <f>SUM(K4:K4)</f>
        <v>197759100.00000003</v>
      </c>
      <c r="L5" s="16"/>
      <c r="N5" s="32"/>
    </row>
    <row r="6" spans="2:20" x14ac:dyDescent="0.25">
      <c r="B6" s="84" t="s">
        <v>13</v>
      </c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2:20" x14ac:dyDescent="0.25">
      <c r="B7" s="87" t="s">
        <v>48</v>
      </c>
      <c r="C7" s="88"/>
      <c r="D7" s="88"/>
      <c r="E7" s="88"/>
      <c r="F7" s="88"/>
      <c r="G7" s="88"/>
      <c r="H7" s="88"/>
      <c r="I7" s="88"/>
      <c r="J7" s="88"/>
      <c r="K7" s="88"/>
      <c r="L7" s="89"/>
      <c r="N7" s="26"/>
    </row>
    <row r="8" spans="2:20" x14ac:dyDescent="0.25">
      <c r="B8" s="84" t="s">
        <v>14</v>
      </c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2:20" ht="15" customHeight="1" x14ac:dyDescent="0.25">
      <c r="B9" s="87" t="s">
        <v>49</v>
      </c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2:20" x14ac:dyDescent="0.25">
      <c r="B10" s="84" t="s">
        <v>15</v>
      </c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2" spans="2:20" ht="15.75" thickBot="1" x14ac:dyDescent="0.3">
      <c r="B12" s="24" t="s">
        <v>18</v>
      </c>
      <c r="C12" s="25"/>
      <c r="D12" s="25"/>
      <c r="E12" s="25"/>
      <c r="F12" s="25"/>
      <c r="G12" s="23"/>
      <c r="M12" s="26"/>
    </row>
    <row r="13" spans="2:20" ht="30.75" thickBot="1" x14ac:dyDescent="0.3">
      <c r="B13" s="10" t="s">
        <v>7</v>
      </c>
      <c r="C13" s="10" t="s">
        <v>4</v>
      </c>
      <c r="D13" s="11" t="s">
        <v>16</v>
      </c>
      <c r="E13" s="11" t="s">
        <v>50</v>
      </c>
      <c r="F13" s="11" t="s">
        <v>50</v>
      </c>
      <c r="G13" s="10" t="s">
        <v>17</v>
      </c>
      <c r="J13" s="33" t="s">
        <v>41</v>
      </c>
      <c r="K13" s="52">
        <f>Land!K5</f>
        <v>197759100.00000003</v>
      </c>
      <c r="R13" s="8" t="s">
        <v>3</v>
      </c>
    </row>
    <row r="14" spans="2:20" x14ac:dyDescent="0.25">
      <c r="B14" s="12">
        <v>1</v>
      </c>
      <c r="C14" s="20" t="s">
        <v>75</v>
      </c>
      <c r="D14" s="60">
        <f>E4</f>
        <v>0</v>
      </c>
      <c r="E14" s="7">
        <v>0</v>
      </c>
      <c r="F14" s="7">
        <v>0</v>
      </c>
      <c r="G14" s="6">
        <f>D14*F14</f>
        <v>0</v>
      </c>
      <c r="J14" s="33" t="s">
        <v>42</v>
      </c>
      <c r="K14" s="52">
        <f>'Building Sheet'!U22</f>
        <v>713514518.47479999</v>
      </c>
      <c r="R14" s="4" t="s">
        <v>0</v>
      </c>
      <c r="S14" s="1" t="e">
        <f>#REF!</f>
        <v>#REF!</v>
      </c>
    </row>
    <row r="15" spans="2:20" x14ac:dyDescent="0.25">
      <c r="B15" s="83" t="s">
        <v>5</v>
      </c>
      <c r="C15" s="83"/>
      <c r="D15" s="27">
        <f>SUM(D14:D14)</f>
        <v>0</v>
      </c>
      <c r="E15" s="21">
        <f>SUM(E14:E14)</f>
        <v>0</v>
      </c>
      <c r="F15" s="22"/>
      <c r="G15" s="29">
        <f>SUM(G14:G14)</f>
        <v>0</v>
      </c>
      <c r="J15" s="33" t="s">
        <v>79</v>
      </c>
      <c r="K15" s="52">
        <f>'Boundary Wall'!N12</f>
        <v>60000000</v>
      </c>
      <c r="L15" s="71"/>
      <c r="R15" s="2" t="s">
        <v>6</v>
      </c>
      <c r="S15" s="3" t="e">
        <f>SUM(S14:S14)</f>
        <v>#REF!</v>
      </c>
    </row>
    <row r="16" spans="2:20" x14ac:dyDescent="0.25">
      <c r="J16" s="33" t="s">
        <v>5</v>
      </c>
      <c r="K16" s="52">
        <f>SUM(K13:K15)</f>
        <v>971273618.47479999</v>
      </c>
      <c r="L16" s="71"/>
      <c r="S16" s="2" t="s">
        <v>1</v>
      </c>
      <c r="T16" s="3" t="e">
        <f>ROUNDUP(S15,-5)</f>
        <v>#REF!</v>
      </c>
    </row>
    <row r="17" spans="2:20" x14ac:dyDescent="0.25">
      <c r="J17" s="33" t="s">
        <v>19</v>
      </c>
      <c r="K17" s="52">
        <f>ROUND(K16,-5)</f>
        <v>971300000</v>
      </c>
      <c r="S17" s="2" t="s">
        <v>2</v>
      </c>
      <c r="T17" s="3" t="e">
        <f>T16*0.85</f>
        <v>#REF!</v>
      </c>
    </row>
    <row r="18" spans="2:20" x14ac:dyDescent="0.25">
      <c r="B18" s="10" t="s">
        <v>7</v>
      </c>
      <c r="C18" s="10" t="s">
        <v>84</v>
      </c>
      <c r="D18" s="10" t="s">
        <v>85</v>
      </c>
      <c r="E18" s="10" t="s">
        <v>4</v>
      </c>
      <c r="F18" s="11" t="s">
        <v>80</v>
      </c>
      <c r="G18" s="11" t="s">
        <v>81</v>
      </c>
      <c r="H18" s="11" t="s">
        <v>82</v>
      </c>
      <c r="J18" s="33" t="s">
        <v>2</v>
      </c>
      <c r="K18" s="53">
        <f>K17*0.85</f>
        <v>825605000</v>
      </c>
    </row>
    <row r="19" spans="2:20" ht="30" x14ac:dyDescent="0.25">
      <c r="B19" s="12">
        <v>1</v>
      </c>
      <c r="C19" s="20" t="s">
        <v>86</v>
      </c>
      <c r="D19" s="20" t="s">
        <v>87</v>
      </c>
      <c r="E19" s="75" t="s">
        <v>83</v>
      </c>
      <c r="F19" s="60">
        <v>83</v>
      </c>
      <c r="G19" s="5">
        <v>17</v>
      </c>
      <c r="H19" s="72">
        <f t="shared" ref="H19:H24" si="0">(F19/8)+(G19/160)</f>
        <v>10.481249999999999</v>
      </c>
      <c r="J19" s="33" t="s">
        <v>20</v>
      </c>
      <c r="K19" s="53">
        <f>K17*0.75</f>
        <v>728475000</v>
      </c>
    </row>
    <row r="20" spans="2:20" ht="30" x14ac:dyDescent="0.25">
      <c r="B20" s="76">
        <v>2</v>
      </c>
      <c r="C20" s="20" t="s">
        <v>86</v>
      </c>
      <c r="D20" s="20">
        <v>0</v>
      </c>
      <c r="E20" s="77" t="s">
        <v>88</v>
      </c>
      <c r="F20" s="5">
        <v>82</v>
      </c>
      <c r="G20" s="5">
        <v>3</v>
      </c>
      <c r="H20" s="72">
        <f t="shared" si="0"/>
        <v>10.268750000000001</v>
      </c>
    </row>
    <row r="21" spans="2:20" ht="30" x14ac:dyDescent="0.25">
      <c r="B21" s="12">
        <v>3</v>
      </c>
      <c r="C21" s="20" t="s">
        <v>86</v>
      </c>
      <c r="D21" s="20" t="s">
        <v>90</v>
      </c>
      <c r="E21" s="75" t="s">
        <v>89</v>
      </c>
      <c r="F21" s="60">
        <v>8</v>
      </c>
      <c r="G21" s="5">
        <v>17</v>
      </c>
      <c r="H21" s="72">
        <f t="shared" si="0"/>
        <v>1.10625</v>
      </c>
    </row>
    <row r="22" spans="2:20" ht="30" x14ac:dyDescent="0.25">
      <c r="B22" s="76">
        <v>4</v>
      </c>
      <c r="C22" s="20" t="s">
        <v>86</v>
      </c>
      <c r="D22" s="20">
        <v>0</v>
      </c>
      <c r="E22" s="77" t="s">
        <v>88</v>
      </c>
      <c r="F22" s="5">
        <v>7</v>
      </c>
      <c r="G22" s="5">
        <v>12</v>
      </c>
      <c r="H22" s="72">
        <f t="shared" si="0"/>
        <v>0.95</v>
      </c>
    </row>
    <row r="23" spans="2:20" ht="30" x14ac:dyDescent="0.25">
      <c r="B23" s="12">
        <v>5</v>
      </c>
      <c r="C23" s="20" t="s">
        <v>86</v>
      </c>
      <c r="D23" s="20" t="s">
        <v>92</v>
      </c>
      <c r="E23" s="75" t="s">
        <v>91</v>
      </c>
      <c r="F23" s="60">
        <v>31</v>
      </c>
      <c r="G23" s="5">
        <v>11</v>
      </c>
      <c r="H23" s="72">
        <f t="shared" si="0"/>
        <v>3.9437500000000001</v>
      </c>
    </row>
    <row r="24" spans="2:20" ht="30" x14ac:dyDescent="0.25">
      <c r="B24" s="76">
        <v>6</v>
      </c>
      <c r="C24" s="20" t="s">
        <v>86</v>
      </c>
      <c r="D24" s="20">
        <v>0</v>
      </c>
      <c r="E24" s="77" t="s">
        <v>93</v>
      </c>
      <c r="F24" s="5">
        <v>31</v>
      </c>
      <c r="G24" s="5">
        <v>5</v>
      </c>
      <c r="H24" s="72">
        <f t="shared" si="0"/>
        <v>3.90625</v>
      </c>
    </row>
    <row r="25" spans="2:20" x14ac:dyDescent="0.25">
      <c r="B25" s="5"/>
      <c r="C25" s="5"/>
      <c r="D25" s="5"/>
      <c r="E25" s="5"/>
      <c r="F25" s="5"/>
      <c r="G25" s="5"/>
      <c r="H25" s="78">
        <f>SUM(H19:H24)</f>
        <v>30.65625</v>
      </c>
    </row>
  </sheetData>
  <mergeCells count="7">
    <mergeCell ref="B5:C5"/>
    <mergeCell ref="B15:C15"/>
    <mergeCell ref="B6:L6"/>
    <mergeCell ref="B7:L7"/>
    <mergeCell ref="B8:L8"/>
    <mergeCell ref="B9:L9"/>
    <mergeCell ref="B10:L10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9"/>
  <sheetViews>
    <sheetView workbookViewId="0">
      <selection activeCell="B4" sqref="B4:U27"/>
    </sheetView>
  </sheetViews>
  <sheetFormatPr defaultRowHeight="15" x14ac:dyDescent="0.25"/>
  <cols>
    <col min="2" max="2" width="4.140625" bestFit="1" customWidth="1"/>
    <col min="3" max="3" width="39.42578125" bestFit="1" customWidth="1"/>
    <col min="4" max="4" width="7.7109375" customWidth="1"/>
    <col min="5" max="5" width="16.85546875" customWidth="1"/>
    <col min="6" max="6" width="9" hidden="1" customWidth="1"/>
    <col min="7" max="7" width="11.5703125" bestFit="1" customWidth="1"/>
    <col min="8" max="8" width="9" hidden="1" customWidth="1"/>
    <col min="9" max="9" width="7.42578125" bestFit="1" customWidth="1"/>
    <col min="10" max="10" width="7.85546875" bestFit="1" customWidth="1"/>
    <col min="11" max="11" width="9.5703125" hidden="1" customWidth="1"/>
    <col min="12" max="12" width="10.42578125" hidden="1" customWidth="1"/>
    <col min="13" max="13" width="11" bestFit="1" customWidth="1"/>
    <col min="14" max="14" width="7.7109375" hidden="1" customWidth="1"/>
    <col min="15" max="15" width="12.42578125" hidden="1" customWidth="1"/>
    <col min="16" max="16" width="10.85546875" bestFit="1" customWidth="1"/>
    <col min="17" max="17" width="14.28515625" bestFit="1" customWidth="1"/>
    <col min="18" max="18" width="10.140625" hidden="1" customWidth="1"/>
    <col min="19" max="19" width="14.28515625" hidden="1" customWidth="1"/>
    <col min="20" max="20" width="6.85546875" hidden="1" customWidth="1"/>
    <col min="21" max="21" width="19.140625" customWidth="1"/>
    <col min="23" max="23" width="15.28515625" bestFit="1" customWidth="1"/>
  </cols>
  <sheetData>
    <row r="3" spans="2:21" ht="15.6" customHeight="1" x14ac:dyDescent="0.25">
      <c r="B3" s="49" t="s">
        <v>53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</row>
    <row r="4" spans="2:21" ht="60" x14ac:dyDescent="0.25">
      <c r="B4" s="38" t="s">
        <v>21</v>
      </c>
      <c r="C4" s="38" t="s">
        <v>22</v>
      </c>
      <c r="D4" s="38" t="s">
        <v>70</v>
      </c>
      <c r="E4" s="38" t="s">
        <v>23</v>
      </c>
      <c r="F4" s="38" t="s">
        <v>24</v>
      </c>
      <c r="G4" s="38" t="s">
        <v>25</v>
      </c>
      <c r="H4" s="38" t="s">
        <v>72</v>
      </c>
      <c r="I4" s="38" t="s">
        <v>26</v>
      </c>
      <c r="J4" s="38" t="s">
        <v>27</v>
      </c>
      <c r="K4" s="38" t="s">
        <v>28</v>
      </c>
      <c r="L4" s="38" t="s">
        <v>29</v>
      </c>
      <c r="M4" s="38" t="s">
        <v>30</v>
      </c>
      <c r="N4" s="38" t="s">
        <v>31</v>
      </c>
      <c r="O4" s="38" t="s">
        <v>32</v>
      </c>
      <c r="P4" s="38" t="s">
        <v>33</v>
      </c>
      <c r="Q4" s="38" t="s">
        <v>34</v>
      </c>
      <c r="R4" s="38" t="s">
        <v>35</v>
      </c>
      <c r="S4" s="38" t="s">
        <v>36</v>
      </c>
      <c r="T4" s="38" t="s">
        <v>37</v>
      </c>
      <c r="U4" s="39" t="s">
        <v>38</v>
      </c>
    </row>
    <row r="5" spans="2:21" x14ac:dyDescent="0.25">
      <c r="B5" s="107">
        <v>1</v>
      </c>
      <c r="C5" s="104" t="s">
        <v>54</v>
      </c>
      <c r="D5" s="41" t="s">
        <v>67</v>
      </c>
      <c r="E5" s="20" t="s">
        <v>78</v>
      </c>
      <c r="F5" s="6">
        <v>2973</v>
      </c>
      <c r="G5" s="6">
        <f>F5*10.7639</f>
        <v>32001.074699999997</v>
      </c>
      <c r="H5" s="66">
        <v>11</v>
      </c>
      <c r="I5" s="66">
        <f>H5*3.28</f>
        <v>36.08</v>
      </c>
      <c r="J5" s="20">
        <v>2022</v>
      </c>
      <c r="K5" s="42">
        <v>2024</v>
      </c>
      <c r="L5" s="42">
        <f>K5-J5</f>
        <v>2</v>
      </c>
      <c r="M5" s="42">
        <v>40</v>
      </c>
      <c r="N5" s="43">
        <v>0.1</v>
      </c>
      <c r="O5" s="44">
        <f>(1-N5)/M5</f>
        <v>2.2499999999999999E-2</v>
      </c>
      <c r="P5" s="80">
        <v>1400</v>
      </c>
      <c r="Q5" s="45">
        <f>P5*G5</f>
        <v>44801504.579999998</v>
      </c>
      <c r="R5" s="46">
        <f>O5*L5</f>
        <v>4.4999999999999998E-2</v>
      </c>
      <c r="S5" s="47">
        <f>Q5*R5</f>
        <v>2016067.7060999998</v>
      </c>
      <c r="T5" s="59">
        <v>0</v>
      </c>
      <c r="U5" s="48">
        <f>(Q5-S5)*(1-T5)</f>
        <v>42785436.873899996</v>
      </c>
    </row>
    <row r="6" spans="2:21" x14ac:dyDescent="0.25">
      <c r="B6" s="108"/>
      <c r="C6" s="106"/>
      <c r="D6" s="41" t="s">
        <v>68</v>
      </c>
      <c r="E6" s="20" t="s">
        <v>78</v>
      </c>
      <c r="F6" s="6">
        <v>1773</v>
      </c>
      <c r="G6" s="6">
        <f t="shared" ref="G6:G21" si="0">F6*10.7639</f>
        <v>19084.394700000001</v>
      </c>
      <c r="H6" s="66">
        <v>5</v>
      </c>
      <c r="I6" s="66">
        <f t="shared" ref="I6:I21" si="1">H6*3.28</f>
        <v>16.399999999999999</v>
      </c>
      <c r="J6" s="20">
        <v>2022</v>
      </c>
      <c r="K6" s="42">
        <v>2024</v>
      </c>
      <c r="L6" s="42">
        <f t="shared" ref="L6:L21" si="2">K6-J6</f>
        <v>2</v>
      </c>
      <c r="M6" s="42">
        <v>40</v>
      </c>
      <c r="N6" s="43">
        <v>0.1</v>
      </c>
      <c r="O6" s="44">
        <f t="shared" ref="O6:O21" si="3">(1-N6)/M6</f>
        <v>2.2499999999999999E-2</v>
      </c>
      <c r="P6" s="80">
        <v>1200</v>
      </c>
      <c r="Q6" s="45">
        <f t="shared" ref="Q6:Q21" si="4">P6*G6</f>
        <v>22901273.640000001</v>
      </c>
      <c r="R6" s="46">
        <f t="shared" ref="R6:R21" si="5">O6*L6</f>
        <v>4.4999999999999998E-2</v>
      </c>
      <c r="S6" s="47">
        <f t="shared" ref="S6:S21" si="6">Q6*R6</f>
        <v>1030557.3138</v>
      </c>
      <c r="T6" s="59">
        <v>0</v>
      </c>
      <c r="U6" s="48">
        <f t="shared" ref="U6:U21" si="7">(Q6-S6)*(1-T6)</f>
        <v>21870716.326200001</v>
      </c>
    </row>
    <row r="7" spans="2:21" x14ac:dyDescent="0.25">
      <c r="B7" s="40">
        <v>2</v>
      </c>
      <c r="C7" s="73" t="s">
        <v>55</v>
      </c>
      <c r="D7" s="41" t="s">
        <v>67</v>
      </c>
      <c r="E7" s="20" t="s">
        <v>78</v>
      </c>
      <c r="F7" s="6">
        <v>475</v>
      </c>
      <c r="G7" s="6">
        <f t="shared" si="0"/>
        <v>5112.8525</v>
      </c>
      <c r="H7" s="66">
        <v>6</v>
      </c>
      <c r="I7" s="66">
        <f t="shared" si="1"/>
        <v>19.68</v>
      </c>
      <c r="J7" s="20">
        <v>2022</v>
      </c>
      <c r="K7" s="42">
        <v>2024</v>
      </c>
      <c r="L7" s="42">
        <f t="shared" si="2"/>
        <v>2</v>
      </c>
      <c r="M7" s="42">
        <v>40</v>
      </c>
      <c r="N7" s="43">
        <v>0.1</v>
      </c>
      <c r="O7" s="44">
        <f t="shared" si="3"/>
        <v>2.2499999999999999E-2</v>
      </c>
      <c r="P7" s="80">
        <v>1200</v>
      </c>
      <c r="Q7" s="45">
        <f t="shared" si="4"/>
        <v>6135423</v>
      </c>
      <c r="R7" s="46">
        <f t="shared" si="5"/>
        <v>4.4999999999999998E-2</v>
      </c>
      <c r="S7" s="47">
        <f t="shared" si="6"/>
        <v>276094.03499999997</v>
      </c>
      <c r="T7" s="59">
        <v>0</v>
      </c>
      <c r="U7" s="48">
        <f t="shared" si="7"/>
        <v>5859328.9649999999</v>
      </c>
    </row>
    <row r="8" spans="2:21" x14ac:dyDescent="0.25">
      <c r="B8" s="107">
        <v>3</v>
      </c>
      <c r="C8" s="104" t="s">
        <v>56</v>
      </c>
      <c r="D8" s="41" t="s">
        <v>67</v>
      </c>
      <c r="E8" s="101" t="s">
        <v>77</v>
      </c>
      <c r="F8" s="6">
        <v>24478</v>
      </c>
      <c r="G8" s="6">
        <f t="shared" si="0"/>
        <v>263478.74420000002</v>
      </c>
      <c r="H8" s="66">
        <v>3</v>
      </c>
      <c r="I8" s="66">
        <f t="shared" si="1"/>
        <v>9.84</v>
      </c>
      <c r="J8" s="20">
        <v>2022</v>
      </c>
      <c r="K8" s="42">
        <v>2024</v>
      </c>
      <c r="L8" s="42">
        <f t="shared" si="2"/>
        <v>2</v>
      </c>
      <c r="M8" s="42">
        <v>40</v>
      </c>
      <c r="N8" s="43">
        <v>0.1</v>
      </c>
      <c r="O8" s="44">
        <f t="shared" si="3"/>
        <v>2.2499999999999999E-2</v>
      </c>
      <c r="P8" s="80">
        <v>1200</v>
      </c>
      <c r="Q8" s="45">
        <f t="shared" si="4"/>
        <v>316174493.04000002</v>
      </c>
      <c r="R8" s="46">
        <f t="shared" si="5"/>
        <v>4.4999999999999998E-2</v>
      </c>
      <c r="S8" s="47">
        <f t="shared" si="6"/>
        <v>14227852.186800001</v>
      </c>
      <c r="T8" s="59">
        <v>0</v>
      </c>
      <c r="U8" s="48">
        <f t="shared" si="7"/>
        <v>301946640.85320002</v>
      </c>
    </row>
    <row r="9" spans="2:21" x14ac:dyDescent="0.25">
      <c r="B9" s="109"/>
      <c r="C9" s="105"/>
      <c r="D9" s="41" t="s">
        <v>68</v>
      </c>
      <c r="E9" s="102"/>
      <c r="F9" s="63">
        <v>3870</v>
      </c>
      <c r="G9" s="6">
        <f t="shared" si="0"/>
        <v>41656.292999999998</v>
      </c>
      <c r="H9" s="67">
        <v>5</v>
      </c>
      <c r="I9" s="66">
        <f t="shared" si="1"/>
        <v>16.399999999999999</v>
      </c>
      <c r="J9" s="20">
        <v>2022</v>
      </c>
      <c r="K9" s="42">
        <v>2024</v>
      </c>
      <c r="L9" s="42">
        <f t="shared" si="2"/>
        <v>2</v>
      </c>
      <c r="M9" s="42">
        <v>40</v>
      </c>
      <c r="N9" s="43">
        <v>0.1</v>
      </c>
      <c r="O9" s="44">
        <f t="shared" si="3"/>
        <v>2.2499999999999999E-2</v>
      </c>
      <c r="P9" s="80">
        <v>1300</v>
      </c>
      <c r="Q9" s="45">
        <f t="shared" si="4"/>
        <v>54153180.899999999</v>
      </c>
      <c r="R9" s="46">
        <f t="shared" si="5"/>
        <v>4.4999999999999998E-2</v>
      </c>
      <c r="S9" s="47">
        <f t="shared" si="6"/>
        <v>2436893.1404999997</v>
      </c>
      <c r="T9" s="59">
        <v>0</v>
      </c>
      <c r="U9" s="48">
        <f t="shared" si="7"/>
        <v>51716287.759499997</v>
      </c>
    </row>
    <row r="10" spans="2:21" x14ac:dyDescent="0.25">
      <c r="B10" s="108"/>
      <c r="C10" s="106"/>
      <c r="D10" s="62" t="s">
        <v>69</v>
      </c>
      <c r="E10" s="103"/>
      <c r="F10" s="6">
        <v>16255</v>
      </c>
      <c r="G10" s="6">
        <f t="shared" si="0"/>
        <v>174967.19449999998</v>
      </c>
      <c r="H10" s="67">
        <v>5.5</v>
      </c>
      <c r="I10" s="66">
        <f t="shared" si="1"/>
        <v>18.04</v>
      </c>
      <c r="J10" s="20">
        <v>2022</v>
      </c>
      <c r="K10" s="42">
        <v>2024</v>
      </c>
      <c r="L10" s="42">
        <f t="shared" si="2"/>
        <v>2</v>
      </c>
      <c r="M10" s="42">
        <v>40</v>
      </c>
      <c r="N10" s="43">
        <v>0.1</v>
      </c>
      <c r="O10" s="44">
        <f t="shared" si="3"/>
        <v>2.2499999999999999E-2</v>
      </c>
      <c r="P10" s="80">
        <v>1400</v>
      </c>
      <c r="Q10" s="45">
        <f t="shared" si="4"/>
        <v>244954072.29999998</v>
      </c>
      <c r="R10" s="46">
        <f t="shared" si="5"/>
        <v>4.4999999999999998E-2</v>
      </c>
      <c r="S10" s="47">
        <f t="shared" si="6"/>
        <v>11022933.2535</v>
      </c>
      <c r="T10" s="59">
        <v>0</v>
      </c>
      <c r="U10" s="48">
        <f t="shared" si="7"/>
        <v>233931139.04649997</v>
      </c>
    </row>
    <row r="11" spans="2:21" x14ac:dyDescent="0.25">
      <c r="B11" s="61">
        <v>4</v>
      </c>
      <c r="C11" s="74" t="s">
        <v>57</v>
      </c>
      <c r="D11" s="41" t="s">
        <v>67</v>
      </c>
      <c r="E11" s="65" t="s">
        <v>71</v>
      </c>
      <c r="F11" s="63">
        <v>43</v>
      </c>
      <c r="G11" s="6">
        <f t="shared" si="0"/>
        <v>462.84769999999997</v>
      </c>
      <c r="H11" s="67">
        <v>3.5</v>
      </c>
      <c r="I11" s="66">
        <f t="shared" si="1"/>
        <v>11.479999999999999</v>
      </c>
      <c r="J11" s="20">
        <v>2022</v>
      </c>
      <c r="K11" s="42">
        <v>2024</v>
      </c>
      <c r="L11" s="42">
        <f t="shared" si="2"/>
        <v>2</v>
      </c>
      <c r="M11" s="42">
        <v>60</v>
      </c>
      <c r="N11" s="43">
        <v>0.1</v>
      </c>
      <c r="O11" s="44">
        <f t="shared" si="3"/>
        <v>1.5000000000000001E-2</v>
      </c>
      <c r="P11" s="80">
        <v>1400</v>
      </c>
      <c r="Q11" s="45">
        <f t="shared" si="4"/>
        <v>647986.77999999991</v>
      </c>
      <c r="R11" s="46">
        <f t="shared" si="5"/>
        <v>3.0000000000000002E-2</v>
      </c>
      <c r="S11" s="47">
        <f t="shared" si="6"/>
        <v>19439.6034</v>
      </c>
      <c r="T11" s="59">
        <v>0</v>
      </c>
      <c r="U11" s="48">
        <f t="shared" si="7"/>
        <v>628547.17659999989</v>
      </c>
    </row>
    <row r="12" spans="2:21" x14ac:dyDescent="0.25">
      <c r="B12" s="61">
        <v>5</v>
      </c>
      <c r="C12" s="74" t="s">
        <v>58</v>
      </c>
      <c r="D12" s="41" t="s">
        <v>67</v>
      </c>
      <c r="E12" s="65" t="s">
        <v>71</v>
      </c>
      <c r="F12" s="63">
        <v>483</v>
      </c>
      <c r="G12" s="6">
        <f t="shared" si="0"/>
        <v>5198.9637000000002</v>
      </c>
      <c r="H12" s="67">
        <v>4.5</v>
      </c>
      <c r="I12" s="66">
        <f t="shared" si="1"/>
        <v>14.76</v>
      </c>
      <c r="J12" s="20">
        <v>2022</v>
      </c>
      <c r="K12" s="42">
        <v>2024</v>
      </c>
      <c r="L12" s="42">
        <f t="shared" si="2"/>
        <v>2</v>
      </c>
      <c r="M12" s="42">
        <v>60</v>
      </c>
      <c r="N12" s="43">
        <v>0.1</v>
      </c>
      <c r="O12" s="44">
        <f t="shared" si="3"/>
        <v>1.5000000000000001E-2</v>
      </c>
      <c r="P12" s="80">
        <v>1500</v>
      </c>
      <c r="Q12" s="45">
        <f t="shared" si="4"/>
        <v>7798445.5500000007</v>
      </c>
      <c r="R12" s="46">
        <f t="shared" si="5"/>
        <v>3.0000000000000002E-2</v>
      </c>
      <c r="S12" s="47">
        <f t="shared" si="6"/>
        <v>233953.36650000003</v>
      </c>
      <c r="T12" s="59">
        <v>0</v>
      </c>
      <c r="U12" s="48">
        <f t="shared" si="7"/>
        <v>7564492.1835000003</v>
      </c>
    </row>
    <row r="13" spans="2:21" x14ac:dyDescent="0.25">
      <c r="B13" s="64">
        <v>6</v>
      </c>
      <c r="C13" s="74" t="s">
        <v>59</v>
      </c>
      <c r="D13" s="41" t="s">
        <v>67</v>
      </c>
      <c r="E13" s="68" t="s">
        <v>78</v>
      </c>
      <c r="F13" s="6">
        <v>1875</v>
      </c>
      <c r="G13" s="6">
        <f t="shared" si="0"/>
        <v>20182.3125</v>
      </c>
      <c r="H13" s="66">
        <v>13.5</v>
      </c>
      <c r="I13" s="66">
        <f t="shared" si="1"/>
        <v>44.279999999999994</v>
      </c>
      <c r="J13" s="20">
        <v>2022</v>
      </c>
      <c r="K13" s="42">
        <v>2024</v>
      </c>
      <c r="L13" s="42">
        <f t="shared" si="2"/>
        <v>2</v>
      </c>
      <c r="M13" s="42">
        <v>40</v>
      </c>
      <c r="N13" s="43">
        <v>0.1</v>
      </c>
      <c r="O13" s="44">
        <f t="shared" si="3"/>
        <v>2.2499999999999999E-2</v>
      </c>
      <c r="P13" s="80">
        <v>1400</v>
      </c>
      <c r="Q13" s="45">
        <f t="shared" si="4"/>
        <v>28255237.5</v>
      </c>
      <c r="R13" s="46">
        <f t="shared" si="5"/>
        <v>4.4999999999999998E-2</v>
      </c>
      <c r="S13" s="47">
        <f t="shared" si="6"/>
        <v>1271485.6875</v>
      </c>
      <c r="T13" s="59">
        <v>0</v>
      </c>
      <c r="U13" s="48">
        <f t="shared" si="7"/>
        <v>26983751.8125</v>
      </c>
    </row>
    <row r="14" spans="2:21" x14ac:dyDescent="0.25">
      <c r="B14" s="64">
        <v>7</v>
      </c>
      <c r="C14" s="74" t="s">
        <v>60</v>
      </c>
      <c r="D14" s="41" t="s">
        <v>67</v>
      </c>
      <c r="E14" s="65" t="s">
        <v>71</v>
      </c>
      <c r="F14" s="6">
        <v>475</v>
      </c>
      <c r="G14" s="6">
        <f t="shared" si="0"/>
        <v>5112.8525</v>
      </c>
      <c r="H14" s="66">
        <v>4.5</v>
      </c>
      <c r="I14" s="66">
        <f t="shared" si="1"/>
        <v>14.76</v>
      </c>
      <c r="J14" s="20">
        <v>2022</v>
      </c>
      <c r="K14" s="42">
        <v>2024</v>
      </c>
      <c r="L14" s="42">
        <f t="shared" si="2"/>
        <v>2</v>
      </c>
      <c r="M14" s="42">
        <v>60</v>
      </c>
      <c r="N14" s="43">
        <v>0.1</v>
      </c>
      <c r="O14" s="44">
        <f t="shared" si="3"/>
        <v>1.5000000000000001E-2</v>
      </c>
      <c r="P14" s="80">
        <v>1600</v>
      </c>
      <c r="Q14" s="45">
        <f t="shared" si="4"/>
        <v>8180564</v>
      </c>
      <c r="R14" s="46">
        <f t="shared" si="5"/>
        <v>3.0000000000000002E-2</v>
      </c>
      <c r="S14" s="47">
        <f t="shared" si="6"/>
        <v>245416.92</v>
      </c>
      <c r="T14" s="59">
        <v>0</v>
      </c>
      <c r="U14" s="48">
        <f t="shared" si="7"/>
        <v>7935147.0800000001</v>
      </c>
    </row>
    <row r="15" spans="2:21" x14ac:dyDescent="0.25">
      <c r="B15" s="64">
        <v>8</v>
      </c>
      <c r="C15" s="74" t="s">
        <v>61</v>
      </c>
      <c r="D15" s="41" t="s">
        <v>67</v>
      </c>
      <c r="E15" s="65" t="s">
        <v>71</v>
      </c>
      <c r="F15" s="6">
        <v>320</v>
      </c>
      <c r="G15" s="6">
        <f t="shared" si="0"/>
        <v>3444.4479999999999</v>
      </c>
      <c r="H15" s="66">
        <v>6</v>
      </c>
      <c r="I15" s="66">
        <f t="shared" si="1"/>
        <v>19.68</v>
      </c>
      <c r="J15" s="20">
        <v>2022</v>
      </c>
      <c r="K15" s="42">
        <v>2024</v>
      </c>
      <c r="L15" s="42">
        <f t="shared" si="2"/>
        <v>2</v>
      </c>
      <c r="M15" s="42">
        <v>60</v>
      </c>
      <c r="N15" s="43">
        <v>0.1</v>
      </c>
      <c r="O15" s="44">
        <f t="shared" si="3"/>
        <v>1.5000000000000001E-2</v>
      </c>
      <c r="P15" s="80">
        <v>1600</v>
      </c>
      <c r="Q15" s="45">
        <f t="shared" si="4"/>
        <v>5511116.7999999998</v>
      </c>
      <c r="R15" s="46">
        <f t="shared" si="5"/>
        <v>3.0000000000000002E-2</v>
      </c>
      <c r="S15" s="47">
        <f t="shared" si="6"/>
        <v>165333.50400000002</v>
      </c>
      <c r="T15" s="59">
        <v>0</v>
      </c>
      <c r="U15" s="48">
        <f t="shared" si="7"/>
        <v>5345783.2960000001</v>
      </c>
    </row>
    <row r="16" spans="2:21" x14ac:dyDescent="0.25">
      <c r="B16" s="64">
        <v>9</v>
      </c>
      <c r="C16" s="74" t="s">
        <v>62</v>
      </c>
      <c r="D16" s="41" t="s">
        <v>67</v>
      </c>
      <c r="E16" s="65" t="s">
        <v>71</v>
      </c>
      <c r="F16" s="6">
        <v>240</v>
      </c>
      <c r="G16" s="6">
        <f t="shared" si="0"/>
        <v>2583.3359999999998</v>
      </c>
      <c r="H16" s="66">
        <v>4.5</v>
      </c>
      <c r="I16" s="66">
        <f t="shared" si="1"/>
        <v>14.76</v>
      </c>
      <c r="J16" s="20">
        <v>2022</v>
      </c>
      <c r="K16" s="42">
        <v>2024</v>
      </c>
      <c r="L16" s="42">
        <f t="shared" si="2"/>
        <v>2</v>
      </c>
      <c r="M16" s="42">
        <v>60</v>
      </c>
      <c r="N16" s="43">
        <v>0.1</v>
      </c>
      <c r="O16" s="44">
        <f t="shared" si="3"/>
        <v>1.5000000000000001E-2</v>
      </c>
      <c r="P16" s="80">
        <v>1500</v>
      </c>
      <c r="Q16" s="45">
        <f t="shared" si="4"/>
        <v>3875003.9999999995</v>
      </c>
      <c r="R16" s="46">
        <f t="shared" si="5"/>
        <v>3.0000000000000002E-2</v>
      </c>
      <c r="S16" s="47">
        <f t="shared" si="6"/>
        <v>116250.12</v>
      </c>
      <c r="T16" s="59">
        <v>0</v>
      </c>
      <c r="U16" s="48">
        <f t="shared" si="7"/>
        <v>3758753.8799999994</v>
      </c>
    </row>
    <row r="17" spans="2:23" x14ac:dyDescent="0.25">
      <c r="B17" s="64">
        <v>10</v>
      </c>
      <c r="C17" s="74" t="s">
        <v>63</v>
      </c>
      <c r="D17" s="41" t="s">
        <v>67</v>
      </c>
      <c r="E17" s="65" t="s">
        <v>71</v>
      </c>
      <c r="F17" s="6">
        <v>60</v>
      </c>
      <c r="G17" s="6">
        <f t="shared" si="0"/>
        <v>645.83399999999995</v>
      </c>
      <c r="H17" s="66">
        <v>3</v>
      </c>
      <c r="I17" s="66">
        <f t="shared" si="1"/>
        <v>9.84</v>
      </c>
      <c r="J17" s="20">
        <v>2022</v>
      </c>
      <c r="K17" s="42">
        <v>2024</v>
      </c>
      <c r="L17" s="42">
        <f t="shared" si="2"/>
        <v>2</v>
      </c>
      <c r="M17" s="42">
        <v>60</v>
      </c>
      <c r="N17" s="43">
        <v>0.1</v>
      </c>
      <c r="O17" s="44">
        <f t="shared" si="3"/>
        <v>1.5000000000000001E-2</v>
      </c>
      <c r="P17" s="80">
        <v>1600</v>
      </c>
      <c r="Q17" s="45">
        <f t="shared" si="4"/>
        <v>1033334.3999999999</v>
      </c>
      <c r="R17" s="46">
        <f t="shared" si="5"/>
        <v>3.0000000000000002E-2</v>
      </c>
      <c r="S17" s="47">
        <f t="shared" si="6"/>
        <v>31000.031999999999</v>
      </c>
      <c r="T17" s="59">
        <v>0</v>
      </c>
      <c r="U17" s="48">
        <f t="shared" si="7"/>
        <v>1002334.3679999999</v>
      </c>
    </row>
    <row r="18" spans="2:23" x14ac:dyDescent="0.25">
      <c r="B18" s="110">
        <v>11</v>
      </c>
      <c r="C18" s="104" t="s">
        <v>64</v>
      </c>
      <c r="D18" s="41" t="s">
        <v>67</v>
      </c>
      <c r="E18" s="65" t="s">
        <v>71</v>
      </c>
      <c r="F18" s="6">
        <v>50</v>
      </c>
      <c r="G18" s="6">
        <f t="shared" si="0"/>
        <v>538.19499999999994</v>
      </c>
      <c r="H18" s="66">
        <v>4</v>
      </c>
      <c r="I18" s="66">
        <f t="shared" si="1"/>
        <v>13.12</v>
      </c>
      <c r="J18" s="20">
        <v>2022</v>
      </c>
      <c r="K18" s="42">
        <v>2024</v>
      </c>
      <c r="L18" s="42">
        <f t="shared" si="2"/>
        <v>2</v>
      </c>
      <c r="M18" s="42">
        <v>60</v>
      </c>
      <c r="N18" s="43">
        <v>0.1</v>
      </c>
      <c r="O18" s="44">
        <f t="shared" si="3"/>
        <v>1.5000000000000001E-2</v>
      </c>
      <c r="P18" s="80">
        <v>1600</v>
      </c>
      <c r="Q18" s="45">
        <f t="shared" si="4"/>
        <v>861111.99999999988</v>
      </c>
      <c r="R18" s="46">
        <f t="shared" si="5"/>
        <v>3.0000000000000002E-2</v>
      </c>
      <c r="S18" s="47">
        <f t="shared" si="6"/>
        <v>25833.359999999997</v>
      </c>
      <c r="T18" s="59">
        <v>0</v>
      </c>
      <c r="U18" s="48">
        <f t="shared" si="7"/>
        <v>835278.6399999999</v>
      </c>
    </row>
    <row r="19" spans="2:23" x14ac:dyDescent="0.25">
      <c r="B19" s="111"/>
      <c r="C19" s="106"/>
      <c r="D19" s="41" t="s">
        <v>68</v>
      </c>
      <c r="E19" s="65" t="s">
        <v>71</v>
      </c>
      <c r="F19" s="6">
        <v>50</v>
      </c>
      <c r="G19" s="6">
        <f t="shared" si="0"/>
        <v>538.19499999999994</v>
      </c>
      <c r="H19" s="66">
        <v>4</v>
      </c>
      <c r="I19" s="66">
        <f t="shared" si="1"/>
        <v>13.12</v>
      </c>
      <c r="J19" s="20">
        <v>2022</v>
      </c>
      <c r="K19" s="42">
        <v>2024</v>
      </c>
      <c r="L19" s="42">
        <f t="shared" si="2"/>
        <v>2</v>
      </c>
      <c r="M19" s="42">
        <v>60</v>
      </c>
      <c r="N19" s="43">
        <v>0.1</v>
      </c>
      <c r="O19" s="44">
        <f t="shared" si="3"/>
        <v>1.5000000000000001E-2</v>
      </c>
      <c r="P19" s="80">
        <v>1600</v>
      </c>
      <c r="Q19" s="45">
        <f t="shared" si="4"/>
        <v>861111.99999999988</v>
      </c>
      <c r="R19" s="46">
        <f t="shared" si="5"/>
        <v>3.0000000000000002E-2</v>
      </c>
      <c r="S19" s="47">
        <f t="shared" si="6"/>
        <v>25833.359999999997</v>
      </c>
      <c r="T19" s="59">
        <v>0</v>
      </c>
      <c r="U19" s="48">
        <f t="shared" si="7"/>
        <v>835278.6399999999</v>
      </c>
    </row>
    <row r="20" spans="2:23" x14ac:dyDescent="0.25">
      <c r="B20" s="64">
        <v>12</v>
      </c>
      <c r="C20" s="74" t="s">
        <v>65</v>
      </c>
      <c r="D20" s="41" t="s">
        <v>67</v>
      </c>
      <c r="E20" s="65" t="s">
        <v>78</v>
      </c>
      <c r="F20" s="6">
        <v>27</v>
      </c>
      <c r="G20" s="6">
        <f t="shared" si="0"/>
        <v>290.62529999999998</v>
      </c>
      <c r="H20" s="66">
        <v>3</v>
      </c>
      <c r="I20" s="66">
        <f t="shared" si="1"/>
        <v>9.84</v>
      </c>
      <c r="J20" s="20">
        <v>2022</v>
      </c>
      <c r="K20" s="42">
        <v>2024</v>
      </c>
      <c r="L20" s="42">
        <f t="shared" si="2"/>
        <v>2</v>
      </c>
      <c r="M20" s="42">
        <v>40</v>
      </c>
      <c r="N20" s="43">
        <v>0.1</v>
      </c>
      <c r="O20" s="44">
        <f t="shared" si="3"/>
        <v>2.2499999999999999E-2</v>
      </c>
      <c r="P20" s="80">
        <v>1000</v>
      </c>
      <c r="Q20" s="45">
        <f t="shared" si="4"/>
        <v>290625.3</v>
      </c>
      <c r="R20" s="46">
        <f t="shared" si="5"/>
        <v>4.4999999999999998E-2</v>
      </c>
      <c r="S20" s="47">
        <f t="shared" si="6"/>
        <v>13078.138499999999</v>
      </c>
      <c r="T20" s="59">
        <v>0</v>
      </c>
      <c r="U20" s="48">
        <f t="shared" si="7"/>
        <v>277547.16149999999</v>
      </c>
    </row>
    <row r="21" spans="2:23" x14ac:dyDescent="0.25">
      <c r="B21" s="64">
        <v>13</v>
      </c>
      <c r="C21" s="74" t="s">
        <v>66</v>
      </c>
      <c r="D21" s="41" t="s">
        <v>67</v>
      </c>
      <c r="E21" s="65" t="s">
        <v>71</v>
      </c>
      <c r="F21" s="6">
        <v>19</v>
      </c>
      <c r="G21" s="6">
        <f t="shared" si="0"/>
        <v>204.51409999999998</v>
      </c>
      <c r="H21" s="66">
        <v>3</v>
      </c>
      <c r="I21" s="66">
        <f t="shared" si="1"/>
        <v>9.84</v>
      </c>
      <c r="J21" s="20">
        <v>2022</v>
      </c>
      <c r="K21" s="42">
        <v>2024</v>
      </c>
      <c r="L21" s="42">
        <f t="shared" si="2"/>
        <v>2</v>
      </c>
      <c r="M21" s="42">
        <v>60</v>
      </c>
      <c r="N21" s="43">
        <v>0.1</v>
      </c>
      <c r="O21" s="44">
        <f t="shared" si="3"/>
        <v>1.5000000000000001E-2</v>
      </c>
      <c r="P21" s="80">
        <v>1200</v>
      </c>
      <c r="Q21" s="45">
        <f t="shared" si="4"/>
        <v>245416.91999999998</v>
      </c>
      <c r="R21" s="46">
        <f t="shared" si="5"/>
        <v>3.0000000000000002E-2</v>
      </c>
      <c r="S21" s="47">
        <f t="shared" si="6"/>
        <v>7362.5075999999999</v>
      </c>
      <c r="T21" s="59">
        <v>0</v>
      </c>
      <c r="U21" s="48">
        <f t="shared" si="7"/>
        <v>238054.41239999997</v>
      </c>
    </row>
    <row r="22" spans="2:23" x14ac:dyDescent="0.25">
      <c r="B22" s="100" t="s">
        <v>5</v>
      </c>
      <c r="C22" s="100"/>
      <c r="D22" s="100"/>
      <c r="E22" s="100"/>
      <c r="F22" s="29">
        <f>SUM(F5:F21)</f>
        <v>53466</v>
      </c>
      <c r="G22" s="29">
        <f>SUM(G5:G21)</f>
        <v>575502.67739999993</v>
      </c>
      <c r="H22" s="6"/>
      <c r="I22" s="6"/>
      <c r="J22" s="20"/>
      <c r="K22" s="42"/>
      <c r="L22" s="42"/>
      <c r="M22" s="42"/>
      <c r="N22" s="43"/>
      <c r="O22" s="44"/>
      <c r="P22" s="42"/>
      <c r="Q22" s="29">
        <f>SUM(Q5:Q21)</f>
        <v>746679902.70999968</v>
      </c>
      <c r="R22" s="46"/>
      <c r="S22" s="29">
        <f>SUM(S5:S21)</f>
        <v>33165384.235200007</v>
      </c>
      <c r="T22" s="59"/>
      <c r="U22" s="29">
        <f>SUM(U5:U21)</f>
        <v>713514518.47479999</v>
      </c>
      <c r="W22" s="79">
        <f>Q22*0.8</f>
        <v>597343922.16799974</v>
      </c>
    </row>
    <row r="23" spans="2:23" x14ac:dyDescent="0.25">
      <c r="B23" s="90" t="s">
        <v>13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W23" s="79">
        <f>ROUND(W22,-7)</f>
        <v>600000000</v>
      </c>
    </row>
    <row r="24" spans="2:23" x14ac:dyDescent="0.25">
      <c r="B24" s="93" t="s">
        <v>52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</row>
    <row r="25" spans="2:23" x14ac:dyDescent="0.25">
      <c r="B25" s="96" t="s">
        <v>39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2:23" x14ac:dyDescent="0.25">
      <c r="B26" s="93" t="s">
        <v>51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5"/>
    </row>
    <row r="27" spans="2:23" x14ac:dyDescent="0.25">
      <c r="B27" s="90" t="s">
        <v>40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9"/>
    </row>
    <row r="29" spans="2:23" x14ac:dyDescent="0.25">
      <c r="S29" s="9">
        <f>Q13*0.8</f>
        <v>22604190</v>
      </c>
    </row>
  </sheetData>
  <mergeCells count="13">
    <mergeCell ref="B22:E22"/>
    <mergeCell ref="E8:E10"/>
    <mergeCell ref="C8:C10"/>
    <mergeCell ref="C5:C6"/>
    <mergeCell ref="B5:B6"/>
    <mergeCell ref="B8:B10"/>
    <mergeCell ref="C18:C19"/>
    <mergeCell ref="B18:B19"/>
    <mergeCell ref="B23:U23"/>
    <mergeCell ref="B24:U24"/>
    <mergeCell ref="B25:U25"/>
    <mergeCell ref="B26:U26"/>
    <mergeCell ref="B27:U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2"/>
  <sheetViews>
    <sheetView workbookViewId="0">
      <selection activeCell="N12" sqref="N12"/>
    </sheetView>
  </sheetViews>
  <sheetFormatPr defaultRowHeight="15" x14ac:dyDescent="0.25"/>
  <cols>
    <col min="2" max="2" width="11.85546875" customWidth="1"/>
    <col min="9" max="9" width="11.140625" customWidth="1"/>
    <col min="10" max="10" width="14" customWidth="1"/>
    <col min="11" max="11" width="11.5703125" bestFit="1" customWidth="1"/>
    <col min="12" max="12" width="14.28515625" bestFit="1" customWidth="1"/>
    <col min="14" max="14" width="16" customWidth="1"/>
  </cols>
  <sheetData>
    <row r="3" spans="2:14" ht="15.75" x14ac:dyDescent="0.25">
      <c r="B3" s="112" t="s">
        <v>43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2:14" ht="79.5" customHeight="1" x14ac:dyDescent="0.25">
      <c r="B4" s="38" t="s">
        <v>44</v>
      </c>
      <c r="C4" s="38" t="s">
        <v>27</v>
      </c>
      <c r="D4" s="38" t="s">
        <v>28</v>
      </c>
      <c r="E4" s="38" t="s">
        <v>29</v>
      </c>
      <c r="F4" s="38" t="s">
        <v>30</v>
      </c>
      <c r="G4" s="38" t="s">
        <v>31</v>
      </c>
      <c r="H4" s="38" t="s">
        <v>32</v>
      </c>
      <c r="I4" s="38" t="s">
        <v>45</v>
      </c>
      <c r="J4" s="38" t="s">
        <v>34</v>
      </c>
      <c r="K4" s="38" t="s">
        <v>46</v>
      </c>
      <c r="L4" s="38" t="s">
        <v>47</v>
      </c>
      <c r="M4" s="38" t="s">
        <v>37</v>
      </c>
      <c r="N4" s="38" t="s">
        <v>38</v>
      </c>
    </row>
    <row r="5" spans="2:14" x14ac:dyDescent="0.25">
      <c r="B5" s="54">
        <v>2200</v>
      </c>
      <c r="C5" s="20">
        <v>2022</v>
      </c>
      <c r="D5" s="20">
        <v>2024</v>
      </c>
      <c r="E5" s="20">
        <f>D5-C5</f>
        <v>2</v>
      </c>
      <c r="F5" s="20">
        <v>60</v>
      </c>
      <c r="G5" s="55">
        <v>0.1</v>
      </c>
      <c r="H5" s="56">
        <f>(1-G5)/F5</f>
        <v>1.5000000000000001E-2</v>
      </c>
      <c r="I5" s="57">
        <v>4500</v>
      </c>
      <c r="J5" s="57">
        <f>I5*B5</f>
        <v>9900000</v>
      </c>
      <c r="K5" s="57">
        <f>J5*H5*E5</f>
        <v>297000</v>
      </c>
      <c r="L5" s="57">
        <f>MAX(J5-K5,0)</f>
        <v>9603000</v>
      </c>
      <c r="M5" s="58">
        <v>0</v>
      </c>
      <c r="N5" s="57">
        <f>IF(L5&gt;G5*J5,L5*(1-M5),J5*G5)</f>
        <v>9603000</v>
      </c>
    </row>
    <row r="8" spans="2:14" ht="68.25" x14ac:dyDescent="0.25">
      <c r="B8" s="38" t="s">
        <v>94</v>
      </c>
      <c r="C8" s="38" t="s">
        <v>27</v>
      </c>
      <c r="D8" s="38" t="s">
        <v>28</v>
      </c>
      <c r="E8" s="38" t="s">
        <v>29</v>
      </c>
      <c r="F8" s="38" t="s">
        <v>30</v>
      </c>
      <c r="G8" s="38" t="s">
        <v>31</v>
      </c>
      <c r="H8" s="38" t="s">
        <v>32</v>
      </c>
      <c r="I8" s="38" t="s">
        <v>45</v>
      </c>
      <c r="J8" s="38" t="s">
        <v>34</v>
      </c>
      <c r="K8" s="38" t="s">
        <v>46</v>
      </c>
      <c r="L8" s="38" t="s">
        <v>47</v>
      </c>
      <c r="M8" s="38" t="s">
        <v>37</v>
      </c>
      <c r="N8" s="38" t="s">
        <v>38</v>
      </c>
    </row>
    <row r="9" spans="2:14" x14ac:dyDescent="0.25">
      <c r="B9" s="54">
        <f>1600</f>
        <v>1600</v>
      </c>
      <c r="C9" s="20">
        <v>2022</v>
      </c>
      <c r="D9" s="20">
        <v>2024</v>
      </c>
      <c r="E9" s="20">
        <f>D9-C9</f>
        <v>2</v>
      </c>
      <c r="F9" s="20">
        <v>40</v>
      </c>
      <c r="G9" s="55">
        <v>0.1</v>
      </c>
      <c r="H9" s="56">
        <f>(1-G9)/F9</f>
        <v>2.2499999999999999E-2</v>
      </c>
      <c r="I9" s="57">
        <v>32000</v>
      </c>
      <c r="J9" s="57">
        <f>I9*B9</f>
        <v>51200000</v>
      </c>
      <c r="K9" s="57">
        <f>J9*H9*E9</f>
        <v>2304000</v>
      </c>
      <c r="L9" s="57">
        <f>MAX(J9-K9,0)</f>
        <v>48896000</v>
      </c>
      <c r="M9" s="58">
        <v>0</v>
      </c>
      <c r="N9" s="57">
        <f>IF(L9&gt;G9*J9,L9*(1-M9),J9*G9)</f>
        <v>48896000</v>
      </c>
    </row>
    <row r="11" spans="2:14" x14ac:dyDescent="0.25">
      <c r="N11" s="70">
        <f>N9+N5</f>
        <v>58499000</v>
      </c>
    </row>
    <row r="12" spans="2:14" x14ac:dyDescent="0.25">
      <c r="M12" s="69" t="s">
        <v>5</v>
      </c>
      <c r="N12" s="70">
        <f>ROUND(N11,-7)</f>
        <v>60000000</v>
      </c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</vt:lpstr>
      <vt:lpstr>Building Sheet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2024-12-20T12:14:47Z</dcterms:modified>
</cp:coreProperties>
</file>