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defaultThemeVersion="124226"/>
  <mc:AlternateContent xmlns:mc="http://schemas.openxmlformats.org/markup-compatibility/2006">
    <mc:Choice Requires="x15">
      <x15ac:absPath xmlns:x15ac="http://schemas.microsoft.com/office/spreadsheetml/2010/11/ac" url="\\Server\f\Server\All Clients\LLP\Spiti Township LLP\F.Y. 2023-24\Spiti Provisional Financial\"/>
    </mc:Choice>
  </mc:AlternateContent>
  <xr:revisionPtr revIDLastSave="0" documentId="13_ncr:1_{573B75DB-19EF-43A9-83A1-5E5101F0C9E5}" xr6:coauthVersionLast="47" xr6:coauthVersionMax="47" xr10:uidLastSave="{00000000-0000-0000-0000-000000000000}"/>
  <bookViews>
    <workbookView xWindow="-120" yWindow="-120" windowWidth="24240" windowHeight="13140" tabRatio="805" firstSheet="1" activeTab="2" xr2:uid="{00000000-000D-0000-FFFF-FFFF00000000}"/>
  </bookViews>
  <sheets>
    <sheet name="Computation" sheetId="11" state="hidden" r:id="rId1"/>
    <sheet name="comp" sheetId="19" r:id="rId2"/>
    <sheet name="BS" sheetId="1" r:id="rId3"/>
    <sheet name="P &amp; L" sheetId="2" r:id="rId4"/>
    <sheet name="Sheet1" sheetId="4" state="hidden" r:id="rId5"/>
    <sheet name="Significant Acctg Policies" sheetId="21" r:id="rId6"/>
    <sheet name="Note 2 (for Partners capital Ac" sheetId="18" r:id="rId7"/>
    <sheet name="Note 3-12" sheetId="5" r:id="rId8"/>
    <sheet name="Trial Balance_16.04" sheetId="32" r:id="rId9"/>
    <sheet name="TB_Updated" sheetId="31" state="hidden" r:id="rId10"/>
    <sheet name="TB" sheetId="23" state="hidden" r:id="rId11"/>
    <sheet name="Computation of Inventory Cost" sheetId="27" r:id="rId12"/>
    <sheet name="FD Accrued Interest" sheetId="28" r:id="rId13"/>
    <sheet name="Annexure 1_Revised" sheetId="29" r:id="rId14"/>
    <sheet name="Distribution of TDR Amt" sheetId="30" r:id="rId15"/>
    <sheet name="Annexure 1" sheetId="20" r:id="rId16"/>
    <sheet name="Note 7 - FA, Dep - Company Act" sheetId="15" state="hidden" r:id="rId17"/>
    <sheet name="Note 15 Ratios" sheetId="14" state="hidden" r:id="rId18"/>
    <sheet name="Dep - IT Act" sheetId="16" state="hidden" r:id="rId19"/>
    <sheet name="Annexure 2" sheetId="17" state="hidden" r:id="rId20"/>
    <sheet name="FD Interest" sheetId="24" state="hidden" r:id="rId21"/>
    <sheet name="Income Tax Details" sheetId="9" state="hidden" r:id="rId22"/>
    <sheet name="working" sheetId="13" state="hidden" r:id="rId23"/>
  </sheets>
  <externalReferences>
    <externalReference r:id="rId24"/>
  </externalReferences>
  <definedNames>
    <definedName name="___INDEX_SHEET___ASAP_Utilities" localSheetId="1">#REF!</definedName>
    <definedName name="___INDEX_SHEET___ASAP_Utilities" localSheetId="6">#REF!</definedName>
    <definedName name="___INDEX_SHEET___ASAP_Utilities" localSheetId="5">#REF!</definedName>
    <definedName name="___INDEX_SHEET___ASAP_Utilities">#REF!</definedName>
    <definedName name="_xlnm._FilterDatabase" localSheetId="5" hidden="1">'Significant Acctg Policies'!$B$5:$C$20</definedName>
    <definedName name="_xlnm._FilterDatabase" localSheetId="8" hidden="1">'Trial Balance_16.04'!$A$8:$F$166</definedName>
    <definedName name="_xlnm._FilterDatabase" localSheetId="22" hidden="1">working!$A$3:$D$45</definedName>
    <definedName name="Contents" localSheetId="1">#REF!</definedName>
    <definedName name="Contents" localSheetId="6">#REF!</definedName>
    <definedName name="Contents" localSheetId="5">#REF!</definedName>
    <definedName name="Contents">#REF!</definedName>
    <definedName name="_xlnm.Print_Area" localSheetId="15">'Annexure 1'!$A$1:$J$22</definedName>
    <definedName name="_xlnm.Print_Area" localSheetId="13">'Annexure 1_Revised'!$A$1:$J$54</definedName>
    <definedName name="_xlnm.Print_Area" localSheetId="2">BS!$A$1:$E$34</definedName>
    <definedName name="_xlnm.Print_Area" localSheetId="1">comp!$A$1:$E$24</definedName>
    <definedName name="_xlnm.Print_Area" localSheetId="0">Computation!$A$1:$E$80</definedName>
    <definedName name="_xlnm.Print_Area" localSheetId="18">'Dep - IT Act'!$A$1:$L$18</definedName>
    <definedName name="_xlnm.Print_Area" localSheetId="14">'Distribution of TDR Amt'!$A$1:$F$43</definedName>
    <definedName name="_xlnm.Print_Area" localSheetId="12">'FD Accrued Interest'!$A$1:$K$10</definedName>
    <definedName name="_xlnm.Print_Area" localSheetId="21">'Income Tax Details'!$A$1:$J$17</definedName>
    <definedName name="_xlnm.Print_Area" localSheetId="6">'Note 2 (for Partners capital Ac'!$A$1:$I$64</definedName>
    <definedName name="_xlnm.Print_Area" localSheetId="7">'Note 3-12'!$A$1:$D$152</definedName>
    <definedName name="_xlnm.Print_Area" localSheetId="16">'Note 7 - FA, Dep - Company Act'!$A$1:$L$16</definedName>
    <definedName name="_xlnm.Print_Area" localSheetId="3">'P &amp; L'!$A$1:$E$41</definedName>
    <definedName name="_xlnm.Print_Area" localSheetId="5">'Significant Acctg Policies'!$B$1:$C$43</definedName>
    <definedName name="_xlnm.Print_Titles" localSheetId="7">'Note 3-12'!$1:$4</definedName>
    <definedName name="SL">'[1]0-a-Basics'!$D$25</definedName>
    <definedName name="YRENDED">'[1]0-a-Basics'!$F$21</definedName>
    <definedName name="YRSTART">'[1]0-a-Basics'!$F$20</definedName>
    <definedName name="Z_9426E38C_13B4_4AE0_934B_D7DFB740B66C_.wvu.PrintArea" localSheetId="5" hidden="1">'Significant Acctg Policies'!$A$1:$C$14</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5" i="29" l="1"/>
  <c r="G25" i="29"/>
  <c r="F26" i="29"/>
  <c r="G26" i="29"/>
  <c r="H26" i="29"/>
  <c r="H25" i="29"/>
  <c r="J26" i="29"/>
  <c r="J25" i="29"/>
  <c r="I26" i="29"/>
  <c r="C140" i="5"/>
  <c r="C40" i="5"/>
  <c r="C182" i="32"/>
  <c r="B52" i="29"/>
  <c r="B178" i="32"/>
  <c r="C47" i="5"/>
  <c r="C48" i="5"/>
  <c r="G69" i="32"/>
  <c r="H69" i="32" s="1"/>
  <c r="I18" i="29"/>
  <c r="B175" i="32"/>
  <c r="C176" i="32"/>
  <c r="C56" i="5"/>
  <c r="B172" i="32"/>
  <c r="C173" i="32" s="1"/>
  <c r="E18" i="29" s="1"/>
  <c r="G70" i="32"/>
  <c r="H70" i="32" s="1"/>
  <c r="D19" i="30"/>
  <c r="C19" i="30"/>
  <c r="D21" i="30"/>
  <c r="C21" i="30"/>
  <c r="F21" i="30" s="1"/>
  <c r="E18" i="18"/>
  <c r="E17" i="18"/>
  <c r="C19" i="5"/>
  <c r="C18" i="5"/>
  <c r="C17" i="5"/>
  <c r="C16" i="5"/>
  <c r="C12" i="5"/>
  <c r="C11" i="5"/>
  <c r="C10" i="5"/>
  <c r="C9" i="5"/>
  <c r="C30" i="5"/>
  <c r="C37" i="5"/>
  <c r="C43" i="5"/>
  <c r="C44" i="5"/>
  <c r="C52" i="5"/>
  <c r="C54" i="5"/>
  <c r="C74" i="5"/>
  <c r="C73" i="5"/>
  <c r="C70" i="5"/>
  <c r="C87" i="5"/>
  <c r="C91" i="5"/>
  <c r="C96" i="5"/>
  <c r="C99" i="5"/>
  <c r="C101" i="5"/>
  <c r="C104" i="5"/>
  <c r="C105" i="5"/>
  <c r="E23" i="29"/>
  <c r="L23" i="29" s="1"/>
  <c r="E22" i="29"/>
  <c r="L22" i="29" s="1"/>
  <c r="E21" i="29"/>
  <c r="L21" i="29" s="1"/>
  <c r="E20" i="29"/>
  <c r="E19" i="29"/>
  <c r="L19" i="29" s="1"/>
  <c r="E17" i="29"/>
  <c r="L17" i="29" s="1"/>
  <c r="L30" i="29"/>
  <c r="L29" i="29"/>
  <c r="L28" i="29"/>
  <c r="L27" i="29"/>
  <c r="L24" i="29"/>
  <c r="M29" i="29"/>
  <c r="M28" i="29"/>
  <c r="I21" i="29"/>
  <c r="M21" i="29" s="1"/>
  <c r="I20" i="29"/>
  <c r="M20" i="29" s="1"/>
  <c r="I19" i="29"/>
  <c r="M19" i="29" s="1"/>
  <c r="I17" i="29"/>
  <c r="M17" i="29" s="1"/>
  <c r="I22" i="29"/>
  <c r="M22" i="29" s="1"/>
  <c r="I23" i="29"/>
  <c r="M23" i="29" s="1"/>
  <c r="I24" i="29"/>
  <c r="M24" i="29" s="1"/>
  <c r="C142" i="5"/>
  <c r="B42" i="29"/>
  <c r="B43" i="29"/>
  <c r="B44" i="29"/>
  <c r="B45" i="29"/>
  <c r="B46" i="29"/>
  <c r="B47" i="29"/>
  <c r="B41" i="29"/>
  <c r="B51" i="29"/>
  <c r="B50" i="29"/>
  <c r="B49" i="29"/>
  <c r="C149" i="5"/>
  <c r="C150" i="5"/>
  <c r="C148" i="5"/>
  <c r="C147" i="5"/>
  <c r="C146" i="5"/>
  <c r="C145" i="5"/>
  <c r="C144" i="5"/>
  <c r="C141" i="5"/>
  <c r="C133" i="5"/>
  <c r="C132" i="5"/>
  <c r="C114" i="5"/>
  <c r="B169" i="32"/>
  <c r="C90" i="5" s="1"/>
  <c r="B168" i="32"/>
  <c r="C71" i="5" s="1"/>
  <c r="C38" i="30"/>
  <c r="D38" i="30"/>
  <c r="H38" i="30"/>
  <c r="B18" i="29" l="1"/>
  <c r="C18" i="29"/>
  <c r="D18" i="29"/>
  <c r="J18" i="29"/>
  <c r="E96" i="5"/>
  <c r="C170" i="32"/>
  <c r="F19" i="30"/>
  <c r="C58" i="5"/>
  <c r="F132" i="5"/>
  <c r="F113" i="5" l="1"/>
  <c r="C113" i="5"/>
  <c r="E20" i="30"/>
  <c r="C20" i="30"/>
  <c r="D20" i="30"/>
  <c r="C15" i="5"/>
  <c r="C11" i="27"/>
  <c r="C12" i="27"/>
  <c r="C13" i="27"/>
  <c r="B146" i="31"/>
  <c r="C147" i="31"/>
  <c r="C8" i="27"/>
  <c r="H116" i="31"/>
  <c r="E146" i="5"/>
  <c r="E141" i="5"/>
  <c r="E140" i="5"/>
  <c r="F140" i="5"/>
  <c r="E133" i="5"/>
  <c r="E144" i="5"/>
  <c r="E142" i="5"/>
  <c r="E132" i="5"/>
  <c r="E150" i="5"/>
  <c r="E148" i="5"/>
  <c r="E147" i="5"/>
  <c r="E145" i="5"/>
  <c r="E114" i="5"/>
  <c r="G1" i="5"/>
  <c r="H13" i="30"/>
  <c r="D36" i="30"/>
  <c r="C36" i="30"/>
  <c r="F32" i="30"/>
  <c r="D33" i="30" s="1"/>
  <c r="D34" i="30" s="1"/>
  <c r="D40" i="30" s="1"/>
  <c r="F13" i="30"/>
  <c r="E87" i="30"/>
  <c r="F87" i="30"/>
  <c r="G87" i="30"/>
  <c r="D85" i="30"/>
  <c r="D86" i="30"/>
  <c r="D7" i="30" s="1"/>
  <c r="D12" i="30" s="1"/>
  <c r="D14" i="30" s="1"/>
  <c r="D84" i="30"/>
  <c r="E7" i="30" s="1"/>
  <c r="E12" i="30" s="1"/>
  <c r="E14" i="30" s="1"/>
  <c r="F36" i="30" l="1"/>
  <c r="C33" i="30"/>
  <c r="D87" i="30"/>
  <c r="C84" i="30" s="1"/>
  <c r="C7" i="30"/>
  <c r="C12" i="30" s="1"/>
  <c r="C14" i="30" s="1"/>
  <c r="C37" i="30" l="1"/>
  <c r="F20" i="30"/>
  <c r="F33" i="30"/>
  <c r="C34" i="30"/>
  <c r="F34" i="30" s="1"/>
  <c r="D37" i="30"/>
  <c r="F14" i="30"/>
  <c r="C15" i="30" s="1"/>
  <c r="C17" i="30" s="1"/>
  <c r="C23" i="30" s="1"/>
  <c r="F12" i="30"/>
  <c r="F6" i="29"/>
  <c r="F18" i="29" s="1"/>
  <c r="C85" i="30"/>
  <c r="H6" i="29" s="1"/>
  <c r="H18" i="29" s="1"/>
  <c r="C86" i="30"/>
  <c r="G6" i="29" s="1"/>
  <c r="G18" i="29" s="1"/>
  <c r="F7" i="30"/>
  <c r="C87" i="30" l="1"/>
  <c r="D15" i="30"/>
  <c r="D17" i="30" s="1"/>
  <c r="D23" i="30" s="1"/>
  <c r="E15" i="30"/>
  <c r="E17" i="30" s="1"/>
  <c r="E23" i="30" s="1"/>
  <c r="E37" i="30"/>
  <c r="E8" i="30"/>
  <c r="E9" i="30" s="1"/>
  <c r="D8" i="30"/>
  <c r="D9" i="30" s="1"/>
  <c r="C8" i="30"/>
  <c r="C9" i="30" s="1"/>
  <c r="F23" i="30" l="1"/>
  <c r="F17" i="30"/>
  <c r="F9" i="30"/>
  <c r="F15" i="30"/>
  <c r="F37" i="30"/>
  <c r="F8" i="30"/>
  <c r="I31" i="29" l="1"/>
  <c r="B48" i="29"/>
  <c r="J24" i="29"/>
  <c r="J23" i="29"/>
  <c r="J22" i="29"/>
  <c r="J21" i="29"/>
  <c r="J20" i="29"/>
  <c r="J19" i="29"/>
  <c r="J17" i="29"/>
  <c r="H24" i="29"/>
  <c r="G24" i="29"/>
  <c r="F24" i="29"/>
  <c r="H23" i="29"/>
  <c r="G23" i="29"/>
  <c r="F23" i="29"/>
  <c r="H22" i="29"/>
  <c r="G22" i="29"/>
  <c r="F22" i="29"/>
  <c r="H21" i="29"/>
  <c r="G21" i="29"/>
  <c r="F21" i="29"/>
  <c r="H20" i="29"/>
  <c r="G20" i="29"/>
  <c r="F20" i="29"/>
  <c r="H19" i="29"/>
  <c r="G19" i="29"/>
  <c r="F19" i="29"/>
  <c r="H17" i="29"/>
  <c r="G17" i="29"/>
  <c r="F17" i="29"/>
  <c r="D23" i="29"/>
  <c r="C23" i="29"/>
  <c r="B23" i="29"/>
  <c r="D22" i="29"/>
  <c r="C22" i="29"/>
  <c r="B22" i="29"/>
  <c r="D21" i="29"/>
  <c r="C21" i="29"/>
  <c r="B21" i="29"/>
  <c r="D19" i="29"/>
  <c r="C19" i="29"/>
  <c r="B19" i="29"/>
  <c r="D17" i="29"/>
  <c r="C17" i="29"/>
  <c r="B17" i="29"/>
  <c r="J31" i="29"/>
  <c r="J14" i="29"/>
  <c r="H14" i="29"/>
  <c r="G14" i="29"/>
  <c r="F14" i="29"/>
  <c r="D14" i="29"/>
  <c r="C14" i="29"/>
  <c r="B14" i="29"/>
  <c r="J13" i="29"/>
  <c r="H13" i="29"/>
  <c r="G13" i="29"/>
  <c r="F13" i="29"/>
  <c r="D13" i="29"/>
  <c r="C13" i="29"/>
  <c r="B13" i="29"/>
  <c r="J12" i="29"/>
  <c r="H12" i="29"/>
  <c r="G12" i="29"/>
  <c r="F12" i="29"/>
  <c r="D12" i="29"/>
  <c r="C12" i="29"/>
  <c r="B12" i="29"/>
  <c r="J11" i="29"/>
  <c r="H11" i="29"/>
  <c r="G11" i="29"/>
  <c r="F11" i="29"/>
  <c r="D11" i="29"/>
  <c r="C11" i="29"/>
  <c r="B11" i="29"/>
  <c r="J10" i="29"/>
  <c r="H10" i="29"/>
  <c r="G10" i="29"/>
  <c r="F10" i="29"/>
  <c r="D10" i="29"/>
  <c r="C10" i="29"/>
  <c r="B10" i="29"/>
  <c r="J9" i="29"/>
  <c r="H9" i="29"/>
  <c r="G9" i="29"/>
  <c r="F9" i="29"/>
  <c r="D9" i="29"/>
  <c r="C9" i="29"/>
  <c r="B9" i="29"/>
  <c r="I6" i="29"/>
  <c r="E6" i="29"/>
  <c r="B20" i="29" l="1"/>
  <c r="L20" i="29"/>
  <c r="L31" i="29" s="1"/>
  <c r="B29" i="29"/>
  <c r="D20" i="29"/>
  <c r="D29" i="29" s="1"/>
  <c r="E29" i="29"/>
  <c r="C20" i="29"/>
  <c r="C29" i="29" s="1"/>
  <c r="C19" i="27"/>
  <c r="C18" i="27"/>
  <c r="C169" i="23"/>
  <c r="C166" i="23"/>
  <c r="C163" i="23"/>
  <c r="E139" i="5" s="1"/>
  <c r="C157" i="23"/>
  <c r="C160" i="23"/>
  <c r="C154" i="23" l="1"/>
  <c r="C151" i="23"/>
  <c r="C9" i="27" l="1"/>
  <c r="C7" i="27"/>
  <c r="C6" i="27"/>
  <c r="H10" i="28"/>
  <c r="G9" i="28"/>
  <c r="F9" i="28"/>
  <c r="I9" i="28" s="1"/>
  <c r="I10" i="28" s="1"/>
  <c r="G8" i="28"/>
  <c r="J8" i="28" s="1"/>
  <c r="K8" i="28" s="1"/>
  <c r="G7" i="28"/>
  <c r="J7" i="28" s="1"/>
  <c r="K7" i="28" s="1"/>
  <c r="G6" i="28"/>
  <c r="J6" i="28" s="1"/>
  <c r="K6" i="28" s="1"/>
  <c r="G5" i="28"/>
  <c r="J5" i="28" s="1"/>
  <c r="K5" i="28" s="1"/>
  <c r="A5" i="28"/>
  <c r="A6" i="28" s="1"/>
  <c r="A7" i="28" s="1"/>
  <c r="A8" i="28" s="1"/>
  <c r="A9" i="28" s="1"/>
  <c r="G4" i="28"/>
  <c r="G10" i="28" s="1"/>
  <c r="B13" i="27"/>
  <c r="B12" i="27"/>
  <c r="A5" i="27"/>
  <c r="A6" i="27" l="1"/>
  <c r="A7" i="27" s="1"/>
  <c r="A8" i="27" s="1"/>
  <c r="A9" i="27" s="1"/>
  <c r="J9" i="28"/>
  <c r="K9" i="28" s="1"/>
  <c r="J4" i="28"/>
  <c r="A10" i="27" l="1"/>
  <c r="A16" i="27" s="1"/>
  <c r="A17" i="27" s="1"/>
  <c r="A18" i="27" s="1"/>
  <c r="A19" i="27" s="1"/>
  <c r="J10" i="28"/>
  <c r="K4" i="28"/>
  <c r="K10" i="28" s="1"/>
  <c r="N17" i="24" l="1"/>
  <c r="N18" i="24" s="1"/>
  <c r="C16" i="24"/>
  <c r="E16" i="24" s="1"/>
  <c r="L16" i="24"/>
  <c r="L14" i="24"/>
  <c r="L13" i="24"/>
  <c r="L15" i="24"/>
  <c r="L11" i="24"/>
  <c r="L12" i="24"/>
  <c r="M16" i="24" l="1"/>
  <c r="O18" i="24" s="1"/>
  <c r="A2" i="18"/>
  <c r="A2" i="5" l="1"/>
  <c r="C94" i="5"/>
  <c r="C93" i="5"/>
  <c r="C92" i="5"/>
  <c r="F148" i="5"/>
  <c r="F146" i="5"/>
  <c r="F145" i="5"/>
  <c r="F143" i="5"/>
  <c r="G41" i="23" l="1"/>
  <c r="G40" i="23"/>
  <c r="D31" i="5"/>
  <c r="C19" i="1"/>
  <c r="C20" i="1" s="1"/>
  <c r="C28" i="1" s="1"/>
  <c r="C29" i="1" s="1"/>
  <c r="C30" i="1" s="1"/>
  <c r="C9" i="2" s="1"/>
  <c r="C14" i="2" s="1"/>
  <c r="B18" i="5"/>
  <c r="B17" i="5"/>
  <c r="F133" i="5"/>
  <c r="C31" i="5" l="1"/>
  <c r="D19" i="1" s="1"/>
  <c r="C107" i="5"/>
  <c r="D30" i="1" s="1"/>
  <c r="H15" i="24"/>
  <c r="E15" i="24"/>
  <c r="H14" i="24"/>
  <c r="E14" i="24"/>
  <c r="M14" i="24" s="1"/>
  <c r="H13" i="24"/>
  <c r="E13" i="24"/>
  <c r="H12" i="24"/>
  <c r="E12" i="24"/>
  <c r="H11" i="24"/>
  <c r="E11" i="24"/>
  <c r="M11" i="24" s="1"/>
  <c r="M7" i="24"/>
  <c r="H7" i="24"/>
  <c r="E7" i="24"/>
  <c r="G7" i="24" s="1"/>
  <c r="M6" i="24"/>
  <c r="H6" i="24"/>
  <c r="E6" i="24"/>
  <c r="G6" i="24" s="1"/>
  <c r="M5" i="24"/>
  <c r="H5" i="24"/>
  <c r="E5" i="24"/>
  <c r="G5" i="24" s="1"/>
  <c r="M4" i="24"/>
  <c r="H4" i="24"/>
  <c r="E4" i="24"/>
  <c r="G4" i="24" s="1"/>
  <c r="M3" i="24"/>
  <c r="H3" i="24"/>
  <c r="E3" i="24"/>
  <c r="I3" i="24" s="1"/>
  <c r="I4" i="24" l="1"/>
  <c r="F13" i="24"/>
  <c r="M13" i="24"/>
  <c r="F15" i="24"/>
  <c r="J15" i="24" s="1"/>
  <c r="M15" i="24"/>
  <c r="I6" i="24"/>
  <c r="I7" i="24"/>
  <c r="F12" i="24"/>
  <c r="J12" i="24" s="1"/>
  <c r="M12" i="24"/>
  <c r="E115" i="5"/>
  <c r="G13" i="24"/>
  <c r="I13" i="24" s="1"/>
  <c r="J13" i="24"/>
  <c r="F14" i="24"/>
  <c r="J14" i="24" s="1"/>
  <c r="I5" i="24"/>
  <c r="G3" i="24"/>
  <c r="F11" i="24"/>
  <c r="J11" i="24" s="1"/>
  <c r="G11" i="24" l="1"/>
  <c r="I11" i="24" s="1"/>
  <c r="G12" i="24"/>
  <c r="I12" i="24" s="1"/>
  <c r="G15" i="24"/>
  <c r="I15" i="24" s="1"/>
  <c r="G14" i="24"/>
  <c r="I14" i="24" s="1"/>
  <c r="I16" i="24" s="1"/>
  <c r="F142" i="5"/>
  <c r="G145" i="5"/>
  <c r="D134" i="5"/>
  <c r="E16" i="2" s="1"/>
  <c r="E134" i="5"/>
  <c r="C16" i="2"/>
  <c r="C17" i="2" s="1"/>
  <c r="F150" i="5"/>
  <c r="F139" i="5"/>
  <c r="C143" i="5"/>
  <c r="D37" i="18"/>
  <c r="H20" i="18"/>
  <c r="G20" i="18"/>
  <c r="F20" i="18"/>
  <c r="E20" i="18"/>
  <c r="D20" i="18"/>
  <c r="I18" i="18"/>
  <c r="D10" i="18" s="1"/>
  <c r="I17" i="18"/>
  <c r="D9" i="18" s="1"/>
  <c r="C75" i="5" l="1"/>
  <c r="D29" i="1" s="1"/>
  <c r="F134" i="5"/>
  <c r="E151" i="5"/>
  <c r="I20" i="18"/>
  <c r="E11" i="1" s="1"/>
  <c r="D86" i="5"/>
  <c r="D85" i="5"/>
  <c r="D84" i="5"/>
  <c r="D83" i="5"/>
  <c r="D82" i="5"/>
  <c r="B10" i="21"/>
  <c r="H12" i="20"/>
  <c r="H11" i="20"/>
  <c r="H10" i="20"/>
  <c r="H9" i="20"/>
  <c r="H8" i="20"/>
  <c r="H7" i="20"/>
  <c r="G12" i="20"/>
  <c r="G11" i="20"/>
  <c r="G10" i="20"/>
  <c r="G9" i="20"/>
  <c r="G8" i="20"/>
  <c r="G7" i="20"/>
  <c r="F12" i="20"/>
  <c r="F11" i="20"/>
  <c r="F10" i="20"/>
  <c r="F9" i="20"/>
  <c r="F8" i="20"/>
  <c r="F7" i="20"/>
  <c r="I6" i="20"/>
  <c r="E6" i="20"/>
  <c r="J15" i="20"/>
  <c r="I13" i="20"/>
  <c r="G13" i="20" l="1"/>
  <c r="C5" i="27"/>
  <c r="F115" i="5"/>
  <c r="C115" i="5"/>
  <c r="D9" i="2" s="1"/>
  <c r="F151" i="5"/>
  <c r="C134" i="5"/>
  <c r="C151" i="5"/>
  <c r="D17" i="2" s="1"/>
  <c r="F13" i="20"/>
  <c r="H13" i="20"/>
  <c r="D22" i="5"/>
  <c r="H12" i="18"/>
  <c r="G12" i="18"/>
  <c r="F12" i="18"/>
  <c r="E12" i="18"/>
  <c r="D12" i="18"/>
  <c r="I10" i="18"/>
  <c r="I9" i="18"/>
  <c r="D15" i="5"/>
  <c r="D11" i="5"/>
  <c r="D9" i="5"/>
  <c r="D10" i="5"/>
  <c r="D40" i="5"/>
  <c r="D37" i="5"/>
  <c r="D74" i="5"/>
  <c r="D73" i="5"/>
  <c r="B11" i="17"/>
  <c r="D71" i="5" s="1"/>
  <c r="E71" i="5" s="1"/>
  <c r="D70" i="5"/>
  <c r="D107" i="5"/>
  <c r="D125" i="5"/>
  <c r="D122" i="5"/>
  <c r="C124" i="5" s="1"/>
  <c r="C125" i="5" s="1"/>
  <c r="D113" i="5"/>
  <c r="D115" i="5" s="1"/>
  <c r="D140" i="5"/>
  <c r="D142" i="5"/>
  <c r="D143" i="5"/>
  <c r="D150" i="5"/>
  <c r="A1" i="17"/>
  <c r="B21" i="17"/>
  <c r="B2" i="16"/>
  <c r="A1" i="15"/>
  <c r="D20" i="1" l="1"/>
  <c r="D16" i="2"/>
  <c r="H117" i="31"/>
  <c r="H118" i="31" s="1"/>
  <c r="D58" i="5"/>
  <c r="D126" i="5"/>
  <c r="E14" i="2" s="1"/>
  <c r="E13" i="2" s="1"/>
  <c r="I12" i="18"/>
  <c r="D11" i="1" s="1"/>
  <c r="D63" i="5"/>
  <c r="D25" i="5"/>
  <c r="D151" i="5"/>
  <c r="D75" i="5"/>
  <c r="K15" i="15"/>
  <c r="D24" i="11"/>
  <c r="D64" i="5" l="1"/>
  <c r="E28" i="1" s="1"/>
  <c r="C4" i="27"/>
  <c r="C14" i="27" s="1"/>
  <c r="C21" i="27" s="1"/>
  <c r="E18" i="1"/>
  <c r="D15" i="15"/>
  <c r="D25" i="11" l="1"/>
  <c r="D21" i="11"/>
  <c r="E71" i="11" s="1"/>
  <c r="D33" i="11" l="1"/>
  <c r="D29" i="11"/>
  <c r="G22" i="16" l="1"/>
  <c r="E9" i="2" l="1"/>
  <c r="E29" i="1"/>
  <c r="G17" i="16"/>
  <c r="F17" i="16"/>
  <c r="E17" i="16"/>
  <c r="D17" i="16"/>
  <c r="H15" i="16"/>
  <c r="J15" i="16" s="1"/>
  <c r="H13" i="16"/>
  <c r="L15" i="15"/>
  <c r="H15" i="15"/>
  <c r="F15" i="15"/>
  <c r="E15" i="15"/>
  <c r="I15" i="15"/>
  <c r="A1" i="14"/>
  <c r="A1" i="5"/>
  <c r="D22" i="11" l="1"/>
  <c r="H17" i="16"/>
  <c r="J17" i="16"/>
  <c r="D26" i="11" s="1"/>
  <c r="K15" i="16"/>
  <c r="K13" i="16"/>
  <c r="G15" i="15"/>
  <c r="K17" i="16" l="1"/>
  <c r="E74" i="11"/>
  <c r="J15" i="15"/>
  <c r="A8" i="14" l="1"/>
  <c r="A9" i="14" s="1"/>
  <c r="A10" i="14" s="1"/>
  <c r="A11" i="14" s="1"/>
  <c r="A12" i="14" s="1"/>
  <c r="A13" i="14" s="1"/>
  <c r="A14" i="14" s="1"/>
  <c r="A15" i="14" s="1"/>
  <c r="A16" i="14" s="1"/>
  <c r="F16" i="9" l="1"/>
  <c r="I11" i="13" l="1"/>
  <c r="F20" i="13" l="1"/>
  <c r="N12" i="13"/>
  <c r="P12" i="13" s="1"/>
  <c r="L22" i="13"/>
  <c r="G4" i="13"/>
  <c r="B45" i="13"/>
  <c r="D44" i="13"/>
  <c r="G44" i="13" s="1"/>
  <c r="P13" i="13" l="1"/>
  <c r="P14" i="13" s="1"/>
  <c r="P15" i="13" s="1"/>
  <c r="M22" i="13" s="1"/>
  <c r="O22" i="13" s="1"/>
  <c r="D45" i="13"/>
  <c r="G14" i="9"/>
  <c r="I14" i="9" s="1"/>
  <c r="E16" i="9"/>
  <c r="G16" i="9" s="1"/>
  <c r="E20" i="1" l="1"/>
  <c r="D20" i="11" l="1"/>
  <c r="E70" i="11" s="1"/>
  <c r="C65" i="11" l="1"/>
  <c r="E34" i="11" l="1"/>
  <c r="G8" i="9"/>
  <c r="I8" i="9" s="1"/>
  <c r="D30" i="11" l="1"/>
  <c r="E30" i="11" s="1"/>
  <c r="G10" i="9"/>
  <c r="I10" i="9" s="1"/>
  <c r="G12" i="9" l="1"/>
  <c r="H7" i="14" l="1"/>
  <c r="E10" i="2" l="1"/>
  <c r="E17" i="2" l="1"/>
  <c r="E18" i="2" l="1"/>
  <c r="E20" i="2" s="1"/>
  <c r="C18" i="4"/>
  <c r="D18" i="4"/>
  <c r="H15" i="14" l="1"/>
  <c r="E24" i="2"/>
  <c r="E28" i="2" s="1"/>
  <c r="D18" i="11" l="1"/>
  <c r="E26" i="11" s="1"/>
  <c r="H8" i="14" l="1"/>
  <c r="H10" i="14" l="1"/>
  <c r="E36" i="11"/>
  <c r="E39" i="11" s="1"/>
  <c r="E40" i="11" s="1"/>
  <c r="E42" i="11" l="1"/>
  <c r="I12" i="9"/>
  <c r="E43" i="11" l="1"/>
  <c r="E44" i="11" s="1"/>
  <c r="E45" i="11" s="1"/>
  <c r="H16" i="9" l="1"/>
  <c r="I16" i="9" s="1"/>
  <c r="E48" i="11"/>
  <c r="E55" i="11" s="1"/>
  <c r="E34" i="2" l="1"/>
  <c r="E72" i="11"/>
  <c r="E58" i="11"/>
  <c r="E59" i="11" s="1"/>
  <c r="E34" i="18" l="1"/>
  <c r="E35" i="18"/>
  <c r="F35" i="18" s="1"/>
  <c r="D27" i="18" s="1"/>
  <c r="E69" i="11"/>
  <c r="E73" i="11" s="1"/>
  <c r="F34" i="18" l="1"/>
  <c r="E37" i="18"/>
  <c r="G10" i="14"/>
  <c r="I10" i="14" s="1"/>
  <c r="E75" i="11"/>
  <c r="E77" i="11" s="1"/>
  <c r="E78" i="11" s="1"/>
  <c r="E80" i="11" s="1"/>
  <c r="F37" i="18" l="1"/>
  <c r="E12" i="1" s="1"/>
  <c r="E21" i="1" s="1"/>
  <c r="D26" i="18"/>
  <c r="D29" i="18" s="1"/>
  <c r="G8" i="14"/>
  <c r="I8" i="14" s="1"/>
  <c r="J7" i="20" l="1"/>
  <c r="D8" i="20"/>
  <c r="J8" i="20"/>
  <c r="B8" i="20"/>
  <c r="C8" i="20"/>
  <c r="D9" i="20"/>
  <c r="J9" i="20"/>
  <c r="B9" i="20"/>
  <c r="C9" i="20"/>
  <c r="D7" i="20"/>
  <c r="C7" i="20"/>
  <c r="B7" i="20"/>
  <c r="E13" i="20"/>
  <c r="D10" i="20"/>
  <c r="J10" i="20"/>
  <c r="B10" i="20"/>
  <c r="C10" i="20"/>
  <c r="D11" i="20"/>
  <c r="J11" i="20"/>
  <c r="B11" i="20"/>
  <c r="C11" i="20"/>
  <c r="D12" i="20"/>
  <c r="J12" i="20"/>
  <c r="B12" i="20"/>
  <c r="C12" i="20"/>
  <c r="C13" i="20" l="1"/>
  <c r="B20" i="20" s="1"/>
  <c r="J13" i="20"/>
  <c r="D13" i="20"/>
  <c r="B13" i="20"/>
  <c r="B19" i="20" s="1"/>
  <c r="B21" i="20" l="1"/>
  <c r="B22" i="20" s="1"/>
  <c r="E30" i="1" l="1"/>
  <c r="G7" i="14" s="1"/>
  <c r="I7" i="14" s="1"/>
  <c r="E31" i="1" l="1"/>
  <c r="G15" i="14" s="1"/>
  <c r="I15" i="14" s="1"/>
  <c r="G31" i="1" l="1"/>
  <c r="C40" i="30" l="1"/>
  <c r="F38" i="30"/>
  <c r="F40" i="30" l="1"/>
  <c r="C179" i="32" l="1"/>
  <c r="C22" i="5"/>
  <c r="C25" i="5" s="1"/>
  <c r="D18" i="1" s="1"/>
  <c r="D8" i="2"/>
  <c r="D10" i="2" s="1"/>
  <c r="N31" i="29"/>
  <c r="M31" i="29"/>
  <c r="M27" i="29"/>
  <c r="E18" i="19"/>
  <c r="D17" i="19"/>
  <c r="B36" i="29"/>
  <c r="G29" i="29"/>
  <c r="G27" i="29"/>
  <c r="E27" i="18"/>
  <c r="F27" i="18"/>
  <c r="F121" i="5"/>
  <c r="I29" i="29"/>
  <c r="F26" i="18"/>
  <c r="F29" i="18"/>
  <c r="D12" i="1"/>
  <c r="D21" i="1"/>
  <c r="F31" i="1"/>
  <c r="C63" i="5"/>
  <c r="C64" i="5"/>
  <c r="D28" i="1"/>
  <c r="D31" i="1"/>
  <c r="H27" i="29"/>
  <c r="H29" i="29"/>
  <c r="B37" i="29"/>
  <c r="D44" i="29"/>
  <c r="F27" i="29"/>
  <c r="F29" i="29"/>
  <c r="B35" i="29"/>
  <c r="B38" i="29"/>
  <c r="D38" i="29"/>
  <c r="B53" i="29"/>
  <c r="I27" i="29"/>
  <c r="J27" i="29"/>
  <c r="J29" i="29"/>
  <c r="C121" i="5"/>
  <c r="C122" i="5"/>
  <c r="C126" i="5"/>
  <c r="D14" i="2"/>
  <c r="D13" i="2"/>
  <c r="D18" i="2"/>
  <c r="D20" i="2"/>
  <c r="D24" i="2"/>
  <c r="D28" i="2"/>
  <c r="D34" i="2"/>
  <c r="E26" i="18"/>
  <c r="E29"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lenovo</author>
  </authors>
  <commentList>
    <comment ref="E133" authorId="0" shapeId="0" xr:uid="{00000000-0006-0000-0700-000001000000}">
      <text>
        <r>
          <rPr>
            <b/>
            <sz val="9"/>
            <color indexed="81"/>
            <rFont val="Tahoma"/>
            <family val="2"/>
          </rPr>
          <t>lenovo:</t>
        </r>
        <r>
          <rPr>
            <sz val="9"/>
            <color indexed="81"/>
            <rFont val="Tahoma"/>
            <family val="2"/>
          </rPr>
          <t xml:space="preserve">
Include purchase of microwave shown in financial under fixed assets.</t>
        </r>
      </text>
    </comment>
  </commentList>
</comments>
</file>

<file path=xl/sharedStrings.xml><?xml version="1.0" encoding="utf-8"?>
<sst xmlns="http://schemas.openxmlformats.org/spreadsheetml/2006/main" count="1420" uniqueCount="749">
  <si>
    <t>Particulars</t>
  </si>
  <si>
    <t>Note No</t>
  </si>
  <si>
    <t>Total</t>
  </si>
  <si>
    <t>Extraordinary Items</t>
  </si>
  <si>
    <t>Exceptional Items</t>
  </si>
  <si>
    <t>Other Income</t>
  </si>
  <si>
    <t>(1) Basic</t>
  </si>
  <si>
    <t>(2) Diluted</t>
  </si>
  <si>
    <t>Other Expenses</t>
  </si>
  <si>
    <t>Legal &amp; Professional Charges</t>
  </si>
  <si>
    <t>S.NO.</t>
  </si>
  <si>
    <t>PARTICULARS</t>
  </si>
  <si>
    <t>Audit Fees</t>
  </si>
  <si>
    <t>Misc. Expenses</t>
  </si>
  <si>
    <t>Filing Fees</t>
  </si>
  <si>
    <t>DETAILS OF MISC. EXPENSES</t>
  </si>
  <si>
    <t>F.Y. 2011-2012</t>
  </si>
  <si>
    <t>2011-12</t>
  </si>
  <si>
    <t>2010-2011</t>
  </si>
  <si>
    <t>Chartered Accountants</t>
  </si>
  <si>
    <t>F.R.N. 002614N</t>
  </si>
  <si>
    <t>Bank Charges</t>
  </si>
  <si>
    <t>Tangible Assets</t>
  </si>
  <si>
    <t>Printing &amp; Staionery</t>
  </si>
  <si>
    <t>Prior Period Expenses</t>
  </si>
  <si>
    <t>Rates &amp; Taxes</t>
  </si>
  <si>
    <t>MORNING STAR OVERSEAS TRADING CO. PVT. LTD.</t>
  </si>
  <si>
    <t>Interest on TDS</t>
  </si>
  <si>
    <t xml:space="preserve">In terms of our separate report attached. </t>
  </si>
  <si>
    <t>Note</t>
  </si>
  <si>
    <t>The preparation  of the financial statements in conformity with  Indian GAAP  requires the Management to make estimates and assumptions considered in the reported amounts of assets and liabilities (including contingent liabilities) and the reported income and expenses during the year.  The Management believes that the estimates used in preparation of the financial statements are prudent and reasonable.  Future results could differ due to these estimates and the differences between the actual results and the estimates are recognised in the periods in which the results are known / materialise.</t>
  </si>
  <si>
    <t>Statutory Dues</t>
  </si>
  <si>
    <t>Rent Received</t>
  </si>
  <si>
    <t>Revenue from Operations</t>
  </si>
  <si>
    <t>F.Y. 2017-2018</t>
  </si>
  <si>
    <t>TDS</t>
  </si>
  <si>
    <t>F.Y. 2018-2019</t>
  </si>
  <si>
    <t>MORNING STAR OVERSEAS TRADING COMPANY PRIVATE LIMITED</t>
  </si>
  <si>
    <t>Tax Expense:</t>
  </si>
  <si>
    <t>Earning per Equity Share:</t>
  </si>
  <si>
    <t>Notes forming part of the Financial Statements</t>
  </si>
  <si>
    <t>S. No.</t>
  </si>
  <si>
    <t>Other Payables</t>
  </si>
  <si>
    <t>Audit Fees payable</t>
  </si>
  <si>
    <t>TDS payable</t>
  </si>
  <si>
    <t>Advance Tax</t>
  </si>
  <si>
    <t>MAT Credit</t>
  </si>
  <si>
    <t>Total Taxes Paid</t>
  </si>
  <si>
    <t>Provision</t>
  </si>
  <si>
    <t>F.Y. 2019-2020</t>
  </si>
  <si>
    <t>Interest on FDR</t>
  </si>
  <si>
    <t>Profit/(Loss) as per P&amp;L A/c attached</t>
  </si>
  <si>
    <t>Rental Income received</t>
  </si>
  <si>
    <t>Less: 30%</t>
  </si>
  <si>
    <t>GROSS TOTAL INCOME</t>
  </si>
  <si>
    <t>SAY</t>
  </si>
  <si>
    <t>TAX DUE</t>
  </si>
  <si>
    <t>Add: Education Cess @4%</t>
  </si>
  <si>
    <t xml:space="preserve">Less: TDS </t>
  </si>
  <si>
    <t>Less: Advance Tax</t>
  </si>
  <si>
    <t>Income Tax Payable/(Refund)</t>
  </si>
  <si>
    <t>Income Tax Payable/(Refund) u/s 288B</t>
  </si>
  <si>
    <t>Details of loss C/F to next year</t>
  </si>
  <si>
    <t>NAME:</t>
  </si>
  <si>
    <t>ADDRESS:</t>
  </si>
  <si>
    <t>DATE OF INCORPORATION:</t>
  </si>
  <si>
    <t>STATUS:</t>
  </si>
  <si>
    <t>PAN NO.:</t>
  </si>
  <si>
    <t>FINANCIAL YEAR:</t>
  </si>
  <si>
    <t>ASSESSMENT YEAR:</t>
  </si>
  <si>
    <t>PRIVATE LIMITED</t>
  </si>
  <si>
    <t>Less: Income considered under other heads</t>
  </si>
  <si>
    <t>TAXABLE INCOME</t>
  </si>
  <si>
    <t>TOTAL TAX DUE</t>
  </si>
  <si>
    <t>1) Income from Business</t>
  </si>
  <si>
    <t>2) Income from House Property</t>
  </si>
  <si>
    <t>3) Income from Other Sources</t>
  </si>
  <si>
    <t xml:space="preserve">Add: Expenses disallowed </t>
  </si>
  <si>
    <t xml:space="preserve">Factory Land </t>
  </si>
  <si>
    <t>Financial Year</t>
  </si>
  <si>
    <t>Assessment Year</t>
  </si>
  <si>
    <t>A.Y. 2018-2019</t>
  </si>
  <si>
    <t>Income Tax Payable / (Refund)</t>
  </si>
  <si>
    <t>Place: New Delhi</t>
  </si>
  <si>
    <t>Computation of MAT as per section 115JB of Income Tax act, 1961</t>
  </si>
  <si>
    <t>Profit after tax as shown in P &amp; L Account</t>
  </si>
  <si>
    <t>Add: Income tax payable</t>
  </si>
  <si>
    <t>Book Profit under section 115JB</t>
  </si>
  <si>
    <t>Tax payable under section 115JB</t>
  </si>
  <si>
    <t>Add: Education cess @ 4%</t>
  </si>
  <si>
    <t>Total tax payable as per section 115JB</t>
  </si>
  <si>
    <t>A.Y. 2021-22</t>
  </si>
  <si>
    <t>Interest on late payment of TDS</t>
  </si>
  <si>
    <t>F.Y. 2020-2021</t>
  </si>
  <si>
    <t>Add: Interest on TDS Late Deposit</t>
  </si>
  <si>
    <t>As at 31 March, 2022</t>
  </si>
  <si>
    <t>A.Y. 2019-2021</t>
  </si>
  <si>
    <t>A.Y. 2021-2022</t>
  </si>
  <si>
    <t>INCOME TAX DETAIL - FY 2021-22</t>
  </si>
  <si>
    <t>FY 2021-2022</t>
  </si>
  <si>
    <t>A.Y. 2022-23</t>
  </si>
  <si>
    <t>2022-23</t>
  </si>
  <si>
    <t>Bank Account</t>
  </si>
  <si>
    <t xml:space="preserve">Particulars </t>
  </si>
  <si>
    <t>Amount (Dr.)</t>
  </si>
  <si>
    <t>Amount (Cr.)</t>
  </si>
  <si>
    <t>By SMS</t>
  </si>
  <si>
    <t>To SMS</t>
  </si>
  <si>
    <t>By HR Sahni</t>
  </si>
  <si>
    <t>By Ajay Sahni</t>
  </si>
  <si>
    <t>By GST</t>
  </si>
  <si>
    <t>By bank charges</t>
  </si>
  <si>
    <t>By D. tax</t>
  </si>
  <si>
    <t>By auditors</t>
  </si>
  <si>
    <t>By Abhimanyu Sahni</t>
  </si>
  <si>
    <t>To Opening Balance</t>
  </si>
  <si>
    <t>By Closing Balance</t>
  </si>
  <si>
    <t>Board meeting fees payable</t>
  </si>
  <si>
    <t>Audit fee payable</t>
  </si>
  <si>
    <t>SMS</t>
  </si>
  <si>
    <t>Dr</t>
  </si>
  <si>
    <t>Cr</t>
  </si>
  <si>
    <t>this should be GST payment</t>
  </si>
  <si>
    <t>adjustment of opening bal.?</t>
  </si>
  <si>
    <t>interest on loan</t>
  </si>
  <si>
    <t>adj.</t>
  </si>
  <si>
    <t>rent</t>
  </si>
  <si>
    <t>adv.</t>
  </si>
  <si>
    <t>Payment to SMS exports (bank statement - 27/04/2022)</t>
  </si>
  <si>
    <t>1132 - interest on late TDS</t>
  </si>
  <si>
    <t>opening TDS payable</t>
  </si>
  <si>
    <t xml:space="preserve">A. </t>
  </si>
  <si>
    <t>EQUITY AND LIABILITIES</t>
  </si>
  <si>
    <t>Shareholders' Funds</t>
  </si>
  <si>
    <t>Non-Current Liabilities</t>
  </si>
  <si>
    <t>Current Liabilities</t>
  </si>
  <si>
    <t>B.</t>
  </si>
  <si>
    <t>ASSETS</t>
  </si>
  <si>
    <t>Non-Current Assets</t>
  </si>
  <si>
    <t>Current Assets</t>
  </si>
  <si>
    <t xml:space="preserve">Date: </t>
  </si>
  <si>
    <t>A</t>
  </si>
  <si>
    <t>CONTINUING OPERATIONS</t>
  </si>
  <si>
    <t>Total Income (1+2)</t>
  </si>
  <si>
    <t>TOTAL</t>
  </si>
  <si>
    <t>Expenses</t>
  </si>
  <si>
    <t>Total Expenses (4)</t>
  </si>
  <si>
    <t>Profit/(Loss) before Exceptional and Extraordinary Items and Tax (3-4)</t>
  </si>
  <si>
    <r>
      <t xml:space="preserve">Profit / (Loss) before extraordinary items and tax  (5 </t>
    </r>
    <r>
      <rPr>
        <b/>
        <u/>
        <sz val="10"/>
        <rFont val="Cambria"/>
        <family val="1"/>
      </rPr>
      <t>+</t>
    </r>
    <r>
      <rPr>
        <b/>
        <sz val="10"/>
        <rFont val="Cambria"/>
        <family val="1"/>
      </rPr>
      <t xml:space="preserve"> 6)</t>
    </r>
  </si>
  <si>
    <r>
      <t xml:space="preserve">Profit / (Loss) before tax  (7 </t>
    </r>
    <r>
      <rPr>
        <b/>
        <u/>
        <sz val="10"/>
        <rFont val="Cambria"/>
        <family val="1"/>
      </rPr>
      <t>+</t>
    </r>
    <r>
      <rPr>
        <b/>
        <sz val="10"/>
        <rFont val="Cambria"/>
        <family val="1"/>
      </rPr>
      <t xml:space="preserve"> 8)</t>
    </r>
  </si>
  <si>
    <t>(b) Deferred tax</t>
  </si>
  <si>
    <t>(a) Current tax expense for current year</t>
  </si>
  <si>
    <r>
      <t xml:space="preserve">Profit / (Loss) from continuing operations (9 </t>
    </r>
    <r>
      <rPr>
        <b/>
        <u/>
        <sz val="10"/>
        <rFont val="Cambria"/>
        <family val="1"/>
      </rPr>
      <t>+</t>
    </r>
    <r>
      <rPr>
        <b/>
        <sz val="10"/>
        <rFont val="Cambria"/>
        <family val="1"/>
      </rPr>
      <t>10)</t>
    </r>
  </si>
  <si>
    <t>Less: MAT Credit brought forward</t>
  </si>
  <si>
    <t>Name of Ratios</t>
  </si>
  <si>
    <t>Numerator</t>
  </si>
  <si>
    <t>/</t>
  </si>
  <si>
    <t>Denominator</t>
  </si>
  <si>
    <t>FY 2021-22</t>
  </si>
  <si>
    <t>Variation</t>
  </si>
  <si>
    <t>Reasons for Variation &gt; 25%</t>
  </si>
  <si>
    <t>Current Ratio</t>
  </si>
  <si>
    <t>=</t>
  </si>
  <si>
    <t>Debt Equity Ratio</t>
  </si>
  <si>
    <t>Long term Borrowings + Short term Borrowings</t>
  </si>
  <si>
    <t>Total Shareholders' Equity</t>
  </si>
  <si>
    <t>Debt Service Coverage Ratio</t>
  </si>
  <si>
    <t>EBIDTA</t>
  </si>
  <si>
    <t>Debt Repayment Obligations (Interest After Tax+Principal)</t>
  </si>
  <si>
    <t>Return on Equity Ratio</t>
  </si>
  <si>
    <t>Net Profit After Tax After Dividend</t>
  </si>
  <si>
    <t>Average Shareholder's Funds</t>
  </si>
  <si>
    <t>Trade Receivables Turnover Ratio (in days)</t>
  </si>
  <si>
    <t>Net Credit Sales</t>
  </si>
  <si>
    <t>Average Trade Receivables</t>
  </si>
  <si>
    <t>Trade Payable Turnover Ratio (in days)</t>
  </si>
  <si>
    <t>Net Credit Purchases</t>
  </si>
  <si>
    <t>Average Trade Payable</t>
  </si>
  <si>
    <t>Net Capital Turnover Ratio</t>
  </si>
  <si>
    <t>Net Annual Sales</t>
  </si>
  <si>
    <t>Working Capital</t>
  </si>
  <si>
    <t>Net Profit Ratio</t>
  </si>
  <si>
    <t>Net Profit after Tax</t>
  </si>
  <si>
    <t>Total Turnover</t>
  </si>
  <si>
    <t>Return on Capital Employed</t>
  </si>
  <si>
    <t>EBIT (Operating)</t>
  </si>
  <si>
    <t>Total Assets - Current Liabilities</t>
  </si>
  <si>
    <t>Return on Investments</t>
  </si>
  <si>
    <t>Total Investment</t>
  </si>
  <si>
    <t>PROPERTY, PLANT AND EQUIPMENT</t>
  </si>
  <si>
    <t>Gross Block</t>
  </si>
  <si>
    <t>Accumulated Depreciation</t>
  </si>
  <si>
    <t>Net Block</t>
  </si>
  <si>
    <t>Rate of Depreciation</t>
  </si>
  <si>
    <t>Additions</t>
  </si>
  <si>
    <t>Deletions</t>
  </si>
  <si>
    <t>Charged for the year</t>
  </si>
  <si>
    <t>Land and Building</t>
  </si>
  <si>
    <t xml:space="preserve">Transformer </t>
  </si>
  <si>
    <t xml:space="preserve">Total </t>
  </si>
  <si>
    <t>Building</t>
  </si>
  <si>
    <t>DEPRECIATION AS PER IT ACT</t>
  </si>
  <si>
    <t>Depreciation</t>
  </si>
  <si>
    <t>Disposals made during the year</t>
  </si>
  <si>
    <t>Depreciation for the Year</t>
  </si>
  <si>
    <t>Total (A)</t>
  </si>
  <si>
    <t>(a) Short-term Borrowings</t>
  </si>
  <si>
    <t>(c) Other Current Assets</t>
  </si>
  <si>
    <t>Up to 31 March 2022</t>
  </si>
  <si>
    <t>Less : Unabsorbed Depreciation</t>
  </si>
  <si>
    <t xml:space="preserve">Add: Interest u/s 234C </t>
  </si>
  <si>
    <t xml:space="preserve">Add: Fees u/s 234F </t>
  </si>
  <si>
    <t>Business Loss B/f</t>
  </si>
  <si>
    <t>Less: Deferred Tax</t>
  </si>
  <si>
    <t>C-174 OKHLA INDUSTRIAL AREA PHASE-II
NEW DELHI-110020</t>
  </si>
  <si>
    <t>19.03.2007</t>
  </si>
  <si>
    <t>AACCD7461R</t>
  </si>
  <si>
    <t>A.Y. 2020-21</t>
  </si>
  <si>
    <t>NOTES FORMING PART OF FINANCIAL STATEMENTS FOR THE YEAR ENDED 31st March, 2023</t>
  </si>
  <si>
    <t>As at 31 March, 2023</t>
  </si>
  <si>
    <t>For the year ended
31 March, 2023</t>
  </si>
  <si>
    <t>Up to 31 March 2023</t>
  </si>
  <si>
    <t>As at 01 April, 2022</t>
  </si>
  <si>
    <r>
      <t>NOTES FORMING PART OF FINANCIAL STATEMENTS FOR THE YEAR ENDED 31</t>
    </r>
    <r>
      <rPr>
        <b/>
        <vertAlign val="superscript"/>
        <sz val="10"/>
        <rFont val="Cambria"/>
        <family val="1"/>
        <scheme val="major"/>
      </rPr>
      <t>st</t>
    </r>
    <r>
      <rPr>
        <b/>
        <sz val="10"/>
        <rFont val="Cambria"/>
        <family val="1"/>
        <scheme val="major"/>
      </rPr>
      <t xml:space="preserve"> March, 2023</t>
    </r>
  </si>
  <si>
    <t>Balance as at 1 April, 2022</t>
  </si>
  <si>
    <t>Additions made upto 30 Sept 2022</t>
  </si>
  <si>
    <t>Additions made after 30 Sept 2022</t>
  </si>
  <si>
    <t>Total as at 31 March, 2023</t>
  </si>
  <si>
    <t>Balance as at 31 March, 2023</t>
  </si>
  <si>
    <t>Interest on income tax rfund</t>
  </si>
  <si>
    <t>Paid on 15.06.2022</t>
  </si>
  <si>
    <t>Paid on 13.09.2022</t>
  </si>
  <si>
    <t>Paid on 13.12.2022</t>
  </si>
  <si>
    <t>Paid on 14.03.2023</t>
  </si>
  <si>
    <t>FY 2022-23</t>
  </si>
  <si>
    <t>COMPUTATION OF TAXABLE INCOME FOR THE YEAR ENDED 31st MARCH, 2023</t>
  </si>
  <si>
    <t>2023-24</t>
  </si>
  <si>
    <t>Note 15: RATIO ANALYSIS</t>
  </si>
  <si>
    <t>Interest on I.T refund</t>
  </si>
  <si>
    <t>Add: Interest on self ass. Tax FY 2021-22</t>
  </si>
  <si>
    <t>(₹ in hundreds)</t>
  </si>
  <si>
    <t>Note 7: PROPERTY, PLANT AND EQUIPMENT AND INTANGIBLE ASSETS</t>
  </si>
  <si>
    <t>SPITI TOWNSHIP LLP</t>
  </si>
  <si>
    <t>Professional fee</t>
  </si>
  <si>
    <t>Interest on Unsecured Loan</t>
  </si>
  <si>
    <t>Rohit Dalal</t>
  </si>
  <si>
    <t xml:space="preserve">    - Kotak Mahindra Bank</t>
  </si>
  <si>
    <t>Interest accrued on FDR</t>
  </si>
  <si>
    <t>Remuneration for the year</t>
  </si>
  <si>
    <t>Interest for the year</t>
  </si>
  <si>
    <t>Interest Accrued FD- 656</t>
  </si>
  <si>
    <t>Interest Accrued FD- 540</t>
  </si>
  <si>
    <t>Interest Accrued FD- 056</t>
  </si>
  <si>
    <t>Interest Accrued FD- 908</t>
  </si>
  <si>
    <t>Interest Accrued FD- 509</t>
  </si>
  <si>
    <t>Partner's Fund</t>
  </si>
  <si>
    <t>Partner's Capital Account</t>
  </si>
  <si>
    <t>Partner's Contribution Account</t>
  </si>
  <si>
    <t>Partner's Current Account</t>
  </si>
  <si>
    <t>Reserves and Surplus</t>
  </si>
  <si>
    <t>Fixed Deposits</t>
  </si>
  <si>
    <t>FD-056</t>
  </si>
  <si>
    <t>FD-908</t>
  </si>
  <si>
    <t>FD-509</t>
  </si>
  <si>
    <t>FD-656</t>
  </si>
  <si>
    <t>FD-540</t>
  </si>
  <si>
    <t>Ashish Dalal</t>
  </si>
  <si>
    <t>Nandini Singh</t>
  </si>
  <si>
    <t>(b) Cash and Cash Equivalents</t>
  </si>
  <si>
    <t>(a) Inventories</t>
  </si>
  <si>
    <t xml:space="preserve">                                            PARTICULARS</t>
  </si>
  <si>
    <t>For the year ended 31 March, 2023</t>
  </si>
  <si>
    <t>(a)</t>
  </si>
  <si>
    <t>Inventories at the end of the year:</t>
  </si>
  <si>
    <t>Stock-in-trade</t>
  </si>
  <si>
    <t>(b)</t>
  </si>
  <si>
    <t>Inventories at the beginning of the year:</t>
  </si>
  <si>
    <t>Net (increase) / decrease</t>
  </si>
  <si>
    <t>Purchase of Stock in Trade</t>
  </si>
  <si>
    <t>Changes in inventories of finished goods, work-in-progress and    stock-in-trade</t>
  </si>
  <si>
    <t>Balance with Statutory authority</t>
  </si>
  <si>
    <t xml:space="preserve">Bank Guarantee Commission </t>
  </si>
  <si>
    <t>External Development Charges</t>
  </si>
  <si>
    <t xml:space="preserve">Conversion Charges </t>
  </si>
  <si>
    <t xml:space="preserve">Scrutiny Fees </t>
  </si>
  <si>
    <t xml:space="preserve">License fee </t>
  </si>
  <si>
    <t>Loans and advances from Related Parties, Unsecured</t>
  </si>
  <si>
    <t>Due to Partner - Rohit Dalal</t>
  </si>
  <si>
    <t>Leo Agro (P) Ltd.</t>
  </si>
  <si>
    <t>From Others</t>
  </si>
  <si>
    <t>Suncity Project (P) Ltd.</t>
  </si>
  <si>
    <t>Umaraman Infrastructure (P) Ltd.</t>
  </si>
  <si>
    <t>INVENTORIES</t>
  </si>
  <si>
    <t>Note - 2 Partners’ Capital Account</t>
  </si>
  <si>
    <t>Note 2.1 - Partner's Contribution account</t>
  </si>
  <si>
    <t>Sr No</t>
  </si>
  <si>
    <t>Name of Partners / Proprietor / owner</t>
  </si>
  <si>
    <t>Share of Profit/Loss 
(%)</t>
  </si>
  <si>
    <t>As at 1st April 2022
(Opening Balance)</t>
  </si>
  <si>
    <t>Capital introduced /contributed during the year</t>
  </si>
  <si>
    <t>Withdrawal during the year</t>
  </si>
  <si>
    <t>As at 31st March 2023
(Closing Balance)</t>
  </si>
  <si>
    <t>Note 2.2 - Partner's Current account</t>
  </si>
  <si>
    <t>Profit / (Loss) of the current year</t>
  </si>
  <si>
    <t>Note 5: OTHER CURRENT LIABILITIES</t>
  </si>
  <si>
    <t>NAME</t>
  </si>
  <si>
    <t>:</t>
  </si>
  <si>
    <t>DATE OF INCORPORATION</t>
  </si>
  <si>
    <t>PAN</t>
  </si>
  <si>
    <t>Registration No.</t>
  </si>
  <si>
    <t>STATUS</t>
  </si>
  <si>
    <t>LLP</t>
  </si>
  <si>
    <t>ADDRESS</t>
  </si>
  <si>
    <t>G-14, Jangpura Extension, New Delhi - 110014</t>
  </si>
  <si>
    <t>ASSESSMENT YEAR</t>
  </si>
  <si>
    <t>FINANCIAL YEAR</t>
  </si>
  <si>
    <t>(Amounts in Rs)</t>
  </si>
  <si>
    <t>INCOME FROM BUSINESS</t>
  </si>
  <si>
    <t>Net Profit/(Loss) as per P&amp;L A/c</t>
  </si>
  <si>
    <t>Tax Due</t>
  </si>
  <si>
    <t>NIL</t>
  </si>
  <si>
    <t>Note: -</t>
  </si>
  <si>
    <t xml:space="preserve">Details of Losses carried forward  is as Under </t>
  </si>
  <si>
    <t xml:space="preserve">Date of Filling Return </t>
  </si>
  <si>
    <t xml:space="preserve">Due Date of Filling Return </t>
  </si>
  <si>
    <t>Ay 2016-16</t>
  </si>
  <si>
    <t>-</t>
  </si>
  <si>
    <t>20/09/2016</t>
  </si>
  <si>
    <t>30/09/2016</t>
  </si>
  <si>
    <t>Ay 2015-15</t>
  </si>
  <si>
    <t>28/09/2015</t>
  </si>
  <si>
    <t>30/09/2015</t>
  </si>
  <si>
    <t>Ay 2013-14</t>
  </si>
  <si>
    <t>16/10/2013</t>
  </si>
  <si>
    <t>30/09/2013</t>
  </si>
  <si>
    <t>Ay 2012-13</t>
  </si>
  <si>
    <t>30/09/2012</t>
  </si>
  <si>
    <t>08.04.2022</t>
  </si>
  <si>
    <t>AESFS2160K</t>
  </si>
  <si>
    <t>ABA-8762</t>
  </si>
  <si>
    <t>1 to 19</t>
  </si>
  <si>
    <t>Designated Partner</t>
  </si>
  <si>
    <t>DIN: 02644318</t>
  </si>
  <si>
    <t>Partner                                                                          Designated Partner</t>
  </si>
  <si>
    <t>Sidhant Agarwal                                                      Nandini Singh</t>
  </si>
  <si>
    <t>M.No. - 537273                                                         DIN: 10000217</t>
  </si>
  <si>
    <t>For R.VENDER GUPTA &amp; ASSOCIATES                                 For and on behalf of the LLP</t>
  </si>
  <si>
    <t>Amount in INR, unless otherwise stated</t>
  </si>
  <si>
    <t>Head of Account</t>
  </si>
  <si>
    <t>Under NILP</t>
  </si>
  <si>
    <t>Under DDJAY</t>
  </si>
  <si>
    <t>Amount of Bank Guarantees Taken</t>
  </si>
  <si>
    <t>1.      Scrutiny Fee</t>
  </si>
  <si>
    <t>2.      License Fee</t>
  </si>
  <si>
    <t>3.      Balance License Fee</t>
  </si>
  <si>
    <t>4.      E. D. Charges</t>
  </si>
  <si>
    <t>5.      Conversion Charges</t>
  </si>
  <si>
    <t>6.      Bank Guarantee Comission</t>
  </si>
  <si>
    <t>Spiti Township</t>
  </si>
  <si>
    <t>Chloris</t>
  </si>
  <si>
    <t>Umaraman</t>
  </si>
  <si>
    <t>Detail of payment made to directorate of town &amp; Country planning chandigarh as per LOI issued on the land measuring 10.05625 Acres (Under NILP) and on land measuring 12.14028 Acres (under DDJAY upto 31.03.2023 and shared in their respective proportions</t>
  </si>
  <si>
    <t>SUMMARY</t>
  </si>
  <si>
    <t>Spiti Township LLP</t>
  </si>
  <si>
    <t>Chloris Real Estate Limited</t>
  </si>
  <si>
    <t>Umaraman Infrastruture Private Limited</t>
  </si>
  <si>
    <t>Expenses incurred</t>
  </si>
  <si>
    <t>Advance from Shalini Singh</t>
  </si>
  <si>
    <t>Fixed Deposit*</t>
  </si>
  <si>
    <t>Advance received for the project</t>
  </si>
  <si>
    <t>*Held under lien against Bank guarantee issued by Indian Bank</t>
  </si>
  <si>
    <t>Basis of accounting and preparation of financial statements</t>
  </si>
  <si>
    <t>Use of estimates</t>
  </si>
  <si>
    <t xml:space="preserve">Cash and cash equivalents </t>
  </si>
  <si>
    <t xml:space="preserve">Cash comprises cash on hand and Balances with banks. </t>
  </si>
  <si>
    <t>Provisions and contingencies</t>
  </si>
  <si>
    <t>Revenue Recognition</t>
  </si>
  <si>
    <t>Revenue from Sale of Goods</t>
  </si>
  <si>
    <t>Revenue from sale of goods in the course of ordinary activities is measured at the value of consideration received or receivable, net of return, trade discounts, rate differences volume, rebate &amp; commission paid. Revenue is recognised when the significant risk and rewards of ownership have been transfered to the buyer, recovery of the consideration is probable, the associate costs and possible return of goods can be estimated reliably, there is no continuing effective control over, or managerial involvement with, the goods, and the amount of revenue can be measured reliably.</t>
  </si>
  <si>
    <t>Inventory</t>
  </si>
  <si>
    <t>Inventories are valued in accordance with the requirement of revised Accounting Standard (AS-2) on ‘Valuation of Inventories’ issued by the Institute of Chartered Accountants of India (ICAI).</t>
  </si>
  <si>
    <t>Raw material is valued at cost, work in process is valued at cost plus direct attributable cost and finished goods is valued at cost or net realizable value, whichever is lower.</t>
  </si>
  <si>
    <t>Provision for Current and Deferred Tax</t>
  </si>
  <si>
    <t>Provision for current tax is made after taking into consideration benefits admissible under the provisions of Income tax act, 1961. Deferred tax resulting from ‘timing difference’ between taxable and accounting income is accounted for using rates and laws that are enacted as on the balance sheet date.</t>
  </si>
  <si>
    <t>Deferred tax assets arising mainly on account of brought forward losses and unabsorbed depreciation under Tax laws, are recognized, only if there is a virtual certainty of its realization, supported by convincing evidence. Deferred tax asset on account of other timing differences is recognized only to the extent there is reasonable certainty of its realization.</t>
  </si>
  <si>
    <t xml:space="preserve">The financial statements of the LLP have been prepared in accordance with the Generally Accepted Accounting Principles in India (Indian GAAP) to comply with the Accounting Standards issued by the Institute of Chartered Accountants of India, as applicable. The financial statements have been prepared on accrual basis and under the historical cost convention. </t>
  </si>
  <si>
    <t>The LLP follows accrual system of accounting in the preparation of accounts except where otherwise stated.</t>
  </si>
  <si>
    <t>Classification as assets and liabilities as current and non current</t>
  </si>
  <si>
    <t>All assets and liabiltites have been classified as current and non current on the basis of LLP's normal operating cycle. Based on the time period between acquistion of assets for processing and their realisation in cash and cash equivalents, the LLP has determined its operating cycle as twelve months for the purpose of classification as current and non current</t>
  </si>
  <si>
    <t>A provision is recognised when the LLP has a present obligation as a result of past events and it is probable that an outflow of resources will be required to settle the obligation in respect of which a reliable estimate can be made. Provisions are not discounted to their present value and are determined based on the best estimate required to settle the obligation at the Balance Sheet date. These are reviewed at each Balance Sheet date and adjusted to reflect the current best estimates.</t>
  </si>
  <si>
    <t>Stock in trade - Land (valued at cost or market price, whichever is lower)</t>
  </si>
  <si>
    <t>Note 3: SHORT-TERM BORROWINGS</t>
  </si>
  <si>
    <t xml:space="preserve">Significant Accounting Policies </t>
  </si>
  <si>
    <t>As at 1st April 2023
(Opening Balance)</t>
  </si>
  <si>
    <t>As at 31st March 2024
(Closing Balance)</t>
  </si>
  <si>
    <t>As at 31 March, 2024</t>
  </si>
  <si>
    <t>For the year ended
31 March, 2024</t>
  </si>
  <si>
    <t>14-G, JANGPURA, EXTENSION, NEW DELHI New Delhi Delhi 110014</t>
  </si>
  <si>
    <t>Trial Balance</t>
  </si>
  <si>
    <t>1-Apr-23 to 31-Dec-23</t>
  </si>
  <si>
    <t>Opening</t>
  </si>
  <si>
    <t>Transactions</t>
  </si>
  <si>
    <t>Closing</t>
  </si>
  <si>
    <t>Balance</t>
  </si>
  <si>
    <t>Debit</t>
  </si>
  <si>
    <t>Credit</t>
  </si>
  <si>
    <t>Capital Account</t>
  </si>
  <si>
    <t>Nandini Singh Capital Account</t>
  </si>
  <si>
    <t>Nandini Singh Current Account</t>
  </si>
  <si>
    <t>Rohit Dalal Capital Account</t>
  </si>
  <si>
    <t>Rohit Dalal Current Account</t>
  </si>
  <si>
    <t>Loans (Liability)</t>
  </si>
  <si>
    <t>Unsecured Loans</t>
  </si>
  <si>
    <t>AAY TEE LOGISTIC</t>
  </si>
  <si>
    <t>HOT WHEELS</t>
  </si>
  <si>
    <t>Leo Agro Private Limited</t>
  </si>
  <si>
    <t>MR.ASHISH DALAL</t>
  </si>
  <si>
    <t>Ms.Nandini Singh</t>
  </si>
  <si>
    <t>RASHTRA DEEP SIHAG</t>
  </si>
  <si>
    <t>Suncity Project Pvt Ltd</t>
  </si>
  <si>
    <t>Advance Against Project</t>
  </si>
  <si>
    <t>Umaraman Infrastructure Pvt Ltd</t>
  </si>
  <si>
    <t>Duties &amp; Taxes</t>
  </si>
  <si>
    <t>INPUT CGST</t>
  </si>
  <si>
    <t>INPUT IGST</t>
  </si>
  <si>
    <t>INPUT SGST</t>
  </si>
  <si>
    <t>Tds on Contractor</t>
  </si>
  <si>
    <t>Tds on Interest</t>
  </si>
  <si>
    <t>TDS on Professional Fees</t>
  </si>
  <si>
    <t>TDS ON RENT</t>
  </si>
  <si>
    <t>Tds On Salary</t>
  </si>
  <si>
    <t>Provisions</t>
  </si>
  <si>
    <t>Audit Fees Payable</t>
  </si>
  <si>
    <t>Sundry Creditors</t>
  </si>
  <si>
    <t>Salary Payable</t>
  </si>
  <si>
    <t>GEETA CHHABRA Salary A/c</t>
  </si>
  <si>
    <t>Mr Manav Salary A/c</t>
  </si>
  <si>
    <t>Mr Pranav Vinod Salary A/c</t>
  </si>
  <si>
    <t>RACHNA SHARMA</t>
  </si>
  <si>
    <t>Sandeep Sharma Salary A/c</t>
  </si>
  <si>
    <t>Shalini Singh</t>
  </si>
  <si>
    <t>TOMAR ESTATE PVT LTD</t>
  </si>
  <si>
    <t>Fixed Assets</t>
  </si>
  <si>
    <t>Microwave</t>
  </si>
  <si>
    <t>Opening Stock</t>
  </si>
  <si>
    <t>Deposits (Asset)</t>
  </si>
  <si>
    <t>Bank Guarantee 0328223IFG000094</t>
  </si>
  <si>
    <t>Fixed Deposits- 7415611056</t>
  </si>
  <si>
    <t>Fixed Deposits- 7415611908</t>
  </si>
  <si>
    <t>Fixed Deposits- 7419182509</t>
  </si>
  <si>
    <t>Fixed Deposits- 7431694656</t>
  </si>
  <si>
    <t>Fixed Deposits 7451512540</t>
  </si>
  <si>
    <t>Loans &amp; Advances (Asset)</t>
  </si>
  <si>
    <t>Tomar infracon</t>
  </si>
  <si>
    <t>Bank Accounts</t>
  </si>
  <si>
    <t>Indian Bank 7409913188</t>
  </si>
  <si>
    <t>Kotak Mahindra Bank- 3046547966</t>
  </si>
  <si>
    <t>Land Purchase</t>
  </si>
  <si>
    <t>Balance Licance Fee DDJAY</t>
  </si>
  <si>
    <t>Bank Guarantee Commission 0328223IFG000094</t>
  </si>
  <si>
    <t>Bank Guarantee Commission -03282IG230000012</t>
  </si>
  <si>
    <t>Bank Guarantee Commission-03282IG230000013</t>
  </si>
  <si>
    <t>E D Charges DDJAY</t>
  </si>
  <si>
    <t>IDC Charges -DDJAY</t>
  </si>
  <si>
    <t>License Fee DDJAY</t>
  </si>
  <si>
    <t>Registration Fee &amp; Processing Fee (DDJAY)</t>
  </si>
  <si>
    <t>Scrutiny Fees DDJAY</t>
  </si>
  <si>
    <t>Balance Licance Fee NILP</t>
  </si>
  <si>
    <t>Bank Guarantee Commission -03282IG230000015</t>
  </si>
  <si>
    <t>Bank Guarantee Commission-03282IG230000021</t>
  </si>
  <si>
    <t>Conversion Charges NILP</t>
  </si>
  <si>
    <t>IDC Charges-NILP</t>
  </si>
  <si>
    <t>Licance Fee ( NILP)</t>
  </si>
  <si>
    <t>REGISTRATION FEE &amp; PROCESSING FEE  (NILP)</t>
  </si>
  <si>
    <t>Scrunity Fees (NILP)</t>
  </si>
  <si>
    <t>Security Deposit</t>
  </si>
  <si>
    <t>Elan Avenue Pvt Ltd-Security</t>
  </si>
  <si>
    <t>KMS Impex Pvt Ltd (Security Deposit)</t>
  </si>
  <si>
    <t>Interest Accrued FD-7431694656</t>
  </si>
  <si>
    <t>Interest Accrued FD-7451512540</t>
  </si>
  <si>
    <t>Interest Accrued-FD No.7415611056</t>
  </si>
  <si>
    <t>Interest Accrued FD No.-7415611908</t>
  </si>
  <si>
    <t>Interest Accrued FD No- 7419182509</t>
  </si>
  <si>
    <t>Prepaid Expenses</t>
  </si>
  <si>
    <t>RERA FEES</t>
  </si>
  <si>
    <t>TDS Receivable</t>
  </si>
  <si>
    <t>Suspense A/c</t>
  </si>
  <si>
    <t>Suspense</t>
  </si>
  <si>
    <t>Purchase Accounts</t>
  </si>
  <si>
    <t>Site Development Charges</t>
  </si>
  <si>
    <t>Boundry Walls</t>
  </si>
  <si>
    <t>Bricks</t>
  </si>
  <si>
    <t>Earth Filling</t>
  </si>
  <si>
    <t>Electrical Goods</t>
  </si>
  <si>
    <t>Octangle Pole</t>
  </si>
  <si>
    <t>Pipes</t>
  </si>
  <si>
    <t>Swtiching Station</t>
  </si>
  <si>
    <t>Indirect Incomes</t>
  </si>
  <si>
    <t>Interest on IT Refund</t>
  </si>
  <si>
    <t>Indirect Expenses</t>
  </si>
  <si>
    <t>Application Charges for ROW</t>
  </si>
  <si>
    <t>ARCHITECT SERVICES</t>
  </si>
  <si>
    <t>Consuables 5%</t>
  </si>
  <si>
    <t>Consuambles-12%</t>
  </si>
  <si>
    <t>Consuambles-18%</t>
  </si>
  <si>
    <t>ELECTRICITY EXP.</t>
  </si>
  <si>
    <t>Freight Charges</t>
  </si>
  <si>
    <t>Interest on Late Payment of TDS</t>
  </si>
  <si>
    <t>MAINTENANCE CHARGES OF BUILDING NO.96</t>
  </si>
  <si>
    <t>Professional Fee</t>
  </si>
  <si>
    <t>RENT EXPENSES</t>
  </si>
  <si>
    <t>Repair And Maintenance 28%</t>
  </si>
  <si>
    <t>ROUND OFF.</t>
  </si>
  <si>
    <t>Telephone and Internet Expenses</t>
  </si>
  <si>
    <t>Grand Total</t>
  </si>
  <si>
    <t>Common Exp</t>
  </si>
  <si>
    <t>Bank Guarantee Commission-7556082800</t>
  </si>
  <si>
    <t/>
  </si>
  <si>
    <t>FD Against BG 7556082800</t>
  </si>
  <si>
    <t>Licence Fee Under DDJAY</t>
  </si>
  <si>
    <t>Licence Fee Under NILP</t>
  </si>
  <si>
    <t>Staff Welfare</t>
  </si>
  <si>
    <t>IVR Services</t>
  </si>
  <si>
    <t>Salary Expenses</t>
  </si>
  <si>
    <t>Related to Project - DDJAY</t>
  </si>
  <si>
    <t>Projected/Estimated Figure</t>
  </si>
  <si>
    <t>Actual Figure (As per Tally)</t>
  </si>
  <si>
    <t>Employee Benefit Expenses</t>
  </si>
  <si>
    <t>Salaries &amp; Wages</t>
  </si>
  <si>
    <t>Staff Welfare Expenses</t>
  </si>
  <si>
    <t>Rent</t>
  </si>
  <si>
    <t>Repair &amp; Maintenance</t>
  </si>
  <si>
    <t>Communication Expenses</t>
  </si>
  <si>
    <t>Electricity Expenses</t>
  </si>
  <si>
    <t>Accrued Interest Interest Calculation FY-2022-23</t>
  </si>
  <si>
    <t>FD NUMBER</t>
  </si>
  <si>
    <t>AMOUNT</t>
  </si>
  <si>
    <t>No of Days</t>
  </si>
  <si>
    <t>Intt rate</t>
  </si>
  <si>
    <t>Amount Booked in tally</t>
  </si>
  <si>
    <t>difference</t>
  </si>
  <si>
    <t>Date of FD</t>
  </si>
  <si>
    <t>Maturity Date</t>
  </si>
  <si>
    <t>FD-7431694656</t>
  </si>
  <si>
    <t>FD-7451512540</t>
  </si>
  <si>
    <t>FD-7415611056</t>
  </si>
  <si>
    <t>FD-7415611908</t>
  </si>
  <si>
    <t>FD-7419182509</t>
  </si>
  <si>
    <t>Accrued Interest Interest Calculation FY-2023-24</t>
  </si>
  <si>
    <t>Gross Amount</t>
  </si>
  <si>
    <t>Net Amount</t>
  </si>
  <si>
    <t>Interest Booked in Book for the FY-2022-23</t>
  </si>
  <si>
    <t>Difference</t>
  </si>
  <si>
    <t>Interest Booked in Book for the FY-2023-24</t>
  </si>
  <si>
    <t>Interest on Income Tax Refund</t>
  </si>
  <si>
    <t>Due to Partner - Nandini Singh</t>
  </si>
  <si>
    <t>Rashtra Deep Sihag</t>
  </si>
  <si>
    <t>(b) Trade Payables</t>
  </si>
  <si>
    <t>(c) Other Current Liabilities</t>
  </si>
  <si>
    <t>Note 4: TRADE PAYABLES</t>
  </si>
  <si>
    <t>Total outstanding dues of creditors other than micro and small enterprises</t>
  </si>
  <si>
    <t>Salary Payables</t>
  </si>
  <si>
    <t xml:space="preserve"> </t>
  </si>
  <si>
    <t>Loan &amp; Advances</t>
  </si>
  <si>
    <t>Security Received from Tomar Estate Pvt Ltd</t>
  </si>
  <si>
    <t xml:space="preserve"> - Tomar Infracon</t>
  </si>
  <si>
    <t xml:space="preserve"> - CGST Input</t>
  </si>
  <si>
    <t xml:space="preserve"> - SGST Input</t>
  </si>
  <si>
    <t xml:space="preserve"> - IGST Input</t>
  </si>
  <si>
    <t>Bharti Airtel Limited</t>
  </si>
  <si>
    <t>DAIKIN AIRCONDITINING PRIVATE LIMITED</t>
  </si>
  <si>
    <t>DAULAT &amp; PUNEET ARCHITECTS LLP</t>
  </si>
  <si>
    <t>Elan Avenue Limited</t>
  </si>
  <si>
    <t>GURUGRAM METROPOLITAN DEVELOPMENT AUTHORITY</t>
  </si>
  <si>
    <t>INDUSTRIAL SWITCHGEARS</t>
  </si>
  <si>
    <t>KAMAL ELECTRICAL</t>
  </si>
  <si>
    <t>KKM Engineering Solutions Pvt Ltd.</t>
  </si>
  <si>
    <t>KMS IMPEX PVT LTD</t>
  </si>
  <si>
    <t>MAHAMAI VENDING SOLUTIONS</t>
  </si>
  <si>
    <t>P E Analytics Ltd</t>
  </si>
  <si>
    <t>R.Vender Gupta and Associates</t>
  </si>
  <si>
    <t>RYNOD ENGINEER</t>
  </si>
  <si>
    <t>Shri Shyam Cement Articles</t>
  </si>
  <si>
    <t>SMART IVR SERVICES</t>
  </si>
  <si>
    <t>SPARK TOWN PLANNERS PVT LTD</t>
  </si>
  <si>
    <t>Suraj Bhatta Company</t>
  </si>
  <si>
    <t>Vijay Sales Pvt Ltd</t>
  </si>
  <si>
    <t>Advance to Suppliers</t>
  </si>
  <si>
    <t xml:space="preserve"> - Elan Avenue Pvt Ltd</t>
  </si>
  <si>
    <t xml:space="preserve"> - KMS Impex Pvt Ltd</t>
  </si>
  <si>
    <t xml:space="preserve"> - TDS Receivables</t>
  </si>
  <si>
    <t xml:space="preserve"> - GST Input Credit</t>
  </si>
  <si>
    <t>Note 6: OTHER CURRENT LIABILITIES</t>
  </si>
  <si>
    <t>Note 7: CASH AND CASH EQUIVALENTS</t>
  </si>
  <si>
    <t>Note 8: OTHER CURRENT ASSETS</t>
  </si>
  <si>
    <t>Note 9: OTHER INCOME</t>
  </si>
  <si>
    <t>Note 10: CHANGES IN INVENTORIES OF FINISHED GOODS, WIP AND STOCK IN TRADE</t>
  </si>
  <si>
    <t>Note 11: EMPLOYEE BENEFIT EXPENSES</t>
  </si>
  <si>
    <t>Note 12: OTHER EXPENSES</t>
  </si>
  <si>
    <t>S.No.</t>
  </si>
  <si>
    <t>Working for Computation of Interest Accrued on FDR for FY 2023-24</t>
  </si>
  <si>
    <t>FD Number</t>
  </si>
  <si>
    <t>FD Maturity Date</t>
  </si>
  <si>
    <t>FD Investment Date</t>
  </si>
  <si>
    <t>Total Interest</t>
  </si>
  <si>
    <t>Interest already taken in 22-23</t>
  </si>
  <si>
    <t>Interest for FY 2024-25</t>
  </si>
  <si>
    <t>Gross Interest for 2023-24</t>
  </si>
  <si>
    <t>FD-7556082800</t>
  </si>
  <si>
    <t>FD Maturity Amt.</t>
  </si>
  <si>
    <t>FD Investment Amt.</t>
  </si>
  <si>
    <t>TDS to be deducted on Interest in 23-24</t>
  </si>
  <si>
    <t>Computation of Inventory Cost for FY 2023-24</t>
  </si>
  <si>
    <t>Amount</t>
  </si>
  <si>
    <t>Inventory Cost as on 31.03.2023_(Land Cost)</t>
  </si>
  <si>
    <t>Deferred Revenue Expenditures shown in 22-23 Financial</t>
  </si>
  <si>
    <t>Site Development Charges "IDW"_Purchase Cost (DDJAY)</t>
  </si>
  <si>
    <t>License Fee Payment under DDJAY</t>
  </si>
  <si>
    <t>License Fee Payment under NILP</t>
  </si>
  <si>
    <t>Suspense Account_Probable related to RERA Exp. (As confirmed by Kapil Sir)</t>
  </si>
  <si>
    <t xml:space="preserve"> - Application Charges for ROW</t>
  </si>
  <si>
    <t>Expenses related to DDJAY project needs to be capitalise :</t>
  </si>
  <si>
    <t>COMPUTATION OF TAXABLE INCOME FOR THE YEAR ENDED ON 31ST MARCH, 2024</t>
  </si>
  <si>
    <t>Audit Fees Payable Dr.</t>
  </si>
  <si>
    <t>To Audit Fees</t>
  </si>
  <si>
    <t>R. Vender Gupta &amp; Associates Dr.</t>
  </si>
  <si>
    <t>To Audit Fees Payable</t>
  </si>
  <si>
    <t>Balance EDC Charges Payable - DDJAY</t>
  </si>
  <si>
    <t>Balance EDC Charges Payable - NILP</t>
  </si>
  <si>
    <t>EDC Charges DDJAY Dr</t>
  </si>
  <si>
    <t>To EDC Charges-DDJAY Payable</t>
  </si>
  <si>
    <t>EDC Charges NILP Dr</t>
  </si>
  <si>
    <t>To EDC Charges-NILP Payable</t>
  </si>
  <si>
    <t>EDC Charges Payables</t>
  </si>
  <si>
    <t xml:space="preserve"> - Against NILP Project</t>
  </si>
  <si>
    <t xml:space="preserve"> - Against DDJAY Project</t>
  </si>
  <si>
    <t>&gt;&gt; As per Schedule</t>
  </si>
  <si>
    <t>Professional Charges</t>
  </si>
  <si>
    <t>Deferred Revenue expenditure - Professional Charges</t>
  </si>
  <si>
    <t>To Professional Charges</t>
  </si>
  <si>
    <t>Payment of Scrutiny Fee on 23-01-24_DDJAY not covered above</t>
  </si>
  <si>
    <t>Payment of IDC Charges on 23-01-24_DDJAY not covered above</t>
  </si>
  <si>
    <t>To Rohit Dalal</t>
  </si>
  <si>
    <t>To Leo Agro Private Limited</t>
  </si>
  <si>
    <t>&gt;&gt; Consider as expense related to DDJAY</t>
  </si>
  <si>
    <t xml:space="preserve"> FY 2023-24 </t>
  </si>
  <si>
    <t>1.      E. D. Charges</t>
  </si>
  <si>
    <t>6.      Bank Guarantee Commission</t>
  </si>
  <si>
    <t>Note - Amount included in Site Development Charges - Purchase Cost "IDW"</t>
  </si>
  <si>
    <t>Architect Services</t>
  </si>
  <si>
    <t>Suspense Account_Probable related to RERA Exp. (As confirmed by Kapil Sir)_Considered as related to DDJAY</t>
  </si>
  <si>
    <t>Detail of payment made to directorate of town &amp; Country planning chandigarh as per LOI issued on the land measuring 10.05625 Acres (Under NILP) and on land measuring 12.14028 Acres (under DDJAY upto 31.03.2024 and shared in their respective proportions</t>
  </si>
  <si>
    <t xml:space="preserve">Umaraman </t>
  </si>
  <si>
    <t>Party engaged in Project - DDJAY</t>
  </si>
  <si>
    <t>Analysis of Alternative available for Distribution of TDR Consideration</t>
  </si>
  <si>
    <t>Option-1 "in Ratio of Land Share engaged in DDJAY Project "After TDR"</t>
  </si>
  <si>
    <t>% of Land Area</t>
  </si>
  <si>
    <t>In Acres</t>
  </si>
  <si>
    <t>In Kanal</t>
  </si>
  <si>
    <t>In Marla</t>
  </si>
  <si>
    <t>In Sarsai</t>
  </si>
  <si>
    <t>Party Name</t>
  </si>
  <si>
    <t>Area of Land after TDR as per Revised Order Provided of DDJAY</t>
  </si>
  <si>
    <t xml:space="preserve">Area % </t>
  </si>
  <si>
    <t>TDR Consideration - Rs.24,17,59,612.00/-</t>
  </si>
  <si>
    <t>Land Area (in Acre) "As per revised DTCP order"</t>
  </si>
  <si>
    <t>b) Area of Land in Acres gifted in TDR (As per TDR Certificate)</t>
  </si>
  <si>
    <t>Land Area (in Acre) for which TDR actually Received</t>
  </si>
  <si>
    <t>Land Area (in Acre) against which TDR Requested</t>
  </si>
  <si>
    <t>TDR Consideration to be received - Rs.24,17,59,612.00/-</t>
  </si>
  <si>
    <t>B</t>
  </si>
  <si>
    <t>Difference between TDR consideration to be receive between actual TDR consideration received</t>
  </si>
  <si>
    <t>C=B-A</t>
  </si>
  <si>
    <t>Partner                                                                       Designated Partner</t>
  </si>
  <si>
    <t>Sidhant Agarwal                                                       Nandini Singh</t>
  </si>
  <si>
    <t>REPAIR &amp; MAINTENANCE 18%</t>
  </si>
  <si>
    <t>Printing &amp; Stationary-12%</t>
  </si>
  <si>
    <t>Printing &amp; Statinary-18%</t>
  </si>
  <si>
    <t>Office Expenses</t>
  </si>
  <si>
    <t>Labour Charges</t>
  </si>
  <si>
    <t>Advertisment Expenses</t>
  </si>
  <si>
    <t>Interest &amp; Penal Charges on IDC - NILP</t>
  </si>
  <si>
    <t>Excess IDC Charges Paid</t>
  </si>
  <si>
    <t>EDC Charges-NILP</t>
  </si>
  <si>
    <t>Interest &amp; Penal Charges on IDC - DDJAY</t>
  </si>
  <si>
    <t>EDC Charges DDJAY</t>
  </si>
  <si>
    <t>Imperst Account</t>
  </si>
  <si>
    <t>EDC Charges-NILP Payable</t>
  </si>
  <si>
    <t>EDC Charges-DDJAY Payable</t>
  </si>
  <si>
    <t>Siddhant Garg Salary A/c</t>
  </si>
  <si>
    <t>Sabina Joseph Salary Ac</t>
  </si>
  <si>
    <t>1-Apr-23 to 31-Mar-24</t>
  </si>
  <si>
    <t>Printing Stationary</t>
  </si>
  <si>
    <t>Business Promotion Expenses</t>
  </si>
  <si>
    <t>Deferred Revenue Expenses</t>
  </si>
  <si>
    <t>Imprest A/c Payable</t>
  </si>
  <si>
    <t>Balances with Scheduled Banks in current accounts with:</t>
  </si>
  <si>
    <t>TDR Consideration - Rs.24,17,59,612.00/- (Before TDS)</t>
  </si>
  <si>
    <t>TDS ON PROFESSIONAL FEES</t>
  </si>
  <si>
    <t>TDS ON SALARY</t>
  </si>
  <si>
    <t>Creative Signs</t>
  </si>
  <si>
    <t>Singla Marketing Company</t>
  </si>
  <si>
    <t>SV ELEVATORS</t>
  </si>
  <si>
    <t>Tomar Estate Pvt Ltd  (Contractor)</t>
  </si>
  <si>
    <t>Spiti Greenwood Estate</t>
  </si>
  <si>
    <t>indian Bank-Main Account -Spiti Greenwood estate-7711289266</t>
  </si>
  <si>
    <t>SUSPENSE</t>
  </si>
  <si>
    <t>BRICKS</t>
  </si>
  <si>
    <t>SALARY EXPENSES</t>
  </si>
  <si>
    <t>TDS Credit on Interest accrued</t>
  </si>
  <si>
    <t>To  Interest Income</t>
  </si>
  <si>
    <t>&gt;&gt; Earlier discussed audit fees was Rs.100k.</t>
  </si>
  <si>
    <t>NILP Total</t>
  </si>
  <si>
    <t>DDJAY Total</t>
  </si>
  <si>
    <t xml:space="preserve">    - Indian Bank (Including Main A/c)</t>
  </si>
  <si>
    <t>PROVISIONAL BALANCE SHEET AS AT 31st March, 2024</t>
  </si>
  <si>
    <t>STATEMENT OF PROVISIONAL PROFIT AND LOSS FOR THE YEAR ENDED 31st March, 2024</t>
  </si>
  <si>
    <t>NOTES FORMING PART OF PROVISIONAL BALANCE SHEET FOR THE YEAR ENDED 31st March, 2024</t>
  </si>
  <si>
    <t>Deferred Revenue expenditure</t>
  </si>
  <si>
    <t>To Revenue from Operations</t>
  </si>
  <si>
    <t>c) Total Land Area (in Acre) before TDR (a+b)</t>
  </si>
  <si>
    <t>a) Land Area (in Acre) "As per revised DTCP order" after TDR</t>
  </si>
  <si>
    <t>Option-1 "in Ratio of Land Share engaged in DDJAY Project "Before TDR"</t>
  </si>
  <si>
    <t>Status of Consideration Recd.</t>
  </si>
  <si>
    <t>Short consid. received</t>
  </si>
  <si>
    <t>Excess consid. received</t>
  </si>
  <si>
    <t>TDR Consideration in ratio of Before Land' share before TDR - Rs.24,17,59,612.00/-</t>
  </si>
  <si>
    <t>Option-2 Differential Between Requested TDR Certificate and Final TDR Certificate</t>
  </si>
  <si>
    <t>Note - It is required to note that TDR of Land was requested against land of "Umaraman" and "Chloris" only.</t>
  </si>
  <si>
    <t>Current Liab</t>
  </si>
  <si>
    <t>Non-Current Liab</t>
  </si>
  <si>
    <t>As per Scheduled shared to lunch</t>
  </si>
  <si>
    <t>2.      Interest due on E. D. Charges</t>
  </si>
  <si>
    <t>Interest on EDC Charges - To capitalise with inventory_NILP</t>
  </si>
  <si>
    <t>Interest on EDC Charges - To capitalise with inventory_DDJAY</t>
  </si>
  <si>
    <t>To Interest on EDC Charges Payables_DDJAY</t>
  </si>
  <si>
    <t>To Interest on EDC Charges Payables_NILP</t>
  </si>
  <si>
    <t xml:space="preserve">Interest Payables on EDC Charges due </t>
  </si>
  <si>
    <t>Audit Fees A/c</t>
  </si>
  <si>
    <t>To Audit Fees Payables</t>
  </si>
  <si>
    <t>3.      I. D. Charges</t>
  </si>
  <si>
    <t>4.      I. D. Charges (Penalty, Interest &amp; Excess Payment)</t>
  </si>
  <si>
    <t>5.      License Fee</t>
  </si>
  <si>
    <t>6.      Registration Fees &amp; Processing Fees</t>
  </si>
  <si>
    <t>7.      Scrutiny Fee</t>
  </si>
  <si>
    <t>8.      Bank Guarantee Commission</t>
  </si>
  <si>
    <t>11.      Site Development Charges - Purchase Cost "IDW" (Refer Note)</t>
  </si>
  <si>
    <t>9.      Deficit Charges of Scrutiny Fee</t>
  </si>
  <si>
    <t>10.      Inspection/Supervision Charges (5,22,09,357*1.5%*1.18)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</si>
</sst>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5" formatCode="&quot;₹&quot;\ #,##0;&quot;₹&quot;\ \-#,##0"/>
    <numFmt numFmtId="43" formatCode="_ * #,##0.00_ ;_ * \-#,##0.00_ ;_ * &quot;-&quot;??_ ;_ @_ "/>
    <numFmt numFmtId="164" formatCode="_(* #,##0.00_);_(* \(#,##0.00\);_(* &quot;-&quot;??_);_(@_)"/>
    <numFmt numFmtId="165" formatCode="_-* #,##0.00_-;\-* #,##0.00_-;_-* &quot;-&quot;??_-;_-@_-"/>
    <numFmt numFmtId="166" formatCode="_(* #,##0_);_(* \(#,##0\);_(* &quot;-&quot;??_);_(@_)"/>
    <numFmt numFmtId="167" formatCode="_(* #,##0.000_);_(* \(#,##0.000\);_(* &quot;-&quot;??_);_(@_)"/>
    <numFmt numFmtId="168" formatCode="_(* #,##0.000000_);_(* \(#,##0.000000\);_(* &quot;-&quot;??_);_(@_)"/>
    <numFmt numFmtId="169" formatCode="_ * #,##0.00_)\ _$_ ;_ * \(#,##0.00\)\ _$_ ;_ * &quot;-&quot;??_)\ _$_ ;_ @_ "/>
    <numFmt numFmtId="170" formatCode="_ * #,##0_ ;_ * \-#,##0_ ;_ * &quot;-&quot;??_ ;_ @_ "/>
    <numFmt numFmtId="171" formatCode="0.0"/>
    <numFmt numFmtId="172" formatCode="0.00_);\(0.00\)"/>
    <numFmt numFmtId="173" formatCode="0.000"/>
    <numFmt numFmtId="174" formatCode="_ * #,##0.000_ ;_ * \-#,##0.000_ ;_ * &quot;-&quot;??_ ;_ @_ "/>
    <numFmt numFmtId="175" formatCode="[$-409]d/mmm/yy;@"/>
    <numFmt numFmtId="176" formatCode="#,##0.00;\ \(#,##0.00\)"/>
    <numFmt numFmtId="177" formatCode="&quot;&quot;0.00&quot; Cr&quot;"/>
    <numFmt numFmtId="178" formatCode="&quot;&quot;0"/>
    <numFmt numFmtId="179" formatCode="&quot;&quot;0.00&quot; Dr&quot;"/>
    <numFmt numFmtId="180" formatCode="&quot;&quot;0.00"/>
    <numFmt numFmtId="181" formatCode="_ * #,##0.000000_ ;_ * \-#,##0.000000_ ;_ * &quot;-&quot;??_ ;_ @_ "/>
  </numFmts>
  <fonts count="7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b/>
      <sz val="10"/>
      <name val="Tahoma"/>
      <family val="2"/>
    </font>
    <font>
      <sz val="10"/>
      <name val="Arial"/>
      <family val="2"/>
    </font>
    <font>
      <b/>
      <sz val="10"/>
      <name val="Arial"/>
      <family val="2"/>
    </font>
    <font>
      <b/>
      <sz val="11"/>
      <name val="Calibri"/>
      <family val="2"/>
    </font>
    <font>
      <sz val="11"/>
      <color indexed="8"/>
      <name val="Calibri"/>
      <family val="2"/>
    </font>
    <font>
      <b/>
      <sz val="10"/>
      <name val="Cambria"/>
      <family val="1"/>
      <scheme val="major"/>
    </font>
    <font>
      <sz val="10"/>
      <name val="Cambria"/>
      <family val="1"/>
      <scheme val="major"/>
    </font>
    <font>
      <b/>
      <sz val="10"/>
      <color indexed="8"/>
      <name val="Cambria"/>
      <family val="1"/>
      <scheme val="major"/>
    </font>
    <font>
      <u/>
      <sz val="10"/>
      <name val="Cambria"/>
      <family val="1"/>
      <scheme val="major"/>
    </font>
    <font>
      <b/>
      <u/>
      <sz val="10"/>
      <name val="Cambria"/>
      <family val="1"/>
      <scheme val="major"/>
    </font>
    <font>
      <sz val="10"/>
      <color indexed="10"/>
      <name val="Cambria"/>
      <family val="1"/>
      <scheme val="major"/>
    </font>
    <font>
      <sz val="10"/>
      <color theme="0"/>
      <name val="Cambria"/>
      <family val="1"/>
      <scheme val="major"/>
    </font>
    <font>
      <sz val="10"/>
      <name val="Arial"/>
      <family val="2"/>
    </font>
    <font>
      <b/>
      <sz val="10"/>
      <name val="Cambria"/>
      <family val="1"/>
    </font>
    <font>
      <b/>
      <u/>
      <sz val="10"/>
      <name val="Cambria"/>
      <family val="1"/>
    </font>
    <font>
      <sz val="10"/>
      <name val="Cambria"/>
      <family val="1"/>
    </font>
    <font>
      <sz val="10"/>
      <color theme="1"/>
      <name val="Cambria"/>
      <family val="1"/>
      <scheme val="major"/>
    </font>
    <font>
      <b/>
      <vertAlign val="superscript"/>
      <sz val="10"/>
      <name val="Cambria"/>
      <family val="1"/>
      <scheme val="major"/>
    </font>
    <font>
      <sz val="10"/>
      <color indexed="8"/>
      <name val="Cambria"/>
      <family val="1"/>
      <scheme val="major"/>
    </font>
    <font>
      <sz val="10"/>
      <name val="Courier"/>
    </font>
    <font>
      <b/>
      <sz val="11"/>
      <name val="Cambria"/>
      <family val="1"/>
      <scheme val="major"/>
    </font>
    <font>
      <sz val="11"/>
      <name val="Cambria"/>
      <family val="1"/>
      <scheme val="major"/>
    </font>
    <font>
      <b/>
      <sz val="10"/>
      <color indexed="8"/>
      <name val="Cambria"/>
      <family val="1"/>
    </font>
    <font>
      <sz val="10"/>
      <color indexed="8"/>
      <name val="Cambria"/>
      <family val="1"/>
    </font>
    <font>
      <sz val="11"/>
      <color theme="1"/>
      <name val="Cambria"/>
      <family val="1"/>
      <scheme val="major"/>
    </font>
    <font>
      <b/>
      <sz val="11"/>
      <color theme="1"/>
      <name val="Cambria"/>
      <family val="1"/>
      <scheme val="major"/>
    </font>
    <font>
      <b/>
      <sz val="11"/>
      <name val="Cambria"/>
      <family val="1"/>
    </font>
    <font>
      <b/>
      <u/>
      <sz val="11"/>
      <color theme="1"/>
      <name val="Cambria"/>
      <family val="1"/>
      <scheme val="major"/>
    </font>
    <font>
      <b/>
      <sz val="10"/>
      <color theme="1"/>
      <name val="Cambria"/>
      <family val="1"/>
      <scheme val="major"/>
    </font>
    <font>
      <i/>
      <sz val="10"/>
      <color theme="1"/>
      <name val="Cambria"/>
      <family val="1"/>
      <scheme val="major"/>
    </font>
    <font>
      <i/>
      <sz val="9"/>
      <name val="Cambria"/>
      <family val="1"/>
      <scheme val="maj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b/>
      <sz val="12"/>
      <color theme="1"/>
      <name val="Arial"/>
      <family val="2"/>
    </font>
    <font>
      <b/>
      <sz val="9"/>
      <color theme="1"/>
      <name val="Arial"/>
      <family val="2"/>
    </font>
    <font>
      <sz val="9"/>
      <color theme="1"/>
      <name val="Arial"/>
      <family val="2"/>
    </font>
    <font>
      <i/>
      <sz val="9"/>
      <color theme="1"/>
      <name val="Arial"/>
      <family val="2"/>
    </font>
    <font>
      <b/>
      <i/>
      <sz val="9"/>
      <color theme="1"/>
      <name val="Arial"/>
      <family val="2"/>
    </font>
    <font>
      <sz val="9"/>
      <color indexed="81"/>
      <name val="Tahoma"/>
      <family val="2"/>
    </font>
    <font>
      <b/>
      <sz val="9"/>
      <color indexed="81"/>
      <name val="Tahoma"/>
      <family val="2"/>
    </font>
    <font>
      <b/>
      <u val="singleAccounting"/>
      <sz val="10"/>
      <name val="Cambria"/>
      <family val="1"/>
    </font>
    <font>
      <u/>
      <sz val="10"/>
      <name val="Arial"/>
      <family val="2"/>
    </font>
  </fonts>
  <fills count="4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39997558519241921"/>
        <bgColor indexed="64"/>
      </patternFill>
    </fill>
    <fill>
      <patternFill patternType="solid">
        <fgColor theme="4" tint="0.59999389629810485"/>
        <bgColor indexed="64"/>
      </patternFill>
    </fill>
  </fills>
  <borders count="60">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s>
  <cellStyleXfs count="67">
    <xf numFmtId="0" fontId="0" fillId="0" borderId="0"/>
    <xf numFmtId="164" fontId="17" fillId="0" borderId="0" applyFont="0" applyFill="0" applyBorder="0" applyAlignment="0" applyProtection="0"/>
    <xf numFmtId="164" fontId="19" fillId="0" borderId="0" applyFont="0" applyFill="0" applyBorder="0" applyAlignment="0" applyProtection="0"/>
    <xf numFmtId="167" fontId="19" fillId="0" borderId="0" applyFont="0" applyFill="0" applyBorder="0" applyAlignment="0" applyProtection="0"/>
    <xf numFmtId="166" fontId="22" fillId="0" borderId="0" applyFont="0" applyFill="0" applyBorder="0" applyAlignment="0" applyProtection="0"/>
    <xf numFmtId="0" fontId="19" fillId="0" borderId="0"/>
    <xf numFmtId="0" fontId="17" fillId="0" borderId="0"/>
    <xf numFmtId="9" fontId="30" fillId="0" borderId="0" applyFont="0" applyFill="0" applyBorder="0" applyAlignment="0" applyProtection="0"/>
    <xf numFmtId="43" fontId="17" fillId="0" borderId="0" applyFont="0" applyFill="0" applyBorder="0" applyAlignment="0" applyProtection="0"/>
    <xf numFmtId="0" fontId="15" fillId="0" borderId="0"/>
    <xf numFmtId="0" fontId="15" fillId="0" borderId="0"/>
    <xf numFmtId="5" fontId="22" fillId="0" borderId="0" applyFont="0" applyFill="0" applyBorder="0" applyAlignment="0" applyProtection="0"/>
    <xf numFmtId="43" fontId="22"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39" fontId="37" fillId="0" borderId="0"/>
    <xf numFmtId="175" fontId="22" fillId="0" borderId="0"/>
    <xf numFmtId="0" fontId="14" fillId="0" borderId="0"/>
    <xf numFmtId="0" fontId="13" fillId="0" borderId="0"/>
    <xf numFmtId="0" fontId="49" fillId="0" borderId="0" applyNumberFormat="0" applyFill="0" applyBorder="0" applyAlignment="0" applyProtection="0"/>
    <xf numFmtId="0" fontId="50" fillId="0" borderId="30" applyNumberFormat="0" applyFill="0" applyAlignment="0" applyProtection="0"/>
    <xf numFmtId="0" fontId="51" fillId="0" borderId="31" applyNumberFormat="0" applyFill="0" applyAlignment="0" applyProtection="0"/>
    <xf numFmtId="0" fontId="52" fillId="0" borderId="32" applyNumberFormat="0" applyFill="0" applyAlignment="0" applyProtection="0"/>
    <xf numFmtId="0" fontId="52" fillId="0" borderId="0" applyNumberFormat="0" applyFill="0" applyBorder="0" applyAlignment="0" applyProtection="0"/>
    <xf numFmtId="0" fontId="53" fillId="8" borderId="0" applyNumberFormat="0" applyBorder="0" applyAlignment="0" applyProtection="0"/>
    <xf numFmtId="0" fontId="54" fillId="9" borderId="0" applyNumberFormat="0" applyBorder="0" applyAlignment="0" applyProtection="0"/>
    <xf numFmtId="0" fontId="55" fillId="10" borderId="0" applyNumberFormat="0" applyBorder="0" applyAlignment="0" applyProtection="0"/>
    <xf numFmtId="0" fontId="56" fillId="11" borderId="33" applyNumberFormat="0" applyAlignment="0" applyProtection="0"/>
    <xf numFmtId="0" fontId="57" fillId="12" borderId="34" applyNumberFormat="0" applyAlignment="0" applyProtection="0"/>
    <xf numFmtId="0" fontId="58" fillId="12" borderId="33" applyNumberFormat="0" applyAlignment="0" applyProtection="0"/>
    <xf numFmtId="0" fontId="59" fillId="0" borderId="35" applyNumberFormat="0" applyFill="0" applyAlignment="0" applyProtection="0"/>
    <xf numFmtId="0" fontId="60" fillId="13" borderId="36" applyNumberFormat="0" applyAlignment="0" applyProtection="0"/>
    <xf numFmtId="0" fontId="61" fillId="0" borderId="0" applyNumberFormat="0" applyFill="0" applyBorder="0" applyAlignment="0" applyProtection="0"/>
    <xf numFmtId="0" fontId="62" fillId="0" borderId="0" applyNumberFormat="0" applyFill="0" applyBorder="0" applyAlignment="0" applyProtection="0"/>
    <xf numFmtId="0" fontId="63" fillId="0" borderId="38" applyNumberFormat="0" applyFill="0" applyAlignment="0" applyProtection="0"/>
    <xf numFmtId="0" fontId="64"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64" fillId="18" borderId="0" applyNumberFormat="0" applyBorder="0" applyAlignment="0" applyProtection="0"/>
    <xf numFmtId="0" fontId="64" fillId="19"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64" fillId="22" borderId="0" applyNumberFormat="0" applyBorder="0" applyAlignment="0" applyProtection="0"/>
    <xf numFmtId="0" fontId="64" fillId="23" borderId="0" applyNumberFormat="0" applyBorder="0" applyAlignment="0" applyProtection="0"/>
    <xf numFmtId="0" fontId="12" fillId="24" borderId="0" applyNumberFormat="0" applyBorder="0" applyAlignment="0" applyProtection="0"/>
    <xf numFmtId="0" fontId="12" fillId="25" borderId="0" applyNumberFormat="0" applyBorder="0" applyAlignment="0" applyProtection="0"/>
    <xf numFmtId="0" fontId="64" fillId="26" borderId="0" applyNumberFormat="0" applyBorder="0" applyAlignment="0" applyProtection="0"/>
    <xf numFmtId="0" fontId="64" fillId="27" borderId="0" applyNumberFormat="0" applyBorder="0" applyAlignment="0" applyProtection="0"/>
    <xf numFmtId="0" fontId="12" fillId="28" borderId="0" applyNumberFormat="0" applyBorder="0" applyAlignment="0" applyProtection="0"/>
    <xf numFmtId="0" fontId="12" fillId="29" borderId="0" applyNumberFormat="0" applyBorder="0" applyAlignment="0" applyProtection="0"/>
    <xf numFmtId="0" fontId="64" fillId="30" borderId="0" applyNumberFormat="0" applyBorder="0" applyAlignment="0" applyProtection="0"/>
    <xf numFmtId="0" fontId="64" fillId="31" borderId="0" applyNumberFormat="0" applyBorder="0" applyAlignment="0" applyProtection="0"/>
    <xf numFmtId="0" fontId="12" fillId="32" borderId="0" applyNumberFormat="0" applyBorder="0" applyAlignment="0" applyProtection="0"/>
    <xf numFmtId="0" fontId="12" fillId="33" borderId="0" applyNumberFormat="0" applyBorder="0" applyAlignment="0" applyProtection="0"/>
    <xf numFmtId="0" fontId="64" fillId="34" borderId="0" applyNumberFormat="0" applyBorder="0" applyAlignment="0" applyProtection="0"/>
    <xf numFmtId="0" fontId="64" fillId="35" borderId="0" applyNumberFormat="0" applyBorder="0" applyAlignment="0" applyProtection="0"/>
    <xf numFmtId="0" fontId="12" fillId="36" borderId="0" applyNumberFormat="0" applyBorder="0" applyAlignment="0" applyProtection="0"/>
    <xf numFmtId="0" fontId="12" fillId="37" borderId="0" applyNumberFormat="0" applyBorder="0" applyAlignment="0" applyProtection="0"/>
    <xf numFmtId="0" fontId="64" fillId="38" borderId="0" applyNumberFormat="0" applyBorder="0" applyAlignment="0" applyProtection="0"/>
    <xf numFmtId="0" fontId="12" fillId="0" borderId="0"/>
    <xf numFmtId="0" fontId="12" fillId="14" borderId="37" applyNumberFormat="0" applyFont="0" applyAlignment="0" applyProtection="0"/>
    <xf numFmtId="0" fontId="11" fillId="0" borderId="0"/>
    <xf numFmtId="43" fontId="11" fillId="0" borderId="0" applyFont="0" applyFill="0" applyBorder="0" applyAlignment="0" applyProtection="0"/>
    <xf numFmtId="43" fontId="10" fillId="0" borderId="0" applyFont="0" applyFill="0" applyBorder="0" applyAlignment="0" applyProtection="0"/>
    <xf numFmtId="0" fontId="10" fillId="0" borderId="0"/>
    <xf numFmtId="0" fontId="5" fillId="0" borderId="0"/>
    <xf numFmtId="0" fontId="4" fillId="0" borderId="0"/>
  </cellStyleXfs>
  <cellXfs count="803">
    <xf numFmtId="0" fontId="0" fillId="0" borderId="0" xfId="0"/>
    <xf numFmtId="0" fontId="0" fillId="0" borderId="11" xfId="0" applyBorder="1"/>
    <xf numFmtId="0" fontId="0" fillId="0" borderId="0" xfId="0" applyAlignment="1">
      <alignment horizontal="center"/>
    </xf>
    <xf numFmtId="0" fontId="0" fillId="0" borderId="1" xfId="0" applyBorder="1"/>
    <xf numFmtId="164" fontId="0" fillId="0" borderId="1" xfId="1" applyFont="1" applyBorder="1"/>
    <xf numFmtId="164" fontId="0" fillId="0" borderId="4" xfId="1" applyFont="1" applyBorder="1"/>
    <xf numFmtId="0" fontId="0" fillId="0" borderId="9" xfId="0" applyBorder="1"/>
    <xf numFmtId="0" fontId="19" fillId="0" borderId="9" xfId="0" applyFont="1" applyBorder="1"/>
    <xf numFmtId="0" fontId="19" fillId="0" borderId="12" xfId="0" applyFont="1" applyBorder="1"/>
    <xf numFmtId="0" fontId="18" fillId="0" borderId="0" xfId="0" applyFont="1" applyAlignment="1">
      <alignment vertical="top"/>
    </xf>
    <xf numFmtId="0" fontId="20" fillId="0" borderId="0" xfId="0" applyFont="1"/>
    <xf numFmtId="0" fontId="20" fillId="0" borderId="11" xfId="0" applyFont="1" applyBorder="1" applyAlignment="1">
      <alignment horizontal="center"/>
    </xf>
    <xf numFmtId="0" fontId="21" fillId="0" borderId="12" xfId="0" applyFont="1" applyBorder="1" applyAlignment="1">
      <alignment horizontal="center"/>
    </xf>
    <xf numFmtId="0" fontId="20" fillId="0" borderId="4" xfId="0" applyFont="1" applyBorder="1" applyAlignment="1">
      <alignment horizontal="center"/>
    </xf>
    <xf numFmtId="0" fontId="24" fillId="0" borderId="0" xfId="0" applyFont="1"/>
    <xf numFmtId="0" fontId="23" fillId="0" borderId="4" xfId="0" applyFont="1" applyBorder="1" applyAlignment="1">
      <alignment horizontal="center" vertical="center"/>
    </xf>
    <xf numFmtId="0" fontId="23" fillId="0" borderId="4" xfId="0" applyFont="1" applyBorder="1" applyAlignment="1">
      <alignment horizontal="center" vertical="center" wrapText="1"/>
    </xf>
    <xf numFmtId="0" fontId="23" fillId="0" borderId="9" xfId="0" applyFont="1" applyBorder="1" applyAlignment="1">
      <alignment vertical="top" wrapText="1"/>
    </xf>
    <xf numFmtId="0" fontId="24" fillId="0" borderId="9" xfId="0" applyFont="1" applyBorder="1" applyAlignment="1">
      <alignment horizontal="center" vertical="top"/>
    </xf>
    <xf numFmtId="0" fontId="23" fillId="0" borderId="9" xfId="0" applyFont="1" applyBorder="1" applyAlignment="1">
      <alignment vertical="top"/>
    </xf>
    <xf numFmtId="0" fontId="24" fillId="0" borderId="0" xfId="0" applyFont="1" applyAlignment="1">
      <alignment vertical="top"/>
    </xf>
    <xf numFmtId="0" fontId="24" fillId="0" borderId="0" xfId="0" applyFont="1" applyAlignment="1">
      <alignment horizontal="center" vertical="top"/>
    </xf>
    <xf numFmtId="168" fontId="24" fillId="0" borderId="0" xfId="2" applyNumberFormat="1" applyFont="1" applyFill="1" applyBorder="1" applyAlignment="1" applyProtection="1">
      <alignment vertical="top"/>
    </xf>
    <xf numFmtId="169" fontId="24" fillId="0" borderId="0" xfId="3" applyNumberFormat="1" applyFont="1" applyFill="1" applyBorder="1" applyAlignment="1" applyProtection="1">
      <alignment vertical="top"/>
    </xf>
    <xf numFmtId="0" fontId="23" fillId="0" borderId="0" xfId="0" applyFont="1" applyAlignment="1">
      <alignment vertical="top"/>
    </xf>
    <xf numFmtId="164" fontId="23" fillId="0" borderId="0" xfId="2" applyFont="1" applyFill="1" applyBorder="1" applyAlignment="1" applyProtection="1">
      <alignment vertical="top"/>
    </xf>
    <xf numFmtId="169" fontId="23" fillId="0" borderId="0" xfId="3" applyNumberFormat="1" applyFont="1" applyFill="1" applyBorder="1" applyAlignment="1" applyProtection="1">
      <alignment horizontal="center" vertical="top"/>
    </xf>
    <xf numFmtId="164" fontId="24" fillId="0" borderId="0" xfId="2" applyFont="1" applyFill="1" applyBorder="1" applyAlignment="1" applyProtection="1">
      <alignment vertical="top"/>
    </xf>
    <xf numFmtId="0" fontId="23" fillId="0" borderId="0" xfId="0" applyFont="1" applyAlignment="1">
      <alignment horizontal="center" vertical="top"/>
    </xf>
    <xf numFmtId="169" fontId="23" fillId="0" borderId="0" xfId="3" applyNumberFormat="1" applyFont="1" applyFill="1" applyBorder="1" applyAlignment="1" applyProtection="1">
      <alignment vertical="top" wrapText="1"/>
    </xf>
    <xf numFmtId="0" fontId="23" fillId="0" borderId="0" xfId="0" applyFont="1" applyAlignment="1">
      <alignment horizontal="left" vertical="top"/>
    </xf>
    <xf numFmtId="0" fontId="24" fillId="0" borderId="1" xfId="0" applyFont="1" applyBorder="1" applyAlignment="1">
      <alignment horizontal="center" vertical="top"/>
    </xf>
    <xf numFmtId="164" fontId="24" fillId="0" borderId="4" xfId="1" applyFont="1" applyBorder="1"/>
    <xf numFmtId="0" fontId="24" fillId="0" borderId="1" xfId="0" applyFont="1" applyBorder="1" applyAlignment="1">
      <alignment vertical="top" wrapText="1"/>
    </xf>
    <xf numFmtId="0" fontId="23" fillId="0" borderId="1" xfId="0" applyFont="1" applyBorder="1" applyAlignment="1">
      <alignment vertical="top"/>
    </xf>
    <xf numFmtId="0" fontId="24" fillId="0" borderId="3" xfId="0" applyFont="1" applyBorder="1" applyAlignment="1">
      <alignment vertical="top"/>
    </xf>
    <xf numFmtId="0" fontId="23" fillId="0" borderId="4" xfId="0" applyFont="1" applyBorder="1" applyAlignment="1">
      <alignment horizontal="center" vertical="top" wrapText="1"/>
    </xf>
    <xf numFmtId="0" fontId="24" fillId="0" borderId="0" xfId="0" applyFont="1" applyAlignment="1">
      <alignment vertical="top" wrapText="1"/>
    </xf>
    <xf numFmtId="0" fontId="24" fillId="0" borderId="0" xfId="0" applyFont="1" applyAlignment="1">
      <alignment horizontal="right" vertical="top" wrapText="1"/>
    </xf>
    <xf numFmtId="0" fontId="24" fillId="0" borderId="5" xfId="0" applyFont="1" applyBorder="1" applyAlignment="1">
      <alignment horizontal="center" vertical="top"/>
    </xf>
    <xf numFmtId="0" fontId="24" fillId="0" borderId="1" xfId="0" applyFont="1" applyBorder="1" applyAlignment="1">
      <alignment horizontal="left" vertical="top" wrapText="1"/>
    </xf>
    <xf numFmtId="0" fontId="23" fillId="0" borderId="5" xfId="0" applyFont="1" applyBorder="1" applyAlignment="1">
      <alignment horizontal="center" vertical="top" wrapText="1"/>
    </xf>
    <xf numFmtId="0" fontId="23" fillId="0" borderId="0" xfId="0" applyFont="1" applyAlignment="1">
      <alignment horizontal="right" vertical="top" wrapText="1"/>
    </xf>
    <xf numFmtId="164" fontId="24" fillId="0" borderId="1" xfId="1" applyFont="1" applyBorder="1" applyAlignment="1">
      <alignment vertical="top"/>
    </xf>
    <xf numFmtId="164" fontId="24" fillId="0" borderId="0" xfId="1" applyFont="1" applyBorder="1" applyAlignment="1">
      <alignment vertical="top"/>
    </xf>
    <xf numFmtId="0" fontId="24" fillId="0" borderId="9" xfId="0" applyFont="1" applyBorder="1" applyAlignment="1">
      <alignment horizontal="left" vertical="top" wrapText="1"/>
    </xf>
    <xf numFmtId="164" fontId="24" fillId="0" borderId="3" xfId="1" applyFont="1" applyBorder="1" applyAlignment="1">
      <alignment vertical="top"/>
    </xf>
    <xf numFmtId="164" fontId="24" fillId="0" borderId="13" xfId="1" applyFont="1" applyBorder="1" applyAlignment="1">
      <alignment vertical="top"/>
    </xf>
    <xf numFmtId="164" fontId="24" fillId="0" borderId="0" xfId="1" applyFont="1" applyAlignment="1">
      <alignment vertical="top"/>
    </xf>
    <xf numFmtId="0" fontId="24" fillId="0" borderId="1" xfId="0" applyFont="1" applyBorder="1" applyAlignment="1">
      <alignment vertical="top"/>
    </xf>
    <xf numFmtId="0" fontId="23" fillId="0" borderId="0" xfId="0" applyFont="1" applyAlignment="1">
      <alignment horizontal="right" vertical="top"/>
    </xf>
    <xf numFmtId="0" fontId="24" fillId="0" borderId="0" xfId="0" applyFont="1" applyAlignment="1">
      <alignment horizontal="right" vertical="top"/>
    </xf>
    <xf numFmtId="0" fontId="23" fillId="0" borderId="1" xfId="0" applyFont="1" applyBorder="1" applyAlignment="1">
      <alignment horizontal="center" vertical="top"/>
    </xf>
    <xf numFmtId="0" fontId="24" fillId="0" borderId="5" xfId="0" applyFont="1" applyBorder="1" applyAlignment="1">
      <alignment vertical="top"/>
    </xf>
    <xf numFmtId="166" fontId="24" fillId="0" borderId="1" xfId="1" applyNumberFormat="1" applyFont="1" applyBorder="1" applyAlignment="1">
      <alignment vertical="top"/>
    </xf>
    <xf numFmtId="0" fontId="24" fillId="0" borderId="1" xfId="0" applyFont="1" applyBorder="1" applyAlignment="1">
      <alignment horizontal="left" vertical="top" indent="1"/>
    </xf>
    <xf numFmtId="164" fontId="24" fillId="0" borderId="1" xfId="0" applyNumberFormat="1" applyFont="1" applyBorder="1" applyAlignment="1">
      <alignment vertical="top"/>
    </xf>
    <xf numFmtId="164" fontId="24" fillId="0" borderId="3" xfId="0" applyNumberFormat="1" applyFont="1" applyBorder="1" applyAlignment="1">
      <alignment vertical="top"/>
    </xf>
    <xf numFmtId="0" fontId="23" fillId="0" borderId="1" xfId="0" applyFont="1" applyBorder="1" applyAlignment="1">
      <alignment horizontal="right" vertical="top"/>
    </xf>
    <xf numFmtId="43" fontId="24" fillId="0" borderId="0" xfId="0" applyNumberFormat="1" applyFont="1" applyAlignment="1">
      <alignment vertical="top"/>
    </xf>
    <xf numFmtId="169" fontId="23" fillId="0" borderId="0" xfId="3" applyNumberFormat="1" applyFont="1" applyFill="1" applyBorder="1" applyAlignment="1" applyProtection="1">
      <alignment vertical="top"/>
    </xf>
    <xf numFmtId="164" fontId="24" fillId="0" borderId="4" xfId="1" applyFont="1" applyBorder="1" applyAlignment="1">
      <alignment vertical="top"/>
    </xf>
    <xf numFmtId="164" fontId="24" fillId="0" borderId="0" xfId="0" applyNumberFormat="1" applyFont="1" applyAlignment="1">
      <alignment vertical="top"/>
    </xf>
    <xf numFmtId="0" fontId="24" fillId="0" borderId="1" xfId="0" applyFont="1" applyBorder="1" applyAlignment="1">
      <alignment horizontal="left" vertical="top"/>
    </xf>
    <xf numFmtId="172" fontId="24" fillId="0" borderId="1" xfId="0" applyNumberFormat="1" applyFont="1" applyBorder="1" applyAlignment="1">
      <alignment vertical="top"/>
    </xf>
    <xf numFmtId="0" fontId="24" fillId="0" borderId="7" xfId="0" applyFont="1" applyBorder="1" applyAlignment="1">
      <alignment vertical="top"/>
    </xf>
    <xf numFmtId="0" fontId="25" fillId="0" borderId="4" xfId="0" applyFont="1" applyBorder="1" applyAlignment="1">
      <alignment horizontal="center" vertical="center" wrapText="1"/>
    </xf>
    <xf numFmtId="0" fontId="23" fillId="0" borderId="1" xfId="0" applyFont="1" applyBorder="1" applyAlignment="1">
      <alignment horizontal="left" vertical="top" wrapText="1"/>
    </xf>
    <xf numFmtId="0" fontId="23" fillId="0" borderId="9" xfId="0" applyFont="1" applyBorder="1" applyAlignment="1">
      <alignment horizontal="left" vertical="top" wrapText="1"/>
    </xf>
    <xf numFmtId="0" fontId="23" fillId="0" borderId="4" xfId="0" applyFont="1" applyBorder="1" applyAlignment="1">
      <alignment horizontal="right" vertical="top" wrapText="1"/>
    </xf>
    <xf numFmtId="0" fontId="23" fillId="0" borderId="4" xfId="0" applyFont="1" applyBorder="1" applyAlignment="1">
      <alignment vertical="top" wrapText="1"/>
    </xf>
    <xf numFmtId="0" fontId="23" fillId="0" borderId="9" xfId="0" applyFont="1" applyBorder="1" applyAlignment="1">
      <alignment horizontal="center" vertical="top"/>
    </xf>
    <xf numFmtId="0" fontId="24" fillId="0" borderId="9" xfId="0" applyFont="1" applyBorder="1" applyAlignment="1">
      <alignment vertical="top" wrapText="1"/>
    </xf>
    <xf numFmtId="0" fontId="26" fillId="0" borderId="1" xfId="0" applyFont="1" applyBorder="1" applyAlignment="1">
      <alignment horizontal="center" vertical="top"/>
    </xf>
    <xf numFmtId="0" fontId="24" fillId="0" borderId="4" xfId="0" applyFont="1" applyBorder="1"/>
    <xf numFmtId="0" fontId="24" fillId="0" borderId="1" xfId="0" applyFont="1" applyBorder="1" applyAlignment="1">
      <alignment horizontal="right" vertical="top"/>
    </xf>
    <xf numFmtId="164" fontId="24" fillId="0" borderId="4" xfId="1" applyFont="1" applyFill="1" applyBorder="1"/>
    <xf numFmtId="164" fontId="24" fillId="0" borderId="10" xfId="1" applyFont="1" applyBorder="1" applyAlignment="1">
      <alignment vertical="top"/>
    </xf>
    <xf numFmtId="0" fontId="24" fillId="0" borderId="9" xfId="0" applyFont="1" applyBorder="1" applyAlignment="1">
      <alignment vertical="top"/>
    </xf>
    <xf numFmtId="0" fontId="23" fillId="0" borderId="9" xfId="0" applyFont="1" applyBorder="1" applyAlignment="1">
      <alignment horizontal="right" vertical="top"/>
    </xf>
    <xf numFmtId="0" fontId="23" fillId="0" borderId="6" xfId="0" applyFont="1" applyBorder="1" applyAlignment="1">
      <alignment vertical="top"/>
    </xf>
    <xf numFmtId="164" fontId="24" fillId="0" borderId="9" xfId="1" applyFont="1" applyBorder="1" applyAlignment="1">
      <alignment vertical="top"/>
    </xf>
    <xf numFmtId="164" fontId="23" fillId="0" borderId="1" xfId="0" applyNumberFormat="1" applyFont="1" applyBorder="1" applyAlignment="1">
      <alignment vertical="top"/>
    </xf>
    <xf numFmtId="164" fontId="24" fillId="0" borderId="1" xfId="0" applyNumberFormat="1" applyFont="1" applyBorder="1" applyAlignment="1">
      <alignment horizontal="center" vertical="top"/>
    </xf>
    <xf numFmtId="164" fontId="23" fillId="0" borderId="2" xfId="0" applyNumberFormat="1" applyFont="1" applyBorder="1" applyAlignment="1">
      <alignment vertical="top"/>
    </xf>
    <xf numFmtId="164" fontId="24" fillId="0" borderId="8" xfId="1" applyFont="1" applyBorder="1" applyAlignment="1">
      <alignment vertical="top"/>
    </xf>
    <xf numFmtId="0" fontId="28" fillId="0" borderId="1" xfId="0" applyFont="1" applyBorder="1" applyAlignment="1">
      <alignment vertical="top"/>
    </xf>
    <xf numFmtId="0" fontId="29" fillId="0" borderId="0" xfId="0" applyFont="1" applyAlignment="1">
      <alignment vertical="top"/>
    </xf>
    <xf numFmtId="0" fontId="24" fillId="0" borderId="9" xfId="0" applyFont="1" applyBorder="1" applyAlignment="1">
      <alignment horizontal="left" vertical="top" indent="1"/>
    </xf>
    <xf numFmtId="0" fontId="24" fillId="0" borderId="14" xfId="0" applyFont="1" applyBorder="1" applyAlignment="1">
      <alignment vertical="top"/>
    </xf>
    <xf numFmtId="0" fontId="28" fillId="0" borderId="3" xfId="0" applyFont="1" applyBorder="1" applyAlignment="1">
      <alignment vertical="top"/>
    </xf>
    <xf numFmtId="0" fontId="26" fillId="0" borderId="0" xfId="0" applyFont="1" applyAlignment="1">
      <alignment horizontal="left" vertical="top"/>
    </xf>
    <xf numFmtId="0" fontId="26" fillId="0" borderId="0" xfId="0" applyFont="1" applyAlignment="1">
      <alignment vertical="top"/>
    </xf>
    <xf numFmtId="0" fontId="24" fillId="0" borderId="9" xfId="0" applyFont="1" applyBorder="1" applyAlignment="1">
      <alignment horizontal="left" vertical="top" indent="3"/>
    </xf>
    <xf numFmtId="0" fontId="27" fillId="0" borderId="0" xfId="0" applyFont="1" applyAlignment="1">
      <alignment vertical="top"/>
    </xf>
    <xf numFmtId="0" fontId="26" fillId="0" borderId="9" xfId="0" applyFont="1" applyBorder="1" applyAlignment="1">
      <alignment horizontal="left" vertical="top"/>
    </xf>
    <xf numFmtId="0" fontId="23" fillId="0" borderId="0" xfId="0" applyFont="1" applyAlignment="1">
      <alignment horizontal="center"/>
    </xf>
    <xf numFmtId="9" fontId="24" fillId="0" borderId="0" xfId="0" applyNumberFormat="1" applyFont="1" applyAlignment="1">
      <alignment vertical="top"/>
    </xf>
    <xf numFmtId="0" fontId="24" fillId="0" borderId="4" xfId="0" applyFont="1" applyBorder="1" applyAlignment="1">
      <alignment horizontal="right" vertical="center"/>
    </xf>
    <xf numFmtId="43" fontId="23" fillId="0" borderId="0" xfId="0" applyNumberFormat="1" applyFont="1" applyAlignment="1">
      <alignment vertical="top"/>
    </xf>
    <xf numFmtId="43" fontId="24" fillId="0" borderId="13" xfId="0" applyNumberFormat="1" applyFont="1" applyBorder="1" applyAlignment="1">
      <alignment vertical="top"/>
    </xf>
    <xf numFmtId="164" fontId="24" fillId="0" borderId="11" xfId="0" applyNumberFormat="1" applyFont="1" applyBorder="1" applyAlignment="1">
      <alignment vertical="top"/>
    </xf>
    <xf numFmtId="0" fontId="24" fillId="0" borderId="9" xfId="0" applyFont="1" applyBorder="1" applyAlignment="1">
      <alignment horizontal="left" vertical="top" wrapText="1" indent="3"/>
    </xf>
    <xf numFmtId="165" fontId="24" fillId="0" borderId="0" xfId="0" applyNumberFormat="1" applyFont="1" applyAlignment="1">
      <alignment vertical="top"/>
    </xf>
    <xf numFmtId="43" fontId="24" fillId="0" borderId="10" xfId="0" applyNumberFormat="1" applyFont="1" applyBorder="1" applyAlignment="1">
      <alignment vertical="top"/>
    </xf>
    <xf numFmtId="164" fontId="24" fillId="3" borderId="1" xfId="1" applyFont="1" applyFill="1" applyBorder="1" applyAlignment="1">
      <alignment vertical="top"/>
    </xf>
    <xf numFmtId="0" fontId="23" fillId="0" borderId="4" xfId="0" applyFont="1" applyBorder="1" applyAlignment="1">
      <alignment vertical="top"/>
    </xf>
    <xf numFmtId="0" fontId="23" fillId="0" borderId="16" xfId="0" applyFont="1" applyBorder="1" applyAlignment="1">
      <alignment vertical="top"/>
    </xf>
    <xf numFmtId="164" fontId="24" fillId="0" borderId="2" xfId="0" applyNumberFormat="1" applyFont="1" applyBorder="1" applyAlignment="1">
      <alignment vertical="top"/>
    </xf>
    <xf numFmtId="164" fontId="24" fillId="4" borderId="1" xfId="1" applyFont="1" applyFill="1" applyBorder="1" applyAlignment="1">
      <alignment vertical="top"/>
    </xf>
    <xf numFmtId="164" fontId="24" fillId="5" borderId="1" xfId="1" applyFont="1" applyFill="1" applyBorder="1" applyAlignment="1">
      <alignment vertical="top"/>
    </xf>
    <xf numFmtId="164" fontId="24" fillId="5" borderId="10" xfId="1" applyFont="1" applyFill="1" applyBorder="1" applyAlignment="1">
      <alignment vertical="top"/>
    </xf>
    <xf numFmtId="0" fontId="24" fillId="3" borderId="1" xfId="0" applyFont="1" applyFill="1" applyBorder="1" applyAlignment="1">
      <alignment vertical="top"/>
    </xf>
    <xf numFmtId="164" fontId="24" fillId="3" borderId="10" xfId="1" applyFont="1" applyFill="1" applyBorder="1" applyAlignment="1">
      <alignment vertical="top"/>
    </xf>
    <xf numFmtId="164" fontId="23" fillId="0" borderId="1" xfId="2" applyFont="1" applyFill="1" applyBorder="1" applyAlignment="1">
      <alignment vertical="top"/>
    </xf>
    <xf numFmtId="164" fontId="23" fillId="0" borderId="4" xfId="2" applyFont="1" applyFill="1" applyBorder="1" applyAlignment="1">
      <alignment horizontal="right" vertical="top"/>
    </xf>
    <xf numFmtId="164" fontId="23" fillId="0" borderId="0" xfId="2" applyFont="1" applyFill="1" applyBorder="1" applyAlignment="1">
      <alignment horizontal="right" vertical="top"/>
    </xf>
    <xf numFmtId="164" fontId="23" fillId="0" borderId="4" xfId="1" applyFont="1" applyFill="1" applyBorder="1" applyAlignment="1">
      <alignment horizontal="right" vertical="top"/>
    </xf>
    <xf numFmtId="164" fontId="23" fillId="0" borderId="0" xfId="1" applyFont="1" applyFill="1" applyBorder="1" applyAlignment="1">
      <alignment horizontal="right" vertical="top"/>
    </xf>
    <xf numFmtId="164" fontId="23" fillId="0" borderId="0" xfId="2" applyFont="1" applyFill="1" applyBorder="1" applyAlignment="1">
      <alignment vertical="top"/>
    </xf>
    <xf numFmtId="164" fontId="24" fillId="0" borderId="0" xfId="1" applyFont="1" applyFill="1" applyBorder="1" applyAlignment="1">
      <alignment vertical="top"/>
    </xf>
    <xf numFmtId="164" fontId="24" fillId="0" borderId="0" xfId="1" applyFont="1" applyFill="1" applyAlignment="1">
      <alignment vertical="top"/>
    </xf>
    <xf numFmtId="164" fontId="24" fillId="0" borderId="0" xfId="1" applyFont="1" applyFill="1" applyAlignment="1">
      <alignment horizontal="right" vertical="top"/>
    </xf>
    <xf numFmtId="164" fontId="24" fillId="6" borderId="4" xfId="1" applyFont="1" applyFill="1" applyBorder="1"/>
    <xf numFmtId="0" fontId="31" fillId="0" borderId="0" xfId="0" applyFont="1" applyAlignment="1">
      <alignment horizontal="right" vertical="top"/>
    </xf>
    <xf numFmtId="164" fontId="23" fillId="0" borderId="4" xfId="1" applyFont="1" applyBorder="1" applyAlignment="1">
      <alignment vertical="top"/>
    </xf>
    <xf numFmtId="164" fontId="23" fillId="0" borderId="1" xfId="1" applyFont="1" applyBorder="1" applyAlignment="1">
      <alignment vertical="top"/>
    </xf>
    <xf numFmtId="164" fontId="23" fillId="0" borderId="5" xfId="1" applyFont="1" applyBorder="1" applyAlignment="1">
      <alignment vertical="top"/>
    </xf>
    <xf numFmtId="164" fontId="23" fillId="0" borderId="2" xfId="1" applyFont="1" applyBorder="1" applyAlignment="1">
      <alignment vertical="top"/>
    </xf>
    <xf numFmtId="0" fontId="33" fillId="0" borderId="0" xfId="0" applyFont="1" applyAlignment="1">
      <alignment horizontal="right" vertical="top"/>
    </xf>
    <xf numFmtId="0" fontId="23" fillId="0" borderId="16" xfId="0" applyFont="1" applyBorder="1" applyAlignment="1">
      <alignment horizontal="center" vertical="top" wrapText="1"/>
    </xf>
    <xf numFmtId="0" fontId="23" fillId="0" borderId="1" xfId="0" applyFont="1" applyBorder="1" applyAlignment="1">
      <alignment horizontal="center" vertical="top" wrapText="1"/>
    </xf>
    <xf numFmtId="9" fontId="24" fillId="0" borderId="0" xfId="7" applyFont="1" applyAlignment="1">
      <alignment vertical="top"/>
    </xf>
    <xf numFmtId="0" fontId="34" fillId="0" borderId="0" xfId="9" applyFont="1"/>
    <xf numFmtId="0" fontId="24" fillId="0" borderId="0" xfId="9" applyFont="1"/>
    <xf numFmtId="0" fontId="23" fillId="0" borderId="4" xfId="10" applyFont="1" applyBorder="1" applyAlignment="1">
      <alignment horizontal="center" vertical="top"/>
    </xf>
    <xf numFmtId="0" fontId="23" fillId="0" borderId="12" xfId="10" applyFont="1" applyBorder="1" applyAlignment="1">
      <alignment horizontal="center" vertical="top"/>
    </xf>
    <xf numFmtId="0" fontId="24" fillId="0" borderId="11" xfId="10" quotePrefix="1" applyFont="1" applyBorder="1" applyAlignment="1">
      <alignment horizontal="center" vertical="top"/>
    </xf>
    <xf numFmtId="0" fontId="23" fillId="0" borderId="4" xfId="10" applyFont="1" applyBorder="1" applyAlignment="1">
      <alignment horizontal="center" vertical="top" wrapText="1"/>
    </xf>
    <xf numFmtId="0" fontId="24" fillId="0" borderId="4" xfId="10" applyFont="1" applyBorder="1" applyAlignment="1">
      <alignment horizontal="center" vertical="top"/>
    </xf>
    <xf numFmtId="0" fontId="24" fillId="0" borderId="12" xfId="10" applyFont="1" applyBorder="1" applyAlignment="1">
      <alignment vertical="top"/>
    </xf>
    <xf numFmtId="0" fontId="24" fillId="0" borderId="4" xfId="10" applyFont="1" applyBorder="1" applyAlignment="1">
      <alignment vertical="top"/>
    </xf>
    <xf numFmtId="173" fontId="24" fillId="0" borderId="4" xfId="10" applyNumberFormat="1" applyFont="1" applyBorder="1" applyAlignment="1">
      <alignment horizontal="right" vertical="top"/>
    </xf>
    <xf numFmtId="10" fontId="24" fillId="0" borderId="4" xfId="10" applyNumberFormat="1" applyFont="1" applyBorder="1" applyAlignment="1">
      <alignment horizontal="right" vertical="top"/>
    </xf>
    <xf numFmtId="5" fontId="24" fillId="0" borderId="4" xfId="11" quotePrefix="1" applyFont="1" applyFill="1" applyBorder="1" applyAlignment="1">
      <alignment horizontal="left" vertical="top" wrapText="1"/>
    </xf>
    <xf numFmtId="0" fontId="24" fillId="0" borderId="4" xfId="10" applyFont="1" applyBorder="1" applyAlignment="1">
      <alignment vertical="top" wrapText="1"/>
    </xf>
    <xf numFmtId="5" fontId="24" fillId="0" borderId="4" xfId="11" applyFont="1" applyFill="1" applyBorder="1" applyAlignment="1">
      <alignment horizontal="left" vertical="top" wrapText="1"/>
    </xf>
    <xf numFmtId="0" fontId="24" fillId="0" borderId="11" xfId="10" applyFont="1" applyBorder="1" applyAlignment="1">
      <alignment horizontal="center" vertical="top"/>
    </xf>
    <xf numFmtId="0" fontId="24" fillId="0" borderId="4" xfId="10" applyFont="1" applyBorder="1" applyAlignment="1">
      <alignment horizontal="left" vertical="top" wrapText="1"/>
    </xf>
    <xf numFmtId="2" fontId="24" fillId="0" borderId="4" xfId="10" applyNumberFormat="1" applyFont="1" applyBorder="1" applyAlignment="1">
      <alignment horizontal="right" vertical="top"/>
    </xf>
    <xf numFmtId="0" fontId="24" fillId="0" borderId="12" xfId="10" applyFont="1" applyBorder="1" applyAlignment="1">
      <alignment vertical="top" wrapText="1"/>
    </xf>
    <xf numFmtId="43" fontId="24" fillId="0" borderId="4" xfId="12" applyFont="1" applyBorder="1" applyAlignment="1">
      <alignment horizontal="right" vertical="top"/>
    </xf>
    <xf numFmtId="43" fontId="24" fillId="0" borderId="4" xfId="12" quotePrefix="1" applyFont="1" applyFill="1" applyBorder="1" applyAlignment="1">
      <alignment horizontal="left" vertical="top" wrapText="1"/>
    </xf>
    <xf numFmtId="0" fontId="24" fillId="0" borderId="7" xfId="10" applyFont="1" applyBorder="1" applyAlignment="1">
      <alignment horizontal="center" vertical="top"/>
    </xf>
    <xf numFmtId="0" fontId="24" fillId="0" borderId="5" xfId="10" applyFont="1" applyBorder="1" applyAlignment="1">
      <alignment vertical="top"/>
    </xf>
    <xf numFmtId="0" fontId="24" fillId="0" borderId="13" xfId="10" applyFont="1" applyBorder="1" applyAlignment="1">
      <alignment horizontal="center" vertical="top"/>
    </xf>
    <xf numFmtId="0" fontId="24" fillId="0" borderId="3" xfId="10" applyFont="1" applyBorder="1" applyAlignment="1">
      <alignment vertical="top"/>
    </xf>
    <xf numFmtId="164" fontId="24" fillId="0" borderId="11" xfId="13" applyFont="1" applyFill="1" applyBorder="1" applyAlignment="1">
      <alignment horizontal="center" vertical="top"/>
    </xf>
    <xf numFmtId="0" fontId="23" fillId="0" borderId="5" xfId="0" applyFont="1" applyBorder="1" applyAlignment="1">
      <alignment horizontal="center" vertical="top"/>
    </xf>
    <xf numFmtId="43" fontId="23" fillId="0" borderId="4" xfId="1" applyNumberFormat="1" applyFont="1" applyBorder="1" applyAlignment="1">
      <alignment horizontal="center" vertical="top" wrapText="1"/>
    </xf>
    <xf numFmtId="43" fontId="23" fillId="0" borderId="4" xfId="1" applyNumberFormat="1" applyFont="1" applyFill="1" applyBorder="1" applyAlignment="1">
      <alignment horizontal="center" vertical="top"/>
    </xf>
    <xf numFmtId="43" fontId="23" fillId="0" borderId="4" xfId="1" applyNumberFormat="1" applyFont="1" applyFill="1" applyBorder="1" applyAlignment="1">
      <alignment horizontal="center" vertical="top" wrapText="1"/>
    </xf>
    <xf numFmtId="43" fontId="23" fillId="0" borderId="9" xfId="1" applyNumberFormat="1" applyFont="1" applyFill="1" applyBorder="1" applyAlignment="1">
      <alignment vertical="top" wrapText="1"/>
    </xf>
    <xf numFmtId="43" fontId="24" fillId="0" borderId="1" xfId="1" applyNumberFormat="1" applyFont="1" applyFill="1" applyBorder="1" applyAlignment="1">
      <alignment horizontal="center" vertical="top" wrapText="1"/>
    </xf>
    <xf numFmtId="43" fontId="24" fillId="0" borderId="9" xfId="1" applyNumberFormat="1" applyFont="1" applyFill="1" applyBorder="1" applyAlignment="1">
      <alignment horizontal="center" vertical="top" wrapText="1"/>
    </xf>
    <xf numFmtId="43" fontId="24" fillId="0" borderId="5" xfId="1" applyNumberFormat="1" applyFont="1" applyFill="1" applyBorder="1" applyAlignment="1">
      <alignment horizontal="center" vertical="top" wrapText="1"/>
    </xf>
    <xf numFmtId="43" fontId="24" fillId="0" borderId="5" xfId="1" applyNumberFormat="1" applyFont="1" applyFill="1" applyBorder="1" applyAlignment="1">
      <alignment vertical="top" wrapText="1"/>
    </xf>
    <xf numFmtId="43" fontId="23" fillId="0" borderId="9" xfId="1" applyNumberFormat="1" applyFont="1" applyFill="1" applyBorder="1" applyAlignment="1">
      <alignment horizontal="left" vertical="top" wrapText="1"/>
    </xf>
    <xf numFmtId="43" fontId="24" fillId="0" borderId="1" xfId="1" applyNumberFormat="1" applyFont="1" applyFill="1" applyBorder="1" applyAlignment="1">
      <alignment vertical="top" wrapText="1"/>
    </xf>
    <xf numFmtId="43" fontId="24" fillId="0" borderId="9" xfId="1" applyNumberFormat="1" applyFont="1" applyFill="1" applyBorder="1" applyAlignment="1">
      <alignment horizontal="left" vertical="top" wrapText="1"/>
    </xf>
    <xf numFmtId="0" fontId="24" fillId="0" borderId="9" xfId="0" quotePrefix="1" applyFont="1" applyBorder="1" applyAlignment="1">
      <alignment horizontal="left" vertical="top" wrapText="1"/>
    </xf>
    <xf numFmtId="43" fontId="24" fillId="0" borderId="9" xfId="1" quotePrefix="1" applyNumberFormat="1" applyFont="1" applyFill="1" applyBorder="1" applyAlignment="1">
      <alignment horizontal="left" vertical="top" wrapText="1"/>
    </xf>
    <xf numFmtId="10" fontId="24" fillId="0" borderId="9" xfId="1" applyNumberFormat="1" applyFont="1" applyFill="1" applyBorder="1" applyAlignment="1">
      <alignment horizontal="left" vertical="top" wrapText="1"/>
    </xf>
    <xf numFmtId="0" fontId="24" fillId="0" borderId="4" xfId="0" applyFont="1" applyBorder="1" applyAlignment="1">
      <alignment vertical="top"/>
    </xf>
    <xf numFmtId="43" fontId="24" fillId="0" borderId="4" xfId="1" applyNumberFormat="1" applyFont="1" applyFill="1" applyBorder="1" applyAlignment="1">
      <alignment horizontal="center" vertical="top" wrapText="1"/>
    </xf>
    <xf numFmtId="43" fontId="34" fillId="0" borderId="0" xfId="1" applyNumberFormat="1" applyFont="1" applyAlignment="1">
      <alignment vertical="top"/>
    </xf>
    <xf numFmtId="174" fontId="34" fillId="0" borderId="0" xfId="1" applyNumberFormat="1" applyFont="1" applyAlignment="1">
      <alignment vertical="top"/>
    </xf>
    <xf numFmtId="0" fontId="23" fillId="0" borderId="11" xfId="0" applyFont="1" applyBorder="1" applyAlignment="1">
      <alignment horizontal="center" vertical="top" wrapText="1"/>
    </xf>
    <xf numFmtId="0" fontId="23" fillId="0" borderId="6" xfId="0" applyFont="1" applyBorder="1" applyAlignment="1">
      <alignment vertical="top" wrapText="1"/>
    </xf>
    <xf numFmtId="0" fontId="23" fillId="0" borderId="8" xfId="0" applyFont="1" applyBorder="1" applyAlignment="1">
      <alignment horizontal="center" vertical="top"/>
    </xf>
    <xf numFmtId="0" fontId="23" fillId="0" borderId="7" xfId="0" applyFont="1" applyBorder="1" applyAlignment="1">
      <alignment horizontal="center" vertical="top"/>
    </xf>
    <xf numFmtId="164" fontId="24" fillId="0" borderId="1" xfId="1" applyFont="1" applyFill="1" applyBorder="1"/>
    <xf numFmtId="43" fontId="24" fillId="0" borderId="10" xfId="1" applyNumberFormat="1" applyFont="1" applyFill="1" applyBorder="1" applyAlignment="1">
      <alignment horizontal="center" vertical="top"/>
    </xf>
    <xf numFmtId="43" fontId="24" fillId="0" borderId="0" xfId="1" applyNumberFormat="1" applyFont="1" applyFill="1" applyBorder="1" applyAlignment="1">
      <alignment horizontal="center" vertical="top"/>
    </xf>
    <xf numFmtId="43" fontId="24" fillId="0" borderId="1" xfId="1" quotePrefix="1" applyNumberFormat="1" applyFont="1" applyFill="1" applyBorder="1" applyAlignment="1">
      <alignment horizontal="center" vertical="top"/>
    </xf>
    <xf numFmtId="43" fontId="24" fillId="0" borderId="1" xfId="1" applyNumberFormat="1" applyFont="1" applyFill="1" applyBorder="1" applyAlignment="1">
      <alignment horizontal="center" vertical="top"/>
    </xf>
    <xf numFmtId="0" fontId="24" fillId="0" borderId="9" xfId="0" quotePrefix="1" applyFont="1" applyBorder="1" applyAlignment="1">
      <alignment horizontal="left" wrapText="1"/>
    </xf>
    <xf numFmtId="0" fontId="24" fillId="0" borderId="9" xfId="0" applyFont="1" applyBorder="1" applyAlignment="1">
      <alignment horizontal="left" wrapText="1"/>
    </xf>
    <xf numFmtId="9" fontId="24" fillId="0" borderId="1" xfId="14" quotePrefix="1" applyFont="1" applyFill="1" applyBorder="1" applyAlignment="1">
      <alignment horizontal="center" vertical="top"/>
    </xf>
    <xf numFmtId="43" fontId="23" fillId="0" borderId="10" xfId="1" applyNumberFormat="1" applyFont="1" applyFill="1" applyBorder="1" applyAlignment="1">
      <alignment horizontal="center" vertical="top"/>
    </xf>
    <xf numFmtId="43" fontId="24" fillId="0" borderId="10" xfId="0" applyNumberFormat="1" applyFont="1" applyBorder="1" applyAlignment="1">
      <alignment horizontal="center" vertical="top"/>
    </xf>
    <xf numFmtId="0" fontId="24" fillId="0" borderId="4" xfId="0" applyFont="1" applyBorder="1" applyAlignment="1">
      <alignment horizontal="center" vertical="top"/>
    </xf>
    <xf numFmtId="164" fontId="23" fillId="0" borderId="12" xfId="1" applyFont="1" applyFill="1" applyBorder="1" applyAlignment="1">
      <alignment horizontal="left" vertical="top" wrapText="1"/>
    </xf>
    <xf numFmtId="43" fontId="23" fillId="0" borderId="16" xfId="1" applyNumberFormat="1" applyFont="1" applyFill="1" applyBorder="1" applyAlignment="1">
      <alignment vertical="top"/>
    </xf>
    <xf numFmtId="43" fontId="23" fillId="0" borderId="16" xfId="1" applyNumberFormat="1" applyFont="1" applyFill="1" applyBorder="1" applyAlignment="1">
      <alignment horizontal="right" vertical="top"/>
    </xf>
    <xf numFmtId="43" fontId="23" fillId="0" borderId="4" xfId="1" applyNumberFormat="1" applyFont="1" applyFill="1" applyBorder="1" applyAlignment="1">
      <alignment horizontal="right" vertical="top"/>
    </xf>
    <xf numFmtId="0" fontId="36" fillId="0" borderId="0" xfId="0" applyFont="1" applyAlignment="1">
      <alignment horizontal="center" vertical="top"/>
    </xf>
    <xf numFmtId="0" fontId="36" fillId="0" borderId="0" xfId="0" applyFont="1" applyAlignment="1">
      <alignment vertical="top"/>
    </xf>
    <xf numFmtId="0" fontId="25" fillId="0" borderId="0" xfId="0" applyFont="1" applyAlignment="1">
      <alignment vertical="top"/>
    </xf>
    <xf numFmtId="0" fontId="36" fillId="0" borderId="0" xfId="0" applyFont="1" applyAlignment="1">
      <alignment horizontal="center" vertical="top" wrapText="1"/>
    </xf>
    <xf numFmtId="164" fontId="23" fillId="0" borderId="0" xfId="1" applyFont="1" applyFill="1" applyBorder="1" applyAlignment="1">
      <alignment horizontal="left" vertical="top" wrapText="1"/>
    </xf>
    <xf numFmtId="43" fontId="23" fillId="0" borderId="13" xfId="0" applyNumberFormat="1" applyFont="1" applyBorder="1" applyAlignment="1">
      <alignment vertical="top"/>
    </xf>
    <xf numFmtId="43" fontId="34" fillId="0" borderId="4" xfId="1" applyNumberFormat="1" applyFont="1" applyBorder="1" applyAlignment="1">
      <alignment vertical="top"/>
    </xf>
    <xf numFmtId="164" fontId="23" fillId="0" borderId="5" xfId="0" applyNumberFormat="1" applyFont="1" applyBorder="1" applyAlignment="1">
      <alignment vertical="top"/>
    </xf>
    <xf numFmtId="164" fontId="23" fillId="0" borderId="4" xfId="1" applyFont="1" applyFill="1" applyBorder="1" applyAlignment="1">
      <alignment horizontal="center" vertical="top" wrapText="1"/>
    </xf>
    <xf numFmtId="164" fontId="24" fillId="0" borderId="9" xfId="1" applyFont="1" applyFill="1" applyBorder="1" applyAlignment="1">
      <alignment horizontal="center" vertical="top" wrapText="1"/>
    </xf>
    <xf numFmtId="164" fontId="24" fillId="0" borderId="1" xfId="1" applyFont="1" applyFill="1" applyBorder="1" applyAlignment="1">
      <alignment horizontal="center" vertical="top" wrapText="1"/>
    </xf>
    <xf numFmtId="164" fontId="24" fillId="0" borderId="1" xfId="1" applyFont="1" applyFill="1" applyBorder="1" applyAlignment="1">
      <alignment vertical="top" wrapText="1"/>
    </xf>
    <xf numFmtId="164" fontId="24" fillId="0" borderId="3" xfId="1" applyFont="1" applyFill="1" applyBorder="1" applyAlignment="1">
      <alignment horizontal="center" vertical="top" wrapText="1"/>
    </xf>
    <xf numFmtId="164" fontId="24" fillId="0" borderId="3" xfId="1" applyFont="1" applyFill="1" applyBorder="1" applyAlignment="1">
      <alignment vertical="top" wrapText="1"/>
    </xf>
    <xf numFmtId="0" fontId="27" fillId="0" borderId="0" xfId="0" applyFont="1" applyAlignment="1">
      <alignment horizontal="left" vertical="top" wrapText="1"/>
    </xf>
    <xf numFmtId="164" fontId="24" fillId="0" borderId="1" xfId="0" applyNumberFormat="1" applyFont="1" applyBorder="1" applyAlignment="1">
      <alignment horizontal="right" vertical="top" wrapText="1"/>
    </xf>
    <xf numFmtId="0" fontId="23" fillId="0" borderId="5" xfId="0" applyFont="1" applyBorder="1" applyAlignment="1">
      <alignment vertical="top"/>
    </xf>
    <xf numFmtId="0" fontId="38" fillId="0" borderId="1" xfId="1" applyNumberFormat="1" applyFont="1" applyBorder="1" applyAlignment="1" applyProtection="1">
      <alignment horizontal="left" vertical="top"/>
    </xf>
    <xf numFmtId="0" fontId="39" fillId="0" borderId="1" xfId="1" applyNumberFormat="1" applyFont="1" applyBorder="1" applyAlignment="1" applyProtection="1">
      <alignment horizontal="left" vertical="top" indent="1"/>
    </xf>
    <xf numFmtId="0" fontId="39" fillId="0" borderId="1" xfId="1" applyNumberFormat="1" applyFont="1" applyBorder="1" applyAlignment="1" applyProtection="1">
      <alignment horizontal="left" vertical="top" indent="2"/>
    </xf>
    <xf numFmtId="164" fontId="23" fillId="0" borderId="17" xfId="1" applyFont="1" applyFill="1" applyBorder="1" applyAlignment="1">
      <alignment vertical="top"/>
    </xf>
    <xf numFmtId="164" fontId="24" fillId="0" borderId="1" xfId="2" applyFont="1" applyFill="1" applyBorder="1" applyAlignment="1">
      <alignment vertical="top"/>
    </xf>
    <xf numFmtId="0" fontId="23" fillId="7" borderId="0" xfId="0" applyFont="1" applyFill="1" applyAlignment="1">
      <alignment horizontal="left" vertical="top"/>
    </xf>
    <xf numFmtId="43" fontId="24" fillId="0" borderId="0" xfId="12" applyFont="1" applyFill="1" applyBorder="1" applyAlignment="1">
      <alignment vertical="top"/>
    </xf>
    <xf numFmtId="0" fontId="40" fillId="0" borderId="0" xfId="0" applyFont="1" applyAlignment="1">
      <alignment horizontal="center" vertical="top" wrapText="1"/>
    </xf>
    <xf numFmtId="164" fontId="24" fillId="0" borderId="0" xfId="2" applyFont="1" applyFill="1" applyBorder="1" applyAlignment="1" applyProtection="1">
      <alignment vertical="top"/>
      <protection locked="0"/>
    </xf>
    <xf numFmtId="164" fontId="24" fillId="0" borderId="0" xfId="2" applyFont="1" applyFill="1" applyBorder="1" applyAlignment="1">
      <alignment horizontal="left" vertical="top"/>
    </xf>
    <xf numFmtId="164" fontId="23" fillId="0" borderId="0" xfId="2" applyFont="1" applyFill="1" applyBorder="1" applyAlignment="1" applyProtection="1">
      <alignment horizontal="right" vertical="top" wrapText="1"/>
    </xf>
    <xf numFmtId="164" fontId="24" fillId="0" borderId="0" xfId="2" applyFont="1" applyFill="1" applyBorder="1" applyAlignment="1">
      <alignment horizontal="right" vertical="top"/>
    </xf>
    <xf numFmtId="164" fontId="24" fillId="0" borderId="0" xfId="2" applyFont="1" applyFill="1" applyBorder="1" applyAlignment="1" applyProtection="1">
      <alignment horizontal="right" vertical="top" wrapText="1"/>
    </xf>
    <xf numFmtId="0" fontId="23" fillId="0" borderId="1" xfId="0" applyFont="1" applyBorder="1" applyAlignment="1">
      <alignment vertical="top" wrapText="1"/>
    </xf>
    <xf numFmtId="0" fontId="40" fillId="0" borderId="5" xfId="0" applyFont="1" applyBorder="1" applyAlignment="1">
      <alignment horizontal="left" vertical="top"/>
    </xf>
    <xf numFmtId="0" fontId="41" fillId="0" borderId="1" xfId="0" applyFont="1" applyBorder="1" applyAlignment="1">
      <alignment vertical="top" wrapText="1"/>
    </xf>
    <xf numFmtId="0" fontId="23" fillId="0" borderId="9" xfId="0" applyFont="1" applyBorder="1" applyAlignment="1">
      <alignment horizontal="right" vertical="top" wrapText="1"/>
    </xf>
    <xf numFmtId="0" fontId="42" fillId="0" borderId="0" xfId="17" applyFont="1"/>
    <xf numFmtId="0" fontId="42" fillId="0" borderId="15" xfId="17" applyFont="1" applyBorder="1"/>
    <xf numFmtId="0" fontId="42" fillId="0" borderId="4" xfId="17" applyFont="1" applyBorder="1"/>
    <xf numFmtId="0" fontId="42" fillId="0" borderId="16" xfId="17" applyFont="1" applyBorder="1"/>
    <xf numFmtId="0" fontId="23" fillId="0" borderId="0" xfId="17" applyFont="1"/>
    <xf numFmtId="43" fontId="23" fillId="0" borderId="0" xfId="12" applyFont="1" applyAlignment="1">
      <alignment horizontal="left"/>
    </xf>
    <xf numFmtId="14" fontId="23" fillId="0" borderId="0" xfId="12" applyNumberFormat="1" applyFont="1" applyAlignment="1">
      <alignment horizontal="left"/>
    </xf>
    <xf numFmtId="43" fontId="42" fillId="0" borderId="0" xfId="12" applyFont="1" applyAlignment="1">
      <alignment horizontal="left"/>
    </xf>
    <xf numFmtId="0" fontId="27" fillId="0" borderId="0" xfId="17" applyFont="1"/>
    <xf numFmtId="0" fontId="44" fillId="0" borderId="0" xfId="17" applyFont="1" applyAlignment="1">
      <alignment horizontal="right" vertical="top"/>
    </xf>
    <xf numFmtId="0" fontId="42" fillId="0" borderId="19" xfId="17" applyFont="1" applyBorder="1"/>
    <xf numFmtId="0" fontId="42" fillId="0" borderId="20" xfId="17" applyFont="1" applyBorder="1"/>
    <xf numFmtId="43" fontId="42" fillId="0" borderId="20" xfId="12" applyFont="1" applyBorder="1" applyAlignment="1">
      <alignment horizontal="left"/>
    </xf>
    <xf numFmtId="0" fontId="42" fillId="0" borderId="21" xfId="17" applyFont="1" applyBorder="1"/>
    <xf numFmtId="0" fontId="27" fillId="0" borderId="18" xfId="17" applyFont="1" applyBorder="1"/>
    <xf numFmtId="43" fontId="42" fillId="0" borderId="0" xfId="12" applyFont="1" applyBorder="1" applyAlignment="1">
      <alignment horizontal="left"/>
    </xf>
    <xf numFmtId="0" fontId="42" fillId="0" borderId="22" xfId="17" applyFont="1" applyBorder="1"/>
    <xf numFmtId="0" fontId="23" fillId="0" borderId="18" xfId="17" applyFont="1" applyBorder="1"/>
    <xf numFmtId="0" fontId="24" fillId="0" borderId="18" xfId="17" applyFont="1" applyBorder="1"/>
    <xf numFmtId="43" fontId="42" fillId="0" borderId="15" xfId="12" applyFont="1" applyBorder="1" applyAlignment="1">
      <alignment horizontal="left"/>
    </xf>
    <xf numFmtId="43" fontId="42" fillId="0" borderId="22" xfId="17" applyNumberFormat="1" applyFont="1" applyBorder="1"/>
    <xf numFmtId="164" fontId="42" fillId="0" borderId="22" xfId="17" applyNumberFormat="1" applyFont="1" applyBorder="1"/>
    <xf numFmtId="0" fontId="42" fillId="0" borderId="18" xfId="17" applyFont="1" applyBorder="1"/>
    <xf numFmtId="0" fontId="42" fillId="0" borderId="23" xfId="17" applyFont="1" applyBorder="1"/>
    <xf numFmtId="164" fontId="23" fillId="0" borderId="22" xfId="12" applyNumberFormat="1" applyFont="1" applyBorder="1" applyAlignment="1">
      <alignment horizontal="center"/>
    </xf>
    <xf numFmtId="0" fontId="23" fillId="0" borderId="24" xfId="17" applyFont="1" applyBorder="1"/>
    <xf numFmtId="0" fontId="42" fillId="0" borderId="25" xfId="17" applyFont="1" applyBorder="1"/>
    <xf numFmtId="43" fontId="42" fillId="0" borderId="25" xfId="12" applyFont="1" applyBorder="1" applyAlignment="1">
      <alignment horizontal="left"/>
    </xf>
    <xf numFmtId="164" fontId="23" fillId="0" borderId="26" xfId="12" applyNumberFormat="1" applyFont="1" applyBorder="1" applyAlignment="1">
      <alignment horizontal="center"/>
    </xf>
    <xf numFmtId="0" fontId="42" fillId="0" borderId="4" xfId="17" applyFont="1" applyBorder="1" applyAlignment="1">
      <alignment horizontal="center" wrapText="1"/>
    </xf>
    <xf numFmtId="0" fontId="42" fillId="0" borderId="16" xfId="17" applyFont="1" applyBorder="1" applyAlignment="1">
      <alignment horizontal="center" wrapText="1"/>
    </xf>
    <xf numFmtId="0" fontId="42" fillId="0" borderId="6" xfId="17" applyFont="1" applyBorder="1"/>
    <xf numFmtId="0" fontId="43" fillId="0" borderId="7" xfId="17" applyFont="1" applyBorder="1" applyAlignment="1">
      <alignment horizontal="center"/>
    </xf>
    <xf numFmtId="0" fontId="42" fillId="0" borderId="12" xfId="17" applyFont="1" applyBorder="1"/>
    <xf numFmtId="0" fontId="42" fillId="0" borderId="11" xfId="17" applyFont="1" applyBorder="1"/>
    <xf numFmtId="0" fontId="42" fillId="0" borderId="14" xfId="17" applyFont="1" applyBorder="1"/>
    <xf numFmtId="0" fontId="42" fillId="0" borderId="13" xfId="17" applyFont="1" applyBorder="1"/>
    <xf numFmtId="170" fontId="42" fillId="0" borderId="13" xfId="12" applyNumberFormat="1" applyFont="1" applyBorder="1" applyAlignment="1">
      <alignment horizontal="left"/>
    </xf>
    <xf numFmtId="164" fontId="24" fillId="0" borderId="3" xfId="12" applyNumberFormat="1" applyFont="1" applyBorder="1" applyAlignment="1">
      <alignment horizontal="center"/>
    </xf>
    <xf numFmtId="164" fontId="42" fillId="0" borderId="0" xfId="12" applyNumberFormat="1" applyFont="1" applyBorder="1"/>
    <xf numFmtId="0" fontId="45" fillId="0" borderId="0" xfId="17" applyFont="1"/>
    <xf numFmtId="0" fontId="24" fillId="0" borderId="0" xfId="17" applyFont="1"/>
    <xf numFmtId="0" fontId="46" fillId="0" borderId="0" xfId="17" applyFont="1"/>
    <xf numFmtId="0" fontId="34" fillId="0" borderId="0" xfId="17" applyFont="1"/>
    <xf numFmtId="0" fontId="47" fillId="0" borderId="0" xfId="17" applyFont="1" applyAlignment="1">
      <alignment horizontal="right"/>
    </xf>
    <xf numFmtId="0" fontId="46" fillId="0" borderId="4" xfId="17" applyFont="1" applyBorder="1" applyAlignment="1">
      <alignment horizontal="center" vertical="center"/>
    </xf>
    <xf numFmtId="0" fontId="46" fillId="0" borderId="16" xfId="17" applyFont="1" applyBorder="1" applyAlignment="1">
      <alignment horizontal="center" vertical="center" wrapText="1"/>
    </xf>
    <xf numFmtId="0" fontId="46" fillId="0" borderId="4" xfId="17" applyFont="1" applyBorder="1" applyAlignment="1">
      <alignment horizontal="center" vertical="center" wrapText="1"/>
    </xf>
    <xf numFmtId="0" fontId="34" fillId="0" borderId="5" xfId="17" applyFont="1" applyBorder="1"/>
    <xf numFmtId="0" fontId="34" fillId="0" borderId="10" xfId="17" applyFont="1" applyBorder="1"/>
    <xf numFmtId="0" fontId="34" fillId="0" borderId="8" xfId="17" applyFont="1" applyBorder="1"/>
    <xf numFmtId="0" fontId="34" fillId="0" borderId="1" xfId="17" applyFont="1" applyBorder="1" applyAlignment="1">
      <alignment horizontal="center"/>
    </xf>
    <xf numFmtId="9" fontId="34" fillId="0" borderId="1" xfId="17" applyNumberFormat="1" applyFont="1" applyBorder="1"/>
    <xf numFmtId="43" fontId="34" fillId="0" borderId="1" xfId="12" applyFont="1" applyBorder="1"/>
    <xf numFmtId="176" fontId="34" fillId="0" borderId="1" xfId="17" applyNumberFormat="1" applyFont="1" applyBorder="1"/>
    <xf numFmtId="0" fontId="34" fillId="0" borderId="3" xfId="17" applyFont="1" applyBorder="1" applyAlignment="1">
      <alignment horizontal="center"/>
    </xf>
    <xf numFmtId="0" fontId="34" fillId="0" borderId="15" xfId="17" applyFont="1" applyBorder="1"/>
    <xf numFmtId="9" fontId="34" fillId="0" borderId="3" xfId="17" applyNumberFormat="1" applyFont="1" applyBorder="1"/>
    <xf numFmtId="43" fontId="34" fillId="0" borderId="3" xfId="12" applyFont="1" applyBorder="1"/>
    <xf numFmtId="43" fontId="34" fillId="0" borderId="15" xfId="12" applyFont="1" applyBorder="1"/>
    <xf numFmtId="0" fontId="34" fillId="0" borderId="4" xfId="17" applyFont="1" applyBorder="1"/>
    <xf numFmtId="0" fontId="34" fillId="0" borderId="16" xfId="17" applyFont="1" applyBorder="1"/>
    <xf numFmtId="43" fontId="46" fillId="0" borderId="4" xfId="17" applyNumberFormat="1" applyFont="1" applyBorder="1"/>
    <xf numFmtId="176" fontId="46" fillId="0" borderId="4" xfId="17" applyNumberFormat="1" applyFont="1" applyBorder="1"/>
    <xf numFmtId="43" fontId="46" fillId="0" borderId="16" xfId="17" applyNumberFormat="1" applyFont="1" applyBorder="1"/>
    <xf numFmtId="0" fontId="48" fillId="0" borderId="0" xfId="0" applyFont="1" applyAlignment="1">
      <alignment vertical="top"/>
    </xf>
    <xf numFmtId="164" fontId="24" fillId="0" borderId="1" xfId="1" applyFont="1" applyFill="1" applyBorder="1" applyAlignment="1">
      <alignment vertical="top"/>
    </xf>
    <xf numFmtId="164" fontId="33" fillId="0" borderId="1" xfId="1" applyFont="1" applyBorder="1" applyAlignment="1">
      <alignment horizontal="left" vertical="center" indent="4"/>
    </xf>
    <xf numFmtId="164" fontId="33" fillId="0" borderId="1" xfId="1" applyFont="1" applyBorder="1" applyAlignment="1">
      <alignment vertical="center"/>
    </xf>
    <xf numFmtId="164" fontId="33" fillId="0" borderId="1" xfId="1" applyFont="1" applyBorder="1" applyAlignment="1">
      <alignment horizontal="right" vertical="center"/>
    </xf>
    <xf numFmtId="164" fontId="33" fillId="0" borderId="1" xfId="1" applyFont="1" applyBorder="1" applyAlignment="1">
      <alignment horizontal="right"/>
    </xf>
    <xf numFmtId="164" fontId="31" fillId="0" borderId="1" xfId="1" applyFont="1" applyBorder="1" applyAlignment="1">
      <alignment horizontal="right" vertical="center"/>
    </xf>
    <xf numFmtId="164" fontId="33" fillId="0" borderId="28" xfId="1" applyFont="1" applyBorder="1" applyAlignment="1">
      <alignment horizontal="right" vertical="center"/>
    </xf>
    <xf numFmtId="164" fontId="31" fillId="0" borderId="28" xfId="1" applyFont="1" applyBorder="1" applyAlignment="1">
      <alignment horizontal="right" vertical="center"/>
    </xf>
    <xf numFmtId="164" fontId="31" fillId="0" borderId="0" xfId="1" applyFont="1" applyAlignment="1">
      <alignment vertical="center" wrapText="1"/>
    </xf>
    <xf numFmtId="164" fontId="33" fillId="0" borderId="0" xfId="1" applyFont="1"/>
    <xf numFmtId="164" fontId="31" fillId="0" borderId="0" xfId="1" applyFont="1" applyAlignment="1">
      <alignment vertical="center"/>
    </xf>
    <xf numFmtId="164" fontId="31" fillId="0" borderId="4" xfId="1" applyFont="1" applyBorder="1" applyAlignment="1">
      <alignment vertical="center"/>
    </xf>
    <xf numFmtId="164" fontId="31" fillId="0" borderId="1" xfId="1" applyFont="1" applyBorder="1" applyAlignment="1">
      <alignment vertical="center"/>
    </xf>
    <xf numFmtId="164" fontId="33" fillId="0" borderId="0" xfId="1" applyFont="1" applyAlignment="1">
      <alignment horizontal="left" vertical="center" indent="4"/>
    </xf>
    <xf numFmtId="164" fontId="31" fillId="0" borderId="27" xfId="1" applyFont="1" applyBorder="1" applyAlignment="1">
      <alignment horizontal="left" vertical="center" indent="8"/>
    </xf>
    <xf numFmtId="164" fontId="31" fillId="0" borderId="29" xfId="1" applyFont="1" applyBorder="1" applyAlignment="1">
      <alignment horizontal="right" vertical="center"/>
    </xf>
    <xf numFmtId="164" fontId="31" fillId="0" borderId="0" xfId="1" applyFont="1" applyAlignment="1">
      <alignment horizontal="left" vertical="center" indent="8"/>
    </xf>
    <xf numFmtId="164" fontId="33" fillId="0" borderId="0" xfId="1" applyFont="1" applyAlignment="1">
      <alignment vertical="center"/>
    </xf>
    <xf numFmtId="164" fontId="31" fillId="0" borderId="0" xfId="1" applyFont="1"/>
    <xf numFmtId="164" fontId="33" fillId="0" borderId="0" xfId="1" applyFont="1" applyBorder="1" applyAlignment="1">
      <alignment vertical="center"/>
    </xf>
    <xf numFmtId="10" fontId="31" fillId="0" borderId="4" xfId="1" applyNumberFormat="1" applyFont="1" applyBorder="1" applyAlignment="1">
      <alignment vertical="center"/>
    </xf>
    <xf numFmtId="164" fontId="33" fillId="0" borderId="0" xfId="1" applyFont="1" applyAlignment="1">
      <alignment horizontal="right"/>
    </xf>
    <xf numFmtId="164" fontId="31" fillId="0" borderId="0" xfId="1" applyFont="1" applyAlignment="1">
      <alignment horizontal="right" vertical="center"/>
    </xf>
    <xf numFmtId="164" fontId="24" fillId="0" borderId="8" xfId="2" applyFont="1" applyFill="1" applyBorder="1" applyAlignment="1" applyProtection="1">
      <alignment horizontal="right" vertical="top" wrapText="1"/>
    </xf>
    <xf numFmtId="164" fontId="24" fillId="0" borderId="10" xfId="2" applyFont="1" applyFill="1" applyBorder="1" applyAlignment="1" applyProtection="1">
      <alignment horizontal="left" vertical="top" wrapText="1"/>
    </xf>
    <xf numFmtId="164" fontId="23" fillId="0" borderId="16" xfId="2" applyFont="1" applyFill="1" applyBorder="1" applyAlignment="1" applyProtection="1">
      <alignment horizontal="right" vertical="top" wrapText="1"/>
    </xf>
    <xf numFmtId="164" fontId="24" fillId="0" borderId="10" xfId="2" applyFont="1" applyFill="1" applyBorder="1" applyAlignment="1" applyProtection="1">
      <alignment horizontal="right" vertical="top" wrapText="1"/>
    </xf>
    <xf numFmtId="164" fontId="24" fillId="0" borderId="15" xfId="2" applyFont="1" applyFill="1" applyBorder="1" applyAlignment="1" applyProtection="1">
      <alignment horizontal="right" vertical="top" wrapText="1"/>
    </xf>
    <xf numFmtId="0" fontId="26" fillId="2" borderId="5" xfId="16" applyNumberFormat="1" applyFont="1" applyFill="1" applyBorder="1" applyAlignment="1">
      <alignment vertical="top"/>
    </xf>
    <xf numFmtId="0" fontId="24" fillId="2" borderId="1" xfId="16" applyNumberFormat="1" applyFont="1" applyFill="1" applyBorder="1" applyAlignment="1">
      <alignment horizontal="left" vertical="top"/>
    </xf>
    <xf numFmtId="0" fontId="23" fillId="2" borderId="1" xfId="16" applyNumberFormat="1" applyFont="1" applyFill="1" applyBorder="1" applyAlignment="1">
      <alignment vertical="top"/>
    </xf>
    <xf numFmtId="0" fontId="26" fillId="2" borderId="1" xfId="16" applyNumberFormat="1" applyFont="1" applyFill="1" applyBorder="1" applyAlignment="1">
      <alignment horizontal="left" vertical="top"/>
    </xf>
    <xf numFmtId="0" fontId="24" fillId="2" borderId="1" xfId="16" applyNumberFormat="1" applyFont="1" applyFill="1" applyBorder="1" applyAlignment="1">
      <alignment vertical="top"/>
    </xf>
    <xf numFmtId="0" fontId="23" fillId="2" borderId="1" xfId="16" applyNumberFormat="1" applyFont="1" applyFill="1" applyBorder="1" applyAlignment="1">
      <alignment horizontal="right" vertical="top"/>
    </xf>
    <xf numFmtId="164" fontId="31" fillId="0" borderId="7" xfId="1" applyFont="1" applyBorder="1"/>
    <xf numFmtId="0" fontId="24" fillId="0" borderId="3" xfId="0" applyFont="1" applyBorder="1" applyAlignment="1">
      <alignment horizontal="left" vertical="top" wrapText="1"/>
    </xf>
    <xf numFmtId="164" fontId="24" fillId="0" borderId="0" xfId="1" applyFont="1"/>
    <xf numFmtId="164" fontId="23" fillId="0" borderId="17" xfId="1" applyFont="1" applyBorder="1"/>
    <xf numFmtId="0" fontId="27" fillId="0" borderId="0" xfId="0" applyFont="1"/>
    <xf numFmtId="164" fontId="24" fillId="0" borderId="0" xfId="0" applyNumberFormat="1" applyFont="1"/>
    <xf numFmtId="0" fontId="24" fillId="0" borderId="0" xfId="6" applyFont="1" applyAlignment="1">
      <alignment horizontal="left" vertical="top"/>
    </xf>
    <xf numFmtId="0" fontId="24" fillId="0" borderId="0" xfId="6" quotePrefix="1" applyFont="1" applyAlignment="1">
      <alignment horizontal="left" vertical="top" wrapText="1"/>
    </xf>
    <xf numFmtId="0" fontId="24" fillId="0" borderId="0" xfId="6" applyFont="1" applyAlignment="1">
      <alignment vertical="top"/>
    </xf>
    <xf numFmtId="0" fontId="24" fillId="0" borderId="0" xfId="6" applyFont="1" applyAlignment="1">
      <alignment horizontal="right" vertical="top"/>
    </xf>
    <xf numFmtId="0" fontId="24" fillId="0" borderId="18" xfId="6" applyFont="1" applyBorder="1" applyAlignment="1">
      <alignment horizontal="left" vertical="top"/>
    </xf>
    <xf numFmtId="0" fontId="23" fillId="0" borderId="5" xfId="6" quotePrefix="1" applyFont="1" applyBorder="1" applyAlignment="1">
      <alignment horizontal="left" vertical="top"/>
    </xf>
    <xf numFmtId="0" fontId="23" fillId="0" borderId="1" xfId="6" quotePrefix="1" applyFont="1" applyBorder="1" applyAlignment="1">
      <alignment horizontal="left" vertical="top" wrapText="1"/>
    </xf>
    <xf numFmtId="0" fontId="24" fillId="0" borderId="1" xfId="6" quotePrefix="1" applyFont="1" applyBorder="1" applyAlignment="1">
      <alignment horizontal="justify" vertical="top" wrapText="1"/>
    </xf>
    <xf numFmtId="0" fontId="23" fillId="0" borderId="1" xfId="6" applyFont="1" applyBorder="1" applyAlignment="1">
      <alignment horizontal="justify" vertical="top" wrapText="1"/>
    </xf>
    <xf numFmtId="0" fontId="24" fillId="0" borderId="1" xfId="6" quotePrefix="1" applyFont="1" applyBorder="1" applyAlignment="1">
      <alignment horizontal="left" vertical="top" wrapText="1"/>
    </xf>
    <xf numFmtId="0" fontId="46" fillId="0" borderId="1" xfId="18" applyFont="1" applyBorder="1"/>
    <xf numFmtId="0" fontId="24" fillId="0" borderId="0" xfId="6" applyFont="1" applyAlignment="1">
      <alignment horizontal="left" vertical="top" wrapText="1"/>
    </xf>
    <xf numFmtId="0" fontId="34" fillId="0" borderId="1" xfId="18" applyFont="1" applyBorder="1" applyAlignment="1">
      <alignment wrapText="1"/>
    </xf>
    <xf numFmtId="0" fontId="24" fillId="0" borderId="1" xfId="6" applyFont="1" applyBorder="1" applyAlignment="1">
      <alignment horizontal="left" vertical="top" wrapText="1"/>
    </xf>
    <xf numFmtId="0" fontId="23" fillId="0" borderId="19" xfId="6" applyFont="1" applyBorder="1" applyAlignment="1">
      <alignment horizontal="center" vertical="top"/>
    </xf>
    <xf numFmtId="0" fontId="23" fillId="0" borderId="12" xfId="0" applyFont="1" applyBorder="1" applyAlignment="1">
      <alignment horizontal="right" vertical="top"/>
    </xf>
    <xf numFmtId="43" fontId="40" fillId="0" borderId="16" xfId="12" applyFont="1" applyFill="1" applyBorder="1" applyAlignment="1">
      <alignment horizontal="center" vertical="top" wrapText="1"/>
    </xf>
    <xf numFmtId="0" fontId="24" fillId="0" borderId="4" xfId="0" applyFont="1" applyBorder="1" applyAlignment="1">
      <alignment horizontal="right" vertical="top"/>
    </xf>
    <xf numFmtId="166" fontId="24" fillId="0" borderId="4" xfId="1" applyNumberFormat="1" applyFont="1" applyBorder="1" applyAlignment="1">
      <alignment vertical="top"/>
    </xf>
    <xf numFmtId="169" fontId="23" fillId="0" borderId="0" xfId="3" applyNumberFormat="1" applyFont="1" applyFill="1" applyBorder="1" applyAlignment="1" applyProtection="1">
      <alignment horizontal="right" vertical="top"/>
    </xf>
    <xf numFmtId="169" fontId="23" fillId="0" borderId="0" xfId="3" applyNumberFormat="1" applyFont="1" applyFill="1" applyBorder="1" applyAlignment="1" applyProtection="1">
      <alignment horizontal="right" vertical="top" wrapText="1"/>
    </xf>
    <xf numFmtId="0" fontId="23" fillId="0" borderId="6" xfId="6" applyFont="1" applyBorder="1" applyAlignment="1">
      <alignment horizontal="center" vertical="top"/>
    </xf>
    <xf numFmtId="0" fontId="23" fillId="0" borderId="5" xfId="6" quotePrefix="1" applyFont="1" applyBorder="1" applyAlignment="1">
      <alignment horizontal="center" vertical="top" wrapText="1"/>
    </xf>
    <xf numFmtId="0" fontId="23" fillId="0" borderId="12" xfId="6" quotePrefix="1" applyFont="1" applyBorder="1" applyAlignment="1">
      <alignment horizontal="right" vertical="top"/>
    </xf>
    <xf numFmtId="0" fontId="23" fillId="0" borderId="4" xfId="6" quotePrefix="1" applyFont="1" applyBorder="1" applyAlignment="1">
      <alignment horizontal="left" vertical="top"/>
    </xf>
    <xf numFmtId="0" fontId="23" fillId="0" borderId="5" xfId="6" quotePrefix="1" applyFont="1" applyBorder="1" applyAlignment="1">
      <alignment horizontal="right" vertical="top"/>
    </xf>
    <xf numFmtId="0" fontId="23" fillId="0" borderId="1" xfId="12" applyNumberFormat="1" applyFont="1" applyFill="1" applyBorder="1" applyAlignment="1">
      <alignment horizontal="right" vertical="top"/>
    </xf>
    <xf numFmtId="171" fontId="23" fillId="0" borderId="1" xfId="12" applyNumberFormat="1" applyFont="1" applyFill="1" applyBorder="1" applyAlignment="1">
      <alignment horizontal="right" vertical="top"/>
    </xf>
    <xf numFmtId="0" fontId="23" fillId="0" borderId="1" xfId="6" applyFont="1" applyBorder="1" applyAlignment="1">
      <alignment horizontal="right" vertical="top"/>
    </xf>
    <xf numFmtId="0" fontId="24" fillId="0" borderId="1" xfId="6" applyFont="1" applyBorder="1" applyAlignment="1">
      <alignment horizontal="right" vertical="top"/>
    </xf>
    <xf numFmtId="171" fontId="23" fillId="0" borderId="1" xfId="6" applyNumberFormat="1" applyFont="1" applyBorder="1" applyAlignment="1">
      <alignment horizontal="right" vertical="top"/>
    </xf>
    <xf numFmtId="0" fontId="24" fillId="0" borderId="3" xfId="6" applyFont="1" applyBorder="1" applyAlignment="1">
      <alignment horizontal="right" vertical="top"/>
    </xf>
    <xf numFmtId="0" fontId="65" fillId="0" borderId="0" xfId="61" applyFont="1" applyAlignment="1">
      <alignment vertical="top"/>
    </xf>
    <xf numFmtId="0" fontId="11" fillId="0" borderId="0" xfId="61"/>
    <xf numFmtId="49" fontId="67" fillId="0" borderId="7" xfId="61" applyNumberFormat="1" applyFont="1" applyBorder="1" applyAlignment="1">
      <alignment horizontal="left" vertical="top" indent="3"/>
    </xf>
    <xf numFmtId="49" fontId="67" fillId="0" borderId="9" xfId="61" applyNumberFormat="1" applyFont="1" applyBorder="1" applyAlignment="1">
      <alignment horizontal="left" vertical="top" indent="3"/>
    </xf>
    <xf numFmtId="49" fontId="67" fillId="0" borderId="6" xfId="61" applyNumberFormat="1" applyFont="1" applyBorder="1" applyAlignment="1">
      <alignment horizontal="center" vertical="top"/>
    </xf>
    <xf numFmtId="49" fontId="67" fillId="0" borderId="14" xfId="61" applyNumberFormat="1" applyFont="1" applyBorder="1" applyAlignment="1">
      <alignment horizontal="left" vertical="top" indent="3"/>
    </xf>
    <xf numFmtId="49" fontId="67" fillId="0" borderId="14" xfId="61" applyNumberFormat="1" applyFont="1" applyBorder="1" applyAlignment="1">
      <alignment horizontal="center" vertical="top"/>
    </xf>
    <xf numFmtId="49" fontId="68" fillId="0" borderId="4" xfId="61" applyNumberFormat="1" applyFont="1" applyBorder="1" applyAlignment="1">
      <alignment horizontal="center" vertical="top"/>
    </xf>
    <xf numFmtId="49" fontId="67" fillId="0" borderId="0" xfId="61" applyNumberFormat="1" applyFont="1" applyAlignment="1">
      <alignment vertical="top"/>
    </xf>
    <xf numFmtId="177" fontId="67" fillId="0" borderId="11" xfId="61" applyNumberFormat="1" applyFont="1" applyBorder="1" applyAlignment="1">
      <alignment horizontal="right" vertical="top"/>
    </xf>
    <xf numFmtId="178" fontId="69" fillId="0" borderId="11" xfId="61" applyNumberFormat="1" applyFont="1" applyBorder="1" applyAlignment="1">
      <alignment horizontal="right" vertical="top"/>
    </xf>
    <xf numFmtId="49" fontId="69" fillId="0" borderId="0" xfId="61" applyNumberFormat="1" applyFont="1" applyAlignment="1">
      <alignment horizontal="left" vertical="top" indent="3"/>
    </xf>
    <xf numFmtId="177" fontId="69" fillId="0" borderId="0" xfId="61" applyNumberFormat="1" applyFont="1" applyAlignment="1">
      <alignment horizontal="right" vertical="top"/>
    </xf>
    <xf numFmtId="178" fontId="68" fillId="0" borderId="0" xfId="61" applyNumberFormat="1" applyFont="1" applyAlignment="1">
      <alignment horizontal="right" vertical="top"/>
    </xf>
    <xf numFmtId="179" fontId="69" fillId="0" borderId="0" xfId="61" applyNumberFormat="1" applyFont="1" applyAlignment="1">
      <alignment horizontal="right" vertical="top"/>
    </xf>
    <xf numFmtId="177" fontId="67" fillId="0" borderId="13" xfId="61" applyNumberFormat="1" applyFont="1" applyBorder="1" applyAlignment="1">
      <alignment horizontal="right" vertical="top"/>
    </xf>
    <xf numFmtId="180" fontId="69" fillId="0" borderId="13" xfId="61" applyNumberFormat="1" applyFont="1" applyBorder="1" applyAlignment="1">
      <alignment horizontal="right" vertical="top"/>
    </xf>
    <xf numFmtId="49" fontId="68" fillId="0" borderId="0" xfId="61" applyNumberFormat="1" applyFont="1" applyAlignment="1">
      <alignment horizontal="left" vertical="top" indent="3"/>
    </xf>
    <xf numFmtId="177" fontId="68" fillId="0" borderId="11" xfId="61" applyNumberFormat="1" applyFont="1" applyBorder="1" applyAlignment="1">
      <alignment horizontal="right" vertical="top"/>
    </xf>
    <xf numFmtId="180" fontId="68" fillId="0" borderId="11" xfId="61" applyNumberFormat="1" applyFont="1" applyBorder="1" applyAlignment="1">
      <alignment horizontal="right" vertical="top"/>
    </xf>
    <xf numFmtId="49" fontId="69" fillId="0" borderId="0" xfId="61" applyNumberFormat="1" applyFont="1" applyAlignment="1">
      <alignment horizontal="left" vertical="top" indent="5"/>
    </xf>
    <xf numFmtId="178" fontId="69" fillId="0" borderId="0" xfId="61" applyNumberFormat="1" applyFont="1" applyAlignment="1">
      <alignment horizontal="right" vertical="top"/>
    </xf>
    <xf numFmtId="180" fontId="69" fillId="0" borderId="0" xfId="61" applyNumberFormat="1" applyFont="1" applyAlignment="1">
      <alignment horizontal="right" vertical="top"/>
    </xf>
    <xf numFmtId="177" fontId="68" fillId="0" borderId="0" xfId="61" applyNumberFormat="1" applyFont="1" applyAlignment="1">
      <alignment horizontal="right" vertical="top"/>
    </xf>
    <xf numFmtId="49" fontId="69" fillId="0" borderId="0" xfId="61" applyNumberFormat="1" applyFont="1" applyAlignment="1">
      <alignment horizontal="left" vertical="top" indent="4"/>
    </xf>
    <xf numFmtId="177" fontId="68" fillId="0" borderId="13" xfId="61" applyNumberFormat="1" applyFont="1" applyBorder="1" applyAlignment="1">
      <alignment horizontal="right" vertical="top"/>
    </xf>
    <xf numFmtId="178" fontId="68" fillId="0" borderId="13" xfId="61" applyNumberFormat="1" applyFont="1" applyBorder="1" applyAlignment="1">
      <alignment horizontal="right" vertical="top"/>
    </xf>
    <xf numFmtId="180" fontId="68" fillId="0" borderId="13" xfId="61" applyNumberFormat="1" applyFont="1" applyBorder="1" applyAlignment="1">
      <alignment horizontal="right" vertical="top"/>
    </xf>
    <xf numFmtId="179" fontId="68" fillId="0" borderId="11" xfId="61" applyNumberFormat="1" applyFont="1" applyBorder="1" applyAlignment="1">
      <alignment horizontal="right" vertical="top"/>
    </xf>
    <xf numFmtId="179" fontId="68" fillId="0" borderId="0" xfId="61" applyNumberFormat="1" applyFont="1" applyAlignment="1">
      <alignment horizontal="right" vertical="top"/>
    </xf>
    <xf numFmtId="49" fontId="68" fillId="0" borderId="0" xfId="61" applyNumberFormat="1" applyFont="1" applyAlignment="1">
      <alignment horizontal="left" vertical="top" indent="2"/>
    </xf>
    <xf numFmtId="180" fontId="68" fillId="0" borderId="0" xfId="61" applyNumberFormat="1" applyFont="1" applyAlignment="1">
      <alignment horizontal="right" vertical="top"/>
    </xf>
    <xf numFmtId="178" fontId="67" fillId="0" borderId="13" xfId="61" applyNumberFormat="1" applyFont="1" applyBorder="1" applyAlignment="1">
      <alignment horizontal="right" vertical="top"/>
    </xf>
    <xf numFmtId="178" fontId="69" fillId="0" borderId="13" xfId="61" applyNumberFormat="1" applyFont="1" applyBorder="1" applyAlignment="1">
      <alignment horizontal="right" vertical="top"/>
    </xf>
    <xf numFmtId="179" fontId="67" fillId="0" borderId="13" xfId="61" applyNumberFormat="1" applyFont="1" applyBorder="1" applyAlignment="1">
      <alignment horizontal="right" vertical="top"/>
    </xf>
    <xf numFmtId="49" fontId="69" fillId="0" borderId="0" xfId="61" applyNumberFormat="1" applyFont="1" applyAlignment="1">
      <alignment horizontal="left" vertical="top" indent="2"/>
    </xf>
    <xf numFmtId="179" fontId="68" fillId="0" borderId="13" xfId="61" applyNumberFormat="1" applyFont="1" applyBorder="1" applyAlignment="1">
      <alignment horizontal="right" vertical="top"/>
    </xf>
    <xf numFmtId="49" fontId="68" fillId="0" borderId="0" xfId="61" applyNumberFormat="1" applyFont="1" applyAlignment="1">
      <alignment horizontal="left" vertical="top" indent="5"/>
    </xf>
    <xf numFmtId="179" fontId="69" fillId="0" borderId="11" xfId="61" applyNumberFormat="1" applyFont="1" applyBorder="1" applyAlignment="1">
      <alignment horizontal="right" vertical="top"/>
    </xf>
    <xf numFmtId="180" fontId="69" fillId="0" borderId="11" xfId="61" applyNumberFormat="1" applyFont="1" applyBorder="1" applyAlignment="1">
      <alignment horizontal="right" vertical="top"/>
    </xf>
    <xf numFmtId="49" fontId="69" fillId="0" borderId="0" xfId="61" applyNumberFormat="1" applyFont="1" applyAlignment="1">
      <alignment horizontal="left" vertical="top" indent="7"/>
    </xf>
    <xf numFmtId="49" fontId="69" fillId="0" borderId="0" xfId="61" applyNumberFormat="1" applyFont="1" applyAlignment="1">
      <alignment horizontal="left" vertical="top" indent="8"/>
    </xf>
    <xf numFmtId="49" fontId="69" fillId="0" borderId="0" xfId="61" applyNumberFormat="1" applyFont="1" applyAlignment="1">
      <alignment horizontal="left" vertical="top" indent="6"/>
    </xf>
    <xf numFmtId="179" fontId="69" fillId="0" borderId="13" xfId="61" applyNumberFormat="1" applyFont="1" applyBorder="1" applyAlignment="1">
      <alignment horizontal="right" vertical="top"/>
    </xf>
    <xf numFmtId="178" fontId="68" fillId="0" borderId="11" xfId="61" applyNumberFormat="1" applyFont="1" applyBorder="1" applyAlignment="1">
      <alignment horizontal="right" vertical="top"/>
    </xf>
    <xf numFmtId="49" fontId="67" fillId="0" borderId="11" xfId="61" applyNumberFormat="1" applyFont="1" applyBorder="1" applyAlignment="1">
      <alignment horizontal="left" vertical="top" indent="3"/>
    </xf>
    <xf numFmtId="178" fontId="67" fillId="0" borderId="11" xfId="61" applyNumberFormat="1" applyFont="1" applyBorder="1" applyAlignment="1">
      <alignment horizontal="right" vertical="top"/>
    </xf>
    <xf numFmtId="180" fontId="70" fillId="0" borderId="11" xfId="61" applyNumberFormat="1" applyFont="1" applyBorder="1" applyAlignment="1">
      <alignment horizontal="right" vertical="top"/>
    </xf>
    <xf numFmtId="0" fontId="23" fillId="2" borderId="0" xfId="16" applyNumberFormat="1" applyFont="1" applyFill="1" applyAlignment="1">
      <alignment horizontal="right" vertical="top"/>
    </xf>
    <xf numFmtId="164" fontId="24" fillId="0" borderId="5" xfId="1" applyFont="1" applyBorder="1" applyAlignment="1">
      <alignment vertical="top"/>
    </xf>
    <xf numFmtId="179" fontId="68" fillId="3" borderId="0" xfId="61" applyNumberFormat="1" applyFont="1" applyFill="1" applyAlignment="1">
      <alignment horizontal="right" vertical="top"/>
    </xf>
    <xf numFmtId="177" fontId="69" fillId="3" borderId="0" xfId="61" applyNumberFormat="1" applyFont="1" applyFill="1" applyAlignment="1">
      <alignment horizontal="right" vertical="top"/>
    </xf>
    <xf numFmtId="179" fontId="69" fillId="3" borderId="0" xfId="61" applyNumberFormat="1" applyFont="1" applyFill="1" applyAlignment="1">
      <alignment horizontal="right" vertical="top"/>
    </xf>
    <xf numFmtId="0" fontId="63" fillId="0" borderId="0" xfId="61" applyFont="1" applyAlignment="1">
      <alignment wrapText="1"/>
    </xf>
    <xf numFmtId="0" fontId="11" fillId="0" borderId="0" xfId="61" applyAlignment="1">
      <alignment wrapText="1"/>
    </xf>
    <xf numFmtId="43" fontId="0" fillId="0" borderId="0" xfId="62" applyFont="1"/>
    <xf numFmtId="43" fontId="11" fillId="0" borderId="0" xfId="61" applyNumberFormat="1"/>
    <xf numFmtId="14" fontId="11" fillId="0" borderId="0" xfId="61" applyNumberFormat="1"/>
    <xf numFmtId="0" fontId="63" fillId="0" borderId="0" xfId="61" applyFont="1" applyAlignment="1">
      <alignment vertical="center" wrapText="1"/>
    </xf>
    <xf numFmtId="0" fontId="11" fillId="0" borderId="0" xfId="61" applyAlignment="1">
      <alignment vertical="center" wrapText="1"/>
    </xf>
    <xf numFmtId="0" fontId="11" fillId="0" borderId="0" xfId="61" applyAlignment="1">
      <alignment vertical="center"/>
    </xf>
    <xf numFmtId="43" fontId="63" fillId="0" borderId="17" xfId="61" applyNumberFormat="1" applyFont="1" applyBorder="1"/>
    <xf numFmtId="179" fontId="68" fillId="3" borderId="11" xfId="61" applyNumberFormat="1" applyFont="1" applyFill="1" applyBorder="1" applyAlignment="1">
      <alignment horizontal="right" vertical="top"/>
    </xf>
    <xf numFmtId="177" fontId="67" fillId="3" borderId="13" xfId="61" applyNumberFormat="1" applyFont="1" applyFill="1" applyBorder="1" applyAlignment="1">
      <alignment horizontal="right" vertical="top"/>
    </xf>
    <xf numFmtId="179" fontId="67" fillId="3" borderId="13" xfId="61" applyNumberFormat="1" applyFont="1" applyFill="1" applyBorder="1" applyAlignment="1">
      <alignment horizontal="right" vertical="top"/>
    </xf>
    <xf numFmtId="179" fontId="68" fillId="3" borderId="13" xfId="61" applyNumberFormat="1" applyFont="1" applyFill="1" applyBorder="1" applyAlignment="1">
      <alignment horizontal="right" vertical="top"/>
    </xf>
    <xf numFmtId="179" fontId="69" fillId="3" borderId="11" xfId="61" applyNumberFormat="1" applyFont="1" applyFill="1" applyBorder="1" applyAlignment="1">
      <alignment horizontal="right" vertical="top"/>
    </xf>
    <xf numFmtId="179" fontId="69" fillId="3" borderId="13" xfId="61" applyNumberFormat="1" applyFont="1" applyFill="1" applyBorder="1" applyAlignment="1">
      <alignment horizontal="right" vertical="top"/>
    </xf>
    <xf numFmtId="177" fontId="68" fillId="3" borderId="0" xfId="61" applyNumberFormat="1" applyFont="1" applyFill="1" applyAlignment="1">
      <alignment horizontal="right" vertical="top"/>
    </xf>
    <xf numFmtId="177" fontId="68" fillId="3" borderId="13" xfId="61" applyNumberFormat="1" applyFont="1" applyFill="1" applyBorder="1" applyAlignment="1">
      <alignment horizontal="right" vertical="top"/>
    </xf>
    <xf numFmtId="177" fontId="68" fillId="3" borderId="11" xfId="61" applyNumberFormat="1" applyFont="1" applyFill="1" applyBorder="1" applyAlignment="1">
      <alignment horizontal="right" vertical="top"/>
    </xf>
    <xf numFmtId="0" fontId="24" fillId="0" borderId="1" xfId="0" quotePrefix="1" applyFont="1" applyBorder="1" applyAlignment="1">
      <alignment vertical="top" wrapText="1"/>
    </xf>
    <xf numFmtId="178" fontId="68" fillId="3" borderId="0" xfId="61" applyNumberFormat="1" applyFont="1" applyFill="1" applyAlignment="1">
      <alignment horizontal="right" vertical="top"/>
    </xf>
    <xf numFmtId="177" fontId="68" fillId="3" borderId="0" xfId="0" applyNumberFormat="1" applyFont="1" applyFill="1" applyAlignment="1">
      <alignment horizontal="right" vertical="top"/>
    </xf>
    <xf numFmtId="179" fontId="68" fillId="3" borderId="0" xfId="0" applyNumberFormat="1" applyFont="1" applyFill="1" applyAlignment="1">
      <alignment horizontal="right" vertical="top"/>
    </xf>
    <xf numFmtId="178" fontId="68" fillId="3" borderId="0" xfId="0" applyNumberFormat="1" applyFont="1" applyFill="1" applyAlignment="1">
      <alignment horizontal="right" vertical="top"/>
    </xf>
    <xf numFmtId="164" fontId="11" fillId="0" borderId="0" xfId="1" applyFont="1"/>
    <xf numFmtId="164" fontId="23" fillId="0" borderId="0" xfId="1" applyFont="1" applyBorder="1" applyAlignment="1">
      <alignment vertical="top"/>
    </xf>
    <xf numFmtId="164" fontId="0" fillId="0" borderId="0" xfId="1" applyFont="1"/>
    <xf numFmtId="164" fontId="20" fillId="0" borderId="17" xfId="1" applyFont="1" applyBorder="1"/>
    <xf numFmtId="164" fontId="0" fillId="0" borderId="0" xfId="1" applyFont="1" applyAlignment="1">
      <alignment vertical="top"/>
    </xf>
    <xf numFmtId="0" fontId="20" fillId="0" borderId="0" xfId="6" applyFont="1" applyAlignment="1">
      <alignment horizontal="centerContinuous"/>
    </xf>
    <xf numFmtId="0" fontId="17" fillId="0" borderId="0" xfId="6" applyAlignment="1">
      <alignment horizontal="centerContinuous"/>
    </xf>
    <xf numFmtId="0" fontId="17" fillId="0" borderId="0" xfId="6"/>
    <xf numFmtId="0" fontId="20" fillId="0" borderId="0" xfId="6" applyFont="1" applyAlignment="1">
      <alignment horizontal="center"/>
    </xf>
    <xf numFmtId="0" fontId="20" fillId="0" borderId="0" xfId="6" applyFont="1"/>
    <xf numFmtId="0" fontId="20" fillId="0" borderId="0" xfId="6" applyFont="1" applyAlignment="1">
      <alignment horizontal="right" indent="1"/>
    </xf>
    <xf numFmtId="0" fontId="17" fillId="0" borderId="0" xfId="6" applyAlignment="1">
      <alignment horizontal="center"/>
    </xf>
    <xf numFmtId="0" fontId="17" fillId="0" borderId="0" xfId="6" applyAlignment="1">
      <alignment horizontal="center" vertical="top"/>
    </xf>
    <xf numFmtId="0" fontId="17" fillId="0" borderId="0" xfId="6" applyAlignment="1">
      <alignment vertical="top"/>
    </xf>
    <xf numFmtId="0" fontId="17" fillId="0" borderId="0" xfId="6" applyAlignment="1">
      <alignment vertical="top" wrapText="1"/>
    </xf>
    <xf numFmtId="0" fontId="17" fillId="0" borderId="0" xfId="6" quotePrefix="1" applyAlignment="1">
      <alignment horizontal="left" indent="1"/>
    </xf>
    <xf numFmtId="14" fontId="17" fillId="0" borderId="0" xfId="6" applyNumberFormat="1"/>
    <xf numFmtId="43" fontId="17" fillId="0" borderId="0" xfId="6" applyNumberFormat="1"/>
    <xf numFmtId="0" fontId="9" fillId="0" borderId="0" xfId="61" applyFont="1"/>
    <xf numFmtId="164" fontId="9" fillId="0" borderId="0" xfId="1" applyFont="1"/>
    <xf numFmtId="43" fontId="20" fillId="0" borderId="17" xfId="6" applyNumberFormat="1" applyFont="1" applyBorder="1"/>
    <xf numFmtId="0" fontId="8" fillId="0" borderId="0" xfId="61" applyFont="1"/>
    <xf numFmtId="0" fontId="8" fillId="0" borderId="0" xfId="61" applyFont="1" applyAlignment="1">
      <alignment horizontal="left" indent="1"/>
    </xf>
    <xf numFmtId="0" fontId="9" fillId="0" borderId="0" xfId="61" applyFont="1" applyAlignment="1">
      <alignment horizontal="left" indent="1"/>
    </xf>
    <xf numFmtId="4" fontId="11" fillId="0" borderId="0" xfId="61" applyNumberFormat="1"/>
    <xf numFmtId="0" fontId="7" fillId="0" borderId="0" xfId="61" applyFont="1" applyAlignment="1">
      <alignment horizontal="left" indent="1"/>
    </xf>
    <xf numFmtId="164" fontId="33" fillId="0" borderId="10" xfId="1" applyFont="1" applyBorder="1" applyAlignment="1">
      <alignment horizontal="left" vertical="center" indent="4"/>
    </xf>
    <xf numFmtId="10" fontId="31" fillId="0" borderId="1" xfId="1" applyNumberFormat="1" applyFont="1" applyBorder="1" applyAlignment="1">
      <alignment vertical="center"/>
    </xf>
    <xf numFmtId="164" fontId="73" fillId="0" borderId="1" xfId="1" applyFont="1" applyBorder="1" applyAlignment="1">
      <alignment vertical="center"/>
    </xf>
    <xf numFmtId="164" fontId="17" fillId="0" borderId="0" xfId="1" applyFill="1"/>
    <xf numFmtId="164" fontId="0" fillId="0" borderId="0" xfId="1" applyFont="1" applyFill="1"/>
    <xf numFmtId="164" fontId="73" fillId="0" borderId="0" xfId="1" applyFont="1"/>
    <xf numFmtId="164" fontId="31" fillId="0" borderId="17" xfId="1" applyFont="1" applyBorder="1"/>
    <xf numFmtId="164" fontId="33" fillId="0" borderId="0" xfId="1" applyFont="1" applyAlignment="1">
      <alignment wrapText="1"/>
    </xf>
    <xf numFmtId="164" fontId="31" fillId="0" borderId="0" xfId="1" applyFont="1" applyAlignment="1">
      <alignment horizontal="right" indent="1"/>
    </xf>
    <xf numFmtId="164" fontId="31" fillId="0" borderId="5" xfId="1" applyFont="1" applyBorder="1" applyAlignment="1">
      <alignment vertical="center"/>
    </xf>
    <xf numFmtId="0" fontId="20" fillId="0" borderId="4" xfId="6" applyFont="1" applyBorder="1" applyAlignment="1">
      <alignment horizontal="center" vertical="top" wrapText="1"/>
    </xf>
    <xf numFmtId="0" fontId="20" fillId="0" borderId="4" xfId="6" applyFont="1" applyBorder="1" applyAlignment="1">
      <alignment vertical="top" wrapText="1"/>
    </xf>
    <xf numFmtId="0" fontId="20" fillId="0" borderId="4" xfId="6" applyFont="1" applyBorder="1" applyAlignment="1">
      <alignment horizontal="right" vertical="top" wrapText="1"/>
    </xf>
    <xf numFmtId="164" fontId="20" fillId="0" borderId="41" xfId="6" applyNumberFormat="1" applyFont="1" applyBorder="1"/>
    <xf numFmtId="0" fontId="17" fillId="0" borderId="4" xfId="6" applyBorder="1" applyAlignment="1">
      <alignment horizontal="center"/>
    </xf>
    <xf numFmtId="43" fontId="0" fillId="0" borderId="4" xfId="63" applyFont="1" applyBorder="1"/>
    <xf numFmtId="15" fontId="17" fillId="0" borderId="4" xfId="6" applyNumberFormat="1" applyBorder="1"/>
    <xf numFmtId="43" fontId="10" fillId="0" borderId="4" xfId="64" applyNumberFormat="1" applyBorder="1"/>
    <xf numFmtId="43" fontId="17" fillId="0" borderId="4" xfId="6" applyNumberFormat="1" applyBorder="1"/>
    <xf numFmtId="43" fontId="17" fillId="0" borderId="4" xfId="63" applyFont="1" applyBorder="1"/>
    <xf numFmtId="164" fontId="10" fillId="0" borderId="4" xfId="1" applyFont="1" applyBorder="1"/>
    <xf numFmtId="15" fontId="10" fillId="0" borderId="4" xfId="64" applyNumberFormat="1" applyBorder="1"/>
    <xf numFmtId="164" fontId="20" fillId="0" borderId="42" xfId="1" applyFont="1" applyBorder="1"/>
    <xf numFmtId="0" fontId="20" fillId="0" borderId="0" xfId="0" applyFont="1" applyAlignment="1">
      <alignment horizontal="centerContinuous"/>
    </xf>
    <xf numFmtId="0" fontId="20" fillId="0" borderId="4" xfId="0" applyFont="1" applyBorder="1" applyAlignment="1">
      <alignment horizontal="centerContinuous"/>
    </xf>
    <xf numFmtId="0" fontId="0" fillId="0" borderId="4" xfId="0" applyBorder="1" applyAlignment="1">
      <alignment horizontal="centerContinuous"/>
    </xf>
    <xf numFmtId="0" fontId="20" fillId="0" borderId="11" xfId="0" applyFont="1" applyBorder="1" applyAlignment="1">
      <alignment horizontal="centerContinuous"/>
    </xf>
    <xf numFmtId="0" fontId="0" fillId="0" borderId="0" xfId="0" applyAlignment="1">
      <alignment vertical="top"/>
    </xf>
    <xf numFmtId="164" fontId="68" fillId="0" borderId="0" xfId="1" applyFont="1" applyFill="1" applyAlignment="1">
      <alignment horizontal="right" vertical="top"/>
    </xf>
    <xf numFmtId="0" fontId="17" fillId="0" borderId="0" xfId="0" applyFont="1" applyAlignment="1">
      <alignment vertical="top"/>
    </xf>
    <xf numFmtId="0" fontId="0" fillId="0" borderId="8" xfId="0" applyBorder="1"/>
    <xf numFmtId="0" fontId="20" fillId="0" borderId="5" xfId="0" applyFont="1" applyBorder="1" applyAlignment="1">
      <alignment horizontal="right"/>
    </xf>
    <xf numFmtId="0" fontId="17" fillId="0" borderId="4" xfId="0" applyFont="1" applyBorder="1" applyAlignment="1">
      <alignment vertical="top"/>
    </xf>
    <xf numFmtId="181" fontId="0" fillId="0" borderId="4" xfId="0" applyNumberFormat="1" applyBorder="1" applyAlignment="1">
      <alignment vertical="top"/>
    </xf>
    <xf numFmtId="10" fontId="0" fillId="0" borderId="4" xfId="7" applyNumberFormat="1" applyFont="1" applyBorder="1" applyAlignment="1">
      <alignment vertical="top"/>
    </xf>
    <xf numFmtId="164" fontId="0" fillId="0" borderId="4" xfId="1" applyFont="1" applyBorder="1" applyAlignment="1">
      <alignment vertical="top"/>
    </xf>
    <xf numFmtId="0" fontId="0" fillId="0" borderId="43" xfId="0" applyBorder="1" applyAlignment="1">
      <alignment horizontal="center" vertical="top"/>
    </xf>
    <xf numFmtId="0" fontId="74" fillId="0" borderId="44" xfId="0" applyFont="1" applyBorder="1" applyAlignment="1">
      <alignment vertical="top" wrapText="1"/>
    </xf>
    <xf numFmtId="0" fontId="0" fillId="0" borderId="44" xfId="0" applyBorder="1" applyAlignment="1">
      <alignment vertical="top"/>
    </xf>
    <xf numFmtId="0" fontId="0" fillId="0" borderId="45" xfId="0" applyBorder="1" applyAlignment="1">
      <alignment vertical="top"/>
    </xf>
    <xf numFmtId="0" fontId="0" fillId="0" borderId="46" xfId="0" applyBorder="1" applyAlignment="1">
      <alignment vertical="top"/>
    </xf>
    <xf numFmtId="181" fontId="0" fillId="0" borderId="47" xfId="0" applyNumberFormat="1" applyBorder="1" applyAlignment="1">
      <alignment vertical="top"/>
    </xf>
    <xf numFmtId="10" fontId="0" fillId="0" borderId="47" xfId="7" applyNumberFormat="1" applyFont="1" applyBorder="1" applyAlignment="1">
      <alignment vertical="top"/>
    </xf>
    <xf numFmtId="0" fontId="0" fillId="0" borderId="48" xfId="0" applyBorder="1" applyAlignment="1">
      <alignment vertical="top"/>
    </xf>
    <xf numFmtId="0" fontId="17" fillId="0" borderId="39" xfId="0" applyFont="1" applyBorder="1" applyAlignment="1">
      <alignment vertical="top"/>
    </xf>
    <xf numFmtId="164" fontId="0" fillId="0" borderId="39" xfId="1" applyFont="1" applyBorder="1" applyAlignment="1">
      <alignment vertical="top"/>
    </xf>
    <xf numFmtId="164" fontId="0" fillId="0" borderId="49" xfId="1" applyFont="1" applyBorder="1" applyAlignment="1">
      <alignment vertical="top"/>
    </xf>
    <xf numFmtId="0" fontId="0" fillId="0" borderId="50" xfId="0" applyBorder="1" applyAlignment="1">
      <alignment vertical="top"/>
    </xf>
    <xf numFmtId="0" fontId="17" fillId="0" borderId="5" xfId="0" applyFont="1" applyBorder="1" applyAlignment="1">
      <alignment vertical="top"/>
    </xf>
    <xf numFmtId="164" fontId="0" fillId="0" borderId="5" xfId="1" applyFont="1" applyBorder="1" applyAlignment="1">
      <alignment vertical="top"/>
    </xf>
    <xf numFmtId="0" fontId="0" fillId="0" borderId="1" xfId="0" applyBorder="1" applyAlignment="1">
      <alignment vertical="top"/>
    </xf>
    <xf numFmtId="0" fontId="17" fillId="0" borderId="4" xfId="0" applyFont="1" applyBorder="1" applyAlignment="1">
      <alignment vertical="top" wrapText="1"/>
    </xf>
    <xf numFmtId="0" fontId="0" fillId="0" borderId="51" xfId="0" applyBorder="1" applyAlignment="1">
      <alignment vertical="top"/>
    </xf>
    <xf numFmtId="0" fontId="17" fillId="0" borderId="3" xfId="0" applyFont="1" applyBorder="1" applyAlignment="1">
      <alignment vertical="top"/>
    </xf>
    <xf numFmtId="164" fontId="0" fillId="0" borderId="16" xfId="1" applyFont="1" applyBorder="1" applyAlignment="1">
      <alignment vertical="top"/>
    </xf>
    <xf numFmtId="164" fontId="0" fillId="0" borderId="47" xfId="1" applyFont="1" applyBorder="1" applyAlignment="1">
      <alignment vertical="top"/>
    </xf>
    <xf numFmtId="164" fontId="0" fillId="0" borderId="0" xfId="1" applyFont="1" applyBorder="1" applyAlignment="1">
      <alignment vertical="top"/>
    </xf>
    <xf numFmtId="0" fontId="0" fillId="0" borderId="52" xfId="0" applyBorder="1" applyAlignment="1">
      <alignment vertical="top"/>
    </xf>
    <xf numFmtId="164" fontId="0" fillId="0" borderId="26" xfId="1" applyFont="1" applyBorder="1" applyAlignment="1">
      <alignment vertical="top"/>
    </xf>
    <xf numFmtId="0" fontId="0" fillId="0" borderId="46" xfId="0" applyBorder="1" applyAlignment="1">
      <alignment horizontal="center" vertical="top"/>
    </xf>
    <xf numFmtId="0" fontId="20" fillId="0" borderId="4" xfId="0" applyFont="1" applyBorder="1" applyAlignment="1">
      <alignment horizontal="left"/>
    </xf>
    <xf numFmtId="0" fontId="20" fillId="0" borderId="4" xfId="0" applyFont="1" applyBorder="1" applyAlignment="1">
      <alignment horizontal="right"/>
    </xf>
    <xf numFmtId="0" fontId="17" fillId="0" borderId="4" xfId="0" applyFont="1" applyBorder="1"/>
    <xf numFmtId="10" fontId="0" fillId="0" borderId="4" xfId="7" applyNumberFormat="1" applyFont="1" applyBorder="1"/>
    <xf numFmtId="181" fontId="6" fillId="0" borderId="4" xfId="62" applyNumberFormat="1" applyFont="1" applyFill="1" applyBorder="1" applyAlignment="1">
      <alignment horizontal="right" vertical="top"/>
    </xf>
    <xf numFmtId="43" fontId="6" fillId="0" borderId="4" xfId="62" applyFont="1" applyFill="1" applyBorder="1" applyAlignment="1">
      <alignment horizontal="right" vertical="top"/>
    </xf>
    <xf numFmtId="0" fontId="20" fillId="0" borderId="2" xfId="0" applyFont="1" applyBorder="1" applyAlignment="1">
      <alignment horizontal="right"/>
    </xf>
    <xf numFmtId="10" fontId="63" fillId="0" borderId="2" xfId="7" applyNumberFormat="1" applyFont="1" applyFill="1" applyBorder="1" applyAlignment="1">
      <alignment horizontal="right" vertical="top"/>
    </xf>
    <xf numFmtId="181" fontId="63" fillId="0" borderId="2" xfId="62" applyNumberFormat="1" applyFont="1" applyFill="1" applyBorder="1" applyAlignment="1">
      <alignment horizontal="right" vertical="top"/>
    </xf>
    <xf numFmtId="0" fontId="5" fillId="0" borderId="0" xfId="65"/>
    <xf numFmtId="178" fontId="67" fillId="0" borderId="11" xfId="65" applyNumberFormat="1" applyFont="1" applyBorder="1" applyAlignment="1">
      <alignment horizontal="right" vertical="top"/>
    </xf>
    <xf numFmtId="180" fontId="70" fillId="0" borderId="11" xfId="65" applyNumberFormat="1" applyFont="1" applyBorder="1" applyAlignment="1">
      <alignment horizontal="right" vertical="top"/>
    </xf>
    <xf numFmtId="49" fontId="67" fillId="0" borderId="11" xfId="65" applyNumberFormat="1" applyFont="1" applyBorder="1" applyAlignment="1">
      <alignment horizontal="left" vertical="top" indent="2"/>
    </xf>
    <xf numFmtId="179" fontId="69" fillId="0" borderId="0" xfId="65" applyNumberFormat="1" applyFont="1" applyAlignment="1">
      <alignment horizontal="right" vertical="top"/>
    </xf>
    <xf numFmtId="178" fontId="68" fillId="0" borderId="0" xfId="65" applyNumberFormat="1" applyFont="1" applyAlignment="1">
      <alignment horizontal="right" vertical="top"/>
    </xf>
    <xf numFmtId="180" fontId="68" fillId="0" borderId="0" xfId="65" applyNumberFormat="1" applyFont="1" applyAlignment="1">
      <alignment horizontal="right" vertical="top"/>
    </xf>
    <xf numFmtId="178" fontId="69" fillId="0" borderId="0" xfId="65" applyNumberFormat="1" applyFont="1" applyAlignment="1">
      <alignment horizontal="right" vertical="top"/>
    </xf>
    <xf numFmtId="49" fontId="69" fillId="0" borderId="0" xfId="65" applyNumberFormat="1" applyFont="1" applyAlignment="1">
      <alignment horizontal="left" vertical="top" indent="2"/>
    </xf>
    <xf numFmtId="178" fontId="68" fillId="39" borderId="0" xfId="65" applyNumberFormat="1" applyFont="1" applyFill="1" applyAlignment="1">
      <alignment horizontal="right" vertical="top"/>
    </xf>
    <xf numFmtId="180" fontId="68" fillId="39" borderId="0" xfId="65" applyNumberFormat="1" applyFont="1" applyFill="1" applyAlignment="1">
      <alignment horizontal="right" vertical="top"/>
    </xf>
    <xf numFmtId="178" fontId="69" fillId="39" borderId="0" xfId="65" applyNumberFormat="1" applyFont="1" applyFill="1" applyAlignment="1">
      <alignment horizontal="right" vertical="top"/>
    </xf>
    <xf numFmtId="49" fontId="69" fillId="39" borderId="0" xfId="65" applyNumberFormat="1" applyFont="1" applyFill="1" applyAlignment="1">
      <alignment horizontal="left" vertical="top" indent="2"/>
    </xf>
    <xf numFmtId="177" fontId="69" fillId="0" borderId="0" xfId="65" applyNumberFormat="1" applyFont="1" applyAlignment="1">
      <alignment horizontal="right" vertical="top"/>
    </xf>
    <xf numFmtId="178" fontId="68" fillId="40" borderId="0" xfId="65" applyNumberFormat="1" applyFont="1" applyFill="1" applyAlignment="1">
      <alignment horizontal="right" vertical="top"/>
    </xf>
    <xf numFmtId="180" fontId="68" fillId="40" borderId="0" xfId="65" applyNumberFormat="1" applyFont="1" applyFill="1" applyAlignment="1">
      <alignment horizontal="right" vertical="top"/>
    </xf>
    <xf numFmtId="178" fontId="69" fillId="40" borderId="0" xfId="65" applyNumberFormat="1" applyFont="1" applyFill="1" applyAlignment="1">
      <alignment horizontal="right" vertical="top"/>
    </xf>
    <xf numFmtId="49" fontId="69" fillId="40" borderId="0" xfId="65" applyNumberFormat="1" applyFont="1" applyFill="1" applyAlignment="1">
      <alignment horizontal="left" vertical="top" indent="2"/>
    </xf>
    <xf numFmtId="179" fontId="68" fillId="0" borderId="0" xfId="65" applyNumberFormat="1" applyFont="1" applyAlignment="1">
      <alignment horizontal="right" vertical="top"/>
    </xf>
    <xf numFmtId="180" fontId="69" fillId="0" borderId="0" xfId="65" applyNumberFormat="1" applyFont="1" applyAlignment="1">
      <alignment horizontal="right" vertical="top"/>
    </xf>
    <xf numFmtId="49" fontId="69" fillId="0" borderId="0" xfId="65" applyNumberFormat="1" applyFont="1" applyAlignment="1">
      <alignment horizontal="left" vertical="top" indent="3"/>
    </xf>
    <xf numFmtId="179" fontId="68" fillId="0" borderId="11" xfId="65" applyNumberFormat="1" applyFont="1" applyBorder="1" applyAlignment="1">
      <alignment horizontal="right" vertical="top"/>
    </xf>
    <xf numFmtId="178" fontId="68" fillId="0" borderId="11" xfId="65" applyNumberFormat="1" applyFont="1" applyBorder="1" applyAlignment="1">
      <alignment horizontal="right" vertical="top"/>
    </xf>
    <xf numFmtId="180" fontId="68" fillId="0" borderId="11" xfId="65" applyNumberFormat="1" applyFont="1" applyBorder="1" applyAlignment="1">
      <alignment horizontal="right" vertical="top"/>
    </xf>
    <xf numFmtId="49" fontId="68" fillId="0" borderId="0" xfId="65" applyNumberFormat="1" applyFont="1" applyAlignment="1">
      <alignment horizontal="left" vertical="top" indent="2"/>
    </xf>
    <xf numFmtId="179" fontId="67" fillId="0" borderId="13" xfId="65" applyNumberFormat="1" applyFont="1" applyBorder="1" applyAlignment="1">
      <alignment horizontal="right" vertical="top"/>
    </xf>
    <xf numFmtId="180" fontId="69" fillId="0" borderId="13" xfId="65" applyNumberFormat="1" applyFont="1" applyBorder="1" applyAlignment="1">
      <alignment horizontal="right" vertical="top"/>
    </xf>
    <xf numFmtId="178" fontId="67" fillId="0" borderId="13" xfId="65" applyNumberFormat="1" applyFont="1" applyBorder="1" applyAlignment="1">
      <alignment horizontal="right" vertical="top"/>
    </xf>
    <xf numFmtId="49" fontId="67" fillId="0" borderId="0" xfId="65" applyNumberFormat="1" applyFont="1" applyAlignment="1">
      <alignment vertical="top"/>
    </xf>
    <xf numFmtId="177" fontId="67" fillId="0" borderId="13" xfId="65" applyNumberFormat="1" applyFont="1" applyBorder="1" applyAlignment="1">
      <alignment horizontal="right" vertical="top"/>
    </xf>
    <xf numFmtId="178" fontId="69" fillId="0" borderId="13" xfId="65" applyNumberFormat="1" applyFont="1" applyBorder="1" applyAlignment="1">
      <alignment horizontal="right" vertical="top"/>
    </xf>
    <xf numFmtId="49" fontId="69" fillId="0" borderId="0" xfId="65" applyNumberFormat="1" applyFont="1" applyAlignment="1">
      <alignment horizontal="left" vertical="top" indent="4"/>
    </xf>
    <xf numFmtId="179" fontId="68" fillId="0" borderId="13" xfId="65" applyNumberFormat="1" applyFont="1" applyBorder="1" applyAlignment="1">
      <alignment horizontal="right" vertical="top"/>
    </xf>
    <xf numFmtId="178" fontId="68" fillId="0" borderId="13" xfId="65" applyNumberFormat="1" applyFont="1" applyBorder="1" applyAlignment="1">
      <alignment horizontal="right" vertical="top"/>
    </xf>
    <xf numFmtId="180" fontId="68" fillId="0" borderId="13" xfId="65" applyNumberFormat="1" applyFont="1" applyBorder="1" applyAlignment="1">
      <alignment horizontal="right" vertical="top"/>
    </xf>
    <xf numFmtId="49" fontId="69" fillId="0" borderId="0" xfId="65" applyNumberFormat="1" applyFont="1" applyAlignment="1">
      <alignment horizontal="left" vertical="top" indent="5"/>
    </xf>
    <xf numFmtId="49" fontId="69" fillId="0" borderId="0" xfId="65" applyNumberFormat="1" applyFont="1" applyAlignment="1">
      <alignment horizontal="left" vertical="top" indent="6"/>
    </xf>
    <xf numFmtId="179" fontId="69" fillId="0" borderId="13" xfId="65" applyNumberFormat="1" applyFont="1" applyBorder="1" applyAlignment="1">
      <alignment horizontal="right" vertical="top"/>
    </xf>
    <xf numFmtId="49" fontId="68" fillId="0" borderId="0" xfId="65" applyNumberFormat="1" applyFont="1" applyAlignment="1">
      <alignment horizontal="left" vertical="top" indent="4"/>
    </xf>
    <xf numFmtId="179" fontId="69" fillId="0" borderId="11" xfId="65" applyNumberFormat="1" applyFont="1" applyBorder="1" applyAlignment="1">
      <alignment horizontal="right" vertical="top"/>
    </xf>
    <xf numFmtId="180" fontId="69" fillId="0" borderId="11" xfId="65" applyNumberFormat="1" applyFont="1" applyBorder="1" applyAlignment="1">
      <alignment horizontal="right" vertical="top"/>
    </xf>
    <xf numFmtId="180" fontId="69" fillId="39" borderId="0" xfId="65" applyNumberFormat="1" applyFont="1" applyFill="1" applyAlignment="1">
      <alignment horizontal="right" vertical="top"/>
    </xf>
    <xf numFmtId="49" fontId="69" fillId="39" borderId="0" xfId="65" applyNumberFormat="1" applyFont="1" applyFill="1" applyAlignment="1">
      <alignment horizontal="left" vertical="top" indent="4"/>
    </xf>
    <xf numFmtId="49" fontId="69" fillId="39" borderId="0" xfId="65" applyNumberFormat="1" applyFont="1" applyFill="1" applyAlignment="1">
      <alignment horizontal="left" vertical="top" indent="3"/>
    </xf>
    <xf numFmtId="177" fontId="68" fillId="0" borderId="0" xfId="65" applyNumberFormat="1" applyFont="1" applyAlignment="1">
      <alignment horizontal="right" vertical="top"/>
    </xf>
    <xf numFmtId="177" fontId="68" fillId="0" borderId="13" xfId="65" applyNumberFormat="1" applyFont="1" applyBorder="1" applyAlignment="1">
      <alignment horizontal="right" vertical="top"/>
    </xf>
    <xf numFmtId="177" fontId="68" fillId="0" borderId="11" xfId="65" applyNumberFormat="1" applyFont="1" applyBorder="1" applyAlignment="1">
      <alignment horizontal="right" vertical="top"/>
    </xf>
    <xf numFmtId="177" fontId="67" fillId="0" borderId="11" xfId="65" applyNumberFormat="1" applyFont="1" applyBorder="1" applyAlignment="1">
      <alignment horizontal="right" vertical="top"/>
    </xf>
    <xf numFmtId="178" fontId="69" fillId="0" borderId="11" xfId="65" applyNumberFormat="1" applyFont="1" applyBorder="1" applyAlignment="1">
      <alignment horizontal="right" vertical="top"/>
    </xf>
    <xf numFmtId="49" fontId="67" fillId="0" borderId="14" xfId="65" applyNumberFormat="1" applyFont="1" applyBorder="1" applyAlignment="1">
      <alignment horizontal="center" vertical="top"/>
    </xf>
    <xf numFmtId="49" fontId="68" fillId="0" borderId="4" xfId="65" applyNumberFormat="1" applyFont="1" applyBorder="1" applyAlignment="1">
      <alignment horizontal="center" vertical="top"/>
    </xf>
    <xf numFmtId="49" fontId="67" fillId="0" borderId="14" xfId="65" applyNumberFormat="1" applyFont="1" applyBorder="1" applyAlignment="1">
      <alignment horizontal="left" vertical="top" indent="2"/>
    </xf>
    <xf numFmtId="49" fontId="67" fillId="0" borderId="6" xfId="65" applyNumberFormat="1" applyFont="1" applyBorder="1" applyAlignment="1">
      <alignment horizontal="center" vertical="top"/>
    </xf>
    <xf numFmtId="49" fontId="67" fillId="0" borderId="9" xfId="65" applyNumberFormat="1" applyFont="1" applyBorder="1" applyAlignment="1">
      <alignment horizontal="left" vertical="top" indent="2"/>
    </xf>
    <xf numFmtId="49" fontId="67" fillId="0" borderId="7" xfId="65" applyNumberFormat="1" applyFont="1" applyBorder="1" applyAlignment="1">
      <alignment horizontal="left" vertical="top" indent="2"/>
    </xf>
    <xf numFmtId="0" fontId="65" fillId="0" borderId="0" xfId="65" applyFont="1" applyAlignment="1">
      <alignment vertical="top"/>
    </xf>
    <xf numFmtId="49" fontId="67" fillId="5" borderId="0" xfId="65" applyNumberFormat="1" applyFont="1" applyFill="1" applyAlignment="1">
      <alignment vertical="top"/>
    </xf>
    <xf numFmtId="178" fontId="67" fillId="5" borderId="13" xfId="65" applyNumberFormat="1" applyFont="1" applyFill="1" applyBorder="1" applyAlignment="1">
      <alignment horizontal="right" vertical="top"/>
    </xf>
    <xf numFmtId="178" fontId="69" fillId="5" borderId="13" xfId="65" applyNumberFormat="1" applyFont="1" applyFill="1" applyBorder="1" applyAlignment="1">
      <alignment horizontal="right" vertical="top"/>
    </xf>
    <xf numFmtId="180" fontId="69" fillId="5" borderId="13" xfId="65" applyNumberFormat="1" applyFont="1" applyFill="1" applyBorder="1" applyAlignment="1">
      <alignment horizontal="right" vertical="top"/>
    </xf>
    <xf numFmtId="0" fontId="5" fillId="5" borderId="0" xfId="65" applyFill="1"/>
    <xf numFmtId="49" fontId="69" fillId="5" borderId="0" xfId="65" applyNumberFormat="1" applyFont="1" applyFill="1" applyAlignment="1">
      <alignment horizontal="left" vertical="top" indent="2"/>
    </xf>
    <xf numFmtId="178" fontId="69" fillId="5" borderId="0" xfId="65" applyNumberFormat="1" applyFont="1" applyFill="1" applyAlignment="1">
      <alignment horizontal="right" vertical="top"/>
    </xf>
    <xf numFmtId="178" fontId="68" fillId="5" borderId="0" xfId="65" applyNumberFormat="1" applyFont="1" applyFill="1" applyAlignment="1">
      <alignment horizontal="right" vertical="top"/>
    </xf>
    <xf numFmtId="180" fontId="68" fillId="5" borderId="0" xfId="65" applyNumberFormat="1" applyFont="1" applyFill="1" applyAlignment="1">
      <alignment horizontal="right" vertical="top"/>
    </xf>
    <xf numFmtId="179" fontId="69" fillId="3" borderId="0" xfId="65" applyNumberFormat="1" applyFont="1" applyFill="1" applyAlignment="1">
      <alignment horizontal="right" vertical="top"/>
    </xf>
    <xf numFmtId="177" fontId="69" fillId="3" borderId="0" xfId="65" applyNumberFormat="1" applyFont="1" applyFill="1" applyAlignment="1">
      <alignment horizontal="right" vertical="top"/>
    </xf>
    <xf numFmtId="179" fontId="68" fillId="3" borderId="0" xfId="65" applyNumberFormat="1" applyFont="1" applyFill="1" applyAlignment="1">
      <alignment horizontal="right" vertical="top"/>
    </xf>
    <xf numFmtId="164" fontId="5" fillId="0" borderId="0" xfId="1" applyFont="1"/>
    <xf numFmtId="177" fontId="67" fillId="3" borderId="13" xfId="65" applyNumberFormat="1" applyFont="1" applyFill="1" applyBorder="1" applyAlignment="1">
      <alignment horizontal="right" vertical="top"/>
    </xf>
    <xf numFmtId="179" fontId="67" fillId="3" borderId="13" xfId="65" applyNumberFormat="1" applyFont="1" applyFill="1" applyBorder="1" applyAlignment="1">
      <alignment horizontal="right" vertical="top"/>
    </xf>
    <xf numFmtId="179" fontId="68" fillId="3" borderId="11" xfId="65" applyNumberFormat="1" applyFont="1" applyFill="1" applyBorder="1" applyAlignment="1">
      <alignment horizontal="right" vertical="top"/>
    </xf>
    <xf numFmtId="179" fontId="68" fillId="3" borderId="13" xfId="65" applyNumberFormat="1" applyFont="1" applyFill="1" applyBorder="1" applyAlignment="1">
      <alignment horizontal="right" vertical="top"/>
    </xf>
    <xf numFmtId="177" fontId="68" fillId="3" borderId="0" xfId="65" applyNumberFormat="1" applyFont="1" applyFill="1" applyAlignment="1">
      <alignment horizontal="right" vertical="top"/>
    </xf>
    <xf numFmtId="178" fontId="68" fillId="3" borderId="0" xfId="65" applyNumberFormat="1" applyFont="1" applyFill="1" applyAlignment="1">
      <alignment horizontal="right" vertical="top"/>
    </xf>
    <xf numFmtId="177" fontId="68" fillId="3" borderId="13" xfId="65" applyNumberFormat="1" applyFont="1" applyFill="1" applyBorder="1" applyAlignment="1">
      <alignment horizontal="right" vertical="top"/>
    </xf>
    <xf numFmtId="0" fontId="4" fillId="0" borderId="0" xfId="66"/>
    <xf numFmtId="164" fontId="31" fillId="0" borderId="0" xfId="1" applyFont="1" applyAlignment="1">
      <alignment horizontal="right"/>
    </xf>
    <xf numFmtId="164" fontId="33" fillId="0" borderId="17" xfId="1" applyFont="1" applyBorder="1"/>
    <xf numFmtId="0" fontId="40" fillId="0" borderId="1" xfId="0" applyFont="1" applyBorder="1" applyAlignment="1">
      <alignment horizontal="left" vertical="top"/>
    </xf>
    <xf numFmtId="164" fontId="24" fillId="0" borderId="10" xfId="1" applyFont="1" applyFill="1" applyBorder="1" applyAlignment="1">
      <alignment vertical="top"/>
    </xf>
    <xf numFmtId="164" fontId="24" fillId="0" borderId="9" xfId="1" applyFont="1" applyFill="1" applyBorder="1" applyAlignment="1">
      <alignment vertical="top" wrapText="1"/>
    </xf>
    <xf numFmtId="164" fontId="24" fillId="0" borderId="9" xfId="1" applyFont="1" applyFill="1" applyBorder="1" applyAlignment="1">
      <alignment horizontal="left" vertical="top" wrapText="1"/>
    </xf>
    <xf numFmtId="164" fontId="24" fillId="0" borderId="1" xfId="1" applyFont="1" applyFill="1" applyBorder="1" applyAlignment="1">
      <alignment horizontal="left" vertical="top" wrapText="1"/>
    </xf>
    <xf numFmtId="0" fontId="24" fillId="0" borderId="0" xfId="0" applyFont="1" applyAlignment="1">
      <alignment horizontal="left" vertical="top"/>
    </xf>
    <xf numFmtId="0" fontId="26" fillId="0" borderId="8" xfId="16" applyNumberFormat="1" applyFont="1" applyBorder="1" applyAlignment="1">
      <alignment vertical="top"/>
    </xf>
    <xf numFmtId="43" fontId="24" fillId="0" borderId="10" xfId="16" applyNumberFormat="1" applyFont="1" applyBorder="1" applyAlignment="1">
      <alignment horizontal="left" vertical="top"/>
    </xf>
    <xf numFmtId="49" fontId="66" fillId="0" borderId="0" xfId="66" applyNumberFormat="1" applyFont="1" applyAlignment="1">
      <alignment vertical="top"/>
    </xf>
    <xf numFmtId="0" fontId="65" fillId="0" borderId="0" xfId="66" applyFont="1" applyAlignment="1">
      <alignment vertical="top"/>
    </xf>
    <xf numFmtId="49" fontId="65" fillId="0" borderId="13" xfId="66" applyNumberFormat="1" applyFont="1" applyBorder="1" applyAlignment="1">
      <alignment vertical="top"/>
    </xf>
    <xf numFmtId="49" fontId="66" fillId="0" borderId="7" xfId="66" applyNumberFormat="1" applyFont="1" applyBorder="1" applyAlignment="1">
      <alignment vertical="top"/>
    </xf>
    <xf numFmtId="49" fontId="65" fillId="0" borderId="0" xfId="66" applyNumberFormat="1" applyFont="1" applyAlignment="1">
      <alignment vertical="top"/>
    </xf>
    <xf numFmtId="49" fontId="67" fillId="0" borderId="7" xfId="66" applyNumberFormat="1" applyFont="1" applyBorder="1" applyAlignment="1">
      <alignment horizontal="left" vertical="top" indent="2"/>
    </xf>
    <xf numFmtId="49" fontId="67" fillId="0" borderId="9" xfId="66" applyNumberFormat="1" applyFont="1" applyBorder="1" applyAlignment="1">
      <alignment horizontal="left" vertical="top" indent="2"/>
    </xf>
    <xf numFmtId="49" fontId="67" fillId="0" borderId="6" xfId="66" applyNumberFormat="1" applyFont="1" applyBorder="1" applyAlignment="1">
      <alignment horizontal="center" vertical="top"/>
    </xf>
    <xf numFmtId="49" fontId="67" fillId="0" borderId="14" xfId="66" applyNumberFormat="1" applyFont="1" applyBorder="1" applyAlignment="1">
      <alignment horizontal="left" vertical="top" indent="2"/>
    </xf>
    <xf numFmtId="49" fontId="67" fillId="0" borderId="14" xfId="66" applyNumberFormat="1" applyFont="1" applyBorder="1" applyAlignment="1">
      <alignment horizontal="center" vertical="top"/>
    </xf>
    <xf numFmtId="49" fontId="68" fillId="0" borderId="4" xfId="66" applyNumberFormat="1" applyFont="1" applyBorder="1" applyAlignment="1">
      <alignment horizontal="center" vertical="top"/>
    </xf>
    <xf numFmtId="49" fontId="67" fillId="0" borderId="0" xfId="66" applyNumberFormat="1" applyFont="1" applyAlignment="1">
      <alignment vertical="top"/>
    </xf>
    <xf numFmtId="177" fontId="67" fillId="0" borderId="11" xfId="66" applyNumberFormat="1" applyFont="1" applyBorder="1" applyAlignment="1">
      <alignment horizontal="right" vertical="top"/>
    </xf>
    <xf numFmtId="178" fontId="69" fillId="0" borderId="11" xfId="66" applyNumberFormat="1" applyFont="1" applyBorder="1" applyAlignment="1">
      <alignment horizontal="right" vertical="top"/>
    </xf>
    <xf numFmtId="49" fontId="69" fillId="0" borderId="0" xfId="66" applyNumberFormat="1" applyFont="1" applyAlignment="1">
      <alignment horizontal="left" vertical="top" indent="2"/>
    </xf>
    <xf numFmtId="177" fontId="69" fillId="0" borderId="0" xfId="66" applyNumberFormat="1" applyFont="1" applyAlignment="1">
      <alignment horizontal="right" vertical="top"/>
    </xf>
    <xf numFmtId="178" fontId="68" fillId="0" borderId="0" xfId="66" applyNumberFormat="1" applyFont="1" applyAlignment="1">
      <alignment horizontal="right" vertical="top"/>
    </xf>
    <xf numFmtId="179" fontId="69" fillId="0" borderId="0" xfId="66" applyNumberFormat="1" applyFont="1" applyAlignment="1">
      <alignment horizontal="right" vertical="top"/>
    </xf>
    <xf numFmtId="177" fontId="67" fillId="0" borderId="13" xfId="66" applyNumberFormat="1" applyFont="1" applyBorder="1" applyAlignment="1">
      <alignment horizontal="right" vertical="top"/>
    </xf>
    <xf numFmtId="180" fontId="69" fillId="0" borderId="13" xfId="66" applyNumberFormat="1" applyFont="1" applyBorder="1" applyAlignment="1">
      <alignment horizontal="right" vertical="top"/>
    </xf>
    <xf numFmtId="49" fontId="68" fillId="0" borderId="0" xfId="66" applyNumberFormat="1" applyFont="1" applyAlignment="1">
      <alignment horizontal="left" vertical="top" indent="2"/>
    </xf>
    <xf numFmtId="177" fontId="68" fillId="0" borderId="11" xfId="66" applyNumberFormat="1" applyFont="1" applyBorder="1" applyAlignment="1">
      <alignment horizontal="right" vertical="top"/>
    </xf>
    <xf numFmtId="180" fontId="68" fillId="0" borderId="11" xfId="66" applyNumberFormat="1" applyFont="1" applyBorder="1" applyAlignment="1">
      <alignment horizontal="right" vertical="top"/>
    </xf>
    <xf numFmtId="49" fontId="69" fillId="0" borderId="0" xfId="66" applyNumberFormat="1" applyFont="1" applyAlignment="1">
      <alignment horizontal="left" vertical="top" indent="3"/>
    </xf>
    <xf numFmtId="178" fontId="69" fillId="0" borderId="0" xfId="66" applyNumberFormat="1" applyFont="1" applyAlignment="1">
      <alignment horizontal="right" vertical="top"/>
    </xf>
    <xf numFmtId="180" fontId="69" fillId="0" borderId="0" xfId="66" applyNumberFormat="1" applyFont="1" applyAlignment="1">
      <alignment horizontal="right" vertical="top"/>
    </xf>
    <xf numFmtId="177" fontId="68" fillId="0" borderId="0" xfId="66" applyNumberFormat="1" applyFont="1" applyAlignment="1">
      <alignment horizontal="right" vertical="top"/>
    </xf>
    <xf numFmtId="49" fontId="69" fillId="0" borderId="0" xfId="66" applyNumberFormat="1" applyFont="1" applyAlignment="1">
      <alignment horizontal="left" vertical="top" indent="4"/>
    </xf>
    <xf numFmtId="177" fontId="68" fillId="0" borderId="13" xfId="66" applyNumberFormat="1" applyFont="1" applyBorder="1" applyAlignment="1">
      <alignment horizontal="right" vertical="top"/>
    </xf>
    <xf numFmtId="178" fontId="68" fillId="0" borderId="13" xfId="66" applyNumberFormat="1" applyFont="1" applyBorder="1" applyAlignment="1">
      <alignment horizontal="right" vertical="top"/>
    </xf>
    <xf numFmtId="180" fontId="68" fillId="0" borderId="13" xfId="66" applyNumberFormat="1" applyFont="1" applyBorder="1" applyAlignment="1">
      <alignment horizontal="right" vertical="top"/>
    </xf>
    <xf numFmtId="179" fontId="68" fillId="0" borderId="11" xfId="66" applyNumberFormat="1" applyFont="1" applyBorder="1" applyAlignment="1">
      <alignment horizontal="right" vertical="top"/>
    </xf>
    <xf numFmtId="179" fontId="68" fillId="0" borderId="0" xfId="66" applyNumberFormat="1" applyFont="1" applyAlignment="1">
      <alignment horizontal="right" vertical="top"/>
    </xf>
    <xf numFmtId="179" fontId="68" fillId="0" borderId="13" xfId="66" applyNumberFormat="1" applyFont="1" applyBorder="1" applyAlignment="1">
      <alignment horizontal="right" vertical="top"/>
    </xf>
    <xf numFmtId="180" fontId="68" fillId="0" borderId="0" xfId="66" applyNumberFormat="1" applyFont="1" applyAlignment="1">
      <alignment horizontal="right" vertical="top"/>
    </xf>
    <xf numFmtId="179" fontId="67" fillId="0" borderId="13" xfId="66" applyNumberFormat="1" applyFont="1" applyBorder="1" applyAlignment="1">
      <alignment horizontal="right" vertical="top"/>
    </xf>
    <xf numFmtId="49" fontId="68" fillId="0" borderId="0" xfId="66" applyNumberFormat="1" applyFont="1" applyAlignment="1">
      <alignment horizontal="left" vertical="top" indent="4"/>
    </xf>
    <xf numFmtId="180" fontId="69" fillId="0" borderId="11" xfId="66" applyNumberFormat="1" applyFont="1" applyBorder="1" applyAlignment="1">
      <alignment horizontal="right" vertical="top"/>
    </xf>
    <xf numFmtId="179" fontId="69" fillId="0" borderId="11" xfId="66" applyNumberFormat="1" applyFont="1" applyBorder="1" applyAlignment="1">
      <alignment horizontal="right" vertical="top"/>
    </xf>
    <xf numFmtId="49" fontId="69" fillId="0" borderId="0" xfId="66" applyNumberFormat="1" applyFont="1" applyAlignment="1">
      <alignment horizontal="left" vertical="top" indent="6"/>
    </xf>
    <xf numFmtId="49" fontId="69" fillId="0" borderId="0" xfId="66" applyNumberFormat="1" applyFont="1" applyAlignment="1">
      <alignment horizontal="left" vertical="top" indent="5"/>
    </xf>
    <xf numFmtId="179" fontId="69" fillId="0" borderId="13" xfId="66" applyNumberFormat="1" applyFont="1" applyBorder="1" applyAlignment="1">
      <alignment horizontal="right" vertical="top"/>
    </xf>
    <xf numFmtId="178" fontId="67" fillId="0" borderId="13" xfId="66" applyNumberFormat="1" applyFont="1" applyBorder="1" applyAlignment="1">
      <alignment horizontal="right" vertical="top"/>
    </xf>
    <xf numFmtId="178" fontId="69" fillId="0" borderId="13" xfId="66" applyNumberFormat="1" applyFont="1" applyBorder="1" applyAlignment="1">
      <alignment horizontal="right" vertical="top"/>
    </xf>
    <xf numFmtId="178" fontId="68" fillId="0" borderId="11" xfId="66" applyNumberFormat="1" applyFont="1" applyBorder="1" applyAlignment="1">
      <alignment horizontal="right" vertical="top"/>
    </xf>
    <xf numFmtId="0" fontId="63" fillId="0" borderId="0" xfId="66" applyFont="1"/>
    <xf numFmtId="49" fontId="67" fillId="0" borderId="11" xfId="66" applyNumberFormat="1" applyFont="1" applyBorder="1" applyAlignment="1">
      <alignment horizontal="left" vertical="top" indent="2"/>
    </xf>
    <xf numFmtId="178" fontId="67" fillId="0" borderId="11" xfId="66" applyNumberFormat="1" applyFont="1" applyBorder="1" applyAlignment="1">
      <alignment horizontal="right" vertical="top"/>
    </xf>
    <xf numFmtId="180" fontId="70" fillId="0" borderId="11" xfId="66" applyNumberFormat="1" applyFont="1" applyBorder="1" applyAlignment="1">
      <alignment horizontal="right" vertical="top"/>
    </xf>
    <xf numFmtId="164" fontId="33" fillId="0" borderId="0" xfId="1" applyFont="1" applyFill="1"/>
    <xf numFmtId="164" fontId="33" fillId="0" borderId="0" xfId="1" applyFont="1" applyFill="1" applyAlignment="1">
      <alignment vertical="top"/>
    </xf>
    <xf numFmtId="0" fontId="4" fillId="0" borderId="0" xfId="66" applyAlignment="1">
      <alignment horizontal="left" indent="1"/>
    </xf>
    <xf numFmtId="164" fontId="4" fillId="0" borderId="0" xfId="1" applyFont="1" applyFill="1"/>
    <xf numFmtId="0" fontId="4" fillId="0" borderId="0" xfId="66" applyAlignment="1">
      <alignment horizontal="left" indent="2"/>
    </xf>
    <xf numFmtId="43" fontId="4" fillId="0" borderId="0" xfId="66" applyNumberFormat="1"/>
    <xf numFmtId="0" fontId="3" fillId="0" borderId="0" xfId="66" applyFont="1" applyAlignment="1">
      <alignment horizontal="left" indent="1"/>
    </xf>
    <xf numFmtId="0" fontId="3" fillId="0" borderId="0" xfId="66" applyFont="1" applyAlignment="1">
      <alignment horizontal="left" indent="2"/>
    </xf>
    <xf numFmtId="164" fontId="4" fillId="0" borderId="0" xfId="1" applyFont="1"/>
    <xf numFmtId="0" fontId="0" fillId="0" borderId="10" xfId="0" applyBorder="1" applyAlignment="1">
      <alignment vertical="top"/>
    </xf>
    <xf numFmtId="0" fontId="0" fillId="0" borderId="9" xfId="0" applyBorder="1" applyAlignment="1">
      <alignment vertical="top"/>
    </xf>
    <xf numFmtId="0" fontId="0" fillId="0" borderId="4" xfId="0" applyBorder="1" applyAlignment="1">
      <alignment vertical="top"/>
    </xf>
    <xf numFmtId="0" fontId="20" fillId="0" borderId="39" xfId="0" applyFont="1" applyBorder="1" applyAlignment="1">
      <alignment vertical="top" wrapText="1"/>
    </xf>
    <xf numFmtId="0" fontId="20" fillId="0" borderId="39" xfId="0" applyFont="1" applyBorder="1" applyAlignment="1">
      <alignment horizontal="center" vertical="top" wrapText="1"/>
    </xf>
    <xf numFmtId="0" fontId="20" fillId="0" borderId="53" xfId="0" applyFont="1" applyBorder="1" applyAlignment="1">
      <alignment horizontal="centerContinuous"/>
    </xf>
    <xf numFmtId="0" fontId="20" fillId="0" borderId="54" xfId="0" applyFont="1" applyBorder="1" applyAlignment="1">
      <alignment horizontal="centerContinuous"/>
    </xf>
    <xf numFmtId="0" fontId="20" fillId="0" borderId="55" xfId="0" applyFont="1" applyBorder="1" applyAlignment="1">
      <alignment horizontal="centerContinuous"/>
    </xf>
    <xf numFmtId="0" fontId="20" fillId="0" borderId="51" xfId="0" applyFont="1" applyBorder="1" applyAlignment="1">
      <alignment horizontal="centerContinuous"/>
    </xf>
    <xf numFmtId="0" fontId="20" fillId="0" borderId="56" xfId="0" applyFont="1" applyBorder="1" applyAlignment="1">
      <alignment horizontal="centerContinuous"/>
    </xf>
    <xf numFmtId="0" fontId="20" fillId="0" borderId="51" xfId="0" applyFont="1" applyBorder="1" applyAlignment="1">
      <alignment horizontal="center"/>
    </xf>
    <xf numFmtId="0" fontId="0" fillId="0" borderId="47" xfId="0" applyBorder="1" applyAlignment="1">
      <alignment horizontal="centerContinuous"/>
    </xf>
    <xf numFmtId="0" fontId="0" fillId="0" borderId="57" xfId="0" applyBorder="1"/>
    <xf numFmtId="0" fontId="20" fillId="0" borderId="58" xfId="0" applyFont="1" applyBorder="1" applyAlignment="1">
      <alignment horizontal="right"/>
    </xf>
    <xf numFmtId="0" fontId="0" fillId="0" borderId="59" xfId="0" applyBorder="1" applyAlignment="1">
      <alignment vertical="top"/>
    </xf>
    <xf numFmtId="0" fontId="0" fillId="0" borderId="22" xfId="0" applyBorder="1" applyAlignment="1">
      <alignment vertical="top"/>
    </xf>
    <xf numFmtId="0" fontId="17" fillId="0" borderId="46" xfId="0" applyFont="1" applyBorder="1" applyAlignment="1">
      <alignment horizontal="center" vertical="top"/>
    </xf>
    <xf numFmtId="0" fontId="0" fillId="0" borderId="47" xfId="0" applyBorder="1" applyAlignment="1">
      <alignment vertical="top"/>
    </xf>
    <xf numFmtId="0" fontId="0" fillId="0" borderId="49" xfId="0" applyBorder="1" applyAlignment="1">
      <alignment vertical="top"/>
    </xf>
    <xf numFmtId="0" fontId="20" fillId="0" borderId="4" xfId="0" applyFont="1" applyBorder="1"/>
    <xf numFmtId="0" fontId="20" fillId="0" borderId="0" xfId="0" applyFont="1" applyAlignment="1">
      <alignment vertical="top"/>
    </xf>
    <xf numFmtId="0" fontId="63" fillId="0" borderId="4" xfId="66" applyFont="1" applyBorder="1" applyAlignment="1">
      <alignment horizontal="centerContinuous"/>
    </xf>
    <xf numFmtId="0" fontId="4" fillId="0" borderId="4" xfId="66" applyBorder="1" applyAlignment="1">
      <alignment horizontal="centerContinuous"/>
    </xf>
    <xf numFmtId="0" fontId="63" fillId="0" borderId="4" xfId="66" applyFont="1" applyBorder="1" applyAlignment="1">
      <alignment horizontal="center"/>
    </xf>
    <xf numFmtId="164" fontId="4" fillId="0" borderId="4" xfId="1" applyFont="1" applyBorder="1"/>
    <xf numFmtId="43" fontId="4" fillId="0" borderId="4" xfId="66" applyNumberFormat="1" applyBorder="1"/>
    <xf numFmtId="0" fontId="2" fillId="0" borderId="0" xfId="66" applyFont="1" applyAlignment="1">
      <alignment horizontal="left" indent="1"/>
    </xf>
    <xf numFmtId="0" fontId="2" fillId="0" borderId="0" xfId="66" applyFont="1" applyAlignment="1">
      <alignment horizontal="left" indent="2"/>
    </xf>
    <xf numFmtId="164" fontId="4" fillId="0" borderId="0" xfId="66" applyNumberFormat="1"/>
    <xf numFmtId="164" fontId="24" fillId="0" borderId="1" xfId="1" applyFont="1" applyBorder="1" applyAlignment="1">
      <alignment horizontal="left" vertical="top" wrapText="1"/>
    </xf>
    <xf numFmtId="0" fontId="23" fillId="0" borderId="13" xfId="0" applyFont="1" applyBorder="1" applyAlignment="1">
      <alignment horizontal="left" vertical="top"/>
    </xf>
    <xf numFmtId="0" fontId="24" fillId="0" borderId="0" xfId="0" applyFont="1" applyAlignment="1">
      <alignment horizontal="left" vertical="top" wrapText="1"/>
    </xf>
    <xf numFmtId="0" fontId="45" fillId="0" borderId="12" xfId="17" applyFont="1" applyBorder="1" applyAlignment="1">
      <alignment horizontal="center" vertical="top"/>
    </xf>
    <xf numFmtId="0" fontId="45" fillId="0" borderId="11" xfId="17" applyFont="1" applyBorder="1" applyAlignment="1">
      <alignment horizontal="center" vertical="top"/>
    </xf>
    <xf numFmtId="0" fontId="45" fillId="0" borderId="16" xfId="17" applyFont="1" applyBorder="1" applyAlignment="1">
      <alignment horizontal="center" vertical="top"/>
    </xf>
    <xf numFmtId="0" fontId="23" fillId="0" borderId="0" xfId="3" applyNumberFormat="1" applyFont="1" applyFill="1" applyBorder="1" applyAlignment="1" applyProtection="1">
      <alignment horizontal="left" vertical="top"/>
    </xf>
    <xf numFmtId="0" fontId="23" fillId="0" borderId="0" xfId="0" applyFont="1" applyAlignment="1">
      <alignment horizontal="left" vertical="top"/>
    </xf>
    <xf numFmtId="0" fontId="48" fillId="0" borderId="13" xfId="0" applyFont="1" applyBorder="1" applyAlignment="1">
      <alignment horizontal="right" vertical="top"/>
    </xf>
    <xf numFmtId="0" fontId="23" fillId="0" borderId="0" xfId="0" applyFont="1" applyAlignment="1">
      <alignment horizontal="center" vertical="top"/>
    </xf>
    <xf numFmtId="0" fontId="23" fillId="0" borderId="12" xfId="0" applyFont="1" applyBorder="1" applyAlignment="1">
      <alignment horizontal="center" vertical="center"/>
    </xf>
    <xf numFmtId="0" fontId="23" fillId="0" borderId="16" xfId="0" applyFont="1" applyBorder="1" applyAlignment="1">
      <alignment horizontal="center" vertical="center"/>
    </xf>
    <xf numFmtId="0" fontId="23" fillId="0" borderId="0" xfId="0" applyFont="1" applyAlignment="1">
      <alignment horizontal="center"/>
    </xf>
    <xf numFmtId="0" fontId="24" fillId="0" borderId="1" xfId="0" applyFont="1" applyBorder="1" applyAlignment="1">
      <alignment vertical="top" wrapText="1"/>
    </xf>
    <xf numFmtId="0" fontId="24" fillId="0" borderId="1" xfId="0" applyFont="1" applyBorder="1" applyAlignment="1">
      <alignment horizontal="center" vertical="top"/>
    </xf>
    <xf numFmtId="0" fontId="18" fillId="0" borderId="0" xfId="0" applyFont="1" applyAlignment="1">
      <alignment horizontal="center" vertical="top"/>
    </xf>
    <xf numFmtId="0" fontId="23" fillId="0" borderId="0" xfId="6" applyFont="1" applyAlignment="1">
      <alignment horizontal="center" vertical="top"/>
    </xf>
    <xf numFmtId="0" fontId="23" fillId="0" borderId="0" xfId="6" quotePrefix="1" applyFont="1" applyAlignment="1">
      <alignment horizontal="center" vertical="top"/>
    </xf>
    <xf numFmtId="0" fontId="34" fillId="0" borderId="1" xfId="18" applyFont="1" applyBorder="1" applyAlignment="1">
      <alignment horizontal="left" wrapText="1"/>
    </xf>
    <xf numFmtId="0" fontId="34" fillId="0" borderId="3" xfId="18" applyFont="1" applyBorder="1" applyAlignment="1">
      <alignment horizontal="left" wrapText="1"/>
    </xf>
    <xf numFmtId="0" fontId="24" fillId="0" borderId="1" xfId="6" applyFont="1" applyBorder="1" applyAlignment="1">
      <alignment horizontal="left" vertical="top" wrapText="1"/>
    </xf>
    <xf numFmtId="0" fontId="34" fillId="0" borderId="1" xfId="18" applyFont="1" applyBorder="1" applyAlignment="1">
      <alignment horizontal="left" vertical="center" wrapText="1"/>
    </xf>
    <xf numFmtId="0" fontId="23" fillId="2" borderId="12" xfId="16" applyNumberFormat="1" applyFont="1" applyFill="1" applyBorder="1" applyAlignment="1">
      <alignment horizontal="right" vertical="top"/>
    </xf>
    <xf numFmtId="0" fontId="23" fillId="2" borderId="16" xfId="16" applyNumberFormat="1" applyFont="1" applyFill="1" applyBorder="1" applyAlignment="1">
      <alignment horizontal="right" vertical="top"/>
    </xf>
    <xf numFmtId="0" fontId="23" fillId="0" borderId="12" xfId="0" applyFont="1" applyBorder="1" applyAlignment="1">
      <alignment horizontal="right" vertical="top" wrapText="1"/>
    </xf>
    <xf numFmtId="0" fontId="23" fillId="0" borderId="16" xfId="0" applyFont="1" applyBorder="1" applyAlignment="1">
      <alignment horizontal="right" vertical="top" wrapText="1"/>
    </xf>
    <xf numFmtId="0" fontId="23" fillId="0" borderId="12" xfId="0" applyFont="1" applyBorder="1" applyAlignment="1">
      <alignment horizontal="right" vertical="top"/>
    </xf>
    <xf numFmtId="0" fontId="23" fillId="0" borderId="16" xfId="0" applyFont="1" applyBorder="1" applyAlignment="1">
      <alignment horizontal="right" vertical="top"/>
    </xf>
    <xf numFmtId="0" fontId="48" fillId="0" borderId="0" xfId="0" applyFont="1" applyAlignment="1">
      <alignment horizontal="right" vertical="top"/>
    </xf>
    <xf numFmtId="0" fontId="24" fillId="0" borderId="7" xfId="0" applyFont="1" applyBorder="1" applyAlignment="1">
      <alignment horizontal="left" vertical="top"/>
    </xf>
    <xf numFmtId="49" fontId="67" fillId="0" borderId="6" xfId="66" applyNumberFormat="1" applyFont="1" applyBorder="1" applyAlignment="1">
      <alignment horizontal="center" vertical="top" wrapText="1"/>
    </xf>
    <xf numFmtId="49" fontId="67" fillId="0" borderId="7" xfId="66" applyNumberFormat="1" applyFont="1" applyBorder="1" applyAlignment="1">
      <alignment horizontal="center" vertical="top" wrapText="1"/>
    </xf>
    <xf numFmtId="49" fontId="68" fillId="0" borderId="9" xfId="66" applyNumberFormat="1" applyFont="1" applyBorder="1" applyAlignment="1">
      <alignment horizontal="center" vertical="top" wrapText="1"/>
    </xf>
    <xf numFmtId="49" fontId="68" fillId="0" borderId="0" xfId="66" applyNumberFormat="1" applyFont="1" applyAlignment="1">
      <alignment horizontal="center" vertical="top" wrapText="1"/>
    </xf>
    <xf numFmtId="49" fontId="67" fillId="0" borderId="6" xfId="66" applyNumberFormat="1" applyFont="1" applyBorder="1" applyAlignment="1">
      <alignment horizontal="center" vertical="top"/>
    </xf>
    <xf numFmtId="49" fontId="67" fillId="0" borderId="7" xfId="66" applyNumberFormat="1" applyFont="1" applyBorder="1" applyAlignment="1">
      <alignment horizontal="center" vertical="top"/>
    </xf>
    <xf numFmtId="49" fontId="67" fillId="0" borderId="6" xfId="65" applyNumberFormat="1" applyFont="1" applyBorder="1" applyAlignment="1">
      <alignment horizontal="center" vertical="top"/>
    </xf>
    <xf numFmtId="49" fontId="67" fillId="0" borderId="7" xfId="65" applyNumberFormat="1" applyFont="1" applyBorder="1" applyAlignment="1">
      <alignment horizontal="center" vertical="top"/>
    </xf>
    <xf numFmtId="49" fontId="66" fillId="0" borderId="0" xfId="65" applyNumberFormat="1" applyFont="1" applyAlignment="1">
      <alignment vertical="top"/>
    </xf>
    <xf numFmtId="49" fontId="65" fillId="0" borderId="13" xfId="65" applyNumberFormat="1" applyFont="1" applyBorder="1" applyAlignment="1">
      <alignment vertical="top"/>
    </xf>
    <xf numFmtId="49" fontId="66" fillId="0" borderId="7" xfId="65" applyNumberFormat="1" applyFont="1" applyBorder="1" applyAlignment="1">
      <alignment vertical="top"/>
    </xf>
    <xf numFmtId="49" fontId="65" fillId="0" borderId="0" xfId="65" applyNumberFormat="1" applyFont="1" applyAlignment="1">
      <alignment vertical="top"/>
    </xf>
    <xf numFmtId="49" fontId="67" fillId="0" borderId="6" xfId="65" applyNumberFormat="1" applyFont="1" applyBorder="1" applyAlignment="1">
      <alignment horizontal="center" vertical="top" wrapText="1"/>
    </xf>
    <xf numFmtId="49" fontId="67" fillId="0" borderId="7" xfId="65" applyNumberFormat="1" applyFont="1" applyBorder="1" applyAlignment="1">
      <alignment horizontal="center" vertical="top" wrapText="1"/>
    </xf>
    <xf numFmtId="49" fontId="68" fillId="0" borderId="9" xfId="65" applyNumberFormat="1" applyFont="1" applyBorder="1" applyAlignment="1">
      <alignment horizontal="center" vertical="top" wrapText="1"/>
    </xf>
    <xf numFmtId="49" fontId="68" fillId="0" borderId="0" xfId="65" applyNumberFormat="1" applyFont="1" applyAlignment="1">
      <alignment horizontal="center" vertical="top" wrapText="1"/>
    </xf>
    <xf numFmtId="49" fontId="67" fillId="0" borderId="6" xfId="61" applyNumberFormat="1" applyFont="1" applyBorder="1" applyAlignment="1">
      <alignment horizontal="center" vertical="top"/>
    </xf>
    <xf numFmtId="49" fontId="67" fillId="0" borderId="7" xfId="61" applyNumberFormat="1" applyFont="1" applyBorder="1" applyAlignment="1">
      <alignment horizontal="center" vertical="top"/>
    </xf>
    <xf numFmtId="49" fontId="66" fillId="0" borderId="0" xfId="61" applyNumberFormat="1" applyFont="1" applyAlignment="1">
      <alignment vertical="top"/>
    </xf>
    <xf numFmtId="49" fontId="65" fillId="0" borderId="13" xfId="61" applyNumberFormat="1" applyFont="1" applyBorder="1" applyAlignment="1">
      <alignment vertical="top"/>
    </xf>
    <xf numFmtId="49" fontId="66" fillId="0" borderId="7" xfId="61" applyNumberFormat="1" applyFont="1" applyBorder="1" applyAlignment="1">
      <alignment vertical="top"/>
    </xf>
    <xf numFmtId="49" fontId="65" fillId="0" borderId="0" xfId="61" applyNumberFormat="1" applyFont="1" applyAlignment="1">
      <alignment vertical="top"/>
    </xf>
    <xf numFmtId="49" fontId="67" fillId="0" borderId="6" xfId="61" applyNumberFormat="1" applyFont="1" applyBorder="1" applyAlignment="1">
      <alignment horizontal="center" vertical="top" wrapText="1"/>
    </xf>
    <xf numFmtId="49" fontId="67" fillId="0" borderId="7" xfId="61" applyNumberFormat="1" applyFont="1" applyBorder="1" applyAlignment="1">
      <alignment horizontal="center" vertical="top" wrapText="1"/>
    </xf>
    <xf numFmtId="49" fontId="68" fillId="0" borderId="9" xfId="61" applyNumberFormat="1" applyFont="1" applyBorder="1" applyAlignment="1">
      <alignment horizontal="center" vertical="top" wrapText="1"/>
    </xf>
    <xf numFmtId="49" fontId="68" fillId="0" borderId="0" xfId="61" applyNumberFormat="1" applyFont="1" applyAlignment="1">
      <alignment horizontal="center" vertical="top" wrapText="1"/>
    </xf>
    <xf numFmtId="0" fontId="20" fillId="0" borderId="4" xfId="6" applyFont="1" applyBorder="1" applyAlignment="1">
      <alignment horizontal="center"/>
    </xf>
    <xf numFmtId="0" fontId="20" fillId="0" borderId="2" xfId="6" applyFont="1" applyBorder="1" applyAlignment="1">
      <alignment horizontal="right" indent="2"/>
    </xf>
    <xf numFmtId="164" fontId="31" fillId="0" borderId="0" xfId="1" applyFont="1" applyAlignment="1">
      <alignment horizontal="center" vertical="center" wrapText="1"/>
    </xf>
    <xf numFmtId="164" fontId="31" fillId="0" borderId="12" xfId="1" applyFont="1" applyBorder="1" applyAlignment="1">
      <alignment horizontal="center" vertical="center"/>
    </xf>
    <xf numFmtId="164" fontId="31" fillId="0" borderId="11" xfId="1" applyFont="1" applyBorder="1" applyAlignment="1">
      <alignment horizontal="center" vertical="center"/>
    </xf>
    <xf numFmtId="164" fontId="31" fillId="0" borderId="16" xfId="1" applyFont="1" applyBorder="1" applyAlignment="1">
      <alignment horizontal="center" vertical="center"/>
    </xf>
    <xf numFmtId="0" fontId="23" fillId="0" borderId="4" xfId="0" applyFont="1" applyBorder="1" applyAlignment="1">
      <alignment horizontal="right" vertical="top"/>
    </xf>
    <xf numFmtId="0" fontId="23" fillId="0" borderId="4" xfId="0" applyFont="1" applyBorder="1" applyAlignment="1">
      <alignment horizontal="left" vertical="top" wrapText="1"/>
    </xf>
    <xf numFmtId="0" fontId="23" fillId="0" borderId="4" xfId="0" applyFont="1" applyBorder="1" applyAlignment="1">
      <alignment horizontal="center" vertical="top" wrapText="1"/>
    </xf>
    <xf numFmtId="0" fontId="23" fillId="0" borderId="4" xfId="0" applyFont="1" applyBorder="1" applyAlignment="1">
      <alignment horizontal="center" vertical="top"/>
    </xf>
    <xf numFmtId="0" fontId="23" fillId="0" borderId="12" xfId="0" applyFont="1" applyBorder="1" applyAlignment="1">
      <alignment horizontal="left" vertical="top"/>
    </xf>
    <xf numFmtId="0" fontId="23" fillId="0" borderId="11" xfId="0" applyFont="1" applyBorder="1" applyAlignment="1">
      <alignment horizontal="left" vertical="top"/>
    </xf>
    <xf numFmtId="0" fontId="23" fillId="0" borderId="16" xfId="0" applyFont="1" applyBorder="1" applyAlignment="1">
      <alignment horizontal="left" vertical="top"/>
    </xf>
    <xf numFmtId="0" fontId="23" fillId="0" borderId="5" xfId="0" applyFont="1" applyBorder="1" applyAlignment="1">
      <alignment horizontal="center" vertical="top" wrapText="1"/>
    </xf>
    <xf numFmtId="0" fontId="23" fillId="0" borderId="3" xfId="0" applyFont="1" applyBorder="1" applyAlignment="1">
      <alignment horizontal="center" vertical="top" wrapText="1"/>
    </xf>
    <xf numFmtId="0" fontId="23" fillId="0" borderId="6" xfId="0" applyFont="1" applyBorder="1" applyAlignment="1">
      <alignment horizontal="left" vertical="top" wrapText="1"/>
    </xf>
    <xf numFmtId="0" fontId="23" fillId="0" borderId="9" xfId="0" applyFont="1" applyBorder="1" applyAlignment="1">
      <alignment horizontal="left" vertical="top" wrapText="1"/>
    </xf>
    <xf numFmtId="0" fontId="23" fillId="0" borderId="12" xfId="0" applyFont="1" applyBorder="1" applyAlignment="1">
      <alignment horizontal="center" vertical="top" wrapText="1"/>
    </xf>
    <xf numFmtId="0" fontId="23" fillId="0" borderId="11" xfId="0" applyFont="1" applyBorder="1" applyAlignment="1">
      <alignment horizontal="center" vertical="top" wrapText="1"/>
    </xf>
    <xf numFmtId="0" fontId="23" fillId="0" borderId="16" xfId="0" applyFont="1" applyBorder="1" applyAlignment="1">
      <alignment horizontal="center" vertical="top" wrapText="1"/>
    </xf>
    <xf numFmtId="0" fontId="27" fillId="0" borderId="0" xfId="0" applyFont="1" applyAlignment="1">
      <alignment horizontal="center"/>
    </xf>
    <xf numFmtId="0" fontId="63" fillId="0" borderId="0" xfId="61" applyFont="1" applyAlignment="1">
      <alignment horizontal="center"/>
    </xf>
    <xf numFmtId="164" fontId="31" fillId="0" borderId="1" xfId="1" applyFont="1" applyFill="1" applyBorder="1" applyAlignment="1">
      <alignment horizontal="right" vertical="center"/>
    </xf>
    <xf numFmtId="164" fontId="33" fillId="0" borderId="1" xfId="1" applyFont="1" applyFill="1" applyBorder="1" applyAlignment="1">
      <alignment horizontal="right" vertical="center"/>
    </xf>
    <xf numFmtId="164" fontId="33" fillId="0" borderId="1" xfId="1" applyFont="1" applyFill="1" applyBorder="1" applyAlignment="1">
      <alignment horizontal="right"/>
    </xf>
    <xf numFmtId="164" fontId="33" fillId="0" borderId="40" xfId="1" applyFont="1" applyFill="1" applyBorder="1" applyAlignment="1">
      <alignment horizontal="right"/>
    </xf>
    <xf numFmtId="164" fontId="31" fillId="0" borderId="28" xfId="1" applyFont="1" applyFill="1" applyBorder="1" applyAlignment="1">
      <alignment horizontal="right" vertical="center"/>
    </xf>
    <xf numFmtId="164" fontId="33" fillId="0" borderId="28" xfId="1" applyFont="1" applyFill="1" applyBorder="1" applyAlignment="1">
      <alignment horizontal="right" vertical="center"/>
    </xf>
    <xf numFmtId="164" fontId="31" fillId="0" borderId="0" xfId="1" applyFont="1" applyFill="1" applyAlignment="1">
      <alignment vertical="center"/>
    </xf>
    <xf numFmtId="164" fontId="31" fillId="0" borderId="0" xfId="1" applyFont="1" applyFill="1"/>
    <xf numFmtId="164" fontId="31" fillId="0" borderId="0" xfId="1" applyFont="1" applyFill="1" applyAlignment="1">
      <alignment horizontal="right" vertical="center"/>
    </xf>
    <xf numFmtId="164" fontId="33" fillId="0" borderId="0" xfId="1" applyFont="1" applyFill="1" applyAlignment="1">
      <alignment horizontal="right"/>
    </xf>
    <xf numFmtId="0" fontId="1" fillId="0" borderId="0" xfId="66" applyFont="1" applyAlignment="1">
      <alignment horizontal="left" indent="1"/>
    </xf>
    <xf numFmtId="0" fontId="1" fillId="0" borderId="0" xfId="66" applyFont="1" applyAlignment="1">
      <alignment horizontal="left" indent="2"/>
    </xf>
  </cellXfs>
  <cellStyles count="67">
    <cellStyle name="20% - Accent1" xfId="36" builtinId="30" customBuiltin="1"/>
    <cellStyle name="20% - Accent2" xfId="40" builtinId="34" customBuiltin="1"/>
    <cellStyle name="20% - Accent3" xfId="44" builtinId="38" customBuiltin="1"/>
    <cellStyle name="20% - Accent4" xfId="48" builtinId="42" customBuiltin="1"/>
    <cellStyle name="20% - Accent5" xfId="52" builtinId="46" customBuiltin="1"/>
    <cellStyle name="20% - Accent6" xfId="56" builtinId="50" customBuiltin="1"/>
    <cellStyle name="40% - Accent1" xfId="37" builtinId="31" customBuiltin="1"/>
    <cellStyle name="40% - Accent2" xfId="41" builtinId="35" customBuiltin="1"/>
    <cellStyle name="40% - Accent3" xfId="45" builtinId="39" customBuiltin="1"/>
    <cellStyle name="40% - Accent4" xfId="49" builtinId="43" customBuiltin="1"/>
    <cellStyle name="40% - Accent5" xfId="53" builtinId="47" customBuiltin="1"/>
    <cellStyle name="40% - Accent6" xfId="57" builtinId="51" customBuiltin="1"/>
    <cellStyle name="60% - Accent1" xfId="38" builtinId="32" customBuiltin="1"/>
    <cellStyle name="60% - Accent2" xfId="42" builtinId="36" customBuiltin="1"/>
    <cellStyle name="60% - Accent3" xfId="46" builtinId="40" customBuiltin="1"/>
    <cellStyle name="60% - Accent4" xfId="50" builtinId="44" customBuiltin="1"/>
    <cellStyle name="60% - Accent5" xfId="54" builtinId="48" customBuiltin="1"/>
    <cellStyle name="60% - Accent6" xfId="58" builtinId="52" customBuiltin="1"/>
    <cellStyle name="Accent1" xfId="35" builtinId="29" customBuiltin="1"/>
    <cellStyle name="Accent2" xfId="39" builtinId="33" customBuiltin="1"/>
    <cellStyle name="Accent3" xfId="43" builtinId="37" customBuiltin="1"/>
    <cellStyle name="Accent4" xfId="47" builtinId="41" customBuiltin="1"/>
    <cellStyle name="Accent5" xfId="51" builtinId="45" customBuiltin="1"/>
    <cellStyle name="Accent6" xfId="55" builtinId="49" customBuiltin="1"/>
    <cellStyle name="Bad" xfId="25" builtinId="27" customBuiltin="1"/>
    <cellStyle name="Calculation" xfId="29" builtinId="22" customBuiltin="1"/>
    <cellStyle name="Check Cell" xfId="31" builtinId="23" customBuiltin="1"/>
    <cellStyle name="Comma" xfId="1" builtinId="3"/>
    <cellStyle name="Comma 2" xfId="2" xr:uid="{00000000-0005-0000-0000-00001C000000}"/>
    <cellStyle name="Comma 2 2" xfId="8" xr:uid="{00000000-0005-0000-0000-00001D000000}"/>
    <cellStyle name="Comma 3" xfId="4" xr:uid="{00000000-0005-0000-0000-00001E000000}"/>
    <cellStyle name="Comma 3 2" xfId="11" xr:uid="{00000000-0005-0000-0000-00001F000000}"/>
    <cellStyle name="Comma 38" xfId="13" xr:uid="{00000000-0005-0000-0000-000020000000}"/>
    <cellStyle name="Comma 4" xfId="12" xr:uid="{00000000-0005-0000-0000-000021000000}"/>
    <cellStyle name="Comma 5" xfId="62" xr:uid="{00000000-0005-0000-0000-000022000000}"/>
    <cellStyle name="Comma 5 2" xfId="63" xr:uid="{00000000-0005-0000-0000-000023000000}"/>
    <cellStyle name="Comma_BALANCE SHEET FHI 03-04 DEC" xfId="3" xr:uid="{00000000-0005-0000-0000-000024000000}"/>
    <cellStyle name="Explanatory Text" xfId="33" builtinId="53" customBuiltin="1"/>
    <cellStyle name="Good" xfId="24" builtinId="26" customBuiltin="1"/>
    <cellStyle name="Heading 1" xfId="20" builtinId="16" customBuiltin="1"/>
    <cellStyle name="Heading 2" xfId="21" builtinId="17" customBuiltin="1"/>
    <cellStyle name="Heading 3" xfId="22" builtinId="18" customBuiltin="1"/>
    <cellStyle name="Heading 4" xfId="23" builtinId="19" customBuiltin="1"/>
    <cellStyle name="Input" xfId="27" builtinId="20" customBuiltin="1"/>
    <cellStyle name="Linked Cell" xfId="30" builtinId="24" customBuiltin="1"/>
    <cellStyle name="Neutral" xfId="26" builtinId="28" customBuiltin="1"/>
    <cellStyle name="Normal" xfId="0" builtinId="0"/>
    <cellStyle name="Normal 11" xfId="15" xr:uid="{00000000-0005-0000-0000-00002F000000}"/>
    <cellStyle name="Normal 167" xfId="10" xr:uid="{00000000-0005-0000-0000-000030000000}"/>
    <cellStyle name="Normal 2" xfId="5" xr:uid="{00000000-0005-0000-0000-000031000000}"/>
    <cellStyle name="Normal 2 2" xfId="6" xr:uid="{00000000-0005-0000-0000-000032000000}"/>
    <cellStyle name="Normal 3" xfId="9" xr:uid="{00000000-0005-0000-0000-000033000000}"/>
    <cellStyle name="Normal 4" xfId="17" xr:uid="{00000000-0005-0000-0000-000034000000}"/>
    <cellStyle name="Normal 5" xfId="18" xr:uid="{00000000-0005-0000-0000-000035000000}"/>
    <cellStyle name="Normal 6" xfId="59" xr:uid="{00000000-0005-0000-0000-000036000000}"/>
    <cellStyle name="Normal 7" xfId="61" xr:uid="{00000000-0005-0000-0000-000037000000}"/>
    <cellStyle name="Normal 7 2" xfId="64" xr:uid="{00000000-0005-0000-0000-000038000000}"/>
    <cellStyle name="Normal 8" xfId="65" xr:uid="{225712F8-27A4-4A0B-BDA7-D64B860B1F77}"/>
    <cellStyle name="Normal 9" xfId="66" xr:uid="{3EF15BB7-3830-4F54-BE70-626DD193CBC9}"/>
    <cellStyle name="Normal_ifrs t" xfId="16" xr:uid="{00000000-0005-0000-0000-000039000000}"/>
    <cellStyle name="Note 2" xfId="60" xr:uid="{00000000-0005-0000-0000-00003A000000}"/>
    <cellStyle name="Output" xfId="28" builtinId="21" customBuiltin="1"/>
    <cellStyle name="Percent" xfId="7" builtinId="5"/>
    <cellStyle name="Percent 2" xfId="14" xr:uid="{00000000-0005-0000-0000-00003D000000}"/>
    <cellStyle name="Title" xfId="19" builtinId="15" customBuiltin="1"/>
    <cellStyle name="Total" xfId="34" builtinId="25" customBuiltin="1"/>
    <cellStyle name="Warning Text" xfId="32"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enovo\Downloads\0.%20BS_LLP_31.03.2023_Exotica%20LLP-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0-a-Basics"/>
      <sheetName val="0-b-Errors"/>
      <sheetName val="SAI"/>
      <sheetName val="BS"/>
      <sheetName val="SPL"/>
      <sheetName val="Note 1 to 4"/>
      <sheetName val="Note 5 to 7"/>
      <sheetName val="Note 12"/>
      <sheetName val="Note 8 to 11"/>
      <sheetName val="Note 12 to 14"/>
      <sheetName val="Trial Balance"/>
      <sheetName val="GL-Master"/>
      <sheetName val="Tally GL Master"/>
      <sheetName val="Groupings-Sync"/>
      <sheetName val="BS &amp; PL Finance Head"/>
      <sheetName val="3.2-PROFIT SHARING"/>
      <sheetName val="3.3-Profit Sharing Ratio"/>
    </sheetNames>
    <sheetDataSet>
      <sheetData sheetId="0"/>
      <sheetData sheetId="1">
        <row r="20">
          <cell r="F20" t="str">
            <v>1st April 2022</v>
          </cell>
        </row>
        <row r="21">
          <cell r="F21" t="str">
            <v>31 March 2023</v>
          </cell>
        </row>
        <row r="25">
          <cell r="D25">
            <v>1</v>
          </cell>
        </row>
      </sheetData>
      <sheetData sheetId="2"/>
      <sheetData sheetId="3"/>
      <sheetData sheetId="4">
        <row r="10">
          <cell r="B10" t="str">
            <v>Partner's Capital Account</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I80"/>
  <sheetViews>
    <sheetView view="pageBreakPreview" zoomScaleNormal="115" zoomScaleSheetLayoutView="100" workbookViewId="0">
      <selection activeCell="C3" sqref="C3"/>
    </sheetView>
  </sheetViews>
  <sheetFormatPr defaultColWidth="8.7109375" defaultRowHeight="12.75" x14ac:dyDescent="0.2"/>
  <cols>
    <col min="1" max="1" width="3.7109375" style="20" customWidth="1"/>
    <col min="2" max="2" width="36.28515625" style="20" customWidth="1"/>
    <col min="3" max="3" width="18.7109375" style="20" customWidth="1"/>
    <col min="4" max="4" width="14.28515625" style="20" bestFit="1" customWidth="1"/>
    <col min="5" max="5" width="16.5703125" style="20" customWidth="1"/>
    <col min="6" max="6" width="2.7109375" style="20" customWidth="1"/>
    <col min="7" max="7" width="14" style="20" customWidth="1"/>
    <col min="8" max="8" width="12.5703125" style="20" bestFit="1" customWidth="1"/>
    <col min="9" max="9" width="9.5703125" style="20" bestFit="1" customWidth="1"/>
    <col min="10" max="16384" width="8.7109375" style="20"/>
  </cols>
  <sheetData>
    <row r="2" spans="2:5" ht="24" customHeight="1" x14ac:dyDescent="0.2">
      <c r="B2" s="24" t="s">
        <v>63</v>
      </c>
      <c r="C2" s="715" t="s">
        <v>242</v>
      </c>
      <c r="D2" s="715"/>
      <c r="E2" s="715"/>
    </row>
    <row r="3" spans="2:5" ht="12" customHeight="1" x14ac:dyDescent="0.2">
      <c r="B3" s="24"/>
    </row>
    <row r="4" spans="2:5" ht="27.4" customHeight="1" x14ac:dyDescent="0.2">
      <c r="B4" s="24" t="s">
        <v>64</v>
      </c>
      <c r="C4" s="715" t="s">
        <v>214</v>
      </c>
      <c r="D4" s="715"/>
      <c r="E4" s="715"/>
    </row>
    <row r="5" spans="2:5" x14ac:dyDescent="0.2">
      <c r="B5" s="24"/>
    </row>
    <row r="6" spans="2:5" x14ac:dyDescent="0.2">
      <c r="B6" s="24" t="s">
        <v>65</v>
      </c>
      <c r="C6" s="20" t="s">
        <v>215</v>
      </c>
    </row>
    <row r="7" spans="2:5" x14ac:dyDescent="0.2">
      <c r="B7" s="24"/>
    </row>
    <row r="8" spans="2:5" x14ac:dyDescent="0.2">
      <c r="B8" s="24" t="s">
        <v>66</v>
      </c>
      <c r="C8" s="20" t="s">
        <v>70</v>
      </c>
    </row>
    <row r="9" spans="2:5" x14ac:dyDescent="0.2">
      <c r="B9" s="24"/>
    </row>
    <row r="10" spans="2:5" x14ac:dyDescent="0.2">
      <c r="B10" s="24" t="s">
        <v>67</v>
      </c>
      <c r="C10" s="20" t="s">
        <v>216</v>
      </c>
    </row>
    <row r="11" spans="2:5" x14ac:dyDescent="0.2">
      <c r="B11" s="24"/>
    </row>
    <row r="12" spans="2:5" x14ac:dyDescent="0.2">
      <c r="B12" s="24" t="s">
        <v>68</v>
      </c>
      <c r="C12" s="20" t="s">
        <v>101</v>
      </c>
    </row>
    <row r="13" spans="2:5" x14ac:dyDescent="0.2">
      <c r="B13" s="24"/>
    </row>
    <row r="14" spans="2:5" x14ac:dyDescent="0.2">
      <c r="B14" s="24" t="s">
        <v>69</v>
      </c>
      <c r="C14" s="20" t="s">
        <v>236</v>
      </c>
    </row>
    <row r="16" spans="2:5" x14ac:dyDescent="0.2">
      <c r="B16" s="714" t="s">
        <v>235</v>
      </c>
      <c r="C16" s="714"/>
      <c r="D16" s="714"/>
      <c r="E16" s="714"/>
    </row>
    <row r="17" spans="2:5" x14ac:dyDescent="0.2">
      <c r="B17" s="80" t="s">
        <v>74</v>
      </c>
      <c r="C17" s="65"/>
      <c r="D17" s="53"/>
      <c r="E17" s="53"/>
    </row>
    <row r="18" spans="2:5" x14ac:dyDescent="0.2">
      <c r="B18" s="78" t="s">
        <v>51</v>
      </c>
      <c r="D18" s="43">
        <f>'P &amp; L'!E28</f>
        <v>-1823060.83</v>
      </c>
      <c r="E18" s="43"/>
    </row>
    <row r="19" spans="2:5" x14ac:dyDescent="0.2">
      <c r="B19" s="88" t="s">
        <v>77</v>
      </c>
      <c r="C19" s="92"/>
      <c r="D19" s="43"/>
      <c r="E19" s="43"/>
    </row>
    <row r="20" spans="2:5" x14ac:dyDescent="0.2">
      <c r="B20" s="93" t="s">
        <v>92</v>
      </c>
      <c r="C20" s="92"/>
      <c r="D20" s="43">
        <f>'Note 3-12'!D150</f>
        <v>2409041</v>
      </c>
      <c r="E20" s="43"/>
    </row>
    <row r="21" spans="2:5" x14ac:dyDescent="0.2">
      <c r="B21" s="93" t="s">
        <v>24</v>
      </c>
      <c r="D21" s="43" t="e">
        <f>'Note 3-12'!#REF!</f>
        <v>#REF!</v>
      </c>
      <c r="E21" s="43"/>
    </row>
    <row r="22" spans="2:5" x14ac:dyDescent="0.2">
      <c r="B22" s="93" t="s">
        <v>202</v>
      </c>
      <c r="D22" s="43" t="e">
        <f>+'P &amp; L'!#REF!</f>
        <v>#REF!</v>
      </c>
      <c r="E22" s="43"/>
    </row>
    <row r="23" spans="2:5" x14ac:dyDescent="0.2">
      <c r="B23" s="88" t="s">
        <v>71</v>
      </c>
      <c r="D23" s="43"/>
      <c r="E23" s="43"/>
    </row>
    <row r="24" spans="2:5" x14ac:dyDescent="0.2">
      <c r="B24" s="93" t="s">
        <v>32</v>
      </c>
      <c r="D24" s="43" t="e">
        <f>'Note 3-12'!#REF!</f>
        <v>#REF!</v>
      </c>
      <c r="E24" s="43"/>
    </row>
    <row r="25" spans="2:5" x14ac:dyDescent="0.2">
      <c r="B25" s="102" t="s">
        <v>238</v>
      </c>
      <c r="D25" s="43">
        <f>'Note 3-12'!D113</f>
        <v>826744</v>
      </c>
      <c r="E25" s="43"/>
    </row>
    <row r="26" spans="2:5" x14ac:dyDescent="0.2">
      <c r="B26" s="93" t="s">
        <v>202</v>
      </c>
      <c r="D26" s="46">
        <f>'Dep - IT Act'!J17</f>
        <v>0</v>
      </c>
      <c r="E26" s="43" t="e">
        <f>SUM(D18:D22)-SUM(D24:D26)</f>
        <v>#REF!</v>
      </c>
    </row>
    <row r="27" spans="2:5" x14ac:dyDescent="0.2">
      <c r="B27" s="78"/>
      <c r="D27" s="81"/>
      <c r="E27" s="43"/>
    </row>
    <row r="28" spans="2:5" x14ac:dyDescent="0.2">
      <c r="B28" s="19" t="s">
        <v>75</v>
      </c>
      <c r="C28" s="94"/>
      <c r="D28" s="81"/>
      <c r="E28" s="43"/>
    </row>
    <row r="29" spans="2:5" x14ac:dyDescent="0.2">
      <c r="B29" s="78" t="s">
        <v>52</v>
      </c>
      <c r="D29" s="81" t="e">
        <f>+'Note 3-12'!#REF!</f>
        <v>#REF!</v>
      </c>
      <c r="E29" s="43"/>
    </row>
    <row r="30" spans="2:5" x14ac:dyDescent="0.2">
      <c r="B30" s="88" t="s">
        <v>53</v>
      </c>
      <c r="D30" s="46" t="e">
        <f>D29*30%</f>
        <v>#REF!</v>
      </c>
      <c r="E30" s="43" t="e">
        <f>D29-D30</f>
        <v>#REF!</v>
      </c>
    </row>
    <row r="31" spans="2:5" x14ac:dyDescent="0.2">
      <c r="B31" s="78"/>
      <c r="D31" s="81"/>
      <c r="E31" s="43"/>
    </row>
    <row r="32" spans="2:5" x14ac:dyDescent="0.2">
      <c r="B32" s="19" t="s">
        <v>76</v>
      </c>
      <c r="C32" s="24"/>
      <c r="D32" s="81"/>
      <c r="E32" s="43"/>
    </row>
    <row r="33" spans="2:8" x14ac:dyDescent="0.2">
      <c r="B33" s="45" t="s">
        <v>229</v>
      </c>
      <c r="C33" s="24"/>
      <c r="D33" s="81">
        <f>+'Note 3-12'!D113</f>
        <v>826744</v>
      </c>
      <c r="E33" s="43"/>
    </row>
    <row r="34" spans="2:8" x14ac:dyDescent="0.2">
      <c r="B34" s="78" t="s">
        <v>50</v>
      </c>
      <c r="D34" s="57">
        <v>0</v>
      </c>
      <c r="E34" s="57">
        <f>SUM(D33:D34)</f>
        <v>826744</v>
      </c>
    </row>
    <row r="35" spans="2:8" x14ac:dyDescent="0.2">
      <c r="B35" s="78"/>
      <c r="D35" s="78"/>
      <c r="E35" s="56"/>
    </row>
    <row r="36" spans="2:8" x14ac:dyDescent="0.2">
      <c r="B36" s="19" t="s">
        <v>54</v>
      </c>
      <c r="D36" s="78"/>
      <c r="E36" s="82" t="e">
        <f>SUM(E23:E34)</f>
        <v>#REF!</v>
      </c>
    </row>
    <row r="37" spans="2:8" x14ac:dyDescent="0.2">
      <c r="B37" s="19" t="s">
        <v>209</v>
      </c>
      <c r="D37" s="78"/>
      <c r="E37" s="82">
        <v>0</v>
      </c>
    </row>
    <row r="38" spans="2:8" x14ac:dyDescent="0.2">
      <c r="B38" s="19" t="s">
        <v>212</v>
      </c>
      <c r="D38" s="78"/>
      <c r="E38" s="82">
        <v>0</v>
      </c>
    </row>
    <row r="39" spans="2:8" x14ac:dyDescent="0.2">
      <c r="B39" s="19" t="s">
        <v>72</v>
      </c>
      <c r="D39" s="49"/>
      <c r="E39" s="203" t="e">
        <f>E36</f>
        <v>#REF!</v>
      </c>
    </row>
    <row r="40" spans="2:8" x14ac:dyDescent="0.2">
      <c r="B40" s="19" t="s">
        <v>55</v>
      </c>
      <c r="D40" s="78"/>
      <c r="E40" s="82" t="e">
        <f>ROUND(E39,1)</f>
        <v>#REF!</v>
      </c>
    </row>
    <row r="41" spans="2:8" x14ac:dyDescent="0.2">
      <c r="B41" s="78"/>
      <c r="D41" s="78"/>
      <c r="E41" s="49"/>
    </row>
    <row r="42" spans="2:8" x14ac:dyDescent="0.2">
      <c r="B42" s="19" t="s">
        <v>56</v>
      </c>
      <c r="D42" s="78"/>
      <c r="E42" s="83" t="e">
        <f>E40*25%</f>
        <v>#REF!</v>
      </c>
      <c r="G42" s="97"/>
    </row>
    <row r="43" spans="2:8" x14ac:dyDescent="0.2">
      <c r="B43" s="88" t="s">
        <v>57</v>
      </c>
      <c r="D43" s="78"/>
      <c r="E43" s="57" t="e">
        <f>E42*4%</f>
        <v>#REF!</v>
      </c>
    </row>
    <row r="44" spans="2:8" x14ac:dyDescent="0.2">
      <c r="B44" s="19" t="s">
        <v>73</v>
      </c>
      <c r="C44" s="91"/>
      <c r="D44" s="78"/>
      <c r="E44" s="56" t="e">
        <f>E42+E43</f>
        <v>#REF!</v>
      </c>
    </row>
    <row r="45" spans="2:8" x14ac:dyDescent="0.2">
      <c r="B45" s="19" t="s">
        <v>55</v>
      </c>
      <c r="C45" s="91"/>
      <c r="D45" s="78"/>
      <c r="E45" s="82" t="e">
        <f>ROUND(E44,1)</f>
        <v>#REF!</v>
      </c>
      <c r="G45" s="59"/>
      <c r="H45" s="62"/>
    </row>
    <row r="46" spans="2:8" x14ac:dyDescent="0.2">
      <c r="B46" s="19" t="s">
        <v>153</v>
      </c>
      <c r="C46" s="91"/>
      <c r="D46" s="78"/>
      <c r="E46" s="56">
        <v>0</v>
      </c>
      <c r="G46" s="59"/>
      <c r="H46" s="62"/>
    </row>
    <row r="47" spans="2:8" x14ac:dyDescent="0.2">
      <c r="B47" s="19" t="s">
        <v>58</v>
      </c>
      <c r="C47" s="91"/>
      <c r="D47" s="78"/>
      <c r="E47" s="57"/>
      <c r="G47" s="62"/>
    </row>
    <row r="48" spans="2:8" x14ac:dyDescent="0.2">
      <c r="B48" s="95"/>
      <c r="C48" s="91"/>
      <c r="D48" s="78"/>
      <c r="E48" s="56" t="e">
        <f>E45-E47-E46</f>
        <v>#REF!</v>
      </c>
      <c r="G48" s="101"/>
    </row>
    <row r="49" spans="2:7" x14ac:dyDescent="0.2">
      <c r="B49" s="19" t="s">
        <v>59</v>
      </c>
      <c r="C49" s="91"/>
      <c r="D49" s="78"/>
      <c r="E49" s="56"/>
    </row>
    <row r="50" spans="2:7" x14ac:dyDescent="0.2">
      <c r="B50" s="88" t="s">
        <v>230</v>
      </c>
      <c r="C50" s="91"/>
      <c r="D50" s="78"/>
      <c r="E50" s="56"/>
    </row>
    <row r="51" spans="2:7" x14ac:dyDescent="0.2">
      <c r="B51" s="88" t="s">
        <v>231</v>
      </c>
      <c r="C51" s="91"/>
      <c r="D51" s="78"/>
      <c r="E51" s="56"/>
    </row>
    <row r="52" spans="2:7" x14ac:dyDescent="0.2">
      <c r="B52" s="88" t="s">
        <v>232</v>
      </c>
      <c r="C52" s="91"/>
      <c r="D52" s="81"/>
      <c r="E52" s="56"/>
    </row>
    <row r="53" spans="2:7" x14ac:dyDescent="0.2">
      <c r="B53" s="88" t="s">
        <v>233</v>
      </c>
      <c r="C53" s="91"/>
      <c r="D53" s="81"/>
      <c r="E53" s="56"/>
    </row>
    <row r="54" spans="2:7" x14ac:dyDescent="0.2">
      <c r="B54" s="88"/>
      <c r="C54" s="91"/>
      <c r="D54" s="46"/>
      <c r="E54" s="57"/>
    </row>
    <row r="55" spans="2:7" x14ac:dyDescent="0.2">
      <c r="B55" s="19"/>
      <c r="C55" s="91"/>
      <c r="D55" s="81"/>
      <c r="E55" s="56" t="e">
        <f>+E48-E50-E51-E52-E53</f>
        <v>#REF!</v>
      </c>
    </row>
    <row r="56" spans="2:7" x14ac:dyDescent="0.2">
      <c r="B56" s="19" t="s">
        <v>210</v>
      </c>
      <c r="C56" s="91"/>
      <c r="D56" s="81"/>
      <c r="E56" s="56">
        <v>0</v>
      </c>
    </row>
    <row r="57" spans="2:7" x14ac:dyDescent="0.2">
      <c r="B57" s="19" t="s">
        <v>211</v>
      </c>
      <c r="C57" s="91"/>
      <c r="D57" s="81"/>
      <c r="E57" s="57">
        <v>0</v>
      </c>
      <c r="G57" s="103"/>
    </row>
    <row r="58" spans="2:7" x14ac:dyDescent="0.2">
      <c r="B58" s="19" t="s">
        <v>60</v>
      </c>
      <c r="C58" s="91"/>
      <c r="D58" s="81"/>
      <c r="E58" s="57" t="e">
        <f>E55+E57+E56</f>
        <v>#REF!</v>
      </c>
    </row>
    <row r="59" spans="2:7" ht="13.5" thickBot="1" x14ac:dyDescent="0.25">
      <c r="B59" s="19" t="s">
        <v>61</v>
      </c>
      <c r="C59" s="91"/>
      <c r="D59" s="81"/>
      <c r="E59" s="84" t="e">
        <f>E58</f>
        <v>#REF!</v>
      </c>
    </row>
    <row r="60" spans="2:7" ht="13.5" thickTop="1" x14ac:dyDescent="0.2">
      <c r="B60" s="95"/>
      <c r="C60" s="91"/>
      <c r="D60" s="81"/>
      <c r="E60" s="56"/>
    </row>
    <row r="61" spans="2:7" x14ac:dyDescent="0.2">
      <c r="B61" s="19" t="s">
        <v>62</v>
      </c>
      <c r="C61" s="91"/>
      <c r="D61" s="78"/>
      <c r="E61" s="49"/>
    </row>
    <row r="62" spans="2:7" x14ac:dyDescent="0.2">
      <c r="B62" s="53" t="s">
        <v>217</v>
      </c>
      <c r="C62" s="85"/>
      <c r="D62" s="78"/>
      <c r="E62" s="86"/>
      <c r="F62" s="87"/>
    </row>
    <row r="63" spans="2:7" x14ac:dyDescent="0.2">
      <c r="B63" s="49" t="s">
        <v>97</v>
      </c>
      <c r="C63" s="77"/>
      <c r="D63" s="78"/>
      <c r="E63" s="86"/>
    </row>
    <row r="64" spans="2:7" x14ac:dyDescent="0.2">
      <c r="B64" s="49"/>
      <c r="C64" s="77"/>
      <c r="D64" s="78"/>
      <c r="E64" s="86"/>
    </row>
    <row r="65" spans="2:9" x14ac:dyDescent="0.2">
      <c r="B65" s="35"/>
      <c r="C65" s="61">
        <f>SUM(C62:C64)</f>
        <v>0</v>
      </c>
      <c r="D65" s="89"/>
      <c r="E65" s="90"/>
      <c r="I65" s="59"/>
    </row>
    <row r="67" spans="2:9" x14ac:dyDescent="0.2">
      <c r="B67" s="24" t="s">
        <v>84</v>
      </c>
    </row>
    <row r="68" spans="2:9" x14ac:dyDescent="0.2">
      <c r="E68" s="48"/>
    </row>
    <row r="69" spans="2:9" x14ac:dyDescent="0.2">
      <c r="B69" s="20" t="s">
        <v>85</v>
      </c>
      <c r="E69" s="48">
        <f>'P &amp; L'!E34</f>
        <v>-1823060.83</v>
      </c>
    </row>
    <row r="70" spans="2:9" x14ac:dyDescent="0.2">
      <c r="B70" s="20" t="s">
        <v>94</v>
      </c>
      <c r="E70" s="48">
        <f>D20</f>
        <v>2409041</v>
      </c>
    </row>
    <row r="71" spans="2:9" x14ac:dyDescent="0.2">
      <c r="B71" s="20" t="s">
        <v>239</v>
      </c>
      <c r="E71" s="48" t="e">
        <f>D21</f>
        <v>#REF!</v>
      </c>
    </row>
    <row r="72" spans="2:9" x14ac:dyDescent="0.2">
      <c r="B72" s="20" t="s">
        <v>86</v>
      </c>
      <c r="E72" s="47">
        <f>'P &amp; L'!E31</f>
        <v>0</v>
      </c>
    </row>
    <row r="73" spans="2:9" x14ac:dyDescent="0.2">
      <c r="E73" s="99" t="e">
        <f>E69+E72+E70+E71</f>
        <v>#REF!</v>
      </c>
    </row>
    <row r="74" spans="2:9" x14ac:dyDescent="0.2">
      <c r="B74" s="20" t="s">
        <v>213</v>
      </c>
      <c r="E74" s="201">
        <f>+'P &amp; L'!E32</f>
        <v>0</v>
      </c>
    </row>
    <row r="75" spans="2:9" x14ac:dyDescent="0.2">
      <c r="B75" s="20" t="s">
        <v>87</v>
      </c>
      <c r="E75" s="99" t="e">
        <f>+E73+E74</f>
        <v>#REF!</v>
      </c>
    </row>
    <row r="77" spans="2:9" x14ac:dyDescent="0.2">
      <c r="B77" s="20" t="s">
        <v>88</v>
      </c>
      <c r="E77" s="59" t="e">
        <f>E75*0.15</f>
        <v>#REF!</v>
      </c>
    </row>
    <row r="78" spans="2:9" x14ac:dyDescent="0.2">
      <c r="B78" s="20" t="s">
        <v>89</v>
      </c>
      <c r="E78" s="100" t="e">
        <f>E77*0.04</f>
        <v>#REF!</v>
      </c>
    </row>
    <row r="80" spans="2:9" x14ac:dyDescent="0.2">
      <c r="B80" s="24" t="s">
        <v>90</v>
      </c>
      <c r="E80" s="99" t="e">
        <f>E77+E78</f>
        <v>#REF!</v>
      </c>
    </row>
  </sheetData>
  <mergeCells count="3">
    <mergeCell ref="B16:E16"/>
    <mergeCell ref="C2:E2"/>
    <mergeCell ref="C4:E4"/>
  </mergeCells>
  <pageMargins left="0.70866141732283472" right="0.70866141732283472" top="0.74803149606299213" bottom="0.7480314960629921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E6843-55A6-4B83-8D8B-AFAE0CA063F9}">
  <dimension ref="A1:H147"/>
  <sheetViews>
    <sheetView topLeftCell="A120" workbookViewId="0">
      <selection activeCell="F136" sqref="F136"/>
    </sheetView>
  </sheetViews>
  <sheetFormatPr defaultColWidth="9.140625" defaultRowHeight="15" x14ac:dyDescent="0.25"/>
  <cols>
    <col min="1" max="1" width="50.85546875" style="539" bestFit="1" customWidth="1"/>
    <col min="2" max="2" width="14.85546875" style="539" bestFit="1" customWidth="1"/>
    <col min="3" max="4" width="14.140625" style="539" bestFit="1" customWidth="1"/>
    <col min="5" max="5" width="15.42578125" style="539" bestFit="1" customWidth="1"/>
    <col min="6" max="7" width="9.140625" style="539"/>
    <col min="8" max="8" width="14.85546875" style="539" bestFit="1" customWidth="1"/>
    <col min="9" max="16384" width="9.140625" style="539"/>
  </cols>
  <sheetData>
    <row r="1" spans="1:5" ht="15.75" x14ac:dyDescent="0.25">
      <c r="A1" s="751" t="s">
        <v>242</v>
      </c>
      <c r="B1" s="751"/>
      <c r="C1" s="751"/>
      <c r="D1" s="594"/>
      <c r="E1" s="594"/>
    </row>
    <row r="2" spans="1:5" x14ac:dyDescent="0.25">
      <c r="A2" s="752" t="s">
        <v>397</v>
      </c>
      <c r="B2" s="752"/>
      <c r="C2" s="752"/>
      <c r="D2" s="594"/>
      <c r="E2" s="594"/>
    </row>
    <row r="3" spans="1:5" ht="15.75" x14ac:dyDescent="0.25">
      <c r="A3" s="753" t="s">
        <v>398</v>
      </c>
      <c r="B3" s="753"/>
      <c r="C3" s="753"/>
      <c r="D3" s="594"/>
      <c r="E3" s="594"/>
    </row>
    <row r="4" spans="1:5" x14ac:dyDescent="0.25">
      <c r="A4" s="754" t="s">
        <v>691</v>
      </c>
      <c r="B4" s="754"/>
      <c r="C4" s="754"/>
      <c r="D4" s="594"/>
      <c r="E4" s="594"/>
    </row>
    <row r="5" spans="1:5" x14ac:dyDescent="0.25">
      <c r="A5" s="593" t="s">
        <v>517</v>
      </c>
      <c r="B5" s="755" t="s">
        <v>242</v>
      </c>
      <c r="C5" s="756"/>
      <c r="D5" s="756"/>
      <c r="E5" s="756"/>
    </row>
    <row r="6" spans="1:5" x14ac:dyDescent="0.25">
      <c r="A6" s="592" t="s">
        <v>0</v>
      </c>
      <c r="B6" s="757" t="s">
        <v>691</v>
      </c>
      <c r="C6" s="758"/>
      <c r="D6" s="758"/>
      <c r="E6" s="758"/>
    </row>
    <row r="7" spans="1:5" x14ac:dyDescent="0.25">
      <c r="A7" s="592" t="s">
        <v>517</v>
      </c>
      <c r="B7" s="591" t="s">
        <v>400</v>
      </c>
      <c r="C7" s="749" t="s">
        <v>401</v>
      </c>
      <c r="D7" s="750"/>
      <c r="E7" s="591" t="s">
        <v>402</v>
      </c>
    </row>
    <row r="8" spans="1:5" x14ac:dyDescent="0.25">
      <c r="A8" s="590" t="s">
        <v>517</v>
      </c>
      <c r="B8" s="588" t="s">
        <v>403</v>
      </c>
      <c r="C8" s="589" t="s">
        <v>404</v>
      </c>
      <c r="D8" s="589" t="s">
        <v>405</v>
      </c>
      <c r="E8" s="588" t="s">
        <v>403</v>
      </c>
    </row>
    <row r="9" spans="1:5" x14ac:dyDescent="0.25">
      <c r="A9" s="567" t="s">
        <v>406</v>
      </c>
      <c r="B9" s="586">
        <v>78176939.170000002</v>
      </c>
      <c r="C9" s="587"/>
      <c r="D9" s="587"/>
      <c r="E9" s="586">
        <v>78176939.170000002</v>
      </c>
    </row>
    <row r="10" spans="1:5" x14ac:dyDescent="0.25">
      <c r="A10" s="547" t="s">
        <v>407</v>
      </c>
      <c r="B10" s="552">
        <v>40000000</v>
      </c>
      <c r="C10" s="544"/>
      <c r="D10" s="544"/>
      <c r="E10" s="552">
        <v>40000000</v>
      </c>
    </row>
    <row r="11" spans="1:5" x14ac:dyDescent="0.25">
      <c r="A11" s="547" t="s">
        <v>408</v>
      </c>
      <c r="B11" s="543">
        <v>911530.41</v>
      </c>
      <c r="C11" s="544"/>
      <c r="D11" s="544"/>
      <c r="E11" s="543">
        <v>911530.41</v>
      </c>
    </row>
    <row r="12" spans="1:5" x14ac:dyDescent="0.25">
      <c r="A12" s="547" t="s">
        <v>409</v>
      </c>
      <c r="B12" s="552">
        <v>40000000</v>
      </c>
      <c r="C12" s="544"/>
      <c r="D12" s="544"/>
      <c r="E12" s="552">
        <v>40000000</v>
      </c>
    </row>
    <row r="13" spans="1:5" x14ac:dyDescent="0.25">
      <c r="A13" s="547" t="s">
        <v>410</v>
      </c>
      <c r="B13" s="543">
        <v>911530.42</v>
      </c>
      <c r="C13" s="544"/>
      <c r="D13" s="544"/>
      <c r="E13" s="543">
        <v>911530.42</v>
      </c>
    </row>
    <row r="14" spans="1:5" x14ac:dyDescent="0.25">
      <c r="A14" s="567" t="s">
        <v>411</v>
      </c>
      <c r="B14" s="568">
        <v>250052481</v>
      </c>
      <c r="C14" s="565">
        <v>180797236</v>
      </c>
      <c r="D14" s="565">
        <v>320728319</v>
      </c>
      <c r="E14" s="568">
        <v>389983564</v>
      </c>
    </row>
    <row r="15" spans="1:5" x14ac:dyDescent="0.25">
      <c r="A15" s="563" t="s">
        <v>412</v>
      </c>
      <c r="B15" s="585">
        <v>170052481</v>
      </c>
      <c r="C15" s="562">
        <v>180797236</v>
      </c>
      <c r="D15" s="562">
        <v>130728319</v>
      </c>
      <c r="E15" s="585">
        <v>119983564</v>
      </c>
    </row>
    <row r="16" spans="1:5" x14ac:dyDescent="0.25">
      <c r="A16" s="559" t="s">
        <v>413</v>
      </c>
      <c r="B16" s="544"/>
      <c r="C16" s="546"/>
      <c r="D16" s="558">
        <v>10000000</v>
      </c>
      <c r="E16" s="612">
        <v>10000000</v>
      </c>
    </row>
    <row r="17" spans="1:5" x14ac:dyDescent="0.25">
      <c r="A17" s="559" t="s">
        <v>414</v>
      </c>
      <c r="B17" s="544"/>
      <c r="C17" s="546"/>
      <c r="D17" s="558">
        <v>10000000</v>
      </c>
      <c r="E17" s="612">
        <v>10000000</v>
      </c>
    </row>
    <row r="18" spans="1:5" x14ac:dyDescent="0.25">
      <c r="A18" s="570" t="s">
        <v>415</v>
      </c>
      <c r="B18" s="583">
        <v>32700000</v>
      </c>
      <c r="C18" s="558">
        <v>34700000</v>
      </c>
      <c r="D18" s="558">
        <v>4000000</v>
      </c>
      <c r="E18" s="612">
        <v>2000000</v>
      </c>
    </row>
    <row r="19" spans="1:5" x14ac:dyDescent="0.25">
      <c r="A19" s="559" t="s">
        <v>416</v>
      </c>
      <c r="B19" s="583">
        <v>9675000</v>
      </c>
      <c r="C19" s="546"/>
      <c r="D19" s="558">
        <v>5000000</v>
      </c>
      <c r="E19" s="612">
        <v>14675000</v>
      </c>
    </row>
    <row r="20" spans="1:5" x14ac:dyDescent="0.25">
      <c r="A20" s="582" t="s">
        <v>417</v>
      </c>
      <c r="B20" s="548"/>
      <c r="C20" s="550"/>
      <c r="D20" s="580">
        <v>4000000</v>
      </c>
      <c r="E20" s="612">
        <v>4000000</v>
      </c>
    </row>
    <row r="21" spans="1:5" x14ac:dyDescent="0.25">
      <c r="A21" s="570" t="s">
        <v>418</v>
      </c>
      <c r="B21" s="544"/>
      <c r="C21" s="546"/>
      <c r="D21" s="558">
        <v>3000000</v>
      </c>
      <c r="E21" s="612">
        <v>3000000</v>
      </c>
    </row>
    <row r="22" spans="1:5" x14ac:dyDescent="0.25">
      <c r="A22" s="559" t="s">
        <v>245</v>
      </c>
      <c r="B22" s="583">
        <v>75509344</v>
      </c>
      <c r="C22" s="558">
        <v>91550000</v>
      </c>
      <c r="D22" s="558">
        <v>92349220</v>
      </c>
      <c r="E22" s="612">
        <v>76308564</v>
      </c>
    </row>
    <row r="23" spans="1:5" x14ac:dyDescent="0.25">
      <c r="A23" s="570" t="s">
        <v>419</v>
      </c>
      <c r="B23" s="583">
        <v>52168137</v>
      </c>
      <c r="C23" s="558">
        <v>54547236</v>
      </c>
      <c r="D23" s="558">
        <v>2379099</v>
      </c>
      <c r="E23" s="613"/>
    </row>
    <row r="24" spans="1:5" x14ac:dyDescent="0.25">
      <c r="A24" s="563" t="s">
        <v>420</v>
      </c>
      <c r="B24" s="584">
        <v>80000000</v>
      </c>
      <c r="C24" s="572"/>
      <c r="D24" s="573">
        <v>190000000</v>
      </c>
      <c r="E24" s="614">
        <v>270000000</v>
      </c>
    </row>
    <row r="25" spans="1:5" x14ac:dyDescent="0.25">
      <c r="A25" s="570" t="s">
        <v>421</v>
      </c>
      <c r="B25" s="583">
        <v>80000000</v>
      </c>
      <c r="C25" s="546"/>
      <c r="D25" s="558">
        <v>190000000</v>
      </c>
      <c r="E25" s="583">
        <v>270000000</v>
      </c>
    </row>
    <row r="26" spans="1:5" x14ac:dyDescent="0.25">
      <c r="A26" s="567" t="s">
        <v>135</v>
      </c>
      <c r="B26" s="568">
        <v>30299904</v>
      </c>
      <c r="C26" s="565">
        <v>57546020.009999998</v>
      </c>
      <c r="D26" s="565">
        <v>463414516.89999998</v>
      </c>
      <c r="E26" s="568">
        <v>436168400.88999999</v>
      </c>
    </row>
    <row r="27" spans="1:5" x14ac:dyDescent="0.25">
      <c r="A27" s="563" t="s">
        <v>422</v>
      </c>
      <c r="B27" s="585">
        <v>245904</v>
      </c>
      <c r="C27" s="562">
        <v>5462981.9100000001</v>
      </c>
      <c r="D27" s="562">
        <v>1822282</v>
      </c>
      <c r="E27" s="560">
        <v>3394795.91</v>
      </c>
    </row>
    <row r="28" spans="1:5" x14ac:dyDescent="0.25">
      <c r="A28" s="559" t="s">
        <v>423</v>
      </c>
      <c r="B28" s="544"/>
      <c r="C28" s="558">
        <v>1646627.89</v>
      </c>
      <c r="D28" s="546"/>
      <c r="E28" s="606">
        <v>1646627.89</v>
      </c>
    </row>
    <row r="29" spans="1:5" x14ac:dyDescent="0.25">
      <c r="A29" s="559" t="s">
        <v>424</v>
      </c>
      <c r="B29" s="544"/>
      <c r="C29" s="558">
        <v>687026.13</v>
      </c>
      <c r="D29" s="546"/>
      <c r="E29" s="606">
        <v>687026.13</v>
      </c>
    </row>
    <row r="30" spans="1:5" x14ac:dyDescent="0.25">
      <c r="A30" s="559" t="s">
        <v>425</v>
      </c>
      <c r="B30" s="544"/>
      <c r="C30" s="558">
        <v>1646627.89</v>
      </c>
      <c r="D30" s="546"/>
      <c r="E30" s="606">
        <v>1646627.89</v>
      </c>
    </row>
    <row r="31" spans="1:5" x14ac:dyDescent="0.25">
      <c r="A31" s="582" t="s">
        <v>426</v>
      </c>
      <c r="B31" s="548"/>
      <c r="C31" s="580">
        <v>7000</v>
      </c>
      <c r="D31" s="580">
        <v>309002</v>
      </c>
      <c r="E31" s="612">
        <v>302002</v>
      </c>
    </row>
    <row r="32" spans="1:5" x14ac:dyDescent="0.25">
      <c r="A32" s="559" t="s">
        <v>427</v>
      </c>
      <c r="B32" s="583">
        <v>240904</v>
      </c>
      <c r="C32" s="558">
        <v>505248</v>
      </c>
      <c r="D32" s="558">
        <v>264344</v>
      </c>
      <c r="E32" s="613"/>
    </row>
    <row r="33" spans="1:5" x14ac:dyDescent="0.25">
      <c r="A33" s="570" t="s">
        <v>428</v>
      </c>
      <c r="B33" s="583">
        <v>5000</v>
      </c>
      <c r="C33" s="558">
        <v>147500</v>
      </c>
      <c r="D33" s="558">
        <v>160000</v>
      </c>
      <c r="E33" s="612">
        <v>17500</v>
      </c>
    </row>
    <row r="34" spans="1:5" x14ac:dyDescent="0.25">
      <c r="A34" s="582" t="s">
        <v>429</v>
      </c>
      <c r="B34" s="548"/>
      <c r="C34" s="580">
        <v>175000</v>
      </c>
      <c r="D34" s="580">
        <v>225000</v>
      </c>
      <c r="E34" s="612">
        <v>50000</v>
      </c>
    </row>
    <row r="35" spans="1:5" x14ac:dyDescent="0.25">
      <c r="A35" s="582" t="s">
        <v>430</v>
      </c>
      <c r="B35" s="548"/>
      <c r="C35" s="580">
        <v>647952</v>
      </c>
      <c r="D35" s="580">
        <v>863936</v>
      </c>
      <c r="E35" s="612">
        <v>215984</v>
      </c>
    </row>
    <row r="36" spans="1:5" x14ac:dyDescent="0.25">
      <c r="A36" s="563" t="s">
        <v>431</v>
      </c>
      <c r="B36" s="584">
        <v>54000</v>
      </c>
      <c r="C36" s="573">
        <v>59000</v>
      </c>
      <c r="D36" s="573">
        <v>5000</v>
      </c>
      <c r="E36" s="572"/>
    </row>
    <row r="37" spans="1:5" x14ac:dyDescent="0.25">
      <c r="A37" s="559" t="s">
        <v>432</v>
      </c>
      <c r="B37" s="583">
        <v>54000</v>
      </c>
      <c r="C37" s="558">
        <v>59000</v>
      </c>
      <c r="D37" s="558">
        <v>5000</v>
      </c>
      <c r="E37" s="544"/>
    </row>
    <row r="38" spans="1:5" x14ac:dyDescent="0.25">
      <c r="A38" s="563" t="s">
        <v>433</v>
      </c>
      <c r="B38" s="544"/>
      <c r="C38" s="545">
        <v>46096652.100000001</v>
      </c>
      <c r="D38" s="545">
        <v>27380075.100000001</v>
      </c>
      <c r="E38" s="606">
        <v>18716577</v>
      </c>
    </row>
    <row r="39" spans="1:5" x14ac:dyDescent="0.25">
      <c r="A39" s="563" t="s">
        <v>434</v>
      </c>
      <c r="B39" s="572"/>
      <c r="C39" s="573">
        <v>5927386</v>
      </c>
      <c r="D39" s="573">
        <v>5927386</v>
      </c>
      <c r="E39" s="572"/>
    </row>
    <row r="40" spans="1:5" x14ac:dyDescent="0.25">
      <c r="A40" s="581" t="s">
        <v>435</v>
      </c>
      <c r="B40" s="548"/>
      <c r="C40" s="580">
        <v>591613</v>
      </c>
      <c r="D40" s="580">
        <v>591613</v>
      </c>
      <c r="E40" s="548"/>
    </row>
    <row r="41" spans="1:5" x14ac:dyDescent="0.25">
      <c r="A41" s="582" t="s">
        <v>436</v>
      </c>
      <c r="B41" s="548"/>
      <c r="C41" s="580">
        <v>2831840</v>
      </c>
      <c r="D41" s="580">
        <v>2831840</v>
      </c>
      <c r="E41" s="548"/>
    </row>
    <row r="42" spans="1:5" x14ac:dyDescent="0.25">
      <c r="A42" s="581" t="s">
        <v>437</v>
      </c>
      <c r="B42" s="548"/>
      <c r="C42" s="580">
        <v>170162</v>
      </c>
      <c r="D42" s="580">
        <v>170162</v>
      </c>
      <c r="E42" s="548"/>
    </row>
    <row r="43" spans="1:5" x14ac:dyDescent="0.25">
      <c r="A43" s="582" t="s">
        <v>438</v>
      </c>
      <c r="B43" s="548"/>
      <c r="C43" s="580">
        <v>1222482</v>
      </c>
      <c r="D43" s="580">
        <v>1222482</v>
      </c>
      <c r="E43" s="548"/>
    </row>
    <row r="44" spans="1:5" x14ac:dyDescent="0.25">
      <c r="A44" s="581" t="s">
        <v>690</v>
      </c>
      <c r="B44" s="548"/>
      <c r="C44" s="580">
        <v>191128</v>
      </c>
      <c r="D44" s="580">
        <v>191128</v>
      </c>
      <c r="E44" s="548"/>
    </row>
    <row r="45" spans="1:5" x14ac:dyDescent="0.25">
      <c r="A45" s="581" t="s">
        <v>439</v>
      </c>
      <c r="B45" s="548"/>
      <c r="C45" s="580">
        <v>516668</v>
      </c>
      <c r="D45" s="580">
        <v>516668</v>
      </c>
      <c r="E45" s="548"/>
    </row>
    <row r="46" spans="1:5" x14ac:dyDescent="0.25">
      <c r="A46" s="581" t="s">
        <v>689</v>
      </c>
      <c r="B46" s="548"/>
      <c r="C46" s="580">
        <v>403493</v>
      </c>
      <c r="D46" s="580">
        <v>403493</v>
      </c>
      <c r="E46" s="548"/>
    </row>
    <row r="47" spans="1:5" x14ac:dyDescent="0.25">
      <c r="A47" s="547" t="s">
        <v>688</v>
      </c>
      <c r="B47" s="546"/>
      <c r="C47" s="544"/>
      <c r="D47" s="545">
        <v>119078925</v>
      </c>
      <c r="E47" s="605">
        <v>119078925</v>
      </c>
    </row>
    <row r="48" spans="1:5" x14ac:dyDescent="0.25">
      <c r="A48" s="547" t="s">
        <v>687</v>
      </c>
      <c r="B48" s="546"/>
      <c r="C48" s="544"/>
      <c r="D48" s="545">
        <v>306681780</v>
      </c>
      <c r="E48" s="605">
        <v>306681780</v>
      </c>
    </row>
    <row r="49" spans="1:5" x14ac:dyDescent="0.25">
      <c r="A49" s="547" t="s">
        <v>686</v>
      </c>
      <c r="B49" s="546"/>
      <c r="C49" s="544"/>
      <c r="D49" s="545">
        <v>19068.8</v>
      </c>
      <c r="E49" s="605">
        <v>19068.8</v>
      </c>
    </row>
    <row r="50" spans="1:5" x14ac:dyDescent="0.25">
      <c r="A50" s="547" t="s">
        <v>440</v>
      </c>
      <c r="B50" s="552">
        <v>30000000</v>
      </c>
      <c r="C50" s="544"/>
      <c r="D50" s="544"/>
      <c r="E50" s="605">
        <v>30000000</v>
      </c>
    </row>
    <row r="51" spans="1:5" x14ac:dyDescent="0.25">
      <c r="A51" s="547" t="s">
        <v>441</v>
      </c>
      <c r="B51" s="546"/>
      <c r="C51" s="544"/>
      <c r="D51" s="545">
        <v>2500000</v>
      </c>
      <c r="E51" s="605">
        <v>2500000</v>
      </c>
    </row>
    <row r="52" spans="1:5" x14ac:dyDescent="0.25">
      <c r="A52" s="567" t="s">
        <v>139</v>
      </c>
      <c r="B52" s="564">
        <v>358529324.17000002</v>
      </c>
      <c r="C52" s="565">
        <v>818898551.16999996</v>
      </c>
      <c r="D52" s="565">
        <v>306661735.05000001</v>
      </c>
      <c r="E52" s="564">
        <v>870766140.28999996</v>
      </c>
    </row>
    <row r="53" spans="1:5" x14ac:dyDescent="0.25">
      <c r="A53" s="547" t="s">
        <v>444</v>
      </c>
      <c r="B53" s="543">
        <v>99079460</v>
      </c>
      <c r="C53" s="544"/>
      <c r="D53" s="544"/>
      <c r="E53" s="543">
        <v>99079460</v>
      </c>
    </row>
    <row r="54" spans="1:5" x14ac:dyDescent="0.25">
      <c r="A54" s="563" t="s">
        <v>445</v>
      </c>
      <c r="B54" s="571">
        <v>126059758</v>
      </c>
      <c r="C54" s="573">
        <v>16721709</v>
      </c>
      <c r="D54" s="572"/>
      <c r="E54" s="611">
        <v>142781467</v>
      </c>
    </row>
    <row r="55" spans="1:5" x14ac:dyDescent="0.25">
      <c r="A55" s="570" t="s">
        <v>446</v>
      </c>
      <c r="B55" s="544"/>
      <c r="C55" s="558">
        <v>221709</v>
      </c>
      <c r="D55" s="546"/>
      <c r="E55" s="606">
        <v>221709</v>
      </c>
    </row>
    <row r="56" spans="1:5" x14ac:dyDescent="0.25">
      <c r="A56" s="570" t="s">
        <v>518</v>
      </c>
      <c r="B56" s="544"/>
      <c r="C56" s="558">
        <v>16500000</v>
      </c>
      <c r="D56" s="546"/>
      <c r="E56" s="606">
        <v>16500000</v>
      </c>
    </row>
    <row r="57" spans="1:5" x14ac:dyDescent="0.25">
      <c r="A57" s="570" t="s">
        <v>447</v>
      </c>
      <c r="B57" s="557">
        <v>7049000</v>
      </c>
      <c r="C57" s="546"/>
      <c r="D57" s="546"/>
      <c r="E57" s="606">
        <v>7049000</v>
      </c>
    </row>
    <row r="58" spans="1:5" x14ac:dyDescent="0.25">
      <c r="A58" s="570" t="s">
        <v>448</v>
      </c>
      <c r="B58" s="557">
        <v>10000000</v>
      </c>
      <c r="C58" s="546"/>
      <c r="D58" s="546"/>
      <c r="E58" s="606">
        <v>10000000</v>
      </c>
    </row>
    <row r="59" spans="1:5" x14ac:dyDescent="0.25">
      <c r="A59" s="570" t="s">
        <v>449</v>
      </c>
      <c r="B59" s="557">
        <v>19770000</v>
      </c>
      <c r="C59" s="546"/>
      <c r="D59" s="546"/>
      <c r="E59" s="606">
        <v>19770000</v>
      </c>
    </row>
    <row r="60" spans="1:5" x14ac:dyDescent="0.25">
      <c r="A60" s="570" t="s">
        <v>450</v>
      </c>
      <c r="B60" s="557">
        <v>12570313</v>
      </c>
      <c r="C60" s="546"/>
      <c r="D60" s="546"/>
      <c r="E60" s="606">
        <v>12570313</v>
      </c>
    </row>
    <row r="61" spans="1:5" x14ac:dyDescent="0.25">
      <c r="A61" s="570" t="s">
        <v>451</v>
      </c>
      <c r="B61" s="557">
        <v>76670445</v>
      </c>
      <c r="C61" s="546"/>
      <c r="D61" s="546"/>
      <c r="E61" s="606">
        <v>76670445</v>
      </c>
    </row>
    <row r="62" spans="1:5" x14ac:dyDescent="0.25">
      <c r="A62" s="563" t="s">
        <v>452</v>
      </c>
      <c r="B62" s="572"/>
      <c r="C62" s="573">
        <v>5000000</v>
      </c>
      <c r="D62" s="572"/>
      <c r="E62" s="611">
        <v>5000000</v>
      </c>
    </row>
    <row r="63" spans="1:5" x14ac:dyDescent="0.25">
      <c r="A63" s="559" t="s">
        <v>453</v>
      </c>
      <c r="B63" s="544"/>
      <c r="C63" s="558">
        <v>5000000</v>
      </c>
      <c r="D63" s="546"/>
      <c r="E63" s="606">
        <v>5000000</v>
      </c>
    </row>
    <row r="64" spans="1:5" x14ac:dyDescent="0.25">
      <c r="A64" s="563" t="s">
        <v>454</v>
      </c>
      <c r="B64" s="571">
        <v>395227.17</v>
      </c>
      <c r="C64" s="573">
        <v>304849210</v>
      </c>
      <c r="D64" s="573">
        <v>304954763.05000001</v>
      </c>
      <c r="E64" s="611">
        <v>289674.12</v>
      </c>
    </row>
    <row r="65" spans="1:5" x14ac:dyDescent="0.25">
      <c r="A65" s="570" t="s">
        <v>455</v>
      </c>
      <c r="B65" s="557">
        <v>91245</v>
      </c>
      <c r="C65" s="558">
        <v>274285980</v>
      </c>
      <c r="D65" s="558">
        <v>274148762.74000001</v>
      </c>
      <c r="E65" s="606">
        <v>228462.26</v>
      </c>
    </row>
    <row r="66" spans="1:5" x14ac:dyDescent="0.25">
      <c r="A66" s="570" t="s">
        <v>456</v>
      </c>
      <c r="B66" s="557">
        <v>303982.17</v>
      </c>
      <c r="C66" s="558">
        <v>30563230</v>
      </c>
      <c r="D66" s="558">
        <v>30806000.309999999</v>
      </c>
      <c r="E66" s="606">
        <v>61211.86</v>
      </c>
    </row>
    <row r="67" spans="1:5" x14ac:dyDescent="0.25">
      <c r="A67" s="563" t="s">
        <v>457</v>
      </c>
      <c r="B67" s="571">
        <v>132168135</v>
      </c>
      <c r="C67" s="573">
        <v>486914950.17000002</v>
      </c>
      <c r="D67" s="573">
        <v>1061065</v>
      </c>
      <c r="E67" s="571">
        <v>618022020.16999996</v>
      </c>
    </row>
    <row r="68" spans="1:5" x14ac:dyDescent="0.25">
      <c r="A68" s="577" t="s">
        <v>519</v>
      </c>
      <c r="B68" s="578">
        <v>77047150</v>
      </c>
      <c r="C68" s="579">
        <v>153727950.16999999</v>
      </c>
      <c r="D68" s="579">
        <v>992202</v>
      </c>
      <c r="E68" s="578">
        <v>229782898.16999999</v>
      </c>
    </row>
    <row r="69" spans="1:5" x14ac:dyDescent="0.25">
      <c r="A69" s="574" t="s">
        <v>458</v>
      </c>
      <c r="B69" s="543">
        <v>24224000</v>
      </c>
      <c r="C69" s="544"/>
      <c r="D69" s="544"/>
      <c r="E69" s="543">
        <v>24224000</v>
      </c>
    </row>
    <row r="70" spans="1:5" x14ac:dyDescent="0.25">
      <c r="A70" s="575" t="s">
        <v>459</v>
      </c>
      <c r="B70" s="546"/>
      <c r="C70" s="545">
        <v>5645</v>
      </c>
      <c r="D70" s="544"/>
      <c r="E70" s="543">
        <v>5645</v>
      </c>
    </row>
    <row r="71" spans="1:5" x14ac:dyDescent="0.25">
      <c r="A71" s="575" t="s">
        <v>460</v>
      </c>
      <c r="B71" s="543">
        <v>2160684</v>
      </c>
      <c r="C71" s="544"/>
      <c r="D71" s="544"/>
      <c r="E71" s="543">
        <v>2160684</v>
      </c>
    </row>
    <row r="72" spans="1:5" x14ac:dyDescent="0.25">
      <c r="A72" s="575" t="s">
        <v>461</v>
      </c>
      <c r="B72" s="543">
        <v>511841</v>
      </c>
      <c r="C72" s="544"/>
      <c r="D72" s="544"/>
      <c r="E72" s="543">
        <v>511841</v>
      </c>
    </row>
    <row r="73" spans="1:5" x14ac:dyDescent="0.25">
      <c r="A73" s="575" t="s">
        <v>516</v>
      </c>
      <c r="B73" s="546"/>
      <c r="C73" s="545">
        <v>1013571.17</v>
      </c>
      <c r="D73" s="544"/>
      <c r="E73" s="543">
        <v>1013571.17</v>
      </c>
    </row>
    <row r="74" spans="1:5" x14ac:dyDescent="0.25">
      <c r="A74" s="574" t="s">
        <v>685</v>
      </c>
      <c r="B74" s="543">
        <v>39692975</v>
      </c>
      <c r="C74" s="545">
        <v>119078925</v>
      </c>
      <c r="D74" s="544"/>
      <c r="E74" s="543">
        <v>158771900</v>
      </c>
    </row>
    <row r="75" spans="1:5" x14ac:dyDescent="0.25">
      <c r="A75" s="574" t="s">
        <v>463</v>
      </c>
      <c r="B75" s="546"/>
      <c r="C75" s="545">
        <v>30596007</v>
      </c>
      <c r="D75" s="545">
        <v>992202</v>
      </c>
      <c r="E75" s="543">
        <v>29603805</v>
      </c>
    </row>
    <row r="76" spans="1:5" x14ac:dyDescent="0.25">
      <c r="A76" s="575" t="s">
        <v>684</v>
      </c>
      <c r="B76" s="546"/>
      <c r="C76" s="545">
        <v>992202</v>
      </c>
      <c r="D76" s="544"/>
      <c r="E76" s="543">
        <v>992202</v>
      </c>
    </row>
    <row r="77" spans="1:5" x14ac:dyDescent="0.25">
      <c r="A77" s="574" t="s">
        <v>464</v>
      </c>
      <c r="B77" s="543">
        <v>9824000</v>
      </c>
      <c r="C77" s="545">
        <v>29600</v>
      </c>
      <c r="D77" s="544"/>
      <c r="E77" s="543">
        <v>9853600</v>
      </c>
    </row>
    <row r="78" spans="1:5" x14ac:dyDescent="0.25">
      <c r="A78" s="575" t="s">
        <v>465</v>
      </c>
      <c r="B78" s="546"/>
      <c r="C78" s="545">
        <v>1012000</v>
      </c>
      <c r="D78" s="544"/>
      <c r="E78" s="543">
        <v>1012000</v>
      </c>
    </row>
    <row r="79" spans="1:5" x14ac:dyDescent="0.25">
      <c r="A79" s="574" t="s">
        <v>466</v>
      </c>
      <c r="B79" s="543">
        <v>633650</v>
      </c>
      <c r="C79" s="545">
        <v>1000000</v>
      </c>
      <c r="D79" s="544"/>
      <c r="E79" s="543">
        <v>1633650</v>
      </c>
    </row>
    <row r="80" spans="1:5" x14ac:dyDescent="0.25">
      <c r="A80" s="577" t="s">
        <v>520</v>
      </c>
      <c r="B80" s="576">
        <v>55120985</v>
      </c>
      <c r="C80" s="565">
        <v>333187000</v>
      </c>
      <c r="D80" s="565">
        <v>68863</v>
      </c>
      <c r="E80" s="576">
        <v>388239122</v>
      </c>
    </row>
    <row r="81" spans="1:6" x14ac:dyDescent="0.25">
      <c r="A81" s="574" t="s">
        <v>467</v>
      </c>
      <c r="B81" s="543">
        <v>30881300</v>
      </c>
      <c r="C81" s="544"/>
      <c r="D81" s="544"/>
      <c r="E81" s="543">
        <v>30881300</v>
      </c>
    </row>
    <row r="82" spans="1:6" x14ac:dyDescent="0.25">
      <c r="A82" s="575" t="s">
        <v>468</v>
      </c>
      <c r="B82" s="543">
        <v>912523</v>
      </c>
      <c r="C82" s="544"/>
      <c r="D82" s="544"/>
      <c r="E82" s="543">
        <v>912523</v>
      </c>
    </row>
    <row r="83" spans="1:6" x14ac:dyDescent="0.25">
      <c r="A83" s="575" t="s">
        <v>469</v>
      </c>
      <c r="B83" s="543">
        <v>5564269</v>
      </c>
      <c r="C83" s="544"/>
      <c r="D83" s="544"/>
      <c r="E83" s="543">
        <v>5564269</v>
      </c>
    </row>
    <row r="84" spans="1:6" x14ac:dyDescent="0.25">
      <c r="A84" s="574" t="s">
        <v>470</v>
      </c>
      <c r="B84" s="543">
        <v>6802400</v>
      </c>
      <c r="C84" s="544"/>
      <c r="D84" s="544"/>
      <c r="E84" s="543">
        <v>6802400</v>
      </c>
    </row>
    <row r="85" spans="1:6" x14ac:dyDescent="0.25">
      <c r="A85" s="574" t="s">
        <v>683</v>
      </c>
      <c r="B85" s="546"/>
      <c r="C85" s="545">
        <v>306681780</v>
      </c>
      <c r="D85" s="544"/>
      <c r="E85" s="543">
        <v>306681780</v>
      </c>
    </row>
    <row r="86" spans="1:6" x14ac:dyDescent="0.25">
      <c r="A86" s="574" t="s">
        <v>682</v>
      </c>
      <c r="B86" s="546"/>
      <c r="C86" s="545">
        <v>13863</v>
      </c>
      <c r="D86" s="544"/>
      <c r="E86" s="543">
        <v>13863</v>
      </c>
    </row>
    <row r="87" spans="1:6" x14ac:dyDescent="0.25">
      <c r="A87" s="574" t="s">
        <v>471</v>
      </c>
      <c r="B87" s="546"/>
      <c r="C87" s="545">
        <v>24720007</v>
      </c>
      <c r="D87" s="545">
        <v>68863</v>
      </c>
      <c r="E87" s="543">
        <v>24651144</v>
      </c>
      <c r="F87" s="543"/>
    </row>
    <row r="88" spans="1:6" x14ac:dyDescent="0.25">
      <c r="A88" s="575" t="s">
        <v>681</v>
      </c>
      <c r="B88" s="546"/>
      <c r="C88" s="545">
        <v>55000</v>
      </c>
      <c r="D88" s="544"/>
      <c r="E88" s="543">
        <v>55000</v>
      </c>
    </row>
    <row r="89" spans="1:6" x14ac:dyDescent="0.25">
      <c r="A89" s="574" t="s">
        <v>472</v>
      </c>
      <c r="B89" s="543">
        <v>10378125</v>
      </c>
      <c r="C89" s="545">
        <v>29600</v>
      </c>
      <c r="D89" s="544"/>
      <c r="E89" s="543">
        <v>10407725</v>
      </c>
    </row>
    <row r="90" spans="1:6" x14ac:dyDescent="0.25">
      <c r="A90" s="575" t="s">
        <v>473</v>
      </c>
      <c r="B90" s="546"/>
      <c r="C90" s="545">
        <v>1178000</v>
      </c>
      <c r="D90" s="544"/>
      <c r="E90" s="543">
        <v>1178000</v>
      </c>
    </row>
    <row r="91" spans="1:6" x14ac:dyDescent="0.25">
      <c r="A91" s="574" t="s">
        <v>474</v>
      </c>
      <c r="B91" s="543">
        <v>582368</v>
      </c>
      <c r="C91" s="545">
        <v>508750</v>
      </c>
      <c r="D91" s="544"/>
      <c r="E91" s="543">
        <v>1091118</v>
      </c>
    </row>
    <row r="92" spans="1:6" x14ac:dyDescent="0.25">
      <c r="A92" s="563" t="s">
        <v>475</v>
      </c>
      <c r="B92" s="572"/>
      <c r="C92" s="573">
        <v>4750000</v>
      </c>
      <c r="D92" s="572"/>
      <c r="E92" s="611">
        <v>4750000</v>
      </c>
    </row>
    <row r="93" spans="1:6" x14ac:dyDescent="0.25">
      <c r="A93" s="570" t="s">
        <v>476</v>
      </c>
      <c r="B93" s="544"/>
      <c r="C93" s="558">
        <v>4000000</v>
      </c>
      <c r="D93" s="546"/>
      <c r="E93" s="606">
        <v>4000000</v>
      </c>
    </row>
    <row r="94" spans="1:6" x14ac:dyDescent="0.25">
      <c r="A94" s="570" t="s">
        <v>477</v>
      </c>
      <c r="B94" s="544"/>
      <c r="C94" s="558">
        <v>750000</v>
      </c>
      <c r="D94" s="546"/>
      <c r="E94" s="606">
        <v>750000</v>
      </c>
    </row>
    <row r="95" spans="1:6" x14ac:dyDescent="0.25">
      <c r="A95" s="547" t="s">
        <v>478</v>
      </c>
      <c r="B95" s="543">
        <v>86088</v>
      </c>
      <c r="C95" s="544"/>
      <c r="D95" s="544"/>
      <c r="E95" s="604">
        <v>86088</v>
      </c>
    </row>
    <row r="96" spans="1:6" x14ac:dyDescent="0.25">
      <c r="A96" s="547" t="s">
        <v>479</v>
      </c>
      <c r="B96" s="543">
        <v>315577</v>
      </c>
      <c r="C96" s="544"/>
      <c r="D96" s="544"/>
      <c r="E96" s="604">
        <v>315577</v>
      </c>
    </row>
    <row r="97" spans="1:6" x14ac:dyDescent="0.25">
      <c r="A97" s="547" t="s">
        <v>480</v>
      </c>
      <c r="B97" s="543">
        <v>67361</v>
      </c>
      <c r="C97" s="544"/>
      <c r="D97" s="544"/>
      <c r="E97" s="604">
        <v>67361</v>
      </c>
    </row>
    <row r="98" spans="1:6" x14ac:dyDescent="0.25">
      <c r="A98" s="547" t="s">
        <v>481</v>
      </c>
      <c r="B98" s="543">
        <v>95562</v>
      </c>
      <c r="C98" s="544"/>
      <c r="D98" s="544"/>
      <c r="E98" s="604">
        <v>95562</v>
      </c>
    </row>
    <row r="99" spans="1:6" x14ac:dyDescent="0.25">
      <c r="A99" s="547" t="s">
        <v>482</v>
      </c>
      <c r="B99" s="543">
        <v>179479</v>
      </c>
      <c r="C99" s="544"/>
      <c r="D99" s="544"/>
      <c r="E99" s="604">
        <v>179479</v>
      </c>
    </row>
    <row r="100" spans="1:6" x14ac:dyDescent="0.25">
      <c r="A100" s="547" t="s">
        <v>483</v>
      </c>
      <c r="B100" s="546"/>
      <c r="C100" s="545">
        <v>99452</v>
      </c>
      <c r="D100" s="544"/>
      <c r="E100" s="604">
        <v>99452</v>
      </c>
    </row>
    <row r="101" spans="1:6" x14ac:dyDescent="0.25">
      <c r="A101" s="547" t="s">
        <v>484</v>
      </c>
      <c r="B101" s="546"/>
      <c r="C101" s="545">
        <v>563230</v>
      </c>
      <c r="D101" s="545">
        <v>563230</v>
      </c>
      <c r="E101" s="546"/>
    </row>
    <row r="102" spans="1:6" x14ac:dyDescent="0.25">
      <c r="A102" s="547" t="s">
        <v>485</v>
      </c>
      <c r="B102" s="543">
        <v>82677</v>
      </c>
      <c r="C102" s="544"/>
      <c r="D102" s="545">
        <v>82677</v>
      </c>
      <c r="E102" s="546"/>
    </row>
    <row r="103" spans="1:6" x14ac:dyDescent="0.25">
      <c r="A103" s="567" t="s">
        <v>486</v>
      </c>
      <c r="B103" s="566"/>
      <c r="C103" s="565">
        <v>959200</v>
      </c>
      <c r="D103" s="569"/>
      <c r="E103" s="609">
        <v>959200</v>
      </c>
    </row>
    <row r="104" spans="1:6" x14ac:dyDescent="0.25">
      <c r="A104" s="547" t="s">
        <v>487</v>
      </c>
      <c r="B104" s="546"/>
      <c r="C104" s="545">
        <v>959200</v>
      </c>
      <c r="D104" s="544"/>
      <c r="E104" s="604">
        <v>959200</v>
      </c>
      <c r="F104" s="369" t="s">
        <v>524</v>
      </c>
    </row>
    <row r="105" spans="1:6" x14ac:dyDescent="0.25">
      <c r="A105" s="567" t="s">
        <v>488</v>
      </c>
      <c r="B105" s="566"/>
      <c r="C105" s="565">
        <v>18787087.18</v>
      </c>
      <c r="D105" s="569"/>
      <c r="E105" s="609">
        <v>18787087.18</v>
      </c>
    </row>
    <row r="106" spans="1:6" x14ac:dyDescent="0.25">
      <c r="A106" s="563" t="s">
        <v>489</v>
      </c>
      <c r="B106" s="561"/>
      <c r="C106" s="562">
        <v>18787087.18</v>
      </c>
      <c r="D106" s="561"/>
      <c r="E106" s="610">
        <v>18787087.18</v>
      </c>
    </row>
    <row r="107" spans="1:6" x14ac:dyDescent="0.25">
      <c r="A107" s="559" t="s">
        <v>490</v>
      </c>
      <c r="B107" s="544"/>
      <c r="C107" s="558">
        <v>677965.5</v>
      </c>
      <c r="D107" s="546"/>
      <c r="E107" s="606">
        <v>677965.5</v>
      </c>
    </row>
    <row r="108" spans="1:6" x14ac:dyDescent="0.25">
      <c r="A108" s="547" t="s">
        <v>491</v>
      </c>
      <c r="B108" s="544"/>
      <c r="C108" s="558">
        <v>82000</v>
      </c>
      <c r="D108" s="546"/>
      <c r="E108" s="606">
        <v>82000</v>
      </c>
    </row>
    <row r="109" spans="1:6" x14ac:dyDescent="0.25">
      <c r="A109" s="559" t="s">
        <v>492</v>
      </c>
      <c r="B109" s="544"/>
      <c r="C109" s="558">
        <v>3405072</v>
      </c>
      <c r="D109" s="546"/>
      <c r="E109" s="606">
        <v>3405072</v>
      </c>
    </row>
    <row r="110" spans="1:6" x14ac:dyDescent="0.25">
      <c r="A110" s="559" t="s">
        <v>493</v>
      </c>
      <c r="B110" s="544"/>
      <c r="C110" s="558">
        <v>488699.68</v>
      </c>
      <c r="D110" s="546"/>
      <c r="E110" s="606">
        <v>488699.68</v>
      </c>
    </row>
    <row r="111" spans="1:6" x14ac:dyDescent="0.25">
      <c r="A111" s="559" t="s">
        <v>494</v>
      </c>
      <c r="B111" s="544"/>
      <c r="C111" s="558">
        <v>243600</v>
      </c>
      <c r="D111" s="546"/>
      <c r="E111" s="606">
        <v>243600</v>
      </c>
    </row>
    <row r="112" spans="1:6" x14ac:dyDescent="0.25">
      <c r="A112" s="547" t="s">
        <v>495</v>
      </c>
      <c r="B112" s="544"/>
      <c r="C112" s="558">
        <v>103500</v>
      </c>
      <c r="D112" s="546"/>
      <c r="E112" s="606">
        <v>103500</v>
      </c>
    </row>
    <row r="113" spans="1:8" x14ac:dyDescent="0.25">
      <c r="A113" s="559" t="s">
        <v>496</v>
      </c>
      <c r="B113" s="544"/>
      <c r="C113" s="558">
        <v>13786250</v>
      </c>
      <c r="D113" s="546"/>
      <c r="E113" s="606">
        <v>13786250</v>
      </c>
    </row>
    <row r="114" spans="1:8" s="599" customFormat="1" x14ac:dyDescent="0.25">
      <c r="A114" s="595" t="s">
        <v>497</v>
      </c>
      <c r="B114" s="596"/>
      <c r="C114" s="597"/>
      <c r="D114" s="598">
        <v>3304</v>
      </c>
      <c r="E114" s="608">
        <v>3304</v>
      </c>
    </row>
    <row r="115" spans="1:8" s="599" customFormat="1" x14ac:dyDescent="0.25">
      <c r="A115" s="600" t="s">
        <v>498</v>
      </c>
      <c r="B115" s="601"/>
      <c r="C115" s="602"/>
      <c r="D115" s="603">
        <v>3304</v>
      </c>
      <c r="E115" s="605">
        <v>3304</v>
      </c>
    </row>
    <row r="116" spans="1:8" x14ac:dyDescent="0.25">
      <c r="A116" s="567" t="s">
        <v>499</v>
      </c>
      <c r="B116" s="566"/>
      <c r="C116" s="565">
        <v>13982102.449999999</v>
      </c>
      <c r="D116" s="565">
        <v>162321.85999999999</v>
      </c>
      <c r="E116" s="564">
        <v>13819780.59</v>
      </c>
      <c r="H116" s="607">
        <f>+E116-E122-E123-E127-E136</f>
        <v>12029181.59</v>
      </c>
    </row>
    <row r="117" spans="1:8" x14ac:dyDescent="0.25">
      <c r="A117" s="563" t="s">
        <v>521</v>
      </c>
      <c r="B117" s="561"/>
      <c r="C117" s="562">
        <v>13755</v>
      </c>
      <c r="D117" s="561"/>
      <c r="E117" s="560">
        <v>13755</v>
      </c>
      <c r="H117" s="607">
        <f>+'Note 3-12'!C134+'Note 3-12'!C151</f>
        <v>13741120.1</v>
      </c>
    </row>
    <row r="118" spans="1:8" x14ac:dyDescent="0.25">
      <c r="A118" s="559" t="s">
        <v>502</v>
      </c>
      <c r="B118" s="544"/>
      <c r="C118" s="558">
        <v>3760</v>
      </c>
      <c r="D118" s="546"/>
      <c r="E118" s="606">
        <v>3760</v>
      </c>
      <c r="F118" s="539" t="s">
        <v>515</v>
      </c>
      <c r="H118" s="607">
        <f>+H117-H116</f>
        <v>1711938.5099999998</v>
      </c>
    </row>
    <row r="119" spans="1:8" x14ac:dyDescent="0.25">
      <c r="A119" s="559" t="s">
        <v>503</v>
      </c>
      <c r="B119" s="544"/>
      <c r="C119" s="558">
        <v>260</v>
      </c>
      <c r="D119" s="546"/>
      <c r="E119" s="606">
        <v>260</v>
      </c>
      <c r="F119" s="539" t="s">
        <v>515</v>
      </c>
    </row>
    <row r="120" spans="1:8" x14ac:dyDescent="0.25">
      <c r="A120" s="559" t="s">
        <v>504</v>
      </c>
      <c r="B120" s="544"/>
      <c r="C120" s="558">
        <v>9735</v>
      </c>
      <c r="D120" s="546"/>
      <c r="E120" s="606">
        <v>9735</v>
      </c>
      <c r="F120" s="539" t="s">
        <v>515</v>
      </c>
    </row>
    <row r="121" spans="1:8" x14ac:dyDescent="0.25">
      <c r="A121" s="547" t="s">
        <v>680</v>
      </c>
      <c r="B121" s="546"/>
      <c r="C121" s="545">
        <v>11585</v>
      </c>
      <c r="D121" s="544"/>
      <c r="E121" s="604">
        <v>11585</v>
      </c>
      <c r="F121" s="539" t="s">
        <v>515</v>
      </c>
    </row>
    <row r="122" spans="1:8" x14ac:dyDescent="0.25">
      <c r="A122" s="547" t="s">
        <v>500</v>
      </c>
      <c r="B122" s="546"/>
      <c r="C122" s="545">
        <v>179499</v>
      </c>
      <c r="D122" s="544"/>
      <c r="E122" s="604">
        <v>179499</v>
      </c>
      <c r="F122" s="369" t="s">
        <v>524</v>
      </c>
    </row>
    <row r="123" spans="1:8" x14ac:dyDescent="0.25">
      <c r="A123" s="547" t="s">
        <v>501</v>
      </c>
      <c r="B123" s="546"/>
      <c r="C123" s="545">
        <v>1000000</v>
      </c>
      <c r="D123" s="544"/>
      <c r="E123" s="604">
        <v>1000000</v>
      </c>
      <c r="F123" s="369" t="s">
        <v>524</v>
      </c>
    </row>
    <row r="124" spans="1:8" x14ac:dyDescent="0.25">
      <c r="A124" s="547" t="s">
        <v>12</v>
      </c>
      <c r="B124" s="546"/>
      <c r="C124" s="545">
        <v>50000</v>
      </c>
      <c r="D124" s="545">
        <v>59000</v>
      </c>
      <c r="E124" s="605">
        <v>9000</v>
      </c>
      <c r="F124" s="539" t="s">
        <v>515</v>
      </c>
    </row>
    <row r="125" spans="1:8" x14ac:dyDescent="0.25">
      <c r="A125" s="547" t="s">
        <v>21</v>
      </c>
      <c r="B125" s="546"/>
      <c r="C125" s="545">
        <v>21317.05</v>
      </c>
      <c r="D125" s="545">
        <v>3865.54</v>
      </c>
      <c r="E125" s="604">
        <v>17451.509999999998</v>
      </c>
      <c r="F125" s="539" t="s">
        <v>515</v>
      </c>
    </row>
    <row r="126" spans="1:8" x14ac:dyDescent="0.25">
      <c r="A126" s="547" t="s">
        <v>505</v>
      </c>
      <c r="B126" s="546"/>
      <c r="C126" s="545">
        <v>142906</v>
      </c>
      <c r="D126" s="544"/>
      <c r="E126" s="604">
        <v>142906</v>
      </c>
      <c r="F126" s="539" t="s">
        <v>515</v>
      </c>
    </row>
    <row r="127" spans="1:8" x14ac:dyDescent="0.25">
      <c r="A127" s="547" t="s">
        <v>506</v>
      </c>
      <c r="B127" s="546"/>
      <c r="C127" s="545">
        <v>11100</v>
      </c>
      <c r="D127" s="544"/>
      <c r="E127" s="604">
        <v>11100</v>
      </c>
      <c r="F127" s="369" t="s">
        <v>524</v>
      </c>
    </row>
    <row r="128" spans="1:8" x14ac:dyDescent="0.25">
      <c r="A128" s="547" t="s">
        <v>507</v>
      </c>
      <c r="B128" s="546"/>
      <c r="C128" s="545">
        <v>16064</v>
      </c>
      <c r="D128" s="544"/>
      <c r="E128" s="604">
        <v>16064</v>
      </c>
      <c r="F128" s="539" t="s">
        <v>515</v>
      </c>
    </row>
    <row r="129" spans="1:6" x14ac:dyDescent="0.25">
      <c r="A129" s="547" t="s">
        <v>244</v>
      </c>
      <c r="B129" s="546"/>
      <c r="C129" s="545">
        <v>2643443</v>
      </c>
      <c r="D129" s="544"/>
      <c r="E129" s="604">
        <v>2643443</v>
      </c>
      <c r="F129" s="539" t="s">
        <v>515</v>
      </c>
    </row>
    <row r="130" spans="1:6" x14ac:dyDescent="0.25">
      <c r="A130" s="547" t="s">
        <v>522</v>
      </c>
      <c r="B130" s="546"/>
      <c r="C130" s="545">
        <v>150000</v>
      </c>
      <c r="D130" s="545">
        <v>99452</v>
      </c>
      <c r="E130" s="604">
        <v>50548</v>
      </c>
      <c r="F130" s="539" t="s">
        <v>515</v>
      </c>
    </row>
    <row r="131" spans="1:6" x14ac:dyDescent="0.25">
      <c r="A131" s="547" t="s">
        <v>679</v>
      </c>
      <c r="B131" s="546"/>
      <c r="C131" s="545">
        <v>2598</v>
      </c>
      <c r="D131" s="544"/>
      <c r="E131" s="604">
        <v>2598</v>
      </c>
      <c r="F131" s="539" t="s">
        <v>515</v>
      </c>
    </row>
    <row r="132" spans="1:6" x14ac:dyDescent="0.25">
      <c r="A132" s="547" t="s">
        <v>508</v>
      </c>
      <c r="B132" s="546"/>
      <c r="C132" s="545">
        <v>450000</v>
      </c>
      <c r="D132" s="544"/>
      <c r="E132" s="604">
        <v>450000</v>
      </c>
      <c r="F132" s="539" t="s">
        <v>515</v>
      </c>
    </row>
    <row r="133" spans="1:6" x14ac:dyDescent="0.25">
      <c r="A133" s="547" t="s">
        <v>678</v>
      </c>
      <c r="B133" s="546"/>
      <c r="C133" s="545">
        <v>5931.36</v>
      </c>
      <c r="D133" s="544"/>
      <c r="E133" s="604">
        <v>5931.36</v>
      </c>
      <c r="F133" s="539" t="s">
        <v>515</v>
      </c>
    </row>
    <row r="134" spans="1:6" x14ac:dyDescent="0.25">
      <c r="A134" s="556" t="s">
        <v>677</v>
      </c>
      <c r="B134" s="555"/>
      <c r="C134" s="554">
        <v>13190</v>
      </c>
      <c r="D134" s="553"/>
      <c r="E134" s="604">
        <v>13190</v>
      </c>
      <c r="F134" s="539" t="s">
        <v>515</v>
      </c>
    </row>
    <row r="135" spans="1:6" x14ac:dyDescent="0.25">
      <c r="A135" s="556" t="s">
        <v>676</v>
      </c>
      <c r="B135" s="555"/>
      <c r="C135" s="554">
        <v>3260</v>
      </c>
      <c r="D135" s="553"/>
      <c r="E135" s="604">
        <v>3260</v>
      </c>
      <c r="F135" s="539" t="s">
        <v>515</v>
      </c>
    </row>
    <row r="136" spans="1:6" x14ac:dyDescent="0.25">
      <c r="A136" s="556" t="s">
        <v>509</v>
      </c>
      <c r="B136" s="555"/>
      <c r="C136" s="554">
        <v>600000</v>
      </c>
      <c r="D136" s="553"/>
      <c r="E136" s="604">
        <v>600000</v>
      </c>
      <c r="F136" s="539" t="s">
        <v>694</v>
      </c>
    </row>
    <row r="137" spans="1:6" x14ac:dyDescent="0.25">
      <c r="A137" s="547" t="s">
        <v>510</v>
      </c>
      <c r="B137" s="546"/>
      <c r="C137" s="545">
        <v>2250000</v>
      </c>
      <c r="D137" s="544"/>
      <c r="E137" s="604">
        <v>2250000</v>
      </c>
      <c r="F137" s="539" t="s">
        <v>515</v>
      </c>
    </row>
    <row r="138" spans="1:6" x14ac:dyDescent="0.25">
      <c r="A138" s="547" t="s">
        <v>511</v>
      </c>
      <c r="B138" s="546"/>
      <c r="C138" s="545">
        <v>16744.12</v>
      </c>
      <c r="D138" s="544"/>
      <c r="E138" s="604">
        <v>16744.12</v>
      </c>
      <c r="F138" s="539" t="s">
        <v>515</v>
      </c>
    </row>
    <row r="139" spans="1:6" x14ac:dyDescent="0.25">
      <c r="A139" s="547" t="s">
        <v>675</v>
      </c>
      <c r="B139" s="546"/>
      <c r="C139" s="545">
        <v>36315</v>
      </c>
      <c r="D139" s="544"/>
      <c r="E139" s="604">
        <v>36315</v>
      </c>
      <c r="F139" s="539" t="s">
        <v>515</v>
      </c>
    </row>
    <row r="140" spans="1:6" x14ac:dyDescent="0.25">
      <c r="A140" s="547" t="s">
        <v>512</v>
      </c>
      <c r="B140" s="546"/>
      <c r="C140" s="545">
        <v>3.8</v>
      </c>
      <c r="D140" s="545">
        <v>4.32</v>
      </c>
      <c r="E140" s="605">
        <v>0.52</v>
      </c>
      <c r="F140" s="539" t="s">
        <v>515</v>
      </c>
    </row>
    <row r="141" spans="1:6" x14ac:dyDescent="0.25">
      <c r="A141" s="551" t="s">
        <v>523</v>
      </c>
      <c r="B141" s="550"/>
      <c r="C141" s="549">
        <v>6359354</v>
      </c>
      <c r="D141" s="548"/>
      <c r="E141" s="604">
        <v>6359354</v>
      </c>
      <c r="F141" s="539" t="s">
        <v>515</v>
      </c>
    </row>
    <row r="142" spans="1:6" x14ac:dyDescent="0.25">
      <c r="A142" s="547" t="s">
        <v>513</v>
      </c>
      <c r="B142" s="546"/>
      <c r="C142" s="545">
        <v>5037.12</v>
      </c>
      <c r="D142" s="544"/>
      <c r="E142" s="604">
        <v>5037.12</v>
      </c>
      <c r="F142" s="539" t="s">
        <v>515</v>
      </c>
    </row>
    <row r="143" spans="1:6" x14ac:dyDescent="0.25">
      <c r="A143" s="542" t="s">
        <v>514</v>
      </c>
      <c r="B143" s="540"/>
      <c r="C143" s="541">
        <v>1090970196.8099999</v>
      </c>
      <c r="D143" s="541">
        <v>1090970196.8099999</v>
      </c>
      <c r="E143" s="540"/>
    </row>
    <row r="146" spans="1:3" x14ac:dyDescent="0.25">
      <c r="A146" s="465" t="s">
        <v>638</v>
      </c>
      <c r="B146" s="444">
        <f>+C136</f>
        <v>600000</v>
      </c>
      <c r="C146" s="444"/>
    </row>
    <row r="147" spans="1:3" x14ac:dyDescent="0.25">
      <c r="A147" s="466" t="s">
        <v>639</v>
      </c>
      <c r="B147" s="444"/>
      <c r="C147" s="444">
        <f>+B146</f>
        <v>600000</v>
      </c>
    </row>
  </sheetData>
  <mergeCells count="7">
    <mergeCell ref="C7:D7"/>
    <mergeCell ref="A1:C1"/>
    <mergeCell ref="A2:C2"/>
    <mergeCell ref="A3:C3"/>
    <mergeCell ref="A4:C4"/>
    <mergeCell ref="B5:E5"/>
    <mergeCell ref="B6:E6"/>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69"/>
  <sheetViews>
    <sheetView topLeftCell="A22" workbookViewId="0">
      <selection activeCell="F136" sqref="F136"/>
    </sheetView>
  </sheetViews>
  <sheetFormatPr defaultColWidth="8.85546875" defaultRowHeight="15" x14ac:dyDescent="0.25"/>
  <cols>
    <col min="1" max="1" width="51.7109375" style="369" bestFit="1" customWidth="1"/>
    <col min="2" max="3" width="14.85546875" style="369" bestFit="1" customWidth="1"/>
    <col min="4" max="4" width="13" style="369" bestFit="1" customWidth="1"/>
    <col min="5" max="5" width="14.85546875" style="369" bestFit="1" customWidth="1"/>
    <col min="6" max="6" width="8.85546875" style="369"/>
    <col min="7" max="7" width="12.7109375" style="369" bestFit="1" customWidth="1"/>
    <col min="8" max="16384" width="8.85546875" style="369"/>
  </cols>
  <sheetData>
    <row r="1" spans="1:5" ht="15.75" x14ac:dyDescent="0.25">
      <c r="A1" s="761" t="s">
        <v>242</v>
      </c>
      <c r="B1" s="761"/>
      <c r="C1" s="761"/>
      <c r="D1" s="368"/>
      <c r="E1" s="368"/>
    </row>
    <row r="2" spans="1:5" x14ac:dyDescent="0.25">
      <c r="A2" s="762" t="s">
        <v>397</v>
      </c>
      <c r="B2" s="762"/>
      <c r="C2" s="762"/>
      <c r="D2" s="368"/>
      <c r="E2" s="368"/>
    </row>
    <row r="3" spans="1:5" ht="15.75" x14ac:dyDescent="0.25">
      <c r="A3" s="763" t="s">
        <v>398</v>
      </c>
      <c r="B3" s="763"/>
      <c r="C3" s="763"/>
      <c r="D3" s="368"/>
      <c r="E3" s="368"/>
    </row>
    <row r="4" spans="1:5" x14ac:dyDescent="0.25">
      <c r="A4" s="764" t="s">
        <v>399</v>
      </c>
      <c r="B4" s="764"/>
      <c r="C4" s="764"/>
      <c r="D4" s="368"/>
      <c r="E4" s="368"/>
    </row>
    <row r="5" spans="1:5" x14ac:dyDescent="0.25">
      <c r="A5" s="370" t="s">
        <v>517</v>
      </c>
      <c r="B5" s="765" t="s">
        <v>242</v>
      </c>
      <c r="C5" s="766"/>
      <c r="D5" s="766"/>
      <c r="E5" s="766"/>
    </row>
    <row r="6" spans="1:5" x14ac:dyDescent="0.25">
      <c r="A6" s="371" t="s">
        <v>0</v>
      </c>
      <c r="B6" s="767" t="s">
        <v>399</v>
      </c>
      <c r="C6" s="768"/>
      <c r="D6" s="768"/>
      <c r="E6" s="768"/>
    </row>
    <row r="7" spans="1:5" x14ac:dyDescent="0.25">
      <c r="A7" s="371" t="s">
        <v>517</v>
      </c>
      <c r="B7" s="372" t="s">
        <v>400</v>
      </c>
      <c r="C7" s="759" t="s">
        <v>401</v>
      </c>
      <c r="D7" s="760"/>
      <c r="E7" s="372" t="s">
        <v>402</v>
      </c>
    </row>
    <row r="8" spans="1:5" x14ac:dyDescent="0.25">
      <c r="A8" s="373" t="s">
        <v>517</v>
      </c>
      <c r="B8" s="374" t="s">
        <v>403</v>
      </c>
      <c r="C8" s="375" t="s">
        <v>404</v>
      </c>
      <c r="D8" s="375" t="s">
        <v>405</v>
      </c>
      <c r="E8" s="374" t="s">
        <v>403</v>
      </c>
    </row>
    <row r="9" spans="1:5" x14ac:dyDescent="0.25">
      <c r="A9" s="376" t="s">
        <v>406</v>
      </c>
      <c r="B9" s="377">
        <v>78176939.170000002</v>
      </c>
      <c r="C9" s="378"/>
      <c r="D9" s="378"/>
      <c r="E9" s="377">
        <v>78176939.170000002</v>
      </c>
    </row>
    <row r="10" spans="1:5" x14ac:dyDescent="0.25">
      <c r="A10" s="379" t="s">
        <v>407</v>
      </c>
      <c r="B10" s="380">
        <v>40000000</v>
      </c>
      <c r="C10" s="381"/>
      <c r="D10" s="381"/>
      <c r="E10" s="380">
        <v>40000000</v>
      </c>
    </row>
    <row r="11" spans="1:5" x14ac:dyDescent="0.25">
      <c r="A11" s="379" t="s">
        <v>408</v>
      </c>
      <c r="B11" s="382">
        <v>911530.41</v>
      </c>
      <c r="C11" s="381"/>
      <c r="D11" s="381"/>
      <c r="E11" s="382">
        <v>911530.41</v>
      </c>
    </row>
    <row r="12" spans="1:5" x14ac:dyDescent="0.25">
      <c r="A12" s="379" t="s">
        <v>409</v>
      </c>
      <c r="B12" s="380">
        <v>40000000</v>
      </c>
      <c r="C12" s="381"/>
      <c r="D12" s="381"/>
      <c r="E12" s="380">
        <v>40000000</v>
      </c>
    </row>
    <row r="13" spans="1:5" x14ac:dyDescent="0.25">
      <c r="A13" s="379" t="s">
        <v>410</v>
      </c>
      <c r="B13" s="382">
        <v>911530.42</v>
      </c>
      <c r="C13" s="381"/>
      <c r="D13" s="381"/>
      <c r="E13" s="382">
        <v>911530.42</v>
      </c>
    </row>
    <row r="14" spans="1:5" x14ac:dyDescent="0.25">
      <c r="A14" s="376" t="s">
        <v>411</v>
      </c>
      <c r="B14" s="383">
        <v>250052481</v>
      </c>
      <c r="C14" s="384">
        <v>178418137</v>
      </c>
      <c r="D14" s="384">
        <v>281063861</v>
      </c>
      <c r="E14" s="383">
        <v>352698205</v>
      </c>
    </row>
    <row r="15" spans="1:5" x14ac:dyDescent="0.25">
      <c r="A15" s="385" t="s">
        <v>412</v>
      </c>
      <c r="B15" s="386">
        <v>170052481</v>
      </c>
      <c r="C15" s="387">
        <v>178418137</v>
      </c>
      <c r="D15" s="387">
        <v>91063861</v>
      </c>
      <c r="E15" s="438">
        <v>82698205</v>
      </c>
    </row>
    <row r="16" spans="1:5" x14ac:dyDescent="0.25">
      <c r="A16" s="388" t="s">
        <v>413</v>
      </c>
      <c r="B16" s="381"/>
      <c r="C16" s="389"/>
      <c r="D16" s="390">
        <v>10000000</v>
      </c>
      <c r="E16" s="436">
        <v>10000000</v>
      </c>
    </row>
    <row r="17" spans="1:5" x14ac:dyDescent="0.25">
      <c r="A17" s="392" t="s">
        <v>414</v>
      </c>
      <c r="B17" s="381"/>
      <c r="C17" s="389"/>
      <c r="D17" s="390">
        <v>10000000</v>
      </c>
      <c r="E17" s="436">
        <v>10000000</v>
      </c>
    </row>
    <row r="18" spans="1:5" x14ac:dyDescent="0.25">
      <c r="A18" s="388" t="s">
        <v>415</v>
      </c>
      <c r="B18" s="391">
        <v>32700000</v>
      </c>
      <c r="C18" s="390">
        <v>34700000</v>
      </c>
      <c r="D18" s="390">
        <v>3000000</v>
      </c>
      <c r="E18" s="436">
        <v>1000000</v>
      </c>
    </row>
    <row r="19" spans="1:5" x14ac:dyDescent="0.25">
      <c r="A19" s="388" t="s">
        <v>416</v>
      </c>
      <c r="B19" s="391">
        <v>9675000</v>
      </c>
      <c r="C19" s="389"/>
      <c r="D19" s="390">
        <v>5000000</v>
      </c>
      <c r="E19" s="436">
        <v>14675000</v>
      </c>
    </row>
    <row r="20" spans="1:5" x14ac:dyDescent="0.25">
      <c r="A20" s="388" t="s">
        <v>417</v>
      </c>
      <c r="B20" s="381"/>
      <c r="C20" s="389"/>
      <c r="D20" s="390">
        <v>3000000</v>
      </c>
      <c r="E20" s="436">
        <v>3000000</v>
      </c>
    </row>
    <row r="21" spans="1:5" x14ac:dyDescent="0.25">
      <c r="A21" s="388" t="s">
        <v>418</v>
      </c>
      <c r="B21" s="381"/>
      <c r="C21" s="389"/>
      <c r="D21" s="390">
        <v>3000000</v>
      </c>
      <c r="E21" s="436">
        <v>3000000</v>
      </c>
    </row>
    <row r="22" spans="1:5" x14ac:dyDescent="0.25">
      <c r="A22" s="392" t="s">
        <v>245</v>
      </c>
      <c r="B22" s="391">
        <v>75509344</v>
      </c>
      <c r="C22" s="390">
        <v>91550000</v>
      </c>
      <c r="D22" s="390">
        <v>54684762</v>
      </c>
      <c r="E22" s="436">
        <v>38644106</v>
      </c>
    </row>
    <row r="23" spans="1:5" x14ac:dyDescent="0.25">
      <c r="A23" s="388" t="s">
        <v>419</v>
      </c>
      <c r="B23" s="391">
        <v>52168137</v>
      </c>
      <c r="C23" s="390">
        <v>52168137</v>
      </c>
      <c r="D23" s="390">
        <v>2379099</v>
      </c>
      <c r="E23" s="436">
        <v>2379099</v>
      </c>
    </row>
    <row r="24" spans="1:5" x14ac:dyDescent="0.25">
      <c r="A24" s="385" t="s">
        <v>420</v>
      </c>
      <c r="B24" s="393">
        <v>80000000</v>
      </c>
      <c r="C24" s="394"/>
      <c r="D24" s="395">
        <v>190000000</v>
      </c>
      <c r="E24" s="437">
        <v>270000000</v>
      </c>
    </row>
    <row r="25" spans="1:5" x14ac:dyDescent="0.25">
      <c r="A25" s="388" t="s">
        <v>421</v>
      </c>
      <c r="B25" s="391">
        <v>80000000</v>
      </c>
      <c r="C25" s="389"/>
      <c r="D25" s="390">
        <v>190000000</v>
      </c>
      <c r="E25" s="436">
        <v>270000000</v>
      </c>
    </row>
    <row r="26" spans="1:5" x14ac:dyDescent="0.25">
      <c r="A26" s="376" t="s">
        <v>135</v>
      </c>
      <c r="B26" s="383">
        <v>30299904</v>
      </c>
      <c r="C26" s="384">
        <v>35971507.090000004</v>
      </c>
      <c r="D26" s="384">
        <v>32442450.100000001</v>
      </c>
      <c r="E26" s="383">
        <v>26770847.010000002</v>
      </c>
    </row>
    <row r="27" spans="1:5" x14ac:dyDescent="0.25">
      <c r="A27" s="385" t="s">
        <v>422</v>
      </c>
      <c r="B27" s="386">
        <v>245904</v>
      </c>
      <c r="C27" s="387">
        <v>4721248.09</v>
      </c>
      <c r="D27" s="387">
        <v>994812</v>
      </c>
      <c r="E27" s="396">
        <v>3480532.09</v>
      </c>
    </row>
    <row r="28" spans="1:5" x14ac:dyDescent="0.25">
      <c r="A28" s="392" t="s">
        <v>423</v>
      </c>
      <c r="B28" s="381"/>
      <c r="C28" s="390">
        <v>1624305.98</v>
      </c>
      <c r="D28" s="389"/>
      <c r="E28" s="397">
        <v>1624305.98</v>
      </c>
    </row>
    <row r="29" spans="1:5" x14ac:dyDescent="0.25">
      <c r="A29" s="392" t="s">
        <v>424</v>
      </c>
      <c r="B29" s="381"/>
      <c r="C29" s="390">
        <v>516404.13</v>
      </c>
      <c r="D29" s="389"/>
      <c r="E29" s="397">
        <v>516404.13</v>
      </c>
    </row>
    <row r="30" spans="1:5" x14ac:dyDescent="0.25">
      <c r="A30" s="392" t="s">
        <v>425</v>
      </c>
      <c r="B30" s="381"/>
      <c r="C30" s="390">
        <v>1624305.98</v>
      </c>
      <c r="D30" s="389"/>
      <c r="E30" s="397">
        <v>1624305.98</v>
      </c>
    </row>
    <row r="31" spans="1:5" x14ac:dyDescent="0.25">
      <c r="A31" s="388" t="s">
        <v>426</v>
      </c>
      <c r="B31" s="381"/>
      <c r="C31" s="390">
        <v>5000</v>
      </c>
      <c r="D31" s="390">
        <v>6000</v>
      </c>
      <c r="E31" s="436">
        <v>1000</v>
      </c>
    </row>
    <row r="32" spans="1:5" x14ac:dyDescent="0.25">
      <c r="A32" s="392" t="s">
        <v>427</v>
      </c>
      <c r="B32" s="391">
        <v>240904</v>
      </c>
      <c r="C32" s="390">
        <v>505248</v>
      </c>
      <c r="D32" s="390">
        <v>264344</v>
      </c>
      <c r="E32" s="440"/>
    </row>
    <row r="33" spans="1:7" x14ac:dyDescent="0.25">
      <c r="A33" s="388" t="s">
        <v>428</v>
      </c>
      <c r="B33" s="391">
        <v>5000</v>
      </c>
      <c r="C33" s="390">
        <v>105000</v>
      </c>
      <c r="D33" s="390">
        <v>142500</v>
      </c>
      <c r="E33" s="436">
        <v>42500</v>
      </c>
    </row>
    <row r="34" spans="1:7" x14ac:dyDescent="0.25">
      <c r="A34" s="392" t="s">
        <v>429</v>
      </c>
      <c r="B34" s="381"/>
      <c r="C34" s="390">
        <v>125000</v>
      </c>
      <c r="D34" s="390">
        <v>150000</v>
      </c>
      <c r="E34" s="436">
        <v>25000</v>
      </c>
    </row>
    <row r="35" spans="1:7" x14ac:dyDescent="0.25">
      <c r="A35" s="392" t="s">
        <v>430</v>
      </c>
      <c r="B35" s="381"/>
      <c r="C35" s="390">
        <v>215984</v>
      </c>
      <c r="D35" s="390">
        <v>431968</v>
      </c>
      <c r="E35" s="436">
        <v>215984</v>
      </c>
    </row>
    <row r="36" spans="1:7" x14ac:dyDescent="0.25">
      <c r="A36" s="398" t="s">
        <v>431</v>
      </c>
      <c r="B36" s="393">
        <v>54000</v>
      </c>
      <c r="C36" s="395">
        <v>54000</v>
      </c>
      <c r="D36" s="394"/>
      <c r="E36" s="394"/>
    </row>
    <row r="37" spans="1:7" x14ac:dyDescent="0.25">
      <c r="A37" s="388" t="s">
        <v>432</v>
      </c>
      <c r="B37" s="391">
        <v>54000</v>
      </c>
      <c r="C37" s="390">
        <v>54000</v>
      </c>
      <c r="D37" s="389"/>
      <c r="E37" s="381"/>
    </row>
    <row r="38" spans="1:7" x14ac:dyDescent="0.25">
      <c r="A38" s="385" t="s">
        <v>433</v>
      </c>
      <c r="B38" s="394"/>
      <c r="C38" s="395">
        <v>29393205</v>
      </c>
      <c r="D38" s="395">
        <v>25966401.100000001</v>
      </c>
      <c r="E38" s="433">
        <v>3426803.9</v>
      </c>
    </row>
    <row r="39" spans="1:7" x14ac:dyDescent="0.25">
      <c r="A39" s="405" t="s">
        <v>569</v>
      </c>
      <c r="B39" s="381"/>
      <c r="C39" s="399"/>
      <c r="D39" s="399">
        <v>5943.8</v>
      </c>
      <c r="E39" s="441">
        <v>5943.8</v>
      </c>
    </row>
    <row r="40" spans="1:7" x14ac:dyDescent="0.25">
      <c r="A40" s="405" t="s">
        <v>570</v>
      </c>
      <c r="B40" s="381"/>
      <c r="C40" s="399">
        <v>24497</v>
      </c>
      <c r="D40" s="399">
        <v>21432.3</v>
      </c>
      <c r="E40" s="442">
        <v>3064.7</v>
      </c>
      <c r="G40" s="441">
        <f>+E39+E42+E46+E48+E50+E55+E56</f>
        <v>4076260.8</v>
      </c>
    </row>
    <row r="41" spans="1:7" x14ac:dyDescent="0.25">
      <c r="A41" s="405" t="s">
        <v>571</v>
      </c>
      <c r="B41" s="381"/>
      <c r="C41" s="399">
        <v>1180000</v>
      </c>
      <c r="D41" s="399">
        <v>1180000</v>
      </c>
      <c r="E41" s="443"/>
      <c r="G41" s="442">
        <f>+E40+E45+E51</f>
        <v>7503064.7000000002</v>
      </c>
    </row>
    <row r="42" spans="1:7" x14ac:dyDescent="0.25">
      <c r="A42" s="405" t="s">
        <v>572</v>
      </c>
      <c r="B42" s="381"/>
      <c r="C42" s="399"/>
      <c r="D42" s="399">
        <v>3575326</v>
      </c>
      <c r="E42" s="441">
        <v>3575326</v>
      </c>
    </row>
    <row r="43" spans="1:7" x14ac:dyDescent="0.25">
      <c r="A43" s="405" t="s">
        <v>573</v>
      </c>
      <c r="B43" s="381"/>
      <c r="C43" s="399">
        <v>211809</v>
      </c>
      <c r="D43" s="399">
        <v>211809</v>
      </c>
      <c r="E43" s="443"/>
    </row>
    <row r="44" spans="1:7" x14ac:dyDescent="0.25">
      <c r="A44" s="405" t="s">
        <v>574</v>
      </c>
      <c r="B44" s="381"/>
      <c r="C44" s="399">
        <v>187016</v>
      </c>
      <c r="D44" s="399">
        <v>187016</v>
      </c>
      <c r="E44" s="443"/>
    </row>
    <row r="45" spans="1:7" x14ac:dyDescent="0.25">
      <c r="A45" s="405" t="s">
        <v>575</v>
      </c>
      <c r="B45" s="381"/>
      <c r="C45" s="399">
        <v>6500000</v>
      </c>
      <c r="D45" s="399"/>
      <c r="E45" s="442">
        <v>6500000</v>
      </c>
    </row>
    <row r="46" spans="1:7" x14ac:dyDescent="0.25">
      <c r="A46" s="405" t="s">
        <v>576</v>
      </c>
      <c r="B46" s="381"/>
      <c r="C46" s="399">
        <v>419608</v>
      </c>
      <c r="D46" s="399">
        <v>755554</v>
      </c>
      <c r="E46" s="441">
        <v>335946</v>
      </c>
    </row>
    <row r="47" spans="1:7" x14ac:dyDescent="0.25">
      <c r="A47" s="405" t="s">
        <v>577</v>
      </c>
      <c r="B47" s="381"/>
      <c r="C47" s="399">
        <v>2124000</v>
      </c>
      <c r="D47" s="399">
        <v>2124000</v>
      </c>
      <c r="E47" s="443"/>
    </row>
    <row r="48" spans="1:7" x14ac:dyDescent="0.25">
      <c r="A48" s="405" t="s">
        <v>578</v>
      </c>
      <c r="B48" s="381"/>
      <c r="C48" s="399"/>
      <c r="D48" s="399">
        <v>6126</v>
      </c>
      <c r="E48" s="441">
        <v>6126</v>
      </c>
    </row>
    <row r="49" spans="1:5" x14ac:dyDescent="0.25">
      <c r="A49" s="405" t="s">
        <v>579</v>
      </c>
      <c r="B49" s="381"/>
      <c r="C49" s="399">
        <v>501500</v>
      </c>
      <c r="D49" s="399">
        <v>501500</v>
      </c>
      <c r="E49" s="443"/>
    </row>
    <row r="50" spans="1:5" x14ac:dyDescent="0.25">
      <c r="A50" s="405" t="s">
        <v>580</v>
      </c>
      <c r="B50" s="381"/>
      <c r="C50" s="399"/>
      <c r="D50" s="399">
        <v>59000</v>
      </c>
      <c r="E50" s="441">
        <v>59000</v>
      </c>
    </row>
    <row r="51" spans="1:5" x14ac:dyDescent="0.25">
      <c r="A51" s="405" t="s">
        <v>581</v>
      </c>
      <c r="B51" s="381"/>
      <c r="C51" s="399">
        <v>1000000</v>
      </c>
      <c r="D51" s="399"/>
      <c r="E51" s="442">
        <v>1000000</v>
      </c>
    </row>
    <row r="52" spans="1:5" x14ac:dyDescent="0.25">
      <c r="A52" s="405" t="s">
        <v>582</v>
      </c>
      <c r="B52" s="381"/>
      <c r="C52" s="399">
        <v>800000</v>
      </c>
      <c r="D52" s="399">
        <v>800000</v>
      </c>
      <c r="E52" s="443"/>
    </row>
    <row r="53" spans="1:5" x14ac:dyDescent="0.25">
      <c r="A53" s="405" t="s">
        <v>583</v>
      </c>
      <c r="B53" s="381"/>
      <c r="C53" s="399">
        <v>177000</v>
      </c>
      <c r="D53" s="399">
        <v>177000</v>
      </c>
      <c r="E53" s="443"/>
    </row>
    <row r="54" spans="1:5" x14ac:dyDescent="0.25">
      <c r="A54" s="405" t="s">
        <v>584</v>
      </c>
      <c r="B54" s="381"/>
      <c r="C54" s="399">
        <v>16267775</v>
      </c>
      <c r="D54" s="399">
        <v>16267775</v>
      </c>
      <c r="E54" s="443"/>
    </row>
    <row r="55" spans="1:5" x14ac:dyDescent="0.25">
      <c r="A55" s="405" t="s">
        <v>585</v>
      </c>
      <c r="B55" s="381"/>
      <c r="C55" s="399"/>
      <c r="D55" s="399">
        <v>86920</v>
      </c>
      <c r="E55" s="441">
        <v>86920</v>
      </c>
    </row>
    <row r="56" spans="1:5" x14ac:dyDescent="0.25">
      <c r="A56" s="405" t="s">
        <v>586</v>
      </c>
      <c r="B56" s="381"/>
      <c r="C56" s="399"/>
      <c r="D56" s="399">
        <v>6999</v>
      </c>
      <c r="E56" s="441">
        <v>6999</v>
      </c>
    </row>
    <row r="57" spans="1:5" x14ac:dyDescent="0.25">
      <c r="A57" s="385" t="s">
        <v>434</v>
      </c>
      <c r="B57" s="394"/>
      <c r="C57" s="395">
        <v>1803054</v>
      </c>
      <c r="D57" s="395">
        <v>2981237</v>
      </c>
      <c r="E57" s="437">
        <v>1178183</v>
      </c>
    </row>
    <row r="58" spans="1:5" x14ac:dyDescent="0.25">
      <c r="A58" s="388" t="s">
        <v>435</v>
      </c>
      <c r="B58" s="381"/>
      <c r="C58" s="390">
        <v>171613</v>
      </c>
      <c r="D58" s="390">
        <v>311613</v>
      </c>
      <c r="E58" s="436">
        <v>140000</v>
      </c>
    </row>
    <row r="59" spans="1:5" x14ac:dyDescent="0.25">
      <c r="A59" s="388" t="s">
        <v>436</v>
      </c>
      <c r="B59" s="381"/>
      <c r="C59" s="390">
        <v>984080</v>
      </c>
      <c r="D59" s="390">
        <v>1600000</v>
      </c>
      <c r="E59" s="436">
        <v>615920</v>
      </c>
    </row>
    <row r="60" spans="1:5" x14ac:dyDescent="0.25">
      <c r="A60" s="388" t="s">
        <v>437</v>
      </c>
      <c r="B60" s="381"/>
      <c r="C60" s="390">
        <v>25000</v>
      </c>
      <c r="D60" s="390">
        <v>75000</v>
      </c>
      <c r="E60" s="436">
        <v>50000</v>
      </c>
    </row>
    <row r="61" spans="1:5" x14ac:dyDescent="0.25">
      <c r="A61" s="388" t="s">
        <v>438</v>
      </c>
      <c r="B61" s="381"/>
      <c r="C61" s="390">
        <v>493194</v>
      </c>
      <c r="D61" s="390">
        <v>736290</v>
      </c>
      <c r="E61" s="436">
        <v>243096</v>
      </c>
    </row>
    <row r="62" spans="1:5" x14ac:dyDescent="0.25">
      <c r="A62" s="388" t="s">
        <v>439</v>
      </c>
      <c r="B62" s="381"/>
      <c r="C62" s="390">
        <v>129167</v>
      </c>
      <c r="D62" s="390">
        <v>258334</v>
      </c>
      <c r="E62" s="436">
        <v>129167</v>
      </c>
    </row>
    <row r="63" spans="1:5" x14ac:dyDescent="0.25">
      <c r="A63" s="379" t="s">
        <v>440</v>
      </c>
      <c r="B63" s="380">
        <v>30000000</v>
      </c>
      <c r="C63" s="381"/>
      <c r="D63" s="381"/>
      <c r="E63" s="419">
        <v>30000000</v>
      </c>
    </row>
    <row r="64" spans="1:5" x14ac:dyDescent="0.25">
      <c r="A64" s="379" t="s">
        <v>441</v>
      </c>
      <c r="B64" s="389"/>
      <c r="C64" s="381"/>
      <c r="D64" s="399">
        <v>2500000</v>
      </c>
      <c r="E64" s="419">
        <v>2500000</v>
      </c>
    </row>
    <row r="65" spans="1:5" x14ac:dyDescent="0.25">
      <c r="A65" s="376" t="s">
        <v>442</v>
      </c>
      <c r="B65" s="400"/>
      <c r="C65" s="384">
        <v>5931.36</v>
      </c>
      <c r="D65" s="401"/>
      <c r="E65" s="432">
        <v>5931.36</v>
      </c>
    </row>
    <row r="66" spans="1:5" x14ac:dyDescent="0.25">
      <c r="A66" s="403" t="s">
        <v>443</v>
      </c>
      <c r="B66" s="389"/>
      <c r="C66" s="399">
        <v>5931.36</v>
      </c>
      <c r="D66" s="381"/>
      <c r="E66" s="420">
        <v>5931.36</v>
      </c>
    </row>
    <row r="67" spans="1:5" x14ac:dyDescent="0.25">
      <c r="A67" s="376" t="s">
        <v>139</v>
      </c>
      <c r="B67" s="402">
        <v>358529324.17000002</v>
      </c>
      <c r="C67" s="384">
        <v>352430781.17000002</v>
      </c>
      <c r="D67" s="384">
        <v>282277395.77999997</v>
      </c>
      <c r="E67" s="402">
        <v>428682709.56</v>
      </c>
    </row>
    <row r="68" spans="1:5" x14ac:dyDescent="0.25">
      <c r="A68" s="379" t="s">
        <v>444</v>
      </c>
      <c r="B68" s="382">
        <v>99079460</v>
      </c>
      <c r="C68" s="381"/>
      <c r="D68" s="381"/>
      <c r="E68" s="420">
        <v>99079460</v>
      </c>
    </row>
    <row r="69" spans="1:5" x14ac:dyDescent="0.25">
      <c r="A69" s="385" t="s">
        <v>445</v>
      </c>
      <c r="B69" s="404">
        <v>126059758</v>
      </c>
      <c r="C69" s="395">
        <v>16721709</v>
      </c>
      <c r="D69" s="394"/>
      <c r="E69" s="433">
        <v>142781467</v>
      </c>
    </row>
    <row r="70" spans="1:5" x14ac:dyDescent="0.25">
      <c r="A70" s="388" t="s">
        <v>446</v>
      </c>
      <c r="B70" s="381"/>
      <c r="C70" s="390">
        <v>221709</v>
      </c>
      <c r="D70" s="389"/>
      <c r="E70" s="418">
        <v>221709</v>
      </c>
    </row>
    <row r="71" spans="1:5" x14ac:dyDescent="0.25">
      <c r="A71" s="388" t="s">
        <v>518</v>
      </c>
      <c r="B71" s="381"/>
      <c r="C71" s="390">
        <v>16500000</v>
      </c>
      <c r="D71" s="389"/>
      <c r="E71" s="418">
        <v>16500000</v>
      </c>
    </row>
    <row r="72" spans="1:5" x14ac:dyDescent="0.25">
      <c r="A72" s="388" t="s">
        <v>447</v>
      </c>
      <c r="B72" s="397">
        <v>7049000</v>
      </c>
      <c r="C72" s="389"/>
      <c r="D72" s="389"/>
      <c r="E72" s="418">
        <v>7049000</v>
      </c>
    </row>
    <row r="73" spans="1:5" x14ac:dyDescent="0.25">
      <c r="A73" s="388" t="s">
        <v>448</v>
      </c>
      <c r="B73" s="397">
        <v>10000000</v>
      </c>
      <c r="C73" s="389"/>
      <c r="D73" s="389"/>
      <c r="E73" s="418">
        <v>10000000</v>
      </c>
    </row>
    <row r="74" spans="1:5" x14ac:dyDescent="0.25">
      <c r="A74" s="388" t="s">
        <v>449</v>
      </c>
      <c r="B74" s="397">
        <v>19770000</v>
      </c>
      <c r="C74" s="389"/>
      <c r="D74" s="389"/>
      <c r="E74" s="418">
        <v>19770000</v>
      </c>
    </row>
    <row r="75" spans="1:5" x14ac:dyDescent="0.25">
      <c r="A75" s="388" t="s">
        <v>450</v>
      </c>
      <c r="B75" s="397">
        <v>12570313</v>
      </c>
      <c r="C75" s="389"/>
      <c r="D75" s="389"/>
      <c r="E75" s="418">
        <v>12570313</v>
      </c>
    </row>
    <row r="76" spans="1:5" x14ac:dyDescent="0.25">
      <c r="A76" s="388" t="s">
        <v>451</v>
      </c>
      <c r="B76" s="397">
        <v>76670445</v>
      </c>
      <c r="C76" s="389"/>
      <c r="D76" s="389"/>
      <c r="E76" s="418">
        <v>76670445</v>
      </c>
    </row>
    <row r="77" spans="1:5" x14ac:dyDescent="0.25">
      <c r="A77" s="385" t="s">
        <v>452</v>
      </c>
      <c r="B77" s="394"/>
      <c r="C77" s="395">
        <v>5000000</v>
      </c>
      <c r="D77" s="394"/>
      <c r="E77" s="433">
        <v>5000000</v>
      </c>
    </row>
    <row r="78" spans="1:5" x14ac:dyDescent="0.25">
      <c r="A78" s="392" t="s">
        <v>453</v>
      </c>
      <c r="B78" s="381"/>
      <c r="C78" s="390">
        <v>5000000</v>
      </c>
      <c r="D78" s="389"/>
      <c r="E78" s="418">
        <v>5000000</v>
      </c>
    </row>
    <row r="79" spans="1:5" x14ac:dyDescent="0.25">
      <c r="A79" s="385" t="s">
        <v>454</v>
      </c>
      <c r="B79" s="404">
        <v>395227.17</v>
      </c>
      <c r="C79" s="395">
        <v>281349210</v>
      </c>
      <c r="D79" s="395">
        <v>281631488.77999997</v>
      </c>
      <c r="E79" s="433">
        <v>112948.39</v>
      </c>
    </row>
    <row r="80" spans="1:5" x14ac:dyDescent="0.25">
      <c r="A80" s="388" t="s">
        <v>455</v>
      </c>
      <c r="B80" s="397">
        <v>91245</v>
      </c>
      <c r="C80" s="390">
        <v>250785980</v>
      </c>
      <c r="D80" s="390">
        <v>250825488.47</v>
      </c>
      <c r="E80" s="418">
        <v>51736.53</v>
      </c>
    </row>
    <row r="81" spans="1:5" x14ac:dyDescent="0.25">
      <c r="A81" s="388" t="s">
        <v>456</v>
      </c>
      <c r="B81" s="397">
        <v>303982.17</v>
      </c>
      <c r="C81" s="390">
        <v>30563230</v>
      </c>
      <c r="D81" s="390">
        <v>30806000.309999999</v>
      </c>
      <c r="E81" s="418">
        <v>61211.86</v>
      </c>
    </row>
    <row r="82" spans="1:5" x14ac:dyDescent="0.25">
      <c r="A82" s="385" t="s">
        <v>457</v>
      </c>
      <c r="B82" s="404">
        <v>132168135</v>
      </c>
      <c r="C82" s="395">
        <v>43947180.170000002</v>
      </c>
      <c r="D82" s="394"/>
      <c r="E82" s="433">
        <v>176115315.16999999</v>
      </c>
    </row>
    <row r="83" spans="1:5" x14ac:dyDescent="0.25">
      <c r="A83" s="405" t="s">
        <v>519</v>
      </c>
      <c r="B83" s="406">
        <v>77047150</v>
      </c>
      <c r="C83" s="407">
        <v>17510823.170000002</v>
      </c>
      <c r="D83" s="378"/>
      <c r="E83" s="434">
        <v>94557973.170000002</v>
      </c>
    </row>
    <row r="84" spans="1:5" x14ac:dyDescent="0.25">
      <c r="A84" s="408" t="s">
        <v>458</v>
      </c>
      <c r="B84" s="382">
        <v>24224000</v>
      </c>
      <c r="C84" s="381"/>
      <c r="D84" s="381"/>
      <c r="E84" s="420">
        <v>24224000</v>
      </c>
    </row>
    <row r="85" spans="1:5" x14ac:dyDescent="0.25">
      <c r="A85" s="409" t="s">
        <v>459</v>
      </c>
      <c r="B85" s="389"/>
      <c r="C85" s="399">
        <v>5645</v>
      </c>
      <c r="D85" s="381"/>
      <c r="E85" s="420">
        <v>5645</v>
      </c>
    </row>
    <row r="86" spans="1:5" x14ac:dyDescent="0.25">
      <c r="A86" s="409" t="s">
        <v>460</v>
      </c>
      <c r="B86" s="382">
        <v>2160684</v>
      </c>
      <c r="C86" s="381"/>
      <c r="D86" s="381"/>
      <c r="E86" s="420">
        <v>2160684</v>
      </c>
    </row>
    <row r="87" spans="1:5" x14ac:dyDescent="0.25">
      <c r="A87" s="409" t="s">
        <v>461</v>
      </c>
      <c r="B87" s="382">
        <v>511841</v>
      </c>
      <c r="C87" s="381"/>
      <c r="D87" s="381"/>
      <c r="E87" s="420">
        <v>511841</v>
      </c>
    </row>
    <row r="88" spans="1:5" x14ac:dyDescent="0.25">
      <c r="A88" s="409" t="s">
        <v>516</v>
      </c>
      <c r="B88" s="389"/>
      <c r="C88" s="399">
        <v>1013571.17</v>
      </c>
      <c r="D88" s="381"/>
      <c r="E88" s="420">
        <v>1013571.17</v>
      </c>
    </row>
    <row r="89" spans="1:5" x14ac:dyDescent="0.25">
      <c r="A89" s="410" t="s">
        <v>462</v>
      </c>
      <c r="B89" s="382">
        <v>39692975</v>
      </c>
      <c r="C89" s="381"/>
      <c r="D89" s="381"/>
      <c r="E89" s="420">
        <v>39692975</v>
      </c>
    </row>
    <row r="90" spans="1:5" x14ac:dyDescent="0.25">
      <c r="A90" s="408" t="s">
        <v>463</v>
      </c>
      <c r="B90" s="389"/>
      <c r="C90" s="399">
        <v>15450007</v>
      </c>
      <c r="D90" s="381"/>
      <c r="E90" s="420">
        <v>15450007</v>
      </c>
    </row>
    <row r="91" spans="1:5" x14ac:dyDescent="0.25">
      <c r="A91" s="410" t="s">
        <v>464</v>
      </c>
      <c r="B91" s="382">
        <v>9824000</v>
      </c>
      <c r="C91" s="399">
        <v>29600</v>
      </c>
      <c r="D91" s="381"/>
      <c r="E91" s="420">
        <v>9853600</v>
      </c>
    </row>
    <row r="92" spans="1:5" x14ac:dyDescent="0.25">
      <c r="A92" s="409" t="s">
        <v>465</v>
      </c>
      <c r="B92" s="389"/>
      <c r="C92" s="399">
        <v>1012000</v>
      </c>
      <c r="D92" s="381"/>
      <c r="E92" s="420">
        <v>1012000</v>
      </c>
    </row>
    <row r="93" spans="1:5" x14ac:dyDescent="0.25">
      <c r="A93" s="408" t="s">
        <v>466</v>
      </c>
      <c r="B93" s="382">
        <v>633650</v>
      </c>
      <c r="C93" s="381"/>
      <c r="D93" s="381"/>
      <c r="E93" s="420">
        <v>633650</v>
      </c>
    </row>
    <row r="94" spans="1:5" x14ac:dyDescent="0.25">
      <c r="A94" s="405" t="s">
        <v>520</v>
      </c>
      <c r="B94" s="411">
        <v>55120985</v>
      </c>
      <c r="C94" s="384">
        <v>26436357</v>
      </c>
      <c r="D94" s="401"/>
      <c r="E94" s="435">
        <v>81557342</v>
      </c>
    </row>
    <row r="95" spans="1:5" x14ac:dyDescent="0.25">
      <c r="A95" s="408" t="s">
        <v>467</v>
      </c>
      <c r="B95" s="382">
        <v>30881300</v>
      </c>
      <c r="C95" s="381"/>
      <c r="D95" s="381"/>
      <c r="E95" s="420">
        <v>30881300</v>
      </c>
    </row>
    <row r="96" spans="1:5" x14ac:dyDescent="0.25">
      <c r="A96" s="409" t="s">
        <v>468</v>
      </c>
      <c r="B96" s="382">
        <v>912523</v>
      </c>
      <c r="C96" s="381"/>
      <c r="D96" s="381"/>
      <c r="E96" s="420">
        <v>912523</v>
      </c>
    </row>
    <row r="97" spans="1:5" x14ac:dyDescent="0.25">
      <c r="A97" s="409" t="s">
        <v>469</v>
      </c>
      <c r="B97" s="382">
        <v>5564269</v>
      </c>
      <c r="C97" s="381"/>
      <c r="D97" s="381"/>
      <c r="E97" s="420">
        <v>5564269</v>
      </c>
    </row>
    <row r="98" spans="1:5" x14ac:dyDescent="0.25">
      <c r="A98" s="408" t="s">
        <v>470</v>
      </c>
      <c r="B98" s="382">
        <v>6802400</v>
      </c>
      <c r="C98" s="381"/>
      <c r="D98" s="381"/>
      <c r="E98" s="420">
        <v>6802400</v>
      </c>
    </row>
    <row r="99" spans="1:5" x14ac:dyDescent="0.25">
      <c r="A99" s="410" t="s">
        <v>471</v>
      </c>
      <c r="B99" s="389"/>
      <c r="C99" s="399">
        <v>24720007</v>
      </c>
      <c r="D99" s="381"/>
      <c r="E99" s="420">
        <v>24720007</v>
      </c>
    </row>
    <row r="100" spans="1:5" x14ac:dyDescent="0.25">
      <c r="A100" s="410" t="s">
        <v>472</v>
      </c>
      <c r="B100" s="382">
        <v>10378125</v>
      </c>
      <c r="C100" s="399">
        <v>29600</v>
      </c>
      <c r="D100" s="381"/>
      <c r="E100" s="420">
        <v>10407725</v>
      </c>
    </row>
    <row r="101" spans="1:5" x14ac:dyDescent="0.25">
      <c r="A101" s="409" t="s">
        <v>473</v>
      </c>
      <c r="B101" s="389"/>
      <c r="C101" s="399">
        <v>1178000</v>
      </c>
      <c r="D101" s="381"/>
      <c r="E101" s="420">
        <v>1178000</v>
      </c>
    </row>
    <row r="102" spans="1:5" x14ac:dyDescent="0.25">
      <c r="A102" s="410" t="s">
        <v>474</v>
      </c>
      <c r="B102" s="382">
        <v>582368</v>
      </c>
      <c r="C102" s="399">
        <v>508750</v>
      </c>
      <c r="D102" s="381"/>
      <c r="E102" s="420">
        <v>1091118</v>
      </c>
    </row>
    <row r="103" spans="1:5" x14ac:dyDescent="0.25">
      <c r="A103" s="385" t="s">
        <v>475</v>
      </c>
      <c r="B103" s="394"/>
      <c r="C103" s="395">
        <v>4750000</v>
      </c>
      <c r="D103" s="394"/>
      <c r="E103" s="404">
        <v>4750000</v>
      </c>
    </row>
    <row r="104" spans="1:5" x14ac:dyDescent="0.25">
      <c r="A104" s="388" t="s">
        <v>476</v>
      </c>
      <c r="B104" s="381"/>
      <c r="C104" s="390">
        <v>4000000</v>
      </c>
      <c r="D104" s="389"/>
      <c r="E104" s="397">
        <v>4000000</v>
      </c>
    </row>
    <row r="105" spans="1:5" x14ac:dyDescent="0.25">
      <c r="A105" s="388" t="s">
        <v>477</v>
      </c>
      <c r="B105" s="381"/>
      <c r="C105" s="390">
        <v>750000</v>
      </c>
      <c r="D105" s="389"/>
      <c r="E105" s="397">
        <v>750000</v>
      </c>
    </row>
    <row r="106" spans="1:5" x14ac:dyDescent="0.25">
      <c r="A106" s="379" t="s">
        <v>478</v>
      </c>
      <c r="B106" s="382">
        <v>86088</v>
      </c>
      <c r="C106" s="381"/>
      <c r="D106" s="381"/>
      <c r="E106" s="420">
        <v>86088</v>
      </c>
    </row>
    <row r="107" spans="1:5" x14ac:dyDescent="0.25">
      <c r="A107" s="379" t="s">
        <v>479</v>
      </c>
      <c r="B107" s="382">
        <v>315577</v>
      </c>
      <c r="C107" s="381"/>
      <c r="D107" s="381"/>
      <c r="E107" s="420">
        <v>315577</v>
      </c>
    </row>
    <row r="108" spans="1:5" x14ac:dyDescent="0.25">
      <c r="A108" s="379" t="s">
        <v>480</v>
      </c>
      <c r="B108" s="382">
        <v>67361</v>
      </c>
      <c r="C108" s="381"/>
      <c r="D108" s="381"/>
      <c r="E108" s="420">
        <v>67361</v>
      </c>
    </row>
    <row r="109" spans="1:5" x14ac:dyDescent="0.25">
      <c r="A109" s="379" t="s">
        <v>481</v>
      </c>
      <c r="B109" s="382">
        <v>95562</v>
      </c>
      <c r="C109" s="381"/>
      <c r="D109" s="381"/>
      <c r="E109" s="420">
        <v>95562</v>
      </c>
    </row>
    <row r="110" spans="1:5" x14ac:dyDescent="0.25">
      <c r="A110" s="379" t="s">
        <v>482</v>
      </c>
      <c r="B110" s="382">
        <v>179479</v>
      </c>
      <c r="C110" s="381"/>
      <c r="D110" s="381"/>
      <c r="E110" s="420">
        <v>179479</v>
      </c>
    </row>
    <row r="111" spans="1:5" x14ac:dyDescent="0.25">
      <c r="A111" s="379" t="s">
        <v>483</v>
      </c>
      <c r="B111" s="389"/>
      <c r="C111" s="399">
        <v>99452</v>
      </c>
      <c r="D111" s="381"/>
      <c r="E111" s="382">
        <v>99452</v>
      </c>
    </row>
    <row r="112" spans="1:5" x14ac:dyDescent="0.25">
      <c r="A112" s="379" t="s">
        <v>484</v>
      </c>
      <c r="B112" s="389"/>
      <c r="C112" s="399">
        <v>563230</v>
      </c>
      <c r="D112" s="399">
        <v>563230</v>
      </c>
      <c r="E112" s="389"/>
    </row>
    <row r="113" spans="1:5" x14ac:dyDescent="0.25">
      <c r="A113" s="379" t="s">
        <v>485</v>
      </c>
      <c r="B113" s="382">
        <v>82677</v>
      </c>
      <c r="C113" s="381"/>
      <c r="D113" s="399">
        <v>82677</v>
      </c>
      <c r="E113" s="389"/>
    </row>
    <row r="114" spans="1:5" x14ac:dyDescent="0.25">
      <c r="A114" s="376" t="s">
        <v>486</v>
      </c>
      <c r="B114" s="400"/>
      <c r="C114" s="384">
        <v>959200</v>
      </c>
      <c r="D114" s="401"/>
      <c r="E114" s="432">
        <v>959200</v>
      </c>
    </row>
    <row r="115" spans="1:5" x14ac:dyDescent="0.25">
      <c r="A115" s="403" t="s">
        <v>487</v>
      </c>
      <c r="B115" s="389"/>
      <c r="C115" s="399">
        <v>959200</v>
      </c>
      <c r="D115" s="381"/>
      <c r="E115" s="420">
        <v>959200</v>
      </c>
    </row>
    <row r="116" spans="1:5" x14ac:dyDescent="0.25">
      <c r="A116" s="376" t="s">
        <v>488</v>
      </c>
      <c r="B116" s="400"/>
      <c r="C116" s="384">
        <v>18739176.18</v>
      </c>
      <c r="D116" s="401"/>
      <c r="E116" s="432">
        <v>18739176.18</v>
      </c>
    </row>
    <row r="117" spans="1:5" x14ac:dyDescent="0.25">
      <c r="A117" s="385" t="s">
        <v>489</v>
      </c>
      <c r="B117" s="412"/>
      <c r="C117" s="387">
        <v>18739176.18</v>
      </c>
      <c r="D117" s="412"/>
      <c r="E117" s="430">
        <v>18739176.18</v>
      </c>
    </row>
    <row r="118" spans="1:5" x14ac:dyDescent="0.25">
      <c r="A118" s="392" t="s">
        <v>490</v>
      </c>
      <c r="B118" s="381"/>
      <c r="C118" s="390">
        <v>677965.5</v>
      </c>
      <c r="D118" s="389"/>
      <c r="E118" s="418">
        <v>677965.5</v>
      </c>
    </row>
    <row r="119" spans="1:5" x14ac:dyDescent="0.25">
      <c r="A119" s="379" t="s">
        <v>491</v>
      </c>
      <c r="B119" s="381"/>
      <c r="C119" s="390">
        <v>82000</v>
      </c>
      <c r="D119" s="389"/>
      <c r="E119" s="418">
        <v>82000</v>
      </c>
    </row>
    <row r="120" spans="1:5" x14ac:dyDescent="0.25">
      <c r="A120" s="392" t="s">
        <v>492</v>
      </c>
      <c r="B120" s="381"/>
      <c r="C120" s="390">
        <v>3405072</v>
      </c>
      <c r="D120" s="389"/>
      <c r="E120" s="418">
        <v>3405072</v>
      </c>
    </row>
    <row r="121" spans="1:5" x14ac:dyDescent="0.25">
      <c r="A121" s="388" t="s">
        <v>493</v>
      </c>
      <c r="B121" s="381"/>
      <c r="C121" s="390">
        <v>440788.68</v>
      </c>
      <c r="D121" s="389"/>
      <c r="E121" s="418">
        <v>440788.68</v>
      </c>
    </row>
    <row r="122" spans="1:5" x14ac:dyDescent="0.25">
      <c r="A122" s="392" t="s">
        <v>494</v>
      </c>
      <c r="B122" s="381"/>
      <c r="C122" s="390">
        <v>243600</v>
      </c>
      <c r="D122" s="389"/>
      <c r="E122" s="418">
        <v>243600</v>
      </c>
    </row>
    <row r="123" spans="1:5" x14ac:dyDescent="0.25">
      <c r="A123" s="379" t="s">
        <v>495</v>
      </c>
      <c r="B123" s="381"/>
      <c r="C123" s="390">
        <v>103500</v>
      </c>
      <c r="D123" s="389"/>
      <c r="E123" s="418">
        <v>103500</v>
      </c>
    </row>
    <row r="124" spans="1:5" x14ac:dyDescent="0.25">
      <c r="A124" s="388" t="s">
        <v>496</v>
      </c>
      <c r="B124" s="381"/>
      <c r="C124" s="390">
        <v>13786250</v>
      </c>
      <c r="D124" s="389"/>
      <c r="E124" s="418">
        <v>13786250</v>
      </c>
    </row>
    <row r="125" spans="1:5" x14ac:dyDescent="0.25">
      <c r="A125" s="376" t="s">
        <v>497</v>
      </c>
      <c r="B125" s="400"/>
      <c r="C125" s="401"/>
      <c r="D125" s="384">
        <v>3304</v>
      </c>
      <c r="E125" s="431">
        <v>3304</v>
      </c>
    </row>
    <row r="126" spans="1:5" x14ac:dyDescent="0.25">
      <c r="A126" s="379" t="s">
        <v>498</v>
      </c>
      <c r="B126" s="389"/>
      <c r="C126" s="381"/>
      <c r="D126" s="399">
        <v>3304</v>
      </c>
      <c r="E126" s="419">
        <v>3304</v>
      </c>
    </row>
    <row r="127" spans="1:5" x14ac:dyDescent="0.25">
      <c r="A127" s="376" t="s">
        <v>499</v>
      </c>
      <c r="B127" s="400"/>
      <c r="C127" s="384">
        <v>9419596.8399999999</v>
      </c>
      <c r="D127" s="384">
        <v>157318.76</v>
      </c>
      <c r="E127" s="432">
        <v>9262278.0800000001</v>
      </c>
    </row>
    <row r="128" spans="1:5" x14ac:dyDescent="0.25">
      <c r="A128" s="385" t="s">
        <v>521</v>
      </c>
      <c r="B128" s="412"/>
      <c r="C128" s="387">
        <v>5405</v>
      </c>
      <c r="D128" s="412"/>
      <c r="E128" s="430">
        <v>5405</v>
      </c>
    </row>
    <row r="129" spans="1:6" x14ac:dyDescent="0.25">
      <c r="A129" s="392" t="s">
        <v>502</v>
      </c>
      <c r="B129" s="381"/>
      <c r="C129" s="390">
        <v>1880</v>
      </c>
      <c r="D129" s="389"/>
      <c r="E129" s="418">
        <v>1880</v>
      </c>
      <c r="F129" s="369" t="s">
        <v>515</v>
      </c>
    </row>
    <row r="130" spans="1:6" x14ac:dyDescent="0.25">
      <c r="A130" s="388" t="s">
        <v>503</v>
      </c>
      <c r="B130" s="381"/>
      <c r="C130" s="390">
        <v>130</v>
      </c>
      <c r="D130" s="389"/>
      <c r="E130" s="418">
        <v>130</v>
      </c>
      <c r="F130" s="369" t="s">
        <v>515</v>
      </c>
    </row>
    <row r="131" spans="1:6" x14ac:dyDescent="0.25">
      <c r="A131" s="388" t="s">
        <v>504</v>
      </c>
      <c r="B131" s="381"/>
      <c r="C131" s="390">
        <v>3395</v>
      </c>
      <c r="D131" s="389"/>
      <c r="E131" s="418">
        <v>3395</v>
      </c>
      <c r="F131" s="369" t="s">
        <v>515</v>
      </c>
    </row>
    <row r="132" spans="1:6" x14ac:dyDescent="0.25">
      <c r="A132" s="379" t="s">
        <v>500</v>
      </c>
      <c r="B132" s="389"/>
      <c r="C132" s="399">
        <v>179499</v>
      </c>
      <c r="D132" s="381"/>
      <c r="E132" s="420">
        <v>179499</v>
      </c>
      <c r="F132" s="369" t="s">
        <v>524</v>
      </c>
    </row>
    <row r="133" spans="1:6" x14ac:dyDescent="0.25">
      <c r="A133" s="379" t="s">
        <v>501</v>
      </c>
      <c r="B133" s="389"/>
      <c r="C133" s="399">
        <v>1000000</v>
      </c>
      <c r="D133" s="381"/>
      <c r="E133" s="420">
        <v>1000000</v>
      </c>
      <c r="F133" s="369" t="s">
        <v>524</v>
      </c>
    </row>
    <row r="134" spans="1:6" x14ac:dyDescent="0.25">
      <c r="A134" s="403" t="s">
        <v>12</v>
      </c>
      <c r="B134" s="389"/>
      <c r="C134" s="399">
        <v>50000</v>
      </c>
      <c r="D134" s="399">
        <v>54000</v>
      </c>
      <c r="E134" s="419">
        <v>4000</v>
      </c>
      <c r="F134" s="369" t="s">
        <v>515</v>
      </c>
    </row>
    <row r="135" spans="1:6" x14ac:dyDescent="0.25">
      <c r="A135" s="379" t="s">
        <v>21</v>
      </c>
      <c r="B135" s="389"/>
      <c r="C135" s="399">
        <v>20350.78</v>
      </c>
      <c r="D135" s="399">
        <v>3865.54</v>
      </c>
      <c r="E135" s="420">
        <v>16485.240000000002</v>
      </c>
      <c r="F135" s="369" t="s">
        <v>515</v>
      </c>
    </row>
    <row r="136" spans="1:6" x14ac:dyDescent="0.25">
      <c r="A136" s="379" t="s">
        <v>505</v>
      </c>
      <c r="B136" s="389"/>
      <c r="C136" s="399">
        <v>124448</v>
      </c>
      <c r="D136" s="381"/>
      <c r="E136" s="420">
        <v>124448</v>
      </c>
      <c r="F136" s="369" t="s">
        <v>515</v>
      </c>
    </row>
    <row r="137" spans="1:6" x14ac:dyDescent="0.25">
      <c r="A137" s="379" t="s">
        <v>506</v>
      </c>
      <c r="B137" s="389"/>
      <c r="C137" s="399">
        <v>10900</v>
      </c>
      <c r="D137" s="381"/>
      <c r="E137" s="420">
        <v>10900</v>
      </c>
      <c r="F137" s="369" t="s">
        <v>524</v>
      </c>
    </row>
    <row r="138" spans="1:6" x14ac:dyDescent="0.25">
      <c r="A138" s="379" t="s">
        <v>507</v>
      </c>
      <c r="B138" s="389"/>
      <c r="C138" s="399">
        <v>7530</v>
      </c>
      <c r="D138" s="381"/>
      <c r="E138" s="420">
        <v>7530</v>
      </c>
      <c r="F138" s="369" t="s">
        <v>515</v>
      </c>
    </row>
    <row r="139" spans="1:6" x14ac:dyDescent="0.25">
      <c r="A139" s="379" t="s">
        <v>244</v>
      </c>
      <c r="B139" s="389"/>
      <c r="C139" s="399">
        <v>2643443</v>
      </c>
      <c r="D139" s="381"/>
      <c r="E139" s="420">
        <v>2643443</v>
      </c>
      <c r="F139" s="369" t="s">
        <v>515</v>
      </c>
    </row>
    <row r="140" spans="1:6" x14ac:dyDescent="0.25">
      <c r="A140" s="379" t="s">
        <v>522</v>
      </c>
      <c r="B140" s="389"/>
      <c r="C140" s="399">
        <v>150000</v>
      </c>
      <c r="D140" s="399">
        <v>99452</v>
      </c>
      <c r="E140" s="420">
        <v>50548</v>
      </c>
      <c r="F140" s="369" t="s">
        <v>515</v>
      </c>
    </row>
    <row r="141" spans="1:6" x14ac:dyDescent="0.25">
      <c r="A141" s="379" t="s">
        <v>508</v>
      </c>
      <c r="B141" s="389"/>
      <c r="C141" s="399">
        <v>300000</v>
      </c>
      <c r="D141" s="381"/>
      <c r="E141" s="420">
        <v>300000</v>
      </c>
      <c r="F141" s="369" t="s">
        <v>515</v>
      </c>
    </row>
    <row r="142" spans="1:6" x14ac:dyDescent="0.25">
      <c r="A142" s="379" t="s">
        <v>509</v>
      </c>
      <c r="B142" s="389"/>
      <c r="C142" s="399">
        <v>425000</v>
      </c>
      <c r="D142" s="381"/>
      <c r="E142" s="420">
        <v>425000</v>
      </c>
      <c r="F142" s="369" t="s">
        <v>515</v>
      </c>
    </row>
    <row r="143" spans="1:6" x14ac:dyDescent="0.25">
      <c r="A143" s="379" t="s">
        <v>510</v>
      </c>
      <c r="B143" s="389"/>
      <c r="C143" s="399">
        <v>1500000</v>
      </c>
      <c r="D143" s="381"/>
      <c r="E143" s="420">
        <v>1500000</v>
      </c>
      <c r="F143" s="369" t="s">
        <v>515</v>
      </c>
    </row>
    <row r="144" spans="1:6" x14ac:dyDescent="0.25">
      <c r="A144" s="379" t="s">
        <v>511</v>
      </c>
      <c r="B144" s="389"/>
      <c r="C144" s="399">
        <v>16744.12</v>
      </c>
      <c r="D144" s="381"/>
      <c r="E144" s="420">
        <v>16744.12</v>
      </c>
      <c r="F144" s="369" t="s">
        <v>515</v>
      </c>
    </row>
    <row r="145" spans="1:6" x14ac:dyDescent="0.25">
      <c r="A145" s="379" t="s">
        <v>512</v>
      </c>
      <c r="B145" s="389"/>
      <c r="C145" s="399">
        <v>2.82</v>
      </c>
      <c r="D145" s="399">
        <v>1.22</v>
      </c>
      <c r="E145" s="420">
        <v>1.6</v>
      </c>
      <c r="F145" s="369" t="s">
        <v>515</v>
      </c>
    </row>
    <row r="146" spans="1:6" x14ac:dyDescent="0.25">
      <c r="A146" s="379" t="s">
        <v>523</v>
      </c>
      <c r="B146" s="389"/>
      <c r="C146" s="399">
        <v>2981237</v>
      </c>
      <c r="D146" s="381"/>
      <c r="E146" s="420">
        <v>2981237</v>
      </c>
      <c r="F146" s="369" t="s">
        <v>515</v>
      </c>
    </row>
    <row r="147" spans="1:6" x14ac:dyDescent="0.25">
      <c r="A147" s="379" t="s">
        <v>513</v>
      </c>
      <c r="B147" s="389"/>
      <c r="C147" s="399">
        <v>5037.12</v>
      </c>
      <c r="D147" s="381"/>
      <c r="E147" s="420">
        <v>5037.12</v>
      </c>
      <c r="F147" s="369" t="s">
        <v>515</v>
      </c>
    </row>
    <row r="148" spans="1:6" x14ac:dyDescent="0.25">
      <c r="A148" s="413" t="s">
        <v>514</v>
      </c>
      <c r="B148" s="414"/>
      <c r="C148" s="415">
        <v>595944329.63999999</v>
      </c>
      <c r="D148" s="415">
        <v>595944329.63999999</v>
      </c>
      <c r="E148" s="414"/>
    </row>
    <row r="150" spans="1:6" x14ac:dyDescent="0.25">
      <c r="A150" s="462" t="s">
        <v>623</v>
      </c>
      <c r="B150" s="463">
        <v>5000</v>
      </c>
      <c r="C150" s="463"/>
    </row>
    <row r="151" spans="1:6" x14ac:dyDescent="0.25">
      <c r="A151" s="467" t="s">
        <v>624</v>
      </c>
      <c r="B151" s="463"/>
      <c r="C151" s="463">
        <f>+B150</f>
        <v>5000</v>
      </c>
    </row>
    <row r="153" spans="1:6" x14ac:dyDescent="0.25">
      <c r="A153" s="462" t="s">
        <v>625</v>
      </c>
      <c r="B153" s="463">
        <v>5000</v>
      </c>
      <c r="C153" s="463"/>
    </row>
    <row r="154" spans="1:6" x14ac:dyDescent="0.25">
      <c r="A154" s="467" t="s">
        <v>626</v>
      </c>
      <c r="B154" s="463"/>
      <c r="C154" s="463">
        <f>+B153</f>
        <v>5000</v>
      </c>
    </row>
    <row r="156" spans="1:6" x14ac:dyDescent="0.25">
      <c r="A156" s="465" t="s">
        <v>629</v>
      </c>
      <c r="B156" s="468">
        <v>119078925</v>
      </c>
    </row>
    <row r="157" spans="1:6" x14ac:dyDescent="0.25">
      <c r="A157" s="466" t="s">
        <v>630</v>
      </c>
      <c r="C157" s="468">
        <f>+B156</f>
        <v>119078925</v>
      </c>
    </row>
    <row r="159" spans="1:6" x14ac:dyDescent="0.25">
      <c r="A159" s="465" t="s">
        <v>631</v>
      </c>
      <c r="B159" s="468">
        <v>306681780</v>
      </c>
    </row>
    <row r="160" spans="1:6" x14ac:dyDescent="0.25">
      <c r="A160" s="466" t="s">
        <v>632</v>
      </c>
      <c r="C160" s="468">
        <f>+B159</f>
        <v>306681780</v>
      </c>
    </row>
    <row r="162" spans="1:3" x14ac:dyDescent="0.25">
      <c r="A162" s="465" t="s">
        <v>638</v>
      </c>
      <c r="B162" s="444">
        <v>425000</v>
      </c>
      <c r="C162" s="444"/>
    </row>
    <row r="163" spans="1:3" x14ac:dyDescent="0.25">
      <c r="A163" s="466" t="s">
        <v>639</v>
      </c>
      <c r="B163" s="444"/>
      <c r="C163" s="444">
        <f>+B162</f>
        <v>425000</v>
      </c>
    </row>
    <row r="165" spans="1:3" x14ac:dyDescent="0.25">
      <c r="A165" s="369" t="s">
        <v>463</v>
      </c>
      <c r="B165" s="444">
        <v>15146000</v>
      </c>
      <c r="C165" s="444"/>
    </row>
    <row r="166" spans="1:3" x14ac:dyDescent="0.25">
      <c r="A166" s="469" t="s">
        <v>642</v>
      </c>
      <c r="B166" s="444"/>
      <c r="C166" s="444">
        <f>+B165</f>
        <v>15146000</v>
      </c>
    </row>
    <row r="167" spans="1:3" x14ac:dyDescent="0.25">
      <c r="B167" s="444"/>
      <c r="C167" s="444"/>
    </row>
    <row r="168" spans="1:3" x14ac:dyDescent="0.25">
      <c r="A168" s="369" t="s">
        <v>466</v>
      </c>
      <c r="B168" s="444">
        <v>1000000</v>
      </c>
      <c r="C168" s="444"/>
    </row>
    <row r="169" spans="1:3" x14ac:dyDescent="0.25">
      <c r="A169" s="469" t="s">
        <v>643</v>
      </c>
      <c r="B169" s="444"/>
      <c r="C169" s="444">
        <f>+B168</f>
        <v>1000000</v>
      </c>
    </row>
  </sheetData>
  <mergeCells count="7">
    <mergeCell ref="C7:D7"/>
    <mergeCell ref="A1:C1"/>
    <mergeCell ref="A2:C2"/>
    <mergeCell ref="A3:C3"/>
    <mergeCell ref="A4:C4"/>
    <mergeCell ref="B5:E5"/>
    <mergeCell ref="B6:E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22"/>
  <sheetViews>
    <sheetView workbookViewId="0">
      <selection activeCell="C12" sqref="C12"/>
    </sheetView>
  </sheetViews>
  <sheetFormatPr defaultColWidth="8.85546875" defaultRowHeight="12.75" x14ac:dyDescent="0.2"/>
  <cols>
    <col min="1" max="1" width="8.85546875" style="451"/>
    <col min="2" max="2" width="50.85546875" style="451" bestFit="1" customWidth="1"/>
    <col min="3" max="3" width="15.7109375" style="451" bestFit="1" customWidth="1"/>
    <col min="4" max="16384" width="8.85546875" style="451"/>
  </cols>
  <sheetData>
    <row r="2" spans="1:4" x14ac:dyDescent="0.2">
      <c r="A2" s="449" t="s">
        <v>612</v>
      </c>
      <c r="B2" s="450"/>
      <c r="C2" s="450"/>
    </row>
    <row r="3" spans="1:4" x14ac:dyDescent="0.2">
      <c r="A3" s="452" t="s">
        <v>599</v>
      </c>
      <c r="B3" s="453" t="s">
        <v>0</v>
      </c>
      <c r="C3" s="454" t="s">
        <v>613</v>
      </c>
    </row>
    <row r="4" spans="1:4" x14ac:dyDescent="0.2">
      <c r="A4" s="455">
        <v>1</v>
      </c>
      <c r="B4" s="451" t="s">
        <v>614</v>
      </c>
      <c r="C4" s="446">
        <f>+'Note 3-12'!D63</f>
        <v>99079460</v>
      </c>
    </row>
    <row r="5" spans="1:4" x14ac:dyDescent="0.2">
      <c r="A5" s="456">
        <f t="shared" ref="A5:A10" si="0">+A4+1</f>
        <v>2</v>
      </c>
      <c r="B5" s="457" t="s">
        <v>615</v>
      </c>
      <c r="C5" s="448">
        <f>+SUM('Note 3-12'!D81:D86)</f>
        <v>132168135</v>
      </c>
    </row>
    <row r="6" spans="1:4" x14ac:dyDescent="0.2">
      <c r="A6" s="456">
        <f t="shared" si="0"/>
        <v>3</v>
      </c>
      <c r="B6" s="451" t="s">
        <v>617</v>
      </c>
      <c r="C6" s="474">
        <f>+TB!C83</f>
        <v>17510823.170000002</v>
      </c>
    </row>
    <row r="7" spans="1:4" x14ac:dyDescent="0.2">
      <c r="A7" s="456">
        <f t="shared" si="0"/>
        <v>4</v>
      </c>
      <c r="B7" s="451" t="s">
        <v>618</v>
      </c>
      <c r="C7" s="474">
        <f>+TB!C94</f>
        <v>26436357</v>
      </c>
    </row>
    <row r="8" spans="1:4" x14ac:dyDescent="0.2">
      <c r="A8" s="456">
        <f t="shared" si="0"/>
        <v>5</v>
      </c>
      <c r="B8" s="451" t="s">
        <v>616</v>
      </c>
      <c r="C8" s="446">
        <f>+TB_Updated!E106</f>
        <v>18787087.18</v>
      </c>
    </row>
    <row r="9" spans="1:4" ht="25.5" x14ac:dyDescent="0.2">
      <c r="A9" s="456">
        <f t="shared" si="0"/>
        <v>6</v>
      </c>
      <c r="B9" s="458" t="s">
        <v>619</v>
      </c>
      <c r="C9" s="448">
        <f>+TB!E114</f>
        <v>959200</v>
      </c>
      <c r="D9" s="457" t="s">
        <v>644</v>
      </c>
    </row>
    <row r="10" spans="1:4" x14ac:dyDescent="0.2">
      <c r="A10" s="456">
        <f t="shared" si="0"/>
        <v>7</v>
      </c>
      <c r="B10" s="451" t="s">
        <v>621</v>
      </c>
      <c r="C10" s="446"/>
    </row>
    <row r="11" spans="1:4" x14ac:dyDescent="0.2">
      <c r="B11" s="459" t="s">
        <v>620</v>
      </c>
      <c r="C11" s="446">
        <f>+TB_Updated!E122</f>
        <v>179499</v>
      </c>
    </row>
    <row r="12" spans="1:4" x14ac:dyDescent="0.2">
      <c r="B12" s="459" t="str">
        <f>+" - "&amp;PROPER(TB!A133)</f>
        <v xml:space="preserve"> - Architect Services</v>
      </c>
      <c r="C12" s="446">
        <f>+TB_Updated!E123</f>
        <v>1000000</v>
      </c>
    </row>
    <row r="13" spans="1:4" x14ac:dyDescent="0.2">
      <c r="B13" s="459" t="str">
        <f>+" - "&amp;PROPER(TB!A137)</f>
        <v xml:space="preserve"> - Freight Charges</v>
      </c>
      <c r="C13" s="446">
        <f>TB_Updated!$E$127</f>
        <v>11100</v>
      </c>
    </row>
    <row r="14" spans="1:4" ht="13.5" thickBot="1" x14ac:dyDescent="0.25">
      <c r="C14" s="447">
        <f>SUM(C4:C13)</f>
        <v>296131661.35000002</v>
      </c>
    </row>
    <row r="15" spans="1:4" ht="13.5" thickTop="1" x14ac:dyDescent="0.2"/>
    <row r="16" spans="1:4" x14ac:dyDescent="0.2">
      <c r="A16" s="455">
        <f>+A10+1</f>
        <v>8</v>
      </c>
      <c r="B16" s="451" t="s">
        <v>627</v>
      </c>
      <c r="C16" s="473">
        <v>119078925</v>
      </c>
      <c r="D16" s="451" t="s">
        <v>636</v>
      </c>
    </row>
    <row r="17" spans="1:4" x14ac:dyDescent="0.2">
      <c r="A17" s="455">
        <f>+A16+1</f>
        <v>9</v>
      </c>
      <c r="B17" s="451" t="s">
        <v>628</v>
      </c>
      <c r="C17" s="473">
        <v>306681780</v>
      </c>
      <c r="D17" s="451" t="s">
        <v>636</v>
      </c>
    </row>
    <row r="18" spans="1:4" x14ac:dyDescent="0.2">
      <c r="A18" s="455">
        <f>+A17+1</f>
        <v>10</v>
      </c>
      <c r="B18" s="451" t="s">
        <v>641</v>
      </c>
      <c r="C18" s="473">
        <f>+TB!B165</f>
        <v>15146000</v>
      </c>
    </row>
    <row r="19" spans="1:4" x14ac:dyDescent="0.2">
      <c r="A19" s="455">
        <f>+A18+1</f>
        <v>11</v>
      </c>
      <c r="B19" s="451" t="s">
        <v>640</v>
      </c>
      <c r="C19" s="473">
        <f>+TB!B168</f>
        <v>1000000</v>
      </c>
    </row>
    <row r="21" spans="1:4" ht="13.5" thickBot="1" x14ac:dyDescent="0.25">
      <c r="B21" s="454" t="s">
        <v>2</v>
      </c>
      <c r="C21" s="464">
        <f>+C14+C16+C17+C18+C19</f>
        <v>738038366.35000002</v>
      </c>
    </row>
    <row r="22" spans="1:4" ht="13.5" thickTop="1" x14ac:dyDescent="0.2"/>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L11"/>
  <sheetViews>
    <sheetView view="pageBreakPreview" zoomScale="111" zoomScaleNormal="100" zoomScaleSheetLayoutView="85" workbookViewId="0">
      <selection activeCell="E5" sqref="E5"/>
    </sheetView>
  </sheetViews>
  <sheetFormatPr defaultColWidth="8.85546875" defaultRowHeight="12.75" x14ac:dyDescent="0.2"/>
  <cols>
    <col min="1" max="1" width="5.7109375" style="451" customWidth="1"/>
    <col min="2" max="2" width="15.28515625" style="451" customWidth="1"/>
    <col min="3" max="3" width="14.42578125" style="451" customWidth="1"/>
    <col min="4" max="4" width="13.7109375" style="451" customWidth="1"/>
    <col min="5" max="5" width="14.42578125" style="451" bestFit="1" customWidth="1"/>
    <col min="6" max="6" width="11.7109375" style="451" customWidth="1"/>
    <col min="7" max="8" width="14.7109375" style="451" customWidth="1"/>
    <col min="9" max="9" width="16.28515625" style="451" customWidth="1"/>
    <col min="10" max="10" width="14.7109375" style="451" customWidth="1"/>
    <col min="11" max="11" width="18.7109375" style="451" customWidth="1"/>
    <col min="12" max="12" width="10.28515625" style="451" bestFit="1" customWidth="1"/>
    <col min="13" max="16384" width="8.85546875" style="451"/>
  </cols>
  <sheetData>
    <row r="2" spans="1:12" x14ac:dyDescent="0.2">
      <c r="A2" s="769" t="s">
        <v>600</v>
      </c>
      <c r="B2" s="769"/>
      <c r="C2" s="769"/>
      <c r="D2" s="769"/>
      <c r="E2" s="769"/>
      <c r="F2" s="769"/>
      <c r="G2" s="769"/>
      <c r="H2" s="769"/>
      <c r="I2" s="769"/>
      <c r="J2" s="769"/>
      <c r="K2" s="769"/>
      <c r="L2" s="460">
        <v>45382</v>
      </c>
    </row>
    <row r="3" spans="1:12" ht="38.25" x14ac:dyDescent="0.2">
      <c r="A3" s="480" t="s">
        <v>599</v>
      </c>
      <c r="B3" s="481" t="s">
        <v>601</v>
      </c>
      <c r="C3" s="482" t="s">
        <v>610</v>
      </c>
      <c r="D3" s="482" t="s">
        <v>603</v>
      </c>
      <c r="E3" s="482" t="s">
        <v>609</v>
      </c>
      <c r="F3" s="482" t="s">
        <v>602</v>
      </c>
      <c r="G3" s="482" t="s">
        <v>604</v>
      </c>
      <c r="H3" s="482" t="s">
        <v>605</v>
      </c>
      <c r="I3" s="482" t="s">
        <v>606</v>
      </c>
      <c r="J3" s="482" t="s">
        <v>607</v>
      </c>
      <c r="K3" s="482" t="s">
        <v>611</v>
      </c>
    </row>
    <row r="4" spans="1:12" ht="15" x14ac:dyDescent="0.25">
      <c r="A4" s="484">
        <v>1</v>
      </c>
      <c r="B4" s="485" t="s">
        <v>543</v>
      </c>
      <c r="C4" s="485">
        <v>12570313</v>
      </c>
      <c r="D4" s="486">
        <v>44974</v>
      </c>
      <c r="E4" s="487">
        <v>13383459</v>
      </c>
      <c r="F4" s="486">
        <v>45340</v>
      </c>
      <c r="G4" s="488">
        <f t="shared" ref="G4:G9" si="0">+E4-C4</f>
        <v>813146</v>
      </c>
      <c r="H4" s="5">
        <v>95654</v>
      </c>
      <c r="I4" s="5"/>
      <c r="J4" s="5">
        <f t="shared" ref="J4:J9" si="1">+G4-H4-I4</f>
        <v>717492</v>
      </c>
      <c r="K4" s="5">
        <f t="shared" ref="K4:K9" si="2">+J4*10%</f>
        <v>71749.2</v>
      </c>
    </row>
    <row r="5" spans="1:12" ht="15" x14ac:dyDescent="0.25">
      <c r="A5" s="484">
        <f>+A4+1</f>
        <v>2</v>
      </c>
      <c r="B5" s="485" t="s">
        <v>544</v>
      </c>
      <c r="C5" s="485">
        <v>76670445</v>
      </c>
      <c r="D5" s="486">
        <v>44995</v>
      </c>
      <c r="E5" s="487">
        <v>82706150</v>
      </c>
      <c r="F5" s="486">
        <v>45361</v>
      </c>
      <c r="G5" s="488">
        <f t="shared" si="0"/>
        <v>6035705</v>
      </c>
      <c r="H5" s="5">
        <v>350642</v>
      </c>
      <c r="I5" s="5"/>
      <c r="J5" s="5">
        <f t="shared" si="1"/>
        <v>5685063</v>
      </c>
      <c r="K5" s="5">
        <f t="shared" si="2"/>
        <v>568506.30000000005</v>
      </c>
    </row>
    <row r="6" spans="1:12" ht="15" x14ac:dyDescent="0.25">
      <c r="A6" s="484">
        <f>+A5+1</f>
        <v>3</v>
      </c>
      <c r="B6" s="485" t="s">
        <v>545</v>
      </c>
      <c r="C6" s="485">
        <v>7049000</v>
      </c>
      <c r="D6" s="486">
        <v>44957</v>
      </c>
      <c r="E6" s="487">
        <v>7504984</v>
      </c>
      <c r="F6" s="486">
        <v>45323</v>
      </c>
      <c r="G6" s="488">
        <f t="shared" si="0"/>
        <v>455984</v>
      </c>
      <c r="H6" s="5">
        <v>74846</v>
      </c>
      <c r="I6" s="5"/>
      <c r="J6" s="5">
        <f t="shared" si="1"/>
        <v>381138</v>
      </c>
      <c r="K6" s="5">
        <f t="shared" si="2"/>
        <v>38113.800000000003</v>
      </c>
    </row>
    <row r="7" spans="1:12" ht="15" x14ac:dyDescent="0.25">
      <c r="A7" s="484">
        <f>+A6+1</f>
        <v>4</v>
      </c>
      <c r="B7" s="485" t="s">
        <v>546</v>
      </c>
      <c r="C7" s="485">
        <v>10000000</v>
      </c>
      <c r="D7" s="486">
        <v>44957</v>
      </c>
      <c r="E7" s="487">
        <v>10646878</v>
      </c>
      <c r="F7" s="486">
        <v>45323</v>
      </c>
      <c r="G7" s="488">
        <f t="shared" si="0"/>
        <v>646878</v>
      </c>
      <c r="H7" s="5">
        <v>106180</v>
      </c>
      <c r="I7" s="5"/>
      <c r="J7" s="5">
        <f t="shared" si="1"/>
        <v>540698</v>
      </c>
      <c r="K7" s="5">
        <f t="shared" si="2"/>
        <v>54069.8</v>
      </c>
    </row>
    <row r="8" spans="1:12" ht="15" x14ac:dyDescent="0.25">
      <c r="A8" s="484">
        <f>+A7+1</f>
        <v>5</v>
      </c>
      <c r="B8" s="485" t="s">
        <v>547</v>
      </c>
      <c r="C8" s="485">
        <v>19770000</v>
      </c>
      <c r="D8" s="486">
        <v>44960</v>
      </c>
      <c r="E8" s="487">
        <v>21048878</v>
      </c>
      <c r="F8" s="486">
        <v>45326</v>
      </c>
      <c r="G8" s="488">
        <f t="shared" si="0"/>
        <v>1278878</v>
      </c>
      <c r="H8" s="5">
        <v>199422</v>
      </c>
      <c r="I8" s="5"/>
      <c r="J8" s="5">
        <f t="shared" si="1"/>
        <v>1079456</v>
      </c>
      <c r="K8" s="5">
        <f t="shared" si="2"/>
        <v>107945.60000000001</v>
      </c>
    </row>
    <row r="9" spans="1:12" ht="15" x14ac:dyDescent="0.25">
      <c r="A9" s="484">
        <f>+A8+1</f>
        <v>6</v>
      </c>
      <c r="B9" s="489" t="s">
        <v>608</v>
      </c>
      <c r="C9" s="490">
        <v>16500000</v>
      </c>
      <c r="D9" s="491">
        <v>45125</v>
      </c>
      <c r="E9" s="487">
        <v>17567349</v>
      </c>
      <c r="F9" s="486">
        <f>+D9+365</f>
        <v>45490</v>
      </c>
      <c r="G9" s="488">
        <f t="shared" si="0"/>
        <v>1067349</v>
      </c>
      <c r="H9" s="5">
        <v>0</v>
      </c>
      <c r="I9" s="5">
        <f>+(E9-C9)/365*(F9-L2)</f>
        <v>315818.33424657537</v>
      </c>
      <c r="J9" s="5">
        <f t="shared" si="1"/>
        <v>751530.66575342463</v>
      </c>
      <c r="K9" s="5">
        <f t="shared" si="2"/>
        <v>75153.066575342469</v>
      </c>
    </row>
    <row r="10" spans="1:12" ht="13.5" thickBot="1" x14ac:dyDescent="0.25">
      <c r="A10" s="770" t="s">
        <v>2</v>
      </c>
      <c r="B10" s="770"/>
      <c r="C10" s="770"/>
      <c r="D10" s="770"/>
      <c r="E10" s="770"/>
      <c r="F10" s="770"/>
      <c r="G10" s="483">
        <f>SUM(G4:G9)</f>
        <v>10297940</v>
      </c>
      <c r="H10" s="483">
        <f>SUM(H4:H9)</f>
        <v>826744</v>
      </c>
      <c r="I10" s="483">
        <f>SUM(I4:I9)</f>
        <v>315818.33424657537</v>
      </c>
      <c r="J10" s="483">
        <f>SUM(J4:J9)</f>
        <v>9155377.6657534242</v>
      </c>
      <c r="K10" s="492">
        <f>SUM(K4:K9)</f>
        <v>915537.76657534251</v>
      </c>
    </row>
    <row r="11" spans="1:12" ht="13.5" thickTop="1" x14ac:dyDescent="0.2">
      <c r="G11" s="461"/>
      <c r="K11" s="446"/>
    </row>
  </sheetData>
  <mergeCells count="2">
    <mergeCell ref="A2:K2"/>
    <mergeCell ref="A10:F10"/>
  </mergeCells>
  <pageMargins left="0.7" right="0.7" top="0.75" bottom="0.75" header="0.3" footer="0.3"/>
  <pageSetup scale="60" orientation="landscape" r:id="rId1"/>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90B13-6AF7-4B35-9A95-43F6BCAF7097}">
  <sheetPr>
    <pageSetUpPr fitToPage="1"/>
  </sheetPr>
  <dimension ref="A1:O54"/>
  <sheetViews>
    <sheetView showGridLines="0" view="pageBreakPreview" topLeftCell="A9" zoomScaleSheetLayoutView="100" workbookViewId="0">
      <selection activeCell="E30" sqref="E30"/>
    </sheetView>
  </sheetViews>
  <sheetFormatPr defaultColWidth="8.85546875" defaultRowHeight="12.75" x14ac:dyDescent="0.2"/>
  <cols>
    <col min="1" max="1" width="36.85546875" style="305" bestFit="1" customWidth="1"/>
    <col min="2" max="2" width="16.7109375" style="305" customWidth="1"/>
    <col min="3" max="3" width="15.28515625" style="305" bestFit="1" customWidth="1"/>
    <col min="4" max="4" width="15.85546875" style="305" customWidth="1"/>
    <col min="5" max="5" width="16.85546875" style="305" bestFit="1" customWidth="1"/>
    <col min="6" max="8" width="15.85546875" style="305" customWidth="1"/>
    <col min="9" max="9" width="19.7109375" style="305" customWidth="1"/>
    <col min="10" max="10" width="16.7109375" style="305" customWidth="1"/>
    <col min="11" max="11" width="17.28515625" style="305" bestFit="1" customWidth="1"/>
    <col min="12" max="14" width="15.28515625" style="305" bestFit="1" customWidth="1"/>
    <col min="15" max="16384" width="8.85546875" style="305"/>
  </cols>
  <sheetData>
    <row r="1" spans="1:15" ht="15.6" customHeight="1" x14ac:dyDescent="0.2">
      <c r="A1" s="771" t="s">
        <v>651</v>
      </c>
      <c r="B1" s="771"/>
      <c r="C1" s="771"/>
      <c r="D1" s="771"/>
      <c r="E1" s="771"/>
      <c r="F1" s="771"/>
      <c r="G1" s="771"/>
      <c r="H1" s="771"/>
      <c r="I1" s="771"/>
      <c r="J1" s="771"/>
      <c r="K1" s="304"/>
      <c r="L1" s="304"/>
      <c r="M1" s="304"/>
      <c r="N1" s="304"/>
      <c r="O1" s="304"/>
    </row>
    <row r="2" spans="1:15" ht="15.6" customHeight="1" x14ac:dyDescent="0.2">
      <c r="A2" s="771"/>
      <c r="B2" s="771"/>
      <c r="C2" s="771"/>
      <c r="D2" s="771"/>
      <c r="E2" s="771"/>
      <c r="F2" s="771"/>
      <c r="G2" s="771"/>
      <c r="H2" s="771"/>
      <c r="I2" s="771"/>
      <c r="J2" s="771"/>
      <c r="K2" s="304"/>
      <c r="L2" s="304"/>
      <c r="M2" s="304"/>
      <c r="N2" s="304"/>
      <c r="O2" s="304"/>
    </row>
    <row r="3" spans="1:15" x14ac:dyDescent="0.2">
      <c r="A3" s="306"/>
      <c r="B3" s="306"/>
      <c r="C3" s="306"/>
    </row>
    <row r="4" spans="1:15" x14ac:dyDescent="0.2">
      <c r="A4" s="307" t="s">
        <v>348</v>
      </c>
      <c r="B4" s="772" t="s">
        <v>349</v>
      </c>
      <c r="C4" s="773"/>
      <c r="D4" s="773"/>
      <c r="E4" s="774"/>
      <c r="F4" s="772" t="s">
        <v>350</v>
      </c>
      <c r="G4" s="773"/>
      <c r="H4" s="773"/>
      <c r="I4" s="774"/>
      <c r="J4" s="307" t="s">
        <v>2</v>
      </c>
    </row>
    <row r="5" spans="1:15" x14ac:dyDescent="0.2">
      <c r="A5" s="308"/>
      <c r="B5" s="307" t="s">
        <v>358</v>
      </c>
      <c r="C5" s="307" t="s">
        <v>359</v>
      </c>
      <c r="D5" s="307" t="s">
        <v>360</v>
      </c>
      <c r="E5" s="307" t="s">
        <v>2</v>
      </c>
      <c r="F5" s="307" t="s">
        <v>358</v>
      </c>
      <c r="G5" s="307" t="s">
        <v>359</v>
      </c>
      <c r="H5" s="307" t="s">
        <v>360</v>
      </c>
      <c r="I5" s="307" t="s">
        <v>2</v>
      </c>
      <c r="J5" s="479"/>
    </row>
    <row r="6" spans="1:15" x14ac:dyDescent="0.2">
      <c r="A6" s="308"/>
      <c r="B6" s="316">
        <v>8.8900000000000007E-2</v>
      </c>
      <c r="C6" s="316">
        <v>0.89870000000000005</v>
      </c>
      <c r="D6" s="316">
        <v>1.24E-2</v>
      </c>
      <c r="E6" s="316">
        <f>SUM(B6:D6)</f>
        <v>1</v>
      </c>
      <c r="F6" s="316">
        <f>+'Distribution of TDR Amt'!C84</f>
        <v>0.11972314380505662</v>
      </c>
      <c r="G6" s="316">
        <f>+'Distribution of TDR Amt'!C86</f>
        <v>0.43805056629676231</v>
      </c>
      <c r="H6" s="316">
        <f>+'Distribution of TDR Amt'!C85</f>
        <v>0.44222628989818097</v>
      </c>
      <c r="I6" s="316">
        <f>SUM(F6:H6)</f>
        <v>1</v>
      </c>
      <c r="J6" s="308"/>
    </row>
    <row r="7" spans="1:15" x14ac:dyDescent="0.2">
      <c r="A7" s="308"/>
      <c r="B7" s="471"/>
      <c r="C7" s="471"/>
      <c r="D7" s="471"/>
      <c r="E7" s="471"/>
      <c r="F7" s="471"/>
      <c r="G7" s="471"/>
      <c r="H7" s="471"/>
      <c r="I7" s="471"/>
      <c r="J7" s="308"/>
    </row>
    <row r="8" spans="1:15" ht="15" x14ac:dyDescent="0.2">
      <c r="A8" s="472" t="s">
        <v>234</v>
      </c>
      <c r="B8" s="471"/>
      <c r="C8" s="471"/>
      <c r="D8" s="471"/>
      <c r="E8" s="471"/>
      <c r="F8" s="471"/>
      <c r="G8" s="471"/>
      <c r="H8" s="471"/>
      <c r="I8" s="471"/>
      <c r="J8" s="308"/>
    </row>
    <row r="9" spans="1:15" x14ac:dyDescent="0.2">
      <c r="A9" s="297" t="s">
        <v>352</v>
      </c>
      <c r="B9" s="299">
        <f>$B$6*E9</f>
        <v>51772.515200000002</v>
      </c>
      <c r="C9" s="298">
        <f>$C$6*E9</f>
        <v>523374.12160000001</v>
      </c>
      <c r="D9" s="298">
        <f>$D$6*E9</f>
        <v>7221.3631999999998</v>
      </c>
      <c r="E9" s="301">
        <v>582368</v>
      </c>
      <c r="F9" s="299">
        <f>$F$6*I9</f>
        <v>75862.57007207413</v>
      </c>
      <c r="G9" s="299">
        <f>$G$6*I9</f>
        <v>277570.74133394344</v>
      </c>
      <c r="H9" s="299">
        <f>$H$6*I9</f>
        <v>280216.68859398237</v>
      </c>
      <c r="I9" s="301">
        <v>633650</v>
      </c>
      <c r="J9" s="300">
        <f t="shared" ref="J9:J14" si="0">E9+I9</f>
        <v>1216018</v>
      </c>
    </row>
    <row r="10" spans="1:15" x14ac:dyDescent="0.2">
      <c r="A10" s="297" t="s">
        <v>353</v>
      </c>
      <c r="B10" s="299">
        <f t="shared" ref="B10:B14" si="1">$B$6*E10</f>
        <v>922615.31250000012</v>
      </c>
      <c r="C10" s="298">
        <f t="shared" ref="C10:C14" si="2">$C$6*E10</f>
        <v>9326820.9375</v>
      </c>
      <c r="D10" s="298">
        <f t="shared" ref="D10:D14" si="3">$D$6*E10</f>
        <v>128688.75</v>
      </c>
      <c r="E10" s="791">
        <v>10378125</v>
      </c>
      <c r="F10" s="792">
        <f t="shared" ref="F10:F14" si="4">$F$6*I10</f>
        <v>1176160.1647408763</v>
      </c>
      <c r="G10" s="792">
        <f t="shared" ref="G10:G14" si="5">$G$6*I10</f>
        <v>4303408.7632993925</v>
      </c>
      <c r="H10" s="792">
        <f t="shared" ref="H10:H14" si="6">$H$6*I10</f>
        <v>4344431.0719597302</v>
      </c>
      <c r="I10" s="791">
        <v>9824000</v>
      </c>
      <c r="J10" s="793">
        <f t="shared" si="0"/>
        <v>20202125</v>
      </c>
      <c r="K10" s="309"/>
    </row>
    <row r="11" spans="1:15" x14ac:dyDescent="0.2">
      <c r="A11" s="297" t="s">
        <v>354</v>
      </c>
      <c r="B11" s="299">
        <f t="shared" si="1"/>
        <v>2745347.5700000003</v>
      </c>
      <c r="C11" s="298">
        <f t="shared" si="2"/>
        <v>27753024.310000002</v>
      </c>
      <c r="D11" s="298">
        <f t="shared" si="3"/>
        <v>382928.12</v>
      </c>
      <c r="E11" s="791">
        <v>30881300</v>
      </c>
      <c r="F11" s="792">
        <f t="shared" si="4"/>
        <v>2900173.4355336917</v>
      </c>
      <c r="G11" s="792">
        <f t="shared" si="5"/>
        <v>10611336.91797277</v>
      </c>
      <c r="H11" s="792">
        <f t="shared" si="6"/>
        <v>10712489.646493535</v>
      </c>
      <c r="I11" s="791">
        <v>24224000</v>
      </c>
      <c r="J11" s="793">
        <f t="shared" si="0"/>
        <v>55105300</v>
      </c>
    </row>
    <row r="12" spans="1:15" x14ac:dyDescent="0.2">
      <c r="A12" s="297" t="s">
        <v>355</v>
      </c>
      <c r="B12" s="299">
        <f t="shared" si="1"/>
        <v>0</v>
      </c>
      <c r="C12" s="298">
        <f t="shared" si="2"/>
        <v>0</v>
      </c>
      <c r="D12" s="298">
        <f t="shared" si="3"/>
        <v>0</v>
      </c>
      <c r="E12" s="791">
        <v>0</v>
      </c>
      <c r="F12" s="792">
        <f t="shared" si="4"/>
        <v>4752167.7539755171</v>
      </c>
      <c r="G12" s="792">
        <f t="shared" si="5"/>
        <v>17387530.17675323</v>
      </c>
      <c r="H12" s="792">
        <f t="shared" si="6"/>
        <v>17553277.069271252</v>
      </c>
      <c r="I12" s="791">
        <v>39692975</v>
      </c>
      <c r="J12" s="793">
        <f t="shared" si="0"/>
        <v>39692975</v>
      </c>
    </row>
    <row r="13" spans="1:15" x14ac:dyDescent="0.2">
      <c r="A13" s="297" t="s">
        <v>356</v>
      </c>
      <c r="B13" s="299">
        <f t="shared" si="1"/>
        <v>604733.3600000001</v>
      </c>
      <c r="C13" s="298">
        <f t="shared" si="2"/>
        <v>6113316.8800000008</v>
      </c>
      <c r="D13" s="298">
        <f t="shared" si="3"/>
        <v>84349.759999999995</v>
      </c>
      <c r="E13" s="791">
        <v>6802400</v>
      </c>
      <c r="F13" s="792">
        <f t="shared" si="4"/>
        <v>0</v>
      </c>
      <c r="G13" s="792">
        <f t="shared" si="5"/>
        <v>0</v>
      </c>
      <c r="H13" s="792">
        <f t="shared" si="6"/>
        <v>0</v>
      </c>
      <c r="I13" s="791">
        <v>0</v>
      </c>
      <c r="J13" s="793">
        <f t="shared" si="0"/>
        <v>6802400</v>
      </c>
    </row>
    <row r="14" spans="1:15" x14ac:dyDescent="0.2">
      <c r="A14" s="297" t="s">
        <v>647</v>
      </c>
      <c r="B14" s="299">
        <f t="shared" si="1"/>
        <v>575786.8088</v>
      </c>
      <c r="C14" s="298">
        <f t="shared" si="2"/>
        <v>5820692.9704</v>
      </c>
      <c r="D14" s="298">
        <f t="shared" si="3"/>
        <v>80312.220799999996</v>
      </c>
      <c r="E14" s="791">
        <v>6476792</v>
      </c>
      <c r="F14" s="792">
        <f t="shared" si="4"/>
        <v>319963.09489760897</v>
      </c>
      <c r="G14" s="792">
        <f t="shared" si="5"/>
        <v>1170701.0896922548</v>
      </c>
      <c r="H14" s="792">
        <f t="shared" si="6"/>
        <v>1181860.815410136</v>
      </c>
      <c r="I14" s="791">
        <v>2672525</v>
      </c>
      <c r="J14" s="793">
        <f t="shared" si="0"/>
        <v>9149317</v>
      </c>
    </row>
    <row r="15" spans="1:15" x14ac:dyDescent="0.2">
      <c r="A15" s="297"/>
      <c r="B15" s="299"/>
      <c r="C15" s="298"/>
      <c r="D15" s="298"/>
      <c r="E15" s="791"/>
      <c r="F15" s="792"/>
      <c r="G15" s="792"/>
      <c r="H15" s="792"/>
      <c r="I15" s="791"/>
      <c r="J15" s="793"/>
    </row>
    <row r="16" spans="1:15" ht="15" x14ac:dyDescent="0.2">
      <c r="A16" s="472" t="s">
        <v>645</v>
      </c>
      <c r="B16" s="299"/>
      <c r="C16" s="298"/>
      <c r="D16" s="298"/>
      <c r="E16" s="791"/>
      <c r="F16" s="792"/>
      <c r="G16" s="792"/>
      <c r="H16" s="792"/>
      <c r="I16" s="791"/>
      <c r="J16" s="793"/>
      <c r="L16" s="616" t="s">
        <v>712</v>
      </c>
      <c r="M16" s="616" t="s">
        <v>713</v>
      </c>
    </row>
    <row r="17" spans="1:14" x14ac:dyDescent="0.2">
      <c r="A17" s="297" t="s">
        <v>646</v>
      </c>
      <c r="B17" s="299">
        <f t="shared" ref="B17:B23" si="7">$B$6*E17</f>
        <v>27264010.242000002</v>
      </c>
      <c r="C17" s="298">
        <f t="shared" ref="C17:C23" si="8">$C$6*E17</f>
        <v>275614915.68599999</v>
      </c>
      <c r="D17" s="298">
        <f t="shared" ref="D17:D23" si="9">$D$6*E17</f>
        <v>3802854.0719999997</v>
      </c>
      <c r="E17" s="791">
        <f>+'Trial Balance_16.04'!E109</f>
        <v>306681780</v>
      </c>
      <c r="F17" s="792">
        <f t="shared" ref="F17:F27" si="10">$F$6*I17</f>
        <v>14256503.261926552</v>
      </c>
      <c r="G17" s="792">
        <f t="shared" ref="G17:G27" si="11">$G$6*I17</f>
        <v>52162590.530259684</v>
      </c>
      <c r="H17" s="792">
        <f t="shared" ref="H17:H27" si="12">$H$6*I17</f>
        <v>52659831.207813747</v>
      </c>
      <c r="I17" s="791">
        <f>+'Trial Balance_16.04'!C98</f>
        <v>119078925</v>
      </c>
      <c r="J17" s="793">
        <f t="shared" ref="J17:J27" si="13">E17+I17</f>
        <v>425760705</v>
      </c>
      <c r="L17" s="305">
        <f>+E17+E12</f>
        <v>306681780</v>
      </c>
      <c r="M17" s="305">
        <f>+I17+I12</f>
        <v>158771900</v>
      </c>
    </row>
    <row r="18" spans="1:14" x14ac:dyDescent="0.2">
      <c r="A18" s="297" t="s">
        <v>732</v>
      </c>
      <c r="B18" s="299">
        <f t="shared" si="7"/>
        <v>1476273.4000000001</v>
      </c>
      <c r="C18" s="298">
        <f t="shared" si="8"/>
        <v>14923812.200000001</v>
      </c>
      <c r="D18" s="298">
        <f t="shared" si="9"/>
        <v>205914.4</v>
      </c>
      <c r="E18" s="791">
        <f>+'Trial Balance_16.04'!C173</f>
        <v>16606000</v>
      </c>
      <c r="F18" s="792">
        <f t="shared" si="10"/>
        <v>853027.39961102849</v>
      </c>
      <c r="G18" s="792">
        <f t="shared" si="11"/>
        <v>3121110.2848644312</v>
      </c>
      <c r="H18" s="792">
        <f t="shared" si="12"/>
        <v>3150862.3155245394</v>
      </c>
      <c r="I18" s="791">
        <f>'Trial Balance_16.04'!$B$175</f>
        <v>7125000</v>
      </c>
      <c r="J18" s="793">
        <f t="shared" si="13"/>
        <v>23731000</v>
      </c>
    </row>
    <row r="19" spans="1:14" x14ac:dyDescent="0.2">
      <c r="A19" s="297" t="s">
        <v>740</v>
      </c>
      <c r="B19" s="299">
        <f t="shared" si="7"/>
        <v>2191486.7016000003</v>
      </c>
      <c r="C19" s="298">
        <f t="shared" si="8"/>
        <v>22153983.112800002</v>
      </c>
      <c r="D19" s="298">
        <f t="shared" si="9"/>
        <v>305674.18559999997</v>
      </c>
      <c r="E19" s="791">
        <f>+'Trial Balance_16.04'!E111</f>
        <v>24651144</v>
      </c>
      <c r="F19" s="792">
        <f t="shared" si="10"/>
        <v>3544260.6031918544</v>
      </c>
      <c r="G19" s="792">
        <f t="shared" si="11"/>
        <v>12967963.544788923</v>
      </c>
      <c r="H19" s="792">
        <f t="shared" si="12"/>
        <v>13091580.852019219</v>
      </c>
      <c r="I19" s="791">
        <f>'Trial Balance_16.04'!$E$99</f>
        <v>29603805</v>
      </c>
      <c r="J19" s="793">
        <f t="shared" si="13"/>
        <v>54254949</v>
      </c>
      <c r="L19" s="305">
        <f>+E19</f>
        <v>24651144</v>
      </c>
      <c r="M19" s="305">
        <f>+I19</f>
        <v>29603805</v>
      </c>
    </row>
    <row r="20" spans="1:14" x14ac:dyDescent="0.2">
      <c r="A20" s="297" t="s">
        <v>741</v>
      </c>
      <c r="B20" s="299">
        <f t="shared" si="7"/>
        <v>6121.9207000000006</v>
      </c>
      <c r="C20" s="298">
        <f t="shared" si="8"/>
        <v>61887.178100000005</v>
      </c>
      <c r="D20" s="298">
        <f t="shared" si="9"/>
        <v>853.90120000000002</v>
      </c>
      <c r="E20" s="791">
        <f>+'Trial Balance_16.04'!E110+'Trial Balance_16.04'!E112</f>
        <v>68863</v>
      </c>
      <c r="F20" s="792">
        <f t="shared" si="10"/>
        <v>118789.5427296648</v>
      </c>
      <c r="G20" s="792">
        <f t="shared" si="11"/>
        <v>434634.64798078017</v>
      </c>
      <c r="H20" s="792">
        <f t="shared" si="12"/>
        <v>438777.80928955495</v>
      </c>
      <c r="I20" s="791">
        <f>+'Trial Balance_16.04'!E100</f>
        <v>992202</v>
      </c>
      <c r="J20" s="793">
        <f t="shared" si="13"/>
        <v>1061065</v>
      </c>
      <c r="L20" s="305">
        <f>+E20</f>
        <v>68863</v>
      </c>
      <c r="M20" s="305">
        <f>+I20</f>
        <v>992202</v>
      </c>
    </row>
    <row r="21" spans="1:14" x14ac:dyDescent="0.2">
      <c r="A21" s="297" t="s">
        <v>742</v>
      </c>
      <c r="B21" s="299">
        <f t="shared" si="7"/>
        <v>2631.44</v>
      </c>
      <c r="C21" s="298">
        <f t="shared" si="8"/>
        <v>26601.52</v>
      </c>
      <c r="D21" s="298">
        <f t="shared" si="9"/>
        <v>367.03999999999996</v>
      </c>
      <c r="E21" s="791">
        <f>+'Trial Balance_16.04'!C113</f>
        <v>29600</v>
      </c>
      <c r="F21" s="792">
        <f t="shared" si="10"/>
        <v>3543.8050566296761</v>
      </c>
      <c r="G21" s="792">
        <f t="shared" si="11"/>
        <v>12966.296762384165</v>
      </c>
      <c r="H21" s="792">
        <f t="shared" si="12"/>
        <v>13089.898180986156</v>
      </c>
      <c r="I21" s="791">
        <f>+'Trial Balance_16.04'!C101</f>
        <v>29600</v>
      </c>
      <c r="J21" s="793">
        <f t="shared" si="13"/>
        <v>59200</v>
      </c>
      <c r="L21" s="305">
        <f>+E21+E10</f>
        <v>10407725</v>
      </c>
      <c r="M21" s="305">
        <f>+I21+I10</f>
        <v>9853600</v>
      </c>
    </row>
    <row r="22" spans="1:14" x14ac:dyDescent="0.2">
      <c r="A22" s="297" t="s">
        <v>743</v>
      </c>
      <c r="B22" s="299">
        <f t="shared" si="7"/>
        <v>104724.20000000001</v>
      </c>
      <c r="C22" s="298">
        <f t="shared" si="8"/>
        <v>1058668.6000000001</v>
      </c>
      <c r="D22" s="298">
        <f t="shared" si="9"/>
        <v>14607.199999999999</v>
      </c>
      <c r="E22" s="791">
        <f>'Trial Balance_16.04'!$E$114</f>
        <v>1178000</v>
      </c>
      <c r="F22" s="792">
        <f t="shared" si="10"/>
        <v>121159.82153071731</v>
      </c>
      <c r="G22" s="792">
        <f t="shared" si="11"/>
        <v>443307.17309232347</v>
      </c>
      <c r="H22" s="792">
        <f t="shared" si="12"/>
        <v>447533.00537695916</v>
      </c>
      <c r="I22" s="791">
        <f>+'Trial Balance_16.04'!E102</f>
        <v>1012000</v>
      </c>
      <c r="J22" s="793">
        <f t="shared" si="13"/>
        <v>2190000</v>
      </c>
      <c r="L22" s="305">
        <f>+E22</f>
        <v>1178000</v>
      </c>
      <c r="M22" s="305">
        <f>+I22</f>
        <v>1012000</v>
      </c>
    </row>
    <row r="23" spans="1:14" x14ac:dyDescent="0.2">
      <c r="A23" s="297" t="s">
        <v>744</v>
      </c>
      <c r="B23" s="299">
        <f t="shared" si="7"/>
        <v>45227.875</v>
      </c>
      <c r="C23" s="298">
        <f t="shared" si="8"/>
        <v>457213.625</v>
      </c>
      <c r="D23" s="298">
        <f t="shared" si="9"/>
        <v>6308.5</v>
      </c>
      <c r="E23" s="791">
        <f>'Trial Balance_16.04'!$C$115</f>
        <v>508750</v>
      </c>
      <c r="F23" s="792">
        <f t="shared" si="10"/>
        <v>119723.14380505662</v>
      </c>
      <c r="G23" s="792">
        <f t="shared" si="11"/>
        <v>438050.56629676232</v>
      </c>
      <c r="H23" s="792">
        <f t="shared" si="12"/>
        <v>442226.28989818098</v>
      </c>
      <c r="I23" s="791">
        <f>+'Trial Balance_16.04'!C103</f>
        <v>1000000</v>
      </c>
      <c r="J23" s="793">
        <f t="shared" si="13"/>
        <v>1508750</v>
      </c>
      <c r="L23" s="305">
        <f>+E23+E9</f>
        <v>1091118</v>
      </c>
      <c r="M23" s="305">
        <f>+I23+I9</f>
        <v>1633650</v>
      </c>
    </row>
    <row r="24" spans="1:14" x14ac:dyDescent="0.2">
      <c r="A24" s="297" t="s">
        <v>745</v>
      </c>
      <c r="B24" s="299"/>
      <c r="C24" s="298"/>
      <c r="D24" s="298"/>
      <c r="E24" s="791"/>
      <c r="F24" s="792">
        <f t="shared" si="10"/>
        <v>122023.76408934905</v>
      </c>
      <c r="G24" s="792">
        <f t="shared" si="11"/>
        <v>446468.22044731717</v>
      </c>
      <c r="H24" s="792">
        <f t="shared" si="12"/>
        <v>450724.18546333374</v>
      </c>
      <c r="I24" s="791">
        <f>+SUM('Trial Balance_16.04'!C97,'Trial Balance_16.04'!C94)</f>
        <v>1019216.17</v>
      </c>
      <c r="J24" s="793">
        <f t="shared" si="13"/>
        <v>1019216.17</v>
      </c>
      <c r="L24" s="305">
        <f>+E24</f>
        <v>0</v>
      </c>
      <c r="M24" s="305">
        <f>+I24</f>
        <v>1019216.17</v>
      </c>
    </row>
    <row r="25" spans="1:14" x14ac:dyDescent="0.2">
      <c r="A25" s="297" t="s">
        <v>747</v>
      </c>
      <c r="B25" s="299"/>
      <c r="C25" s="298"/>
      <c r="D25" s="298"/>
      <c r="E25" s="791"/>
      <c r="F25" s="792">
        <f t="shared" ref="F25:F26" si="14">$F$6*I25</f>
        <v>4190.310033176982</v>
      </c>
      <c r="G25" s="792">
        <f t="shared" ref="G25:G26" si="15">$G$6*I25</f>
        <v>15331.76982038668</v>
      </c>
      <c r="H25" s="792">
        <f t="shared" si="12"/>
        <v>15477.920146436334</v>
      </c>
      <c r="I25" s="791">
        <v>35000</v>
      </c>
      <c r="J25" s="793">
        <f t="shared" si="13"/>
        <v>35000</v>
      </c>
    </row>
    <row r="26" spans="1:14" x14ac:dyDescent="0.2">
      <c r="A26" s="297" t="s">
        <v>748</v>
      </c>
      <c r="B26" s="299"/>
      <c r="C26" s="298"/>
      <c r="D26" s="298"/>
      <c r="E26" s="791"/>
      <c r="F26" s="792">
        <f t="shared" si="14"/>
        <v>110648.12950463333</v>
      </c>
      <c r="G26" s="792">
        <f t="shared" si="15"/>
        <v>404846.33337146771</v>
      </c>
      <c r="H26" s="792">
        <f t="shared" ref="H26" si="16">$H$6*I26</f>
        <v>408705.53712389886</v>
      </c>
      <c r="I26" s="791">
        <f>ROUNDUP(52209357*1.5%*1.18,-2)</f>
        <v>924200</v>
      </c>
      <c r="J26" s="793">
        <f t="shared" si="13"/>
        <v>924200</v>
      </c>
    </row>
    <row r="27" spans="1:14" x14ac:dyDescent="0.2">
      <c r="A27" s="297" t="s">
        <v>746</v>
      </c>
      <c r="B27" s="299"/>
      <c r="C27" s="298"/>
      <c r="D27" s="298"/>
      <c r="E27" s="791"/>
      <c r="F27" s="792">
        <f t="shared" ca="1" si="10"/>
        <v>2408300.6183354305</v>
      </c>
      <c r="G27" s="792">
        <f t="shared" ca="1" si="11"/>
        <v>8811641.7272874936</v>
      </c>
      <c r="H27" s="792">
        <f t="shared" ca="1" si="12"/>
        <v>8895638.8343770728</v>
      </c>
      <c r="I27" s="791">
        <f ca="1">+B53</f>
        <v>20115581.18</v>
      </c>
      <c r="J27" s="793">
        <f t="shared" ca="1" si="13"/>
        <v>20115581.18</v>
      </c>
      <c r="L27" s="305">
        <f>+E27</f>
        <v>0</v>
      </c>
      <c r="M27" s="305">
        <f ca="1">+I27</f>
        <v>20115581.18</v>
      </c>
    </row>
    <row r="28" spans="1:14" ht="13.5" thickBot="1" x14ac:dyDescent="0.25">
      <c r="A28" s="470"/>
      <c r="B28" s="299"/>
      <c r="C28" s="298"/>
      <c r="D28" s="298"/>
      <c r="E28" s="791"/>
      <c r="F28" s="792"/>
      <c r="G28" s="792"/>
      <c r="H28" s="792"/>
      <c r="I28" s="791"/>
      <c r="J28" s="794"/>
      <c r="L28" s="305">
        <f>+E11</f>
        <v>30881300</v>
      </c>
      <c r="M28" s="305">
        <f>+I11</f>
        <v>24224000</v>
      </c>
    </row>
    <row r="29" spans="1:14" ht="13.5" thickBot="1" x14ac:dyDescent="0.25">
      <c r="A29" s="310" t="s">
        <v>2</v>
      </c>
      <c r="B29" s="302">
        <f t="shared" ref="B29:J29" si="17">SUM(B9:B28)</f>
        <v>35990731.345800005</v>
      </c>
      <c r="C29" s="302">
        <f t="shared" si="17"/>
        <v>363834311.14139998</v>
      </c>
      <c r="D29" s="302">
        <f t="shared" si="17"/>
        <v>5020079.5128000006</v>
      </c>
      <c r="E29" s="795">
        <f t="shared" si="17"/>
        <v>404845122</v>
      </c>
      <c r="F29" s="796">
        <f ca="1">SUM(F9:F28)</f>
        <v>30886497.419033859</v>
      </c>
      <c r="G29" s="796">
        <f ca="1">SUM(G9:G28)</f>
        <v>113009458.78402352</v>
      </c>
      <c r="H29" s="796">
        <f ca="1">SUM(H9:H28)</f>
        <v>114086723.14694259</v>
      </c>
      <c r="I29" s="795">
        <f ca="1">SUM(I9:I28)</f>
        <v>257982679.34999999</v>
      </c>
      <c r="J29" s="795">
        <f ca="1">SUM(J9:J28)</f>
        <v>662827801.3499999</v>
      </c>
      <c r="L29" s="305">
        <f>+E14</f>
        <v>6476792</v>
      </c>
      <c r="M29" s="305">
        <f>+I14</f>
        <v>2672525</v>
      </c>
    </row>
    <row r="30" spans="1:14" x14ac:dyDescent="0.2">
      <c r="A30" s="312"/>
      <c r="B30" s="312"/>
      <c r="C30" s="312"/>
      <c r="E30" s="675"/>
      <c r="F30" s="675"/>
      <c r="G30" s="675"/>
      <c r="H30" s="675"/>
      <c r="I30" s="675"/>
      <c r="J30" s="675"/>
      <c r="L30" s="305">
        <f>+E13</f>
        <v>6802400</v>
      </c>
    </row>
    <row r="31" spans="1:14" ht="13.5" thickBot="1" x14ac:dyDescent="0.25">
      <c r="A31" s="313" t="s">
        <v>351</v>
      </c>
      <c r="B31" s="313"/>
      <c r="C31" s="313"/>
      <c r="D31" s="306">
        <v>89240757</v>
      </c>
      <c r="E31" s="797"/>
      <c r="F31" s="797"/>
      <c r="G31" s="797"/>
      <c r="H31" s="797"/>
      <c r="I31" s="798">
        <f>36819000+16500000+221709</f>
        <v>53540709</v>
      </c>
      <c r="J31" s="799">
        <f>SUM(D31:I31)</f>
        <v>142781466</v>
      </c>
      <c r="L31" s="617">
        <f>SUM(L17:L30)</f>
        <v>388239122</v>
      </c>
      <c r="M31" s="617">
        <f ca="1">SUM(M17:M30)</f>
        <v>249898479.34999999</v>
      </c>
      <c r="N31" s="305">
        <f ca="1">SUM(L31:M31)</f>
        <v>638137601.35000002</v>
      </c>
    </row>
    <row r="32" spans="1:14" ht="6.75" customHeight="1" thickTop="1" x14ac:dyDescent="0.2">
      <c r="A32" s="309"/>
      <c r="B32" s="309"/>
      <c r="C32" s="309"/>
      <c r="E32" s="675"/>
      <c r="F32" s="675"/>
      <c r="G32" s="675"/>
      <c r="H32" s="675"/>
      <c r="I32" s="675"/>
      <c r="J32" s="675"/>
    </row>
    <row r="33" spans="1:10" ht="5.25" customHeight="1" x14ac:dyDescent="0.2">
      <c r="E33" s="675"/>
      <c r="F33" s="675"/>
      <c r="G33" s="675"/>
      <c r="H33" s="675"/>
      <c r="I33" s="798"/>
      <c r="J33" s="675"/>
    </row>
    <row r="34" spans="1:10" x14ac:dyDescent="0.2">
      <c r="A34" s="314" t="s">
        <v>362</v>
      </c>
      <c r="B34" s="314" t="s">
        <v>366</v>
      </c>
      <c r="E34" s="675"/>
      <c r="F34" s="675"/>
      <c r="G34" s="675"/>
      <c r="H34" s="675"/>
      <c r="I34" s="675"/>
      <c r="J34" s="675"/>
    </row>
    <row r="35" spans="1:10" x14ac:dyDescent="0.2">
      <c r="A35" s="305" t="s">
        <v>363</v>
      </c>
      <c r="B35" s="305">
        <f ca="1">B29+F29</f>
        <v>66762390.325296059</v>
      </c>
      <c r="C35" s="314"/>
      <c r="E35" s="675"/>
      <c r="F35" s="675"/>
      <c r="G35" s="675"/>
      <c r="H35" s="675"/>
      <c r="I35" s="675"/>
      <c r="J35" s="675"/>
    </row>
    <row r="36" spans="1:10" x14ac:dyDescent="0.2">
      <c r="A36" s="315" t="s">
        <v>364</v>
      </c>
      <c r="B36" s="305">
        <f ca="1">C29+G29</f>
        <v>476423591.82223165</v>
      </c>
      <c r="E36" s="675"/>
      <c r="F36" s="675"/>
      <c r="G36" s="675"/>
      <c r="H36" s="675"/>
      <c r="I36" s="675"/>
      <c r="J36" s="675"/>
    </row>
    <row r="37" spans="1:10" x14ac:dyDescent="0.2">
      <c r="A37" s="315" t="s">
        <v>365</v>
      </c>
      <c r="B37" s="305">
        <f ca="1">D29+H29</f>
        <v>118682619.20247227</v>
      </c>
      <c r="E37" s="675"/>
      <c r="F37" s="675"/>
      <c r="G37" s="675"/>
      <c r="H37" s="675"/>
      <c r="I37" s="675"/>
      <c r="J37" s="675"/>
    </row>
    <row r="38" spans="1:10" x14ac:dyDescent="0.2">
      <c r="A38" s="315"/>
      <c r="B38" s="330">
        <f ca="1">SUM(B35:B37)</f>
        <v>661868601.3499999</v>
      </c>
      <c r="D38" s="305">
        <f ca="1">+B38-J29</f>
        <v>-959200</v>
      </c>
      <c r="E38" s="675"/>
      <c r="F38" s="675"/>
      <c r="G38" s="675"/>
      <c r="H38" s="675"/>
      <c r="I38" s="675"/>
      <c r="J38" s="675"/>
    </row>
    <row r="39" spans="1:10" x14ac:dyDescent="0.2">
      <c r="E39" s="675"/>
      <c r="F39" s="675"/>
      <c r="G39" s="675"/>
      <c r="H39" s="675"/>
      <c r="I39" s="675"/>
      <c r="J39" s="675"/>
    </row>
    <row r="40" spans="1:10" ht="15" x14ac:dyDescent="0.35">
      <c r="A40" s="475" t="s">
        <v>648</v>
      </c>
      <c r="E40" s="675"/>
      <c r="F40" s="675"/>
      <c r="G40" s="800"/>
      <c r="H40" s="675"/>
      <c r="I40" s="675"/>
      <c r="J40" s="675"/>
    </row>
    <row r="41" spans="1:10" x14ac:dyDescent="0.2">
      <c r="A41" s="305" t="s">
        <v>490</v>
      </c>
      <c r="B41" s="498">
        <f>+'Trial Balance_16.04'!E131</f>
        <v>677965.5</v>
      </c>
      <c r="E41" s="675"/>
      <c r="F41" s="675"/>
      <c r="G41" s="675"/>
      <c r="H41" s="675"/>
      <c r="I41" s="675"/>
      <c r="J41" s="675"/>
    </row>
    <row r="42" spans="1:10" x14ac:dyDescent="0.2">
      <c r="A42" s="305" t="s">
        <v>491</v>
      </c>
      <c r="B42" s="498">
        <f>+'Trial Balance_16.04'!E132</f>
        <v>82000</v>
      </c>
      <c r="E42" s="675"/>
      <c r="F42" s="675"/>
      <c r="G42" s="675"/>
      <c r="H42" s="675"/>
      <c r="I42" s="675"/>
      <c r="J42" s="675"/>
    </row>
    <row r="43" spans="1:10" x14ac:dyDescent="0.2">
      <c r="A43" s="305" t="s">
        <v>492</v>
      </c>
      <c r="B43" s="498">
        <f>+'Trial Balance_16.04'!E133</f>
        <v>3405072</v>
      </c>
      <c r="E43" s="675"/>
      <c r="F43" s="675"/>
      <c r="G43" s="675"/>
      <c r="H43" s="675"/>
      <c r="I43" s="675"/>
      <c r="J43" s="675"/>
    </row>
    <row r="44" spans="1:10" x14ac:dyDescent="0.2">
      <c r="A44" s="305" t="s">
        <v>493</v>
      </c>
      <c r="B44" s="498">
        <f>+'Trial Balance_16.04'!E134</f>
        <v>624594.68000000005</v>
      </c>
      <c r="D44" s="305">
        <f ca="1">+B53-I27</f>
        <v>0</v>
      </c>
    </row>
    <row r="45" spans="1:10" x14ac:dyDescent="0.2">
      <c r="A45" s="305" t="s">
        <v>494</v>
      </c>
      <c r="B45" s="498">
        <f>+'Trial Balance_16.04'!E135</f>
        <v>243600</v>
      </c>
    </row>
    <row r="46" spans="1:10" x14ac:dyDescent="0.2">
      <c r="A46" s="305" t="s">
        <v>495</v>
      </c>
      <c r="B46" s="498">
        <f>+'Trial Balance_16.04'!E136</f>
        <v>103500</v>
      </c>
    </row>
    <row r="47" spans="1:10" x14ac:dyDescent="0.2">
      <c r="A47" s="305" t="s">
        <v>496</v>
      </c>
      <c r="B47" s="498">
        <f>+'Trial Balance_16.04'!E137</f>
        <v>13786250</v>
      </c>
    </row>
    <row r="48" spans="1:10" ht="13.5" thickBot="1" x14ac:dyDescent="0.25">
      <c r="B48" s="476">
        <f>SUM(B41:B47)</f>
        <v>18922982.18</v>
      </c>
    </row>
    <row r="49" spans="1:2" ht="13.5" thickTop="1" x14ac:dyDescent="0.2">
      <c r="A49" s="305" t="s">
        <v>500</v>
      </c>
      <c r="B49" s="675">
        <f>+'Trial Balance_16.04'!E142</f>
        <v>179499</v>
      </c>
    </row>
    <row r="50" spans="1:2" x14ac:dyDescent="0.2">
      <c r="A50" s="305" t="s">
        <v>649</v>
      </c>
      <c r="B50" s="675">
        <f>+'Trial Balance_16.04'!E143</f>
        <v>1000000</v>
      </c>
    </row>
    <row r="51" spans="1:2" x14ac:dyDescent="0.2">
      <c r="A51" s="305" t="s">
        <v>506</v>
      </c>
      <c r="B51" s="675">
        <f>+'Trial Balance_16.04'!E150</f>
        <v>13100</v>
      </c>
    </row>
    <row r="52" spans="1:2" ht="38.25" x14ac:dyDescent="0.2">
      <c r="A52" s="477" t="s">
        <v>650</v>
      </c>
      <c r="B52" s="676">
        <f>+'Trial Balance_16.04'!E128*0</f>
        <v>0</v>
      </c>
    </row>
    <row r="53" spans="1:2" ht="13.5" thickBot="1" x14ac:dyDescent="0.25">
      <c r="A53" s="478" t="s">
        <v>2</v>
      </c>
      <c r="B53" s="476">
        <f ca="1">SUM(B48:B53)</f>
        <v>20115581.18</v>
      </c>
    </row>
    <row r="54" spans="1:2" ht="13.5" thickTop="1" x14ac:dyDescent="0.2"/>
  </sheetData>
  <mergeCells count="3">
    <mergeCell ref="A1:J2"/>
    <mergeCell ref="B4:E4"/>
    <mergeCell ref="F4:I4"/>
  </mergeCells>
  <pageMargins left="0.70866141732283472" right="0.70866141732283472" top="0.74803149606299213" bottom="0.74803149606299213" header="0.31496062992125984" footer="0.31496062992125984"/>
  <pageSetup paperSize="9" scale="72" fitToHeight="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F75F-54D9-48F0-8846-8BAA999E58B0}">
  <dimension ref="A1:H88"/>
  <sheetViews>
    <sheetView view="pageBreakPreview" zoomScale="85" zoomScaleNormal="100" zoomScaleSheetLayoutView="85" workbookViewId="0"/>
  </sheetViews>
  <sheetFormatPr defaultRowHeight="12.75" x14ac:dyDescent="0.2"/>
  <cols>
    <col min="2" max="2" width="53.28515625" bestFit="1" customWidth="1"/>
    <col min="3" max="3" width="18.7109375" customWidth="1"/>
    <col min="4" max="4" width="19.7109375" customWidth="1"/>
    <col min="5" max="5" width="15.5703125" bestFit="1" customWidth="1"/>
    <col min="6" max="6" width="16.42578125" bestFit="1" customWidth="1"/>
    <col min="7" max="7" width="10.42578125" bestFit="1" customWidth="1"/>
    <col min="8" max="8" width="14.7109375" bestFit="1" customWidth="1"/>
  </cols>
  <sheetData>
    <row r="1" spans="1:8" ht="13.5" thickBot="1" x14ac:dyDescent="0.25"/>
    <row r="2" spans="1:8" x14ac:dyDescent="0.2">
      <c r="A2" s="689" t="s">
        <v>654</v>
      </c>
      <c r="B2" s="690"/>
      <c r="C2" s="690"/>
      <c r="D2" s="690"/>
      <c r="E2" s="690"/>
      <c r="F2" s="691"/>
    </row>
    <row r="3" spans="1:8" x14ac:dyDescent="0.2">
      <c r="A3" s="692" t="s">
        <v>722</v>
      </c>
      <c r="B3" s="496"/>
      <c r="C3" s="496"/>
      <c r="D3" s="496"/>
      <c r="E3" s="496"/>
      <c r="F3" s="693"/>
    </row>
    <row r="4" spans="1:8" x14ac:dyDescent="0.2">
      <c r="A4" s="694" t="s">
        <v>599</v>
      </c>
      <c r="B4" s="703" t="s">
        <v>0</v>
      </c>
      <c r="C4" s="494" t="s">
        <v>653</v>
      </c>
      <c r="D4" s="495"/>
      <c r="E4" s="495"/>
      <c r="F4" s="695"/>
    </row>
    <row r="5" spans="1:8" ht="13.5" thickBot="1" x14ac:dyDescent="0.25">
      <c r="A5" s="696"/>
      <c r="B5" s="500"/>
      <c r="C5" s="501" t="s">
        <v>652</v>
      </c>
      <c r="D5" s="501" t="s">
        <v>359</v>
      </c>
      <c r="E5" s="501" t="s">
        <v>358</v>
      </c>
      <c r="F5" s="697" t="s">
        <v>2</v>
      </c>
    </row>
    <row r="6" spans="1:8" ht="26.25" hidden="1" thickBot="1" x14ac:dyDescent="0.25">
      <c r="A6" s="506">
        <v>1</v>
      </c>
      <c r="B6" s="507" t="s">
        <v>655</v>
      </c>
      <c r="C6" s="508"/>
      <c r="D6" s="508"/>
      <c r="E6" s="508"/>
      <c r="F6" s="509"/>
    </row>
    <row r="7" spans="1:8" ht="13.5" hidden="1" thickBot="1" x14ac:dyDescent="0.25">
      <c r="A7" s="510"/>
      <c r="B7" s="502" t="s">
        <v>665</v>
      </c>
      <c r="C7" s="503">
        <f>+D85</f>
        <v>5.3687500000000004</v>
      </c>
      <c r="D7" s="503">
        <f>+D86</f>
        <v>5.3180555555555555</v>
      </c>
      <c r="E7" s="503">
        <f>+D84</f>
        <v>1.4534722222222223</v>
      </c>
      <c r="F7" s="511">
        <f>SUM(C7:E7)</f>
        <v>12.140277777777778</v>
      </c>
    </row>
    <row r="8" spans="1:8" ht="13.5" hidden="1" thickBot="1" x14ac:dyDescent="0.25">
      <c r="A8" s="510"/>
      <c r="B8" s="502" t="s">
        <v>656</v>
      </c>
      <c r="C8" s="504">
        <f>+C7/$F$7</f>
        <v>0.44222628989818102</v>
      </c>
      <c r="D8" s="504">
        <f t="shared" ref="D8:E8" si="0">+D7/$F$7</f>
        <v>0.43805056629676237</v>
      </c>
      <c r="E8" s="504">
        <f t="shared" si="0"/>
        <v>0.11972314380505664</v>
      </c>
      <c r="F8" s="512">
        <f>SUM(C8:E8)</f>
        <v>1</v>
      </c>
    </row>
    <row r="9" spans="1:8" ht="13.5" hidden="1" thickBot="1" x14ac:dyDescent="0.25">
      <c r="A9" s="513"/>
      <c r="B9" s="514" t="s">
        <v>664</v>
      </c>
      <c r="C9" s="515">
        <f>241759612*C8</f>
        <v>106912456.26198377</v>
      </c>
      <c r="D9" s="515">
        <f t="shared" ref="D9:E9" si="1">241759612*D8</f>
        <v>105902934.94428554</v>
      </c>
      <c r="E9" s="515">
        <f t="shared" si="1"/>
        <v>28944220.793730695</v>
      </c>
      <c r="F9" s="516">
        <f>SUM(C9:E9)</f>
        <v>241759612.00000003</v>
      </c>
    </row>
    <row r="10" spans="1:8" ht="13.5" hidden="1" thickBot="1" x14ac:dyDescent="0.25">
      <c r="A10" s="698"/>
      <c r="B10" s="520"/>
      <c r="C10" s="520"/>
      <c r="D10" s="520"/>
      <c r="E10" s="520"/>
      <c r="F10" s="699"/>
    </row>
    <row r="11" spans="1:8" x14ac:dyDescent="0.2">
      <c r="A11" s="506"/>
      <c r="B11" s="507"/>
      <c r="C11" s="508"/>
      <c r="D11" s="508"/>
      <c r="E11" s="508"/>
      <c r="F11" s="509"/>
    </row>
    <row r="12" spans="1:8" x14ac:dyDescent="0.2">
      <c r="A12" s="510"/>
      <c r="B12" s="502" t="s">
        <v>721</v>
      </c>
      <c r="C12" s="503">
        <f>+C7</f>
        <v>5.3687500000000004</v>
      </c>
      <c r="D12" s="503">
        <f t="shared" ref="D12:E12" si="2">+D7</f>
        <v>5.3180555555555555</v>
      </c>
      <c r="E12" s="503">
        <f t="shared" si="2"/>
        <v>1.4534722222222223</v>
      </c>
      <c r="F12" s="511">
        <f>SUM(C12:E12)</f>
        <v>12.140277777777778</v>
      </c>
    </row>
    <row r="13" spans="1:8" ht="25.5" x14ac:dyDescent="0.2">
      <c r="A13" s="510"/>
      <c r="B13" s="521" t="s">
        <v>666</v>
      </c>
      <c r="C13" s="503">
        <v>0.95</v>
      </c>
      <c r="D13" s="503">
        <v>0.20624999999999999</v>
      </c>
      <c r="E13" s="503"/>
      <c r="F13" s="511">
        <f>SUM(C13:E13)</f>
        <v>1.15625</v>
      </c>
      <c r="H13">
        <f>4679.1819-834.6649</f>
        <v>3844.5169999999998</v>
      </c>
    </row>
    <row r="14" spans="1:8" x14ac:dyDescent="0.2">
      <c r="A14" s="510"/>
      <c r="B14" s="502" t="s">
        <v>720</v>
      </c>
      <c r="C14" s="503">
        <f>SUM(C12:C13)</f>
        <v>6.3187500000000005</v>
      </c>
      <c r="D14" s="503">
        <f t="shared" ref="D14:E14" si="3">SUM(D12:D13)</f>
        <v>5.5243055555555554</v>
      </c>
      <c r="E14" s="503">
        <f t="shared" si="3"/>
        <v>1.4534722222222223</v>
      </c>
      <c r="F14" s="511">
        <f>SUM(C14:E14)</f>
        <v>13.296527777777778</v>
      </c>
    </row>
    <row r="15" spans="1:8" x14ac:dyDescent="0.2">
      <c r="A15" s="510"/>
      <c r="B15" s="502" t="s">
        <v>656</v>
      </c>
      <c r="C15" s="504">
        <f>+C14/$F$14</f>
        <v>0.4752180498250379</v>
      </c>
      <c r="D15" s="504">
        <f t="shared" ref="D15:E15" si="4">+D14/$F$14</f>
        <v>0.41546978638951271</v>
      </c>
      <c r="E15" s="504">
        <f t="shared" si="4"/>
        <v>0.10931216378544942</v>
      </c>
      <c r="F15" s="512">
        <f>SUM(C15:E15)</f>
        <v>1</v>
      </c>
    </row>
    <row r="16" spans="1:8" x14ac:dyDescent="0.2">
      <c r="A16" s="510"/>
      <c r="B16" s="502"/>
      <c r="C16" s="504"/>
      <c r="D16" s="504"/>
      <c r="E16" s="504"/>
      <c r="F16" s="512"/>
    </row>
    <row r="17" spans="1:6" ht="25.5" x14ac:dyDescent="0.2">
      <c r="A17" s="700" t="s">
        <v>141</v>
      </c>
      <c r="B17" s="521" t="s">
        <v>726</v>
      </c>
      <c r="C17" s="505">
        <f>241759612*C15</f>
        <v>114888531.34109783</v>
      </c>
      <c r="D17" s="505">
        <f t="shared" ref="D17" si="5">241759612*D15</f>
        <v>100443814.35525148</v>
      </c>
      <c r="E17" s="505">
        <f t="shared" ref="E17" si="6">241759612*E15</f>
        <v>26427266.303650703</v>
      </c>
      <c r="F17" s="525">
        <f>SUM(C17:E17)</f>
        <v>241759612.00000003</v>
      </c>
    </row>
    <row r="18" spans="1:6" x14ac:dyDescent="0.2">
      <c r="A18" s="698"/>
      <c r="B18" s="520"/>
      <c r="C18" s="520"/>
      <c r="D18" s="520"/>
      <c r="E18" s="520"/>
      <c r="F18" s="699"/>
    </row>
    <row r="19" spans="1:6" x14ac:dyDescent="0.2">
      <c r="A19" s="529" t="s">
        <v>670</v>
      </c>
      <c r="B19" s="502" t="s">
        <v>667</v>
      </c>
      <c r="C19" s="524">
        <f>+C13</f>
        <v>0.95</v>
      </c>
      <c r="D19" s="524">
        <f>+D13</f>
        <v>0.20624999999999999</v>
      </c>
      <c r="E19" s="503">
        <v>0</v>
      </c>
      <c r="F19" s="511">
        <f>SUM(C19:E19)</f>
        <v>1.15625</v>
      </c>
    </row>
    <row r="20" spans="1:6" x14ac:dyDescent="0.2">
      <c r="A20" s="510"/>
      <c r="B20" s="502" t="s">
        <v>656</v>
      </c>
      <c r="C20" s="504">
        <f>+C19/$F$19</f>
        <v>0.82162162162162156</v>
      </c>
      <c r="D20" s="504">
        <f>+D19/$F$19</f>
        <v>0.17837837837837836</v>
      </c>
      <c r="E20" s="504">
        <f>+E19/$F$19</f>
        <v>0</v>
      </c>
      <c r="F20" s="512">
        <f>SUM(C20:E20)</f>
        <v>0.99999999999999989</v>
      </c>
    </row>
    <row r="21" spans="1:6" x14ac:dyDescent="0.2">
      <c r="A21" s="510"/>
      <c r="B21" s="502" t="s">
        <v>697</v>
      </c>
      <c r="C21" s="505">
        <f>(16662819+179942017)/0.99</f>
        <v>198590743.43434343</v>
      </c>
      <c r="D21" s="505">
        <f>42737180/0.99</f>
        <v>43168868.68686869</v>
      </c>
      <c r="E21" s="505">
        <v>0</v>
      </c>
      <c r="F21" s="525">
        <f>SUM(C21:E21)</f>
        <v>241759612.12121212</v>
      </c>
    </row>
    <row r="22" spans="1:6" x14ac:dyDescent="0.2">
      <c r="A22" s="510"/>
      <c r="B22" s="686"/>
      <c r="C22" s="686"/>
      <c r="D22" s="686"/>
      <c r="E22" s="686"/>
      <c r="F22" s="701"/>
    </row>
    <row r="23" spans="1:6" ht="25.5" x14ac:dyDescent="0.2">
      <c r="A23" s="529" t="s">
        <v>672</v>
      </c>
      <c r="B23" s="521" t="s">
        <v>671</v>
      </c>
      <c r="C23" s="505">
        <f>+C21-C17</f>
        <v>83702212.093245596</v>
      </c>
      <c r="D23" s="505">
        <f>+D21-D17</f>
        <v>-57274945.668382786</v>
      </c>
      <c r="E23" s="505">
        <f>+E21-E17-0.12</f>
        <v>-26427266.423650704</v>
      </c>
      <c r="F23" s="525">
        <f>SUM(C23:E23)</f>
        <v>1.2121051549911499E-3</v>
      </c>
    </row>
    <row r="24" spans="1:6" ht="30" customHeight="1" thickBot="1" x14ac:dyDescent="0.25">
      <c r="A24" s="513"/>
      <c r="B24" s="687" t="s">
        <v>723</v>
      </c>
      <c r="C24" s="688" t="s">
        <v>725</v>
      </c>
      <c r="D24" s="688" t="s">
        <v>724</v>
      </c>
      <c r="E24" s="688" t="s">
        <v>724</v>
      </c>
      <c r="F24" s="702"/>
    </row>
    <row r="25" spans="1:6" x14ac:dyDescent="0.2">
      <c r="A25" s="684"/>
      <c r="B25" s="520"/>
      <c r="C25" s="520"/>
      <c r="D25" s="520"/>
      <c r="E25" s="520"/>
      <c r="F25" s="685"/>
    </row>
    <row r="26" spans="1:6" ht="13.5" thickBot="1" x14ac:dyDescent="0.25">
      <c r="A26" s="497"/>
      <c r="B26" s="497"/>
      <c r="C26" s="497"/>
      <c r="D26" s="497"/>
      <c r="E26" s="497"/>
      <c r="F26" s="497"/>
    </row>
    <row r="27" spans="1:6" x14ac:dyDescent="0.2">
      <c r="A27" s="689" t="s">
        <v>654</v>
      </c>
      <c r="B27" s="690"/>
      <c r="C27" s="690"/>
      <c r="D27" s="690"/>
      <c r="E27" s="690"/>
      <c r="F27" s="691"/>
    </row>
    <row r="28" spans="1:6" x14ac:dyDescent="0.2">
      <c r="A28" s="692" t="s">
        <v>727</v>
      </c>
      <c r="B28" s="496"/>
      <c r="C28" s="496"/>
      <c r="D28" s="496"/>
      <c r="E28" s="496"/>
      <c r="F28" s="693"/>
    </row>
    <row r="29" spans="1:6" x14ac:dyDescent="0.2">
      <c r="A29" s="694" t="s">
        <v>599</v>
      </c>
      <c r="B29" s="703" t="s">
        <v>0</v>
      </c>
      <c r="C29" s="494" t="s">
        <v>653</v>
      </c>
      <c r="D29" s="495"/>
      <c r="E29" s="495"/>
      <c r="F29" s="695"/>
    </row>
    <row r="30" spans="1:6" ht="13.5" thickBot="1" x14ac:dyDescent="0.25">
      <c r="A30" s="696"/>
      <c r="B30" s="500"/>
      <c r="C30" s="501" t="s">
        <v>652</v>
      </c>
      <c r="D30" s="501" t="s">
        <v>359</v>
      </c>
      <c r="E30" s="501" t="s">
        <v>358</v>
      </c>
      <c r="F30" s="697" t="s">
        <v>2</v>
      </c>
    </row>
    <row r="31" spans="1:6" x14ac:dyDescent="0.2">
      <c r="A31" s="506"/>
      <c r="B31" s="507"/>
      <c r="C31" s="508"/>
      <c r="D31" s="508"/>
      <c r="E31" s="508"/>
      <c r="F31" s="509"/>
    </row>
    <row r="32" spans="1:6" x14ac:dyDescent="0.2">
      <c r="A32" s="529" t="s">
        <v>141</v>
      </c>
      <c r="B32" s="502" t="s">
        <v>668</v>
      </c>
      <c r="C32" s="503">
        <v>0.68125000000000002</v>
      </c>
      <c r="D32" s="503">
        <v>0.47777700000000001</v>
      </c>
      <c r="E32" s="503">
        <v>0</v>
      </c>
      <c r="F32" s="511">
        <f>SUM(C32:E32)</f>
        <v>1.159027</v>
      </c>
    </row>
    <row r="33" spans="1:8" x14ac:dyDescent="0.2">
      <c r="A33" s="510"/>
      <c r="B33" s="518" t="s">
        <v>656</v>
      </c>
      <c r="C33" s="504">
        <f>+C32/$F$32</f>
        <v>0.587777506477416</v>
      </c>
      <c r="D33" s="504">
        <f>+D32/$F$32</f>
        <v>0.412222493522584</v>
      </c>
      <c r="E33" s="504">
        <v>0</v>
      </c>
      <c r="F33" s="512">
        <f>SUM(C33:E33)</f>
        <v>1</v>
      </c>
    </row>
    <row r="34" spans="1:8" x14ac:dyDescent="0.2">
      <c r="A34" s="522"/>
      <c r="B34" s="502" t="s">
        <v>669</v>
      </c>
      <c r="C34" s="524">
        <f>241759612*C33</f>
        <v>142100861.90830758</v>
      </c>
      <c r="D34" s="524">
        <f>241759612*D33</f>
        <v>99658750.091692418</v>
      </c>
      <c r="E34" s="503">
        <v>0</v>
      </c>
      <c r="F34" s="525">
        <f>SUM(C34:E34)</f>
        <v>241759612</v>
      </c>
    </row>
    <row r="35" spans="1:8" x14ac:dyDescent="0.2">
      <c r="A35" s="510"/>
      <c r="B35" s="523"/>
      <c r="C35" s="503"/>
      <c r="D35" s="503"/>
      <c r="E35" s="503"/>
      <c r="F35" s="511"/>
    </row>
    <row r="36" spans="1:8" x14ac:dyDescent="0.2">
      <c r="A36" s="529" t="s">
        <v>670</v>
      </c>
      <c r="B36" s="502" t="s">
        <v>667</v>
      </c>
      <c r="C36" s="503">
        <f>+C13</f>
        <v>0.95</v>
      </c>
      <c r="D36" s="503">
        <f>+D13</f>
        <v>0.20624999999999999</v>
      </c>
      <c r="E36" s="503">
        <v>0</v>
      </c>
      <c r="F36" s="511">
        <f>SUM(C36:E36)</f>
        <v>1.15625</v>
      </c>
    </row>
    <row r="37" spans="1:8" x14ac:dyDescent="0.2">
      <c r="A37" s="510"/>
      <c r="B37" s="502" t="s">
        <v>656</v>
      </c>
      <c r="C37" s="504">
        <f>+C36/$F$36</f>
        <v>0.82162162162162156</v>
      </c>
      <c r="D37" s="504">
        <f>+D36/$F$36</f>
        <v>0.17837837837837836</v>
      </c>
      <c r="E37" s="504">
        <f t="shared" ref="E37" si="7">+E32/$F$7</f>
        <v>0</v>
      </c>
      <c r="F37" s="512">
        <f>SUM(C37:E37)</f>
        <v>0.99999999999999989</v>
      </c>
    </row>
    <row r="38" spans="1:8" x14ac:dyDescent="0.2">
      <c r="A38" s="517"/>
      <c r="B38" s="518" t="s">
        <v>697</v>
      </c>
      <c r="C38" s="524">
        <f>(16662819+179942017)/0.99</f>
        <v>198590743.43434343</v>
      </c>
      <c r="D38" s="524">
        <f>42737180/0.99</f>
        <v>43168868.68686869</v>
      </c>
      <c r="E38" s="519">
        <v>0</v>
      </c>
      <c r="F38" s="525">
        <f>SUM(C38:E38)</f>
        <v>241759612.12121212</v>
      </c>
      <c r="H38" s="446">
        <f>42737180/0.99</f>
        <v>43168868.68686869</v>
      </c>
    </row>
    <row r="39" spans="1:8" x14ac:dyDescent="0.2">
      <c r="A39" s="510"/>
      <c r="B39" s="502"/>
      <c r="C39" s="505"/>
      <c r="D39" s="505"/>
      <c r="E39" s="505"/>
      <c r="F39" s="525"/>
    </row>
    <row r="40" spans="1:8" ht="25.5" x14ac:dyDescent="0.2">
      <c r="A40" s="529" t="s">
        <v>672</v>
      </c>
      <c r="B40" s="521" t="s">
        <v>671</v>
      </c>
      <c r="C40" s="505">
        <f>+C38-C34</f>
        <v>56489881.526035845</v>
      </c>
      <c r="D40" s="505">
        <f>+D38-D34-0.12</f>
        <v>-56489881.524823725</v>
      </c>
      <c r="E40" s="505"/>
      <c r="F40" s="525">
        <f>SUM(C40:E40)</f>
        <v>1.2121200561523438E-3</v>
      </c>
    </row>
    <row r="41" spans="1:8" ht="26.25" thickBot="1" x14ac:dyDescent="0.25">
      <c r="A41" s="527"/>
      <c r="B41" s="687" t="s">
        <v>723</v>
      </c>
      <c r="C41" s="688" t="s">
        <v>725</v>
      </c>
      <c r="D41" s="688" t="s">
        <v>724</v>
      </c>
      <c r="E41" s="688"/>
      <c r="F41" s="528"/>
    </row>
    <row r="42" spans="1:8" x14ac:dyDescent="0.2">
      <c r="A42" s="704" t="s">
        <v>728</v>
      </c>
      <c r="B42" s="499"/>
      <c r="C42" s="526"/>
      <c r="D42" s="526"/>
      <c r="E42" s="526"/>
      <c r="F42" s="526"/>
    </row>
    <row r="43" spans="1:8" x14ac:dyDescent="0.2">
      <c r="A43" s="497"/>
      <c r="B43" s="497"/>
      <c r="C43" s="497"/>
      <c r="D43" s="497"/>
      <c r="E43" s="497"/>
      <c r="F43" s="497"/>
    </row>
    <row r="44" spans="1:8" x14ac:dyDescent="0.2">
      <c r="A44" s="497"/>
      <c r="B44" s="497"/>
      <c r="C44" s="497"/>
      <c r="D44" s="497"/>
      <c r="E44" s="497"/>
      <c r="F44" s="497"/>
    </row>
    <row r="45" spans="1:8" x14ac:dyDescent="0.2">
      <c r="A45" s="497"/>
      <c r="B45" s="497"/>
      <c r="C45" s="497"/>
      <c r="D45" s="497"/>
      <c r="E45" s="497"/>
      <c r="F45" s="497"/>
    </row>
    <row r="46" spans="1:8" x14ac:dyDescent="0.2">
      <c r="A46" s="497"/>
      <c r="B46" s="497"/>
      <c r="C46" s="497"/>
      <c r="D46" s="497"/>
      <c r="E46" s="497"/>
      <c r="F46" s="497"/>
    </row>
    <row r="47" spans="1:8" x14ac:dyDescent="0.2">
      <c r="A47" s="497"/>
      <c r="B47" s="497"/>
      <c r="C47" s="497"/>
      <c r="D47" s="497"/>
      <c r="E47" s="497"/>
      <c r="F47" s="497"/>
    </row>
    <row r="48" spans="1:8" x14ac:dyDescent="0.2">
      <c r="A48" s="497"/>
      <c r="B48" s="497"/>
      <c r="C48" s="497"/>
      <c r="D48" s="497"/>
      <c r="E48" s="497"/>
      <c r="F48" s="497"/>
    </row>
    <row r="49" spans="1:6" x14ac:dyDescent="0.2">
      <c r="A49" s="497"/>
      <c r="B49" s="497"/>
      <c r="C49" s="497"/>
      <c r="D49" s="497"/>
      <c r="E49" s="497"/>
      <c r="F49" s="497"/>
    </row>
    <row r="50" spans="1:6" x14ac:dyDescent="0.2">
      <c r="A50" s="497"/>
      <c r="B50" s="497"/>
      <c r="C50" s="497"/>
      <c r="D50" s="497"/>
      <c r="E50" s="497"/>
      <c r="F50" s="497"/>
    </row>
    <row r="51" spans="1:6" x14ac:dyDescent="0.2">
      <c r="A51" s="497"/>
      <c r="B51" s="497"/>
      <c r="C51" s="497"/>
      <c r="D51" s="497"/>
      <c r="E51" s="497"/>
      <c r="F51" s="497"/>
    </row>
    <row r="52" spans="1:6" x14ac:dyDescent="0.2">
      <c r="A52" s="497"/>
      <c r="B52" s="497"/>
      <c r="C52" s="497"/>
      <c r="D52" s="497"/>
      <c r="E52" s="497"/>
      <c r="F52" s="497"/>
    </row>
    <row r="53" spans="1:6" x14ac:dyDescent="0.2">
      <c r="A53" s="497"/>
      <c r="B53" s="497"/>
      <c r="C53" s="497"/>
      <c r="D53" s="497"/>
      <c r="E53" s="497"/>
      <c r="F53" s="497"/>
    </row>
    <row r="54" spans="1:6" x14ac:dyDescent="0.2">
      <c r="A54" s="497"/>
      <c r="B54" s="497"/>
      <c r="C54" s="497"/>
      <c r="D54" s="497"/>
      <c r="E54" s="497"/>
      <c r="F54" s="497"/>
    </row>
    <row r="55" spans="1:6" x14ac:dyDescent="0.2">
      <c r="A55" s="497"/>
      <c r="B55" s="497"/>
      <c r="C55" s="497"/>
      <c r="D55" s="497"/>
      <c r="E55" s="497"/>
      <c r="F55" s="497"/>
    </row>
    <row r="56" spans="1:6" x14ac:dyDescent="0.2">
      <c r="A56" s="497"/>
      <c r="B56" s="497"/>
      <c r="C56" s="497"/>
      <c r="D56" s="497"/>
      <c r="E56" s="497"/>
      <c r="F56" s="497"/>
    </row>
    <row r="57" spans="1:6" x14ac:dyDescent="0.2">
      <c r="A57" s="497"/>
      <c r="B57" s="497"/>
      <c r="C57" s="497"/>
      <c r="D57" s="497"/>
      <c r="E57" s="497"/>
      <c r="F57" s="497"/>
    </row>
    <row r="58" spans="1:6" x14ac:dyDescent="0.2">
      <c r="A58" s="497"/>
      <c r="B58" s="497"/>
      <c r="C58" s="497"/>
      <c r="D58" s="497"/>
      <c r="E58" s="497"/>
      <c r="F58" s="497"/>
    </row>
    <row r="59" spans="1:6" x14ac:dyDescent="0.2">
      <c r="A59" s="497"/>
      <c r="B59" s="497"/>
      <c r="C59" s="497"/>
      <c r="D59" s="497"/>
      <c r="E59" s="497"/>
      <c r="F59" s="497"/>
    </row>
    <row r="60" spans="1:6" x14ac:dyDescent="0.2">
      <c r="A60" s="497"/>
      <c r="B60" s="497"/>
      <c r="C60" s="497"/>
      <c r="D60" s="497"/>
      <c r="E60" s="497"/>
      <c r="F60" s="497"/>
    </row>
    <row r="61" spans="1:6" x14ac:dyDescent="0.2">
      <c r="A61" s="497"/>
      <c r="B61" s="497"/>
      <c r="C61" s="497"/>
      <c r="D61" s="497"/>
      <c r="E61" s="497"/>
      <c r="F61" s="497"/>
    </row>
    <row r="62" spans="1:6" x14ac:dyDescent="0.2">
      <c r="A62" s="497"/>
      <c r="B62" s="497"/>
      <c r="C62" s="497"/>
      <c r="D62" s="497"/>
      <c r="E62" s="497"/>
      <c r="F62" s="497"/>
    </row>
    <row r="63" spans="1:6" x14ac:dyDescent="0.2">
      <c r="A63" s="497"/>
      <c r="B63" s="497"/>
      <c r="C63" s="497"/>
      <c r="D63" s="497"/>
      <c r="E63" s="497"/>
      <c r="F63" s="497"/>
    </row>
    <row r="64" spans="1:6" x14ac:dyDescent="0.2">
      <c r="A64" s="497"/>
      <c r="B64" s="497"/>
      <c r="C64" s="497"/>
      <c r="D64" s="497"/>
      <c r="E64" s="497"/>
      <c r="F64" s="497"/>
    </row>
    <row r="65" spans="1:6" x14ac:dyDescent="0.2">
      <c r="A65" s="497"/>
      <c r="B65" s="497"/>
      <c r="C65" s="497"/>
      <c r="D65" s="497"/>
      <c r="E65" s="497"/>
      <c r="F65" s="497"/>
    </row>
    <row r="66" spans="1:6" x14ac:dyDescent="0.2">
      <c r="A66" s="497"/>
      <c r="B66" s="497"/>
      <c r="C66" s="497"/>
      <c r="D66" s="497"/>
      <c r="E66" s="497"/>
      <c r="F66" s="497"/>
    </row>
    <row r="67" spans="1:6" x14ac:dyDescent="0.2">
      <c r="A67" s="497"/>
      <c r="B67" s="497"/>
      <c r="C67" s="497"/>
      <c r="D67" s="497"/>
      <c r="E67" s="497"/>
      <c r="F67" s="497"/>
    </row>
    <row r="68" spans="1:6" x14ac:dyDescent="0.2">
      <c r="A68" s="497"/>
      <c r="B68" s="497"/>
      <c r="C68" s="497"/>
      <c r="D68" s="497"/>
      <c r="E68" s="497"/>
      <c r="F68" s="497"/>
    </row>
    <row r="69" spans="1:6" x14ac:dyDescent="0.2">
      <c r="A69" s="497"/>
      <c r="B69" s="497"/>
      <c r="C69" s="497"/>
      <c r="D69" s="497"/>
      <c r="E69" s="497"/>
      <c r="F69" s="497"/>
    </row>
    <row r="70" spans="1:6" x14ac:dyDescent="0.2">
      <c r="A70" s="497"/>
      <c r="B70" s="497"/>
      <c r="C70" s="497"/>
      <c r="D70" s="497"/>
      <c r="E70" s="497"/>
      <c r="F70" s="497"/>
    </row>
    <row r="71" spans="1:6" x14ac:dyDescent="0.2">
      <c r="A71" s="497"/>
      <c r="B71" s="497"/>
      <c r="C71" s="497"/>
      <c r="D71" s="497"/>
      <c r="E71" s="497"/>
      <c r="F71" s="497"/>
    </row>
    <row r="72" spans="1:6" x14ac:dyDescent="0.2">
      <c r="A72" s="497"/>
      <c r="B72" s="497"/>
      <c r="C72" s="497"/>
      <c r="D72" s="497"/>
      <c r="E72" s="497"/>
      <c r="F72" s="497"/>
    </row>
    <row r="73" spans="1:6" x14ac:dyDescent="0.2">
      <c r="A73" s="497"/>
      <c r="B73" s="497"/>
      <c r="C73" s="497"/>
      <c r="D73" s="497"/>
      <c r="E73" s="497"/>
      <c r="F73" s="497"/>
    </row>
    <row r="74" spans="1:6" x14ac:dyDescent="0.2">
      <c r="A74" s="497"/>
      <c r="B74" s="497"/>
      <c r="C74" s="497"/>
      <c r="D74" s="497"/>
      <c r="E74" s="497"/>
      <c r="F74" s="497"/>
    </row>
    <row r="75" spans="1:6" x14ac:dyDescent="0.2">
      <c r="A75" s="497"/>
      <c r="B75" s="497"/>
      <c r="C75" s="497"/>
      <c r="D75" s="497"/>
      <c r="E75" s="497"/>
      <c r="F75" s="497"/>
    </row>
    <row r="76" spans="1:6" x14ac:dyDescent="0.2">
      <c r="A76" s="497"/>
      <c r="B76" s="497"/>
      <c r="C76" s="497"/>
      <c r="D76" s="497"/>
      <c r="E76" s="497"/>
      <c r="F76" s="497"/>
    </row>
    <row r="77" spans="1:6" x14ac:dyDescent="0.2">
      <c r="A77" s="497"/>
      <c r="B77" s="497"/>
      <c r="C77" s="497"/>
      <c r="D77" s="497"/>
      <c r="E77" s="497"/>
      <c r="F77" s="497"/>
    </row>
    <row r="78" spans="1:6" x14ac:dyDescent="0.2">
      <c r="A78" s="497"/>
      <c r="B78" s="497"/>
      <c r="C78" s="497"/>
      <c r="D78" s="497"/>
      <c r="E78" s="497"/>
      <c r="F78" s="497"/>
    </row>
    <row r="79" spans="1:6" x14ac:dyDescent="0.2">
      <c r="A79" s="497"/>
      <c r="B79" s="497"/>
      <c r="C79" s="497"/>
      <c r="D79" s="497"/>
      <c r="E79" s="497"/>
      <c r="F79" s="497"/>
    </row>
    <row r="80" spans="1:6" x14ac:dyDescent="0.2">
      <c r="A80" s="497"/>
      <c r="B80" s="497"/>
      <c r="C80" s="497"/>
      <c r="D80" s="497"/>
      <c r="E80" s="497"/>
      <c r="F80" s="497"/>
    </row>
    <row r="81" spans="1:7" x14ac:dyDescent="0.2">
      <c r="A81" s="497"/>
      <c r="B81" s="497"/>
      <c r="C81" s="497"/>
      <c r="D81" s="497"/>
      <c r="E81" s="497"/>
      <c r="F81" s="497"/>
    </row>
    <row r="82" spans="1:7" x14ac:dyDescent="0.2">
      <c r="B82" s="493" t="s">
        <v>662</v>
      </c>
      <c r="C82" s="493"/>
      <c r="D82" s="493"/>
      <c r="E82" s="493"/>
      <c r="F82" s="493"/>
    </row>
    <row r="83" spans="1:7" x14ac:dyDescent="0.2">
      <c r="B83" s="530" t="s">
        <v>661</v>
      </c>
      <c r="C83" s="531" t="s">
        <v>663</v>
      </c>
      <c r="D83" s="531" t="s">
        <v>657</v>
      </c>
      <c r="E83" s="531" t="s">
        <v>658</v>
      </c>
      <c r="F83" s="531" t="s">
        <v>659</v>
      </c>
      <c r="G83" s="531" t="s">
        <v>660</v>
      </c>
    </row>
    <row r="84" spans="1:7" ht="15" x14ac:dyDescent="0.2">
      <c r="B84" s="532" t="s">
        <v>358</v>
      </c>
      <c r="C84" s="533">
        <f>+D84/$D$87</f>
        <v>0.11972314380505662</v>
      </c>
      <c r="D84" s="534">
        <f>(LEFT(E84,3)/8)+(LEFT(F84,2)/(8*20))+(LEFT(G84,3)/(8*20*9))</f>
        <v>1.4534722222222223</v>
      </c>
      <c r="E84" s="535">
        <v>11</v>
      </c>
      <c r="F84" s="535">
        <v>12</v>
      </c>
      <c r="G84" s="535">
        <v>5</v>
      </c>
    </row>
    <row r="85" spans="1:7" ht="15" x14ac:dyDescent="0.2">
      <c r="B85" s="532" t="s">
        <v>360</v>
      </c>
      <c r="C85" s="533">
        <f>+D85/$D$87</f>
        <v>0.44222628989818097</v>
      </c>
      <c r="D85" s="534">
        <f t="shared" ref="D85:D86" si="8">(LEFT(E85,3)/8)+(LEFT(F85,2)/(8*20))+(LEFT(G85,3)/(8*20*9))</f>
        <v>5.3687500000000004</v>
      </c>
      <c r="E85" s="535">
        <v>42</v>
      </c>
      <c r="F85" s="535">
        <v>19</v>
      </c>
      <c r="G85" s="535">
        <v>0</v>
      </c>
    </row>
    <row r="86" spans="1:7" ht="15" x14ac:dyDescent="0.2">
      <c r="B86" s="532" t="s">
        <v>359</v>
      </c>
      <c r="C86" s="533">
        <f>+D86/$D$87</f>
        <v>0.43805056629676231</v>
      </c>
      <c r="D86" s="534">
        <f t="shared" si="8"/>
        <v>5.3180555555555555</v>
      </c>
      <c r="E86" s="535">
        <v>42</v>
      </c>
      <c r="F86" s="535">
        <v>10</v>
      </c>
      <c r="G86" s="535">
        <v>8</v>
      </c>
    </row>
    <row r="87" spans="1:7" ht="15.75" thickBot="1" x14ac:dyDescent="0.25">
      <c r="B87" s="536" t="s">
        <v>2</v>
      </c>
      <c r="C87" s="537">
        <f>SUM(C84:C86)</f>
        <v>0.99999999999999989</v>
      </c>
      <c r="D87" s="538">
        <f>SUM(D84:D86)</f>
        <v>12.140277777777779</v>
      </c>
      <c r="E87" s="538">
        <f>SUM(E84:E86)</f>
        <v>95</v>
      </c>
      <c r="F87" s="538">
        <f>SUM(F84:F86)</f>
        <v>41</v>
      </c>
      <c r="G87" s="538">
        <f>SUM(G84:G86)</f>
        <v>13</v>
      </c>
    </row>
    <row r="88" spans="1:7" ht="13.5" thickTop="1" x14ac:dyDescent="0.2"/>
  </sheetData>
  <pageMargins left="0.7" right="0.7" top="0.75" bottom="0.75" header="0.3" footer="0.3"/>
  <pageSetup scale="69" orientation="landscape" r:id="rId1"/>
  <rowBreaks count="1" manualBreakCount="1">
    <brk id="25"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O24"/>
  <sheetViews>
    <sheetView showGridLines="0" view="pageBreakPreview" zoomScaleSheetLayoutView="100" workbookViewId="0">
      <selection activeCell="H10" sqref="H10"/>
    </sheetView>
  </sheetViews>
  <sheetFormatPr defaultColWidth="8.85546875" defaultRowHeight="12.75" x14ac:dyDescent="0.2"/>
  <cols>
    <col min="1" max="1" width="34.28515625" style="305" bestFit="1" customWidth="1"/>
    <col min="2" max="2" width="16.7109375" style="305" customWidth="1"/>
    <col min="3" max="3" width="14.5703125" style="305" customWidth="1"/>
    <col min="4" max="8" width="15.85546875" style="305" customWidth="1"/>
    <col min="9" max="9" width="19.7109375" style="305" customWidth="1"/>
    <col min="10" max="10" width="16.7109375" style="305" customWidth="1"/>
    <col min="11" max="11" width="17.28515625" style="305" bestFit="1" customWidth="1"/>
    <col min="12" max="16384" width="8.85546875" style="305"/>
  </cols>
  <sheetData>
    <row r="1" spans="1:15" ht="15.6" customHeight="1" x14ac:dyDescent="0.2">
      <c r="A1" s="771" t="s">
        <v>361</v>
      </c>
      <c r="B1" s="771"/>
      <c r="C1" s="771"/>
      <c r="D1" s="771"/>
      <c r="E1" s="771"/>
      <c r="F1" s="771"/>
      <c r="G1" s="771"/>
      <c r="H1" s="771"/>
      <c r="I1" s="771"/>
      <c r="J1" s="771"/>
      <c r="K1" s="304"/>
      <c r="L1" s="304"/>
      <c r="M1" s="304"/>
      <c r="N1" s="304"/>
      <c r="O1" s="304"/>
    </row>
    <row r="2" spans="1:15" ht="15.6" customHeight="1" x14ac:dyDescent="0.2">
      <c r="A2" s="771"/>
      <c r="B2" s="771"/>
      <c r="C2" s="771"/>
      <c r="D2" s="771"/>
      <c r="E2" s="771"/>
      <c r="F2" s="771"/>
      <c r="G2" s="771"/>
      <c r="H2" s="771"/>
      <c r="I2" s="771"/>
      <c r="J2" s="771"/>
      <c r="K2" s="304"/>
      <c r="L2" s="304"/>
      <c r="M2" s="304"/>
      <c r="N2" s="304"/>
      <c r="O2" s="304"/>
    </row>
    <row r="3" spans="1:15" x14ac:dyDescent="0.2">
      <c r="A3" s="306"/>
      <c r="B3" s="306"/>
      <c r="C3" s="306"/>
    </row>
    <row r="4" spans="1:15" x14ac:dyDescent="0.2">
      <c r="A4" s="307" t="s">
        <v>348</v>
      </c>
      <c r="B4" s="772" t="s">
        <v>349</v>
      </c>
      <c r="C4" s="773"/>
      <c r="D4" s="773"/>
      <c r="E4" s="774"/>
      <c r="F4" s="772" t="s">
        <v>350</v>
      </c>
      <c r="G4" s="773"/>
      <c r="H4" s="773"/>
      <c r="I4" s="774"/>
      <c r="J4" s="307" t="s">
        <v>2</v>
      </c>
    </row>
    <row r="5" spans="1:15" x14ac:dyDescent="0.2">
      <c r="A5" s="308"/>
      <c r="B5" s="307" t="s">
        <v>358</v>
      </c>
      <c r="C5" s="307" t="s">
        <v>359</v>
      </c>
      <c r="D5" s="307" t="s">
        <v>360</v>
      </c>
      <c r="E5" s="307" t="s">
        <v>2</v>
      </c>
      <c r="F5" s="307" t="s">
        <v>358</v>
      </c>
      <c r="G5" s="307" t="s">
        <v>359</v>
      </c>
      <c r="H5" s="307" t="s">
        <v>360</v>
      </c>
      <c r="I5" s="307" t="s">
        <v>2</v>
      </c>
      <c r="J5" s="308"/>
    </row>
    <row r="6" spans="1:15" x14ac:dyDescent="0.2">
      <c r="A6" s="308"/>
      <c r="B6" s="316">
        <v>8.8900000000000007E-2</v>
      </c>
      <c r="C6" s="316">
        <v>0.89870000000000005</v>
      </c>
      <c r="D6" s="316">
        <v>1.24E-2</v>
      </c>
      <c r="E6" s="316">
        <f>SUM(B6:D6)</f>
        <v>1</v>
      </c>
      <c r="F6" s="316">
        <v>0.14729999999999999</v>
      </c>
      <c r="G6" s="316">
        <v>0.41049999999999998</v>
      </c>
      <c r="H6" s="316">
        <v>0.44219999999999998</v>
      </c>
      <c r="I6" s="316">
        <f>SUM(F6:H6)</f>
        <v>1</v>
      </c>
      <c r="J6" s="308"/>
    </row>
    <row r="7" spans="1:15" x14ac:dyDescent="0.2">
      <c r="A7" s="297" t="s">
        <v>352</v>
      </c>
      <c r="B7" s="299">
        <f>$B$6*E7</f>
        <v>51772.515200000002</v>
      </c>
      <c r="C7" s="298">
        <f>$C$6*E7</f>
        <v>523374.12160000001</v>
      </c>
      <c r="D7" s="298">
        <f>$D$6*E7</f>
        <v>7221.3631999999998</v>
      </c>
      <c r="E7" s="301">
        <v>582368</v>
      </c>
      <c r="F7" s="299">
        <f>$F$6*I7</f>
        <v>93336.64499999999</v>
      </c>
      <c r="G7" s="299">
        <f>$G$6*I7</f>
        <v>260113.32499999998</v>
      </c>
      <c r="H7" s="299">
        <f>$H$6*I7</f>
        <v>280200.02999999997</v>
      </c>
      <c r="I7" s="301">
        <v>633650</v>
      </c>
      <c r="J7" s="300">
        <f t="shared" ref="J7:J12" si="0">E7+I7</f>
        <v>1216018</v>
      </c>
    </row>
    <row r="8" spans="1:15" x14ac:dyDescent="0.2">
      <c r="A8" s="297" t="s">
        <v>353</v>
      </c>
      <c r="B8" s="299">
        <f t="shared" ref="B8:B12" si="1">$B$6*E8</f>
        <v>922615.31250000012</v>
      </c>
      <c r="C8" s="298">
        <f t="shared" ref="C8:C12" si="2">$C$6*E8</f>
        <v>9326820.9375</v>
      </c>
      <c r="D8" s="298">
        <f t="shared" ref="D8:D12" si="3">$D$6*E8</f>
        <v>128688.75</v>
      </c>
      <c r="E8" s="301">
        <v>10378125</v>
      </c>
      <c r="F8" s="299">
        <f t="shared" ref="F8:F12" si="4">$F$6*I8</f>
        <v>1447075.2</v>
      </c>
      <c r="G8" s="299">
        <f t="shared" ref="G8:G12" si="5">$G$6*I8</f>
        <v>4032751.9999999995</v>
      </c>
      <c r="H8" s="299">
        <f t="shared" ref="H8:H12" si="6">$H$6*I8</f>
        <v>4344172.8</v>
      </c>
      <c r="I8" s="301">
        <v>9824000</v>
      </c>
      <c r="J8" s="300">
        <f t="shared" si="0"/>
        <v>20202125</v>
      </c>
      <c r="K8" s="309"/>
    </row>
    <row r="9" spans="1:15" x14ac:dyDescent="0.2">
      <c r="A9" s="297" t="s">
        <v>354</v>
      </c>
      <c r="B9" s="299">
        <f t="shared" si="1"/>
        <v>2745347.5700000003</v>
      </c>
      <c r="C9" s="298">
        <f t="shared" si="2"/>
        <v>27753024.310000002</v>
      </c>
      <c r="D9" s="298">
        <f t="shared" si="3"/>
        <v>382928.12</v>
      </c>
      <c r="E9" s="301">
        <v>30881300</v>
      </c>
      <c r="F9" s="299">
        <f t="shared" si="4"/>
        <v>3568195.1999999997</v>
      </c>
      <c r="G9" s="299">
        <f t="shared" si="5"/>
        <v>9943952</v>
      </c>
      <c r="H9" s="299">
        <f t="shared" si="6"/>
        <v>10711852.799999999</v>
      </c>
      <c r="I9" s="301">
        <v>24224000</v>
      </c>
      <c r="J9" s="300">
        <f t="shared" si="0"/>
        <v>55105300</v>
      </c>
    </row>
    <row r="10" spans="1:15" x14ac:dyDescent="0.2">
      <c r="A10" s="297" t="s">
        <v>355</v>
      </c>
      <c r="B10" s="299">
        <f t="shared" si="1"/>
        <v>0</v>
      </c>
      <c r="C10" s="298">
        <f t="shared" si="2"/>
        <v>0</v>
      </c>
      <c r="D10" s="298">
        <f t="shared" si="3"/>
        <v>0</v>
      </c>
      <c r="E10" s="301">
        <v>0</v>
      </c>
      <c r="F10" s="299">
        <f t="shared" si="4"/>
        <v>5846775.2174999993</v>
      </c>
      <c r="G10" s="299">
        <f t="shared" si="5"/>
        <v>16293966.237499999</v>
      </c>
      <c r="H10" s="299">
        <f t="shared" si="6"/>
        <v>17552233.544999998</v>
      </c>
      <c r="I10" s="301">
        <v>39692975</v>
      </c>
      <c r="J10" s="300">
        <f t="shared" si="0"/>
        <v>39692975</v>
      </c>
    </row>
    <row r="11" spans="1:15" x14ac:dyDescent="0.2">
      <c r="A11" s="297" t="s">
        <v>356</v>
      </c>
      <c r="B11" s="299">
        <f t="shared" si="1"/>
        <v>604733.3600000001</v>
      </c>
      <c r="C11" s="298">
        <f t="shared" si="2"/>
        <v>6113316.8800000008</v>
      </c>
      <c r="D11" s="298">
        <f t="shared" si="3"/>
        <v>84349.759999999995</v>
      </c>
      <c r="E11" s="301">
        <v>6802400</v>
      </c>
      <c r="F11" s="299">
        <f t="shared" si="4"/>
        <v>0</v>
      </c>
      <c r="G11" s="299">
        <f t="shared" si="5"/>
        <v>0</v>
      </c>
      <c r="H11" s="299">
        <f t="shared" si="6"/>
        <v>0</v>
      </c>
      <c r="I11" s="301">
        <v>0</v>
      </c>
      <c r="J11" s="300">
        <f t="shared" si="0"/>
        <v>6802400</v>
      </c>
    </row>
    <row r="12" spans="1:15" ht="13.5" thickBot="1" x14ac:dyDescent="0.25">
      <c r="A12" s="297" t="s">
        <v>357</v>
      </c>
      <c r="B12" s="299">
        <f t="shared" si="1"/>
        <v>575786.8088</v>
      </c>
      <c r="C12" s="298">
        <f t="shared" si="2"/>
        <v>5820692.9704</v>
      </c>
      <c r="D12" s="298">
        <f t="shared" si="3"/>
        <v>80312.220799999996</v>
      </c>
      <c r="E12" s="301">
        <v>6476792</v>
      </c>
      <c r="F12" s="299">
        <f t="shared" si="4"/>
        <v>393662.93249999994</v>
      </c>
      <c r="G12" s="299">
        <f t="shared" si="5"/>
        <v>1097071.5125</v>
      </c>
      <c r="H12" s="299">
        <f t="shared" si="6"/>
        <v>1181790.5549999999</v>
      </c>
      <c r="I12" s="301">
        <v>2672525</v>
      </c>
      <c r="J12" s="300">
        <f t="shared" si="0"/>
        <v>9149317</v>
      </c>
    </row>
    <row r="13" spans="1:15" ht="13.5" thickBot="1" x14ac:dyDescent="0.25">
      <c r="A13" s="310" t="s">
        <v>2</v>
      </c>
      <c r="B13" s="302">
        <f t="shared" ref="B13:D13" si="7">SUM(B7:B12)</f>
        <v>4900255.5665000007</v>
      </c>
      <c r="C13" s="302">
        <f t="shared" si="7"/>
        <v>49537229.219500005</v>
      </c>
      <c r="D13" s="302">
        <f t="shared" si="7"/>
        <v>683500.21400000004</v>
      </c>
      <c r="E13" s="303">
        <f>SUM(E7:E12)</f>
        <v>55120985</v>
      </c>
      <c r="F13" s="302">
        <f t="shared" ref="F13:H13" si="8">SUM(F7:F12)</f>
        <v>11349045.194999998</v>
      </c>
      <c r="G13" s="302">
        <f t="shared" si="8"/>
        <v>31627855.074999999</v>
      </c>
      <c r="H13" s="302">
        <f t="shared" si="8"/>
        <v>34070249.729999997</v>
      </c>
      <c r="I13" s="303">
        <f>SUM(I7:I12)</f>
        <v>77047150</v>
      </c>
      <c r="J13" s="311">
        <f>SUM(J7:J12)</f>
        <v>132168135</v>
      </c>
    </row>
    <row r="14" spans="1:15" x14ac:dyDescent="0.2">
      <c r="A14" s="312"/>
      <c r="B14" s="312"/>
      <c r="C14" s="312"/>
    </row>
    <row r="15" spans="1:15" x14ac:dyDescent="0.2">
      <c r="A15" s="313" t="s">
        <v>351</v>
      </c>
      <c r="B15" s="313"/>
      <c r="C15" s="313"/>
      <c r="D15" s="306">
        <v>89240757</v>
      </c>
      <c r="E15" s="306"/>
      <c r="F15" s="306"/>
      <c r="G15" s="306"/>
      <c r="H15" s="306"/>
      <c r="I15" s="314">
        <v>36818729</v>
      </c>
      <c r="J15" s="318">
        <f>SUM(D15:I15)</f>
        <v>126059486</v>
      </c>
    </row>
    <row r="16" spans="1:15" x14ac:dyDescent="0.2">
      <c r="A16" s="309"/>
      <c r="B16" s="309"/>
      <c r="C16" s="309"/>
    </row>
    <row r="17" spans="1:9" x14ac:dyDescent="0.2">
      <c r="E17" s="305">
        <v>16281242</v>
      </c>
      <c r="I17" s="314"/>
    </row>
    <row r="18" spans="1:9" x14ac:dyDescent="0.2">
      <c r="A18" s="314" t="s">
        <v>362</v>
      </c>
      <c r="B18" s="314" t="s">
        <v>366</v>
      </c>
      <c r="D18" s="305" t="s">
        <v>360</v>
      </c>
      <c r="E18" s="305">
        <v>1106585</v>
      </c>
    </row>
    <row r="19" spans="1:9" x14ac:dyDescent="0.2">
      <c r="A19" s="305" t="s">
        <v>363</v>
      </c>
      <c r="B19" s="305">
        <f>B13+F13</f>
        <v>16249300.761499999</v>
      </c>
      <c r="C19" s="314"/>
    </row>
    <row r="20" spans="1:9" x14ac:dyDescent="0.2">
      <c r="A20" s="315" t="s">
        <v>364</v>
      </c>
      <c r="B20" s="305">
        <f>C13+G13</f>
        <v>81165084.294500008</v>
      </c>
    </row>
    <row r="21" spans="1:9" x14ac:dyDescent="0.2">
      <c r="A21" s="315" t="s">
        <v>365</v>
      </c>
      <c r="B21" s="305">
        <f>D13+H13</f>
        <v>34753749.943999998</v>
      </c>
    </row>
    <row r="22" spans="1:9" x14ac:dyDescent="0.2">
      <c r="A22" s="315"/>
      <c r="B22" s="330">
        <f>SUM(B19:B21)</f>
        <v>132168135</v>
      </c>
    </row>
    <row r="24" spans="1:9" x14ac:dyDescent="0.2">
      <c r="G24" s="317"/>
    </row>
  </sheetData>
  <mergeCells count="3">
    <mergeCell ref="A1:J2"/>
    <mergeCell ref="F4:I4"/>
    <mergeCell ref="B4:E4"/>
  </mergeCells>
  <pageMargins left="0.70866141732283472" right="0.70866141732283472" top="0.74803149606299213" bottom="0.74803149606299213" header="0.31496062992125984" footer="0.31496062992125984"/>
  <pageSetup paperSize="9" scale="73" fitToHeight="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N21"/>
  <sheetViews>
    <sheetView showGridLines="0" view="pageBreakPreview" zoomScaleNormal="130" zoomScaleSheetLayoutView="100" workbookViewId="0">
      <selection activeCell="C14" sqref="C14"/>
    </sheetView>
  </sheetViews>
  <sheetFormatPr defaultColWidth="8.7109375" defaultRowHeight="12.75" x14ac:dyDescent="0.2"/>
  <cols>
    <col min="1" max="1" width="4.7109375" style="20" bestFit="1" customWidth="1"/>
    <col min="2" max="2" width="17.28515625" style="20" customWidth="1"/>
    <col min="3" max="3" width="13.28515625" style="175" customWidth="1"/>
    <col min="4" max="4" width="15.85546875" style="175" customWidth="1"/>
    <col min="5" max="5" width="12.28515625" style="175" customWidth="1"/>
    <col min="6" max="6" width="9.42578125" style="175" bestFit="1" customWidth="1"/>
    <col min="7" max="7" width="14.85546875" style="175" bestFit="1" customWidth="1"/>
    <col min="8" max="8" width="11.85546875" style="175" customWidth="1"/>
    <col min="9" max="9" width="10.5703125" style="175" bestFit="1" customWidth="1"/>
    <col min="10" max="10" width="12.140625" style="175" bestFit="1" customWidth="1"/>
    <col min="11" max="12" width="14.85546875" style="175" bestFit="1" customWidth="1"/>
    <col min="13" max="13" width="9.5703125" style="20" bestFit="1" customWidth="1"/>
    <col min="14" max="16384" width="8.7109375" style="20"/>
  </cols>
  <sheetData>
    <row r="1" spans="1:14" x14ac:dyDescent="0.2">
      <c r="A1" s="722" t="str">
        <f>BS!A1</f>
        <v>SPITI TOWNSHIP LLP</v>
      </c>
      <c r="B1" s="722"/>
      <c r="C1" s="722"/>
      <c r="D1" s="722"/>
      <c r="E1" s="722"/>
      <c r="F1" s="722"/>
      <c r="G1" s="722"/>
      <c r="H1" s="722"/>
      <c r="I1" s="722"/>
      <c r="J1" s="722"/>
      <c r="K1" s="722"/>
      <c r="L1" s="722"/>
      <c r="N1" s="49">
        <v>100</v>
      </c>
    </row>
    <row r="2" spans="1:14" ht="15" x14ac:dyDescent="0.2">
      <c r="A2" s="722" t="s">
        <v>223</v>
      </c>
      <c r="B2" s="722"/>
      <c r="C2" s="722"/>
      <c r="D2" s="722"/>
      <c r="E2" s="722"/>
      <c r="F2" s="722"/>
      <c r="G2" s="722"/>
      <c r="H2" s="722"/>
      <c r="I2" s="722"/>
      <c r="J2" s="722"/>
      <c r="K2" s="722"/>
      <c r="L2" s="722"/>
    </row>
    <row r="3" spans="1:14" x14ac:dyDescent="0.2">
      <c r="A3" s="28"/>
      <c r="B3" s="28"/>
      <c r="C3" s="28"/>
      <c r="D3" s="28"/>
      <c r="E3" s="28"/>
      <c r="F3" s="28"/>
      <c r="G3" s="28"/>
      <c r="H3" s="28"/>
      <c r="I3" s="28"/>
      <c r="J3" s="28"/>
      <c r="K3" s="28"/>
      <c r="L3" s="28"/>
    </row>
    <row r="4" spans="1:14" x14ac:dyDescent="0.2">
      <c r="A4" s="720" t="s">
        <v>241</v>
      </c>
      <c r="B4" s="720"/>
      <c r="C4" s="720"/>
      <c r="D4" s="720"/>
      <c r="E4" s="720"/>
      <c r="F4" s="720"/>
      <c r="G4" s="720"/>
      <c r="H4" s="720"/>
      <c r="I4" s="720"/>
      <c r="J4" s="720"/>
      <c r="K4" s="720"/>
      <c r="L4" s="720"/>
    </row>
    <row r="5" spans="1:14" x14ac:dyDescent="0.2">
      <c r="B5" s="42"/>
      <c r="C5" s="118"/>
      <c r="D5" s="129"/>
      <c r="E5" s="20"/>
      <c r="F5" s="20"/>
      <c r="G5" s="59"/>
      <c r="H5" s="20"/>
      <c r="I5" s="20"/>
      <c r="J5" s="62"/>
      <c r="K5" s="20"/>
      <c r="L5" s="124" t="s">
        <v>240</v>
      </c>
    </row>
    <row r="6" spans="1:14" ht="12.95" customHeight="1" x14ac:dyDescent="0.2">
      <c r="A6" s="775">
        <v>7.1</v>
      </c>
      <c r="B6" s="776" t="s">
        <v>22</v>
      </c>
      <c r="C6" s="159"/>
      <c r="D6" s="777" t="s">
        <v>190</v>
      </c>
      <c r="E6" s="777"/>
      <c r="F6" s="777"/>
      <c r="G6" s="777"/>
      <c r="H6" s="777" t="s">
        <v>191</v>
      </c>
      <c r="I6" s="777"/>
      <c r="J6" s="777"/>
      <c r="K6" s="778" t="s">
        <v>192</v>
      </c>
      <c r="L6" s="778"/>
    </row>
    <row r="7" spans="1:14" ht="38.25" x14ac:dyDescent="0.2">
      <c r="A7" s="775"/>
      <c r="B7" s="776"/>
      <c r="C7" s="159" t="s">
        <v>193</v>
      </c>
      <c r="D7" s="36" t="s">
        <v>222</v>
      </c>
      <c r="E7" s="160" t="s">
        <v>194</v>
      </c>
      <c r="F7" s="160" t="s">
        <v>195</v>
      </c>
      <c r="G7" s="36" t="s">
        <v>219</v>
      </c>
      <c r="H7" s="161" t="s">
        <v>208</v>
      </c>
      <c r="I7" s="161" t="s">
        <v>196</v>
      </c>
      <c r="J7" s="161" t="s">
        <v>221</v>
      </c>
      <c r="K7" s="36" t="s">
        <v>219</v>
      </c>
      <c r="L7" s="36" t="s">
        <v>95</v>
      </c>
    </row>
    <row r="8" spans="1:14" x14ac:dyDescent="0.2">
      <c r="A8" s="71"/>
      <c r="B8" s="17"/>
      <c r="C8" s="162"/>
      <c r="D8" s="163"/>
      <c r="E8" s="163"/>
      <c r="F8" s="163"/>
      <c r="G8" s="164"/>
      <c r="H8" s="165"/>
      <c r="I8" s="165"/>
      <c r="J8" s="166"/>
      <c r="K8" s="165"/>
      <c r="L8" s="165"/>
    </row>
    <row r="9" spans="1:14" x14ac:dyDescent="0.2">
      <c r="A9" s="18">
        <v>1</v>
      </c>
      <c r="B9" s="68" t="s">
        <v>197</v>
      </c>
      <c r="C9" s="167"/>
      <c r="D9" s="163"/>
      <c r="E9" s="163"/>
      <c r="F9" s="163"/>
      <c r="G9" s="164"/>
      <c r="H9" s="163"/>
      <c r="I9" s="163"/>
      <c r="J9" s="168"/>
      <c r="K9" s="163"/>
      <c r="L9" s="163"/>
    </row>
    <row r="10" spans="1:14" x14ac:dyDescent="0.2">
      <c r="A10" s="18"/>
      <c r="B10" s="45" t="s">
        <v>78</v>
      </c>
      <c r="C10" s="169">
        <v>0</v>
      </c>
      <c r="D10" s="43"/>
      <c r="E10" s="206"/>
      <c r="F10" s="206"/>
      <c r="G10" s="205"/>
      <c r="H10" s="43"/>
      <c r="I10" s="206"/>
      <c r="J10" s="207"/>
      <c r="K10" s="206"/>
      <c r="L10" s="43"/>
    </row>
    <row r="11" spans="1:14" x14ac:dyDescent="0.2">
      <c r="A11" s="18"/>
      <c r="B11" s="45" t="s">
        <v>200</v>
      </c>
      <c r="C11" s="169">
        <v>0</v>
      </c>
      <c r="D11" s="43"/>
      <c r="E11" s="206"/>
      <c r="F11" s="206"/>
      <c r="G11" s="205"/>
      <c r="H11" s="43"/>
      <c r="I11" s="43"/>
      <c r="J11" s="43"/>
      <c r="K11" s="206"/>
      <c r="L11" s="43"/>
    </row>
    <row r="12" spans="1:14" x14ac:dyDescent="0.2">
      <c r="A12" s="18"/>
      <c r="B12" s="170"/>
      <c r="C12" s="171"/>
      <c r="D12" s="43"/>
      <c r="E12" s="206"/>
      <c r="F12" s="206"/>
      <c r="G12" s="205"/>
      <c r="H12" s="43"/>
      <c r="I12" s="206"/>
      <c r="J12" s="207"/>
      <c r="K12" s="206"/>
      <c r="L12" s="43"/>
    </row>
    <row r="13" spans="1:14" x14ac:dyDescent="0.2">
      <c r="A13" s="18">
        <v>2</v>
      </c>
      <c r="B13" s="45" t="s">
        <v>198</v>
      </c>
      <c r="C13" s="172"/>
      <c r="D13" s="43"/>
      <c r="E13" s="206"/>
      <c r="F13" s="206"/>
      <c r="G13" s="205"/>
      <c r="H13" s="43"/>
      <c r="I13" s="206"/>
      <c r="J13" s="207"/>
      <c r="K13" s="206"/>
      <c r="L13" s="43"/>
      <c r="M13" s="59"/>
    </row>
    <row r="14" spans="1:14" x14ac:dyDescent="0.2">
      <c r="A14" s="18"/>
      <c r="B14" s="45"/>
      <c r="C14" s="169"/>
      <c r="D14" s="43"/>
      <c r="E14" s="206"/>
      <c r="F14" s="206"/>
      <c r="G14" s="205"/>
      <c r="H14" s="43"/>
      <c r="I14" s="208"/>
      <c r="J14" s="209"/>
      <c r="K14" s="208"/>
      <c r="L14" s="208"/>
    </row>
    <row r="15" spans="1:14" x14ac:dyDescent="0.2">
      <c r="A15" s="173"/>
      <c r="B15" s="69" t="s">
        <v>199</v>
      </c>
      <c r="C15" s="174"/>
      <c r="D15" s="204">
        <f t="shared" ref="D15:K15" si="0">SUM(D10:D13)</f>
        <v>0</v>
      </c>
      <c r="E15" s="204">
        <f t="shared" si="0"/>
        <v>0</v>
      </c>
      <c r="F15" s="204">
        <f t="shared" si="0"/>
        <v>0</v>
      </c>
      <c r="G15" s="204">
        <f t="shared" si="0"/>
        <v>0</v>
      </c>
      <c r="H15" s="204">
        <f t="shared" si="0"/>
        <v>0</v>
      </c>
      <c r="I15" s="204">
        <f t="shared" si="0"/>
        <v>0</v>
      </c>
      <c r="J15" s="204">
        <f t="shared" si="0"/>
        <v>0</v>
      </c>
      <c r="K15" s="204">
        <f t="shared" si="0"/>
        <v>0</v>
      </c>
      <c r="L15" s="204">
        <f>L10+L13</f>
        <v>0</v>
      </c>
    </row>
    <row r="16" spans="1:14" x14ac:dyDescent="0.2">
      <c r="A16" s="173"/>
      <c r="B16" s="106"/>
      <c r="C16" s="202"/>
      <c r="D16" s="126"/>
      <c r="E16" s="126"/>
      <c r="F16" s="126"/>
      <c r="G16" s="126"/>
      <c r="H16" s="126"/>
      <c r="I16" s="126"/>
      <c r="J16" s="126"/>
      <c r="K16" s="126"/>
      <c r="L16" s="126"/>
    </row>
    <row r="21" spans="9:9" x14ac:dyDescent="0.2">
      <c r="I21" s="176"/>
    </row>
  </sheetData>
  <mergeCells count="8">
    <mergeCell ref="A1:L1"/>
    <mergeCell ref="A2:L2"/>
    <mergeCell ref="A6:A7"/>
    <mergeCell ref="B6:B7"/>
    <mergeCell ref="D6:G6"/>
    <mergeCell ref="H6:J6"/>
    <mergeCell ref="K6:L6"/>
    <mergeCell ref="A4:L4"/>
  </mergeCells>
  <pageMargins left="0.7" right="0.7" top="0.75" bottom="0.75" header="0.3" footer="0.3"/>
  <pageSetup paperSize="9" scale="88"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J16"/>
  <sheetViews>
    <sheetView showGridLines="0" view="pageBreakPreview" zoomScale="90" zoomScaleNormal="85" zoomScaleSheetLayoutView="90" workbookViewId="0">
      <selection activeCell="L15" sqref="L15"/>
    </sheetView>
  </sheetViews>
  <sheetFormatPr defaultColWidth="8.85546875" defaultRowHeight="12.75" x14ac:dyDescent="0.2"/>
  <cols>
    <col min="1" max="1" width="6.42578125" style="133" customWidth="1"/>
    <col min="2" max="2" width="29.85546875" style="133" customWidth="1"/>
    <col min="3" max="3" width="24.42578125" style="133" customWidth="1"/>
    <col min="4" max="4" width="3.42578125" style="133" customWidth="1"/>
    <col min="5" max="5" width="25.140625" style="133" customWidth="1"/>
    <col min="6" max="6" width="3.140625" style="133" customWidth="1"/>
    <col min="7" max="8" width="11.85546875" style="133" bestFit="1" customWidth="1"/>
    <col min="9" max="9" width="12.85546875" style="133" customWidth="1"/>
    <col min="10" max="10" width="23.85546875" style="133" customWidth="1"/>
    <col min="11" max="11" width="8.85546875" style="133"/>
    <col min="12" max="12" width="14" style="133" bestFit="1" customWidth="1"/>
    <col min="13" max="256" width="8.85546875" style="133"/>
    <col min="257" max="257" width="6.42578125" style="133" customWidth="1"/>
    <col min="258" max="258" width="29.85546875" style="133" customWidth="1"/>
    <col min="259" max="259" width="24.42578125" style="133" customWidth="1"/>
    <col min="260" max="260" width="3.42578125" style="133" customWidth="1"/>
    <col min="261" max="261" width="25.140625" style="133" customWidth="1"/>
    <col min="262" max="262" width="3.140625" style="133" customWidth="1"/>
    <col min="263" max="264" width="11.85546875" style="133" bestFit="1" customWidth="1"/>
    <col min="265" max="265" width="12.85546875" style="133" customWidth="1"/>
    <col min="266" max="266" width="23.85546875" style="133" customWidth="1"/>
    <col min="267" max="512" width="8.85546875" style="133"/>
    <col min="513" max="513" width="6.42578125" style="133" customWidth="1"/>
    <col min="514" max="514" width="29.85546875" style="133" customWidth="1"/>
    <col min="515" max="515" width="24.42578125" style="133" customWidth="1"/>
    <col min="516" max="516" width="3.42578125" style="133" customWidth="1"/>
    <col min="517" max="517" width="25.140625" style="133" customWidth="1"/>
    <col min="518" max="518" width="3.140625" style="133" customWidth="1"/>
    <col min="519" max="520" width="11.85546875" style="133" bestFit="1" customWidth="1"/>
    <col min="521" max="521" width="12.85546875" style="133" customWidth="1"/>
    <col min="522" max="522" width="23.85546875" style="133" customWidth="1"/>
    <col min="523" max="768" width="8.85546875" style="133"/>
    <col min="769" max="769" width="6.42578125" style="133" customWidth="1"/>
    <col min="770" max="770" width="29.85546875" style="133" customWidth="1"/>
    <col min="771" max="771" width="24.42578125" style="133" customWidth="1"/>
    <col min="772" max="772" width="3.42578125" style="133" customWidth="1"/>
    <col min="773" max="773" width="25.140625" style="133" customWidth="1"/>
    <col min="774" max="774" width="3.140625" style="133" customWidth="1"/>
    <col min="775" max="776" width="11.85546875" style="133" bestFit="1" customWidth="1"/>
    <col min="777" max="777" width="12.85546875" style="133" customWidth="1"/>
    <col min="778" max="778" width="23.85546875" style="133" customWidth="1"/>
    <col min="779" max="1024" width="8.85546875" style="133"/>
    <col min="1025" max="1025" width="6.42578125" style="133" customWidth="1"/>
    <col min="1026" max="1026" width="29.85546875" style="133" customWidth="1"/>
    <col min="1027" max="1027" width="24.42578125" style="133" customWidth="1"/>
    <col min="1028" max="1028" width="3.42578125" style="133" customWidth="1"/>
    <col min="1029" max="1029" width="25.140625" style="133" customWidth="1"/>
    <col min="1030" max="1030" width="3.140625" style="133" customWidth="1"/>
    <col min="1031" max="1032" width="11.85546875" style="133" bestFit="1" customWidth="1"/>
    <col min="1033" max="1033" width="12.85546875" style="133" customWidth="1"/>
    <col min="1034" max="1034" width="23.85546875" style="133" customWidth="1"/>
    <col min="1035" max="1280" width="8.85546875" style="133"/>
    <col min="1281" max="1281" width="6.42578125" style="133" customWidth="1"/>
    <col min="1282" max="1282" width="29.85546875" style="133" customWidth="1"/>
    <col min="1283" max="1283" width="24.42578125" style="133" customWidth="1"/>
    <col min="1284" max="1284" width="3.42578125" style="133" customWidth="1"/>
    <col min="1285" max="1285" width="25.140625" style="133" customWidth="1"/>
    <col min="1286" max="1286" width="3.140625" style="133" customWidth="1"/>
    <col min="1287" max="1288" width="11.85546875" style="133" bestFit="1" customWidth="1"/>
    <col min="1289" max="1289" width="12.85546875" style="133" customWidth="1"/>
    <col min="1290" max="1290" width="23.85546875" style="133" customWidth="1"/>
    <col min="1291" max="1536" width="8.85546875" style="133"/>
    <col min="1537" max="1537" width="6.42578125" style="133" customWidth="1"/>
    <col min="1538" max="1538" width="29.85546875" style="133" customWidth="1"/>
    <col min="1539" max="1539" width="24.42578125" style="133" customWidth="1"/>
    <col min="1540" max="1540" width="3.42578125" style="133" customWidth="1"/>
    <col min="1541" max="1541" width="25.140625" style="133" customWidth="1"/>
    <col min="1542" max="1542" width="3.140625" style="133" customWidth="1"/>
    <col min="1543" max="1544" width="11.85546875" style="133" bestFit="1" customWidth="1"/>
    <col min="1545" max="1545" width="12.85546875" style="133" customWidth="1"/>
    <col min="1546" max="1546" width="23.85546875" style="133" customWidth="1"/>
    <col min="1547" max="1792" width="8.85546875" style="133"/>
    <col min="1793" max="1793" width="6.42578125" style="133" customWidth="1"/>
    <col min="1794" max="1794" width="29.85546875" style="133" customWidth="1"/>
    <col min="1795" max="1795" width="24.42578125" style="133" customWidth="1"/>
    <col min="1796" max="1796" width="3.42578125" style="133" customWidth="1"/>
    <col min="1797" max="1797" width="25.140625" style="133" customWidth="1"/>
    <col min="1798" max="1798" width="3.140625" style="133" customWidth="1"/>
    <col min="1799" max="1800" width="11.85546875" style="133" bestFit="1" customWidth="1"/>
    <col min="1801" max="1801" width="12.85546875" style="133" customWidth="1"/>
    <col min="1802" max="1802" width="23.85546875" style="133" customWidth="1"/>
    <col min="1803" max="2048" width="8.85546875" style="133"/>
    <col min="2049" max="2049" width="6.42578125" style="133" customWidth="1"/>
    <col min="2050" max="2050" width="29.85546875" style="133" customWidth="1"/>
    <col min="2051" max="2051" width="24.42578125" style="133" customWidth="1"/>
    <col min="2052" max="2052" width="3.42578125" style="133" customWidth="1"/>
    <col min="2053" max="2053" width="25.140625" style="133" customWidth="1"/>
    <col min="2054" max="2054" width="3.140625" style="133" customWidth="1"/>
    <col min="2055" max="2056" width="11.85546875" style="133" bestFit="1" customWidth="1"/>
    <col min="2057" max="2057" width="12.85546875" style="133" customWidth="1"/>
    <col min="2058" max="2058" width="23.85546875" style="133" customWidth="1"/>
    <col min="2059" max="2304" width="8.85546875" style="133"/>
    <col min="2305" max="2305" width="6.42578125" style="133" customWidth="1"/>
    <col min="2306" max="2306" width="29.85546875" style="133" customWidth="1"/>
    <col min="2307" max="2307" width="24.42578125" style="133" customWidth="1"/>
    <col min="2308" max="2308" width="3.42578125" style="133" customWidth="1"/>
    <col min="2309" max="2309" width="25.140625" style="133" customWidth="1"/>
    <col min="2310" max="2310" width="3.140625" style="133" customWidth="1"/>
    <col min="2311" max="2312" width="11.85546875" style="133" bestFit="1" customWidth="1"/>
    <col min="2313" max="2313" width="12.85546875" style="133" customWidth="1"/>
    <col min="2314" max="2314" width="23.85546875" style="133" customWidth="1"/>
    <col min="2315" max="2560" width="8.85546875" style="133"/>
    <col min="2561" max="2561" width="6.42578125" style="133" customWidth="1"/>
    <col min="2562" max="2562" width="29.85546875" style="133" customWidth="1"/>
    <col min="2563" max="2563" width="24.42578125" style="133" customWidth="1"/>
    <col min="2564" max="2564" width="3.42578125" style="133" customWidth="1"/>
    <col min="2565" max="2565" width="25.140625" style="133" customWidth="1"/>
    <col min="2566" max="2566" width="3.140625" style="133" customWidth="1"/>
    <col min="2567" max="2568" width="11.85546875" style="133" bestFit="1" customWidth="1"/>
    <col min="2569" max="2569" width="12.85546875" style="133" customWidth="1"/>
    <col min="2570" max="2570" width="23.85546875" style="133" customWidth="1"/>
    <col min="2571" max="2816" width="8.85546875" style="133"/>
    <col min="2817" max="2817" width="6.42578125" style="133" customWidth="1"/>
    <col min="2818" max="2818" width="29.85546875" style="133" customWidth="1"/>
    <col min="2819" max="2819" width="24.42578125" style="133" customWidth="1"/>
    <col min="2820" max="2820" width="3.42578125" style="133" customWidth="1"/>
    <col min="2821" max="2821" width="25.140625" style="133" customWidth="1"/>
    <col min="2822" max="2822" width="3.140625" style="133" customWidth="1"/>
    <col min="2823" max="2824" width="11.85546875" style="133" bestFit="1" customWidth="1"/>
    <col min="2825" max="2825" width="12.85546875" style="133" customWidth="1"/>
    <col min="2826" max="2826" width="23.85546875" style="133" customWidth="1"/>
    <col min="2827" max="3072" width="8.85546875" style="133"/>
    <col min="3073" max="3073" width="6.42578125" style="133" customWidth="1"/>
    <col min="3074" max="3074" width="29.85546875" style="133" customWidth="1"/>
    <col min="3075" max="3075" width="24.42578125" style="133" customWidth="1"/>
    <col min="3076" max="3076" width="3.42578125" style="133" customWidth="1"/>
    <col min="3077" max="3077" width="25.140625" style="133" customWidth="1"/>
    <col min="3078" max="3078" width="3.140625" style="133" customWidth="1"/>
    <col min="3079" max="3080" width="11.85546875" style="133" bestFit="1" customWidth="1"/>
    <col min="3081" max="3081" width="12.85546875" style="133" customWidth="1"/>
    <col min="3082" max="3082" width="23.85546875" style="133" customWidth="1"/>
    <col min="3083" max="3328" width="8.85546875" style="133"/>
    <col min="3329" max="3329" width="6.42578125" style="133" customWidth="1"/>
    <col min="3330" max="3330" width="29.85546875" style="133" customWidth="1"/>
    <col min="3331" max="3331" width="24.42578125" style="133" customWidth="1"/>
    <col min="3332" max="3332" width="3.42578125" style="133" customWidth="1"/>
    <col min="3333" max="3333" width="25.140625" style="133" customWidth="1"/>
    <col min="3334" max="3334" width="3.140625" style="133" customWidth="1"/>
    <col min="3335" max="3336" width="11.85546875" style="133" bestFit="1" customWidth="1"/>
    <col min="3337" max="3337" width="12.85546875" style="133" customWidth="1"/>
    <col min="3338" max="3338" width="23.85546875" style="133" customWidth="1"/>
    <col min="3339" max="3584" width="8.85546875" style="133"/>
    <col min="3585" max="3585" width="6.42578125" style="133" customWidth="1"/>
    <col min="3586" max="3586" width="29.85546875" style="133" customWidth="1"/>
    <col min="3587" max="3587" width="24.42578125" style="133" customWidth="1"/>
    <col min="3588" max="3588" width="3.42578125" style="133" customWidth="1"/>
    <col min="3589" max="3589" width="25.140625" style="133" customWidth="1"/>
    <col min="3590" max="3590" width="3.140625" style="133" customWidth="1"/>
    <col min="3591" max="3592" width="11.85546875" style="133" bestFit="1" customWidth="1"/>
    <col min="3593" max="3593" width="12.85546875" style="133" customWidth="1"/>
    <col min="3594" max="3594" width="23.85546875" style="133" customWidth="1"/>
    <col min="3595" max="3840" width="8.85546875" style="133"/>
    <col min="3841" max="3841" width="6.42578125" style="133" customWidth="1"/>
    <col min="3842" max="3842" width="29.85546875" style="133" customWidth="1"/>
    <col min="3843" max="3843" width="24.42578125" style="133" customWidth="1"/>
    <col min="3844" max="3844" width="3.42578125" style="133" customWidth="1"/>
    <col min="3845" max="3845" width="25.140625" style="133" customWidth="1"/>
    <col min="3846" max="3846" width="3.140625" style="133" customWidth="1"/>
    <col min="3847" max="3848" width="11.85546875" style="133" bestFit="1" customWidth="1"/>
    <col min="3849" max="3849" width="12.85546875" style="133" customWidth="1"/>
    <col min="3850" max="3850" width="23.85546875" style="133" customWidth="1"/>
    <col min="3851" max="4096" width="8.85546875" style="133"/>
    <col min="4097" max="4097" width="6.42578125" style="133" customWidth="1"/>
    <col min="4098" max="4098" width="29.85546875" style="133" customWidth="1"/>
    <col min="4099" max="4099" width="24.42578125" style="133" customWidth="1"/>
    <col min="4100" max="4100" width="3.42578125" style="133" customWidth="1"/>
    <col min="4101" max="4101" width="25.140625" style="133" customWidth="1"/>
    <col min="4102" max="4102" width="3.140625" style="133" customWidth="1"/>
    <col min="4103" max="4104" width="11.85546875" style="133" bestFit="1" customWidth="1"/>
    <col min="4105" max="4105" width="12.85546875" style="133" customWidth="1"/>
    <col min="4106" max="4106" width="23.85546875" style="133" customWidth="1"/>
    <col min="4107" max="4352" width="8.85546875" style="133"/>
    <col min="4353" max="4353" width="6.42578125" style="133" customWidth="1"/>
    <col min="4354" max="4354" width="29.85546875" style="133" customWidth="1"/>
    <col min="4355" max="4355" width="24.42578125" style="133" customWidth="1"/>
    <col min="4356" max="4356" width="3.42578125" style="133" customWidth="1"/>
    <col min="4357" max="4357" width="25.140625" style="133" customWidth="1"/>
    <col min="4358" max="4358" width="3.140625" style="133" customWidth="1"/>
    <col min="4359" max="4360" width="11.85546875" style="133" bestFit="1" customWidth="1"/>
    <col min="4361" max="4361" width="12.85546875" style="133" customWidth="1"/>
    <col min="4362" max="4362" width="23.85546875" style="133" customWidth="1"/>
    <col min="4363" max="4608" width="8.85546875" style="133"/>
    <col min="4609" max="4609" width="6.42578125" style="133" customWidth="1"/>
    <col min="4610" max="4610" width="29.85546875" style="133" customWidth="1"/>
    <col min="4611" max="4611" width="24.42578125" style="133" customWidth="1"/>
    <col min="4612" max="4612" width="3.42578125" style="133" customWidth="1"/>
    <col min="4613" max="4613" width="25.140625" style="133" customWidth="1"/>
    <col min="4614" max="4614" width="3.140625" style="133" customWidth="1"/>
    <col min="4615" max="4616" width="11.85546875" style="133" bestFit="1" customWidth="1"/>
    <col min="4617" max="4617" width="12.85546875" style="133" customWidth="1"/>
    <col min="4618" max="4618" width="23.85546875" style="133" customWidth="1"/>
    <col min="4619" max="4864" width="8.85546875" style="133"/>
    <col min="4865" max="4865" width="6.42578125" style="133" customWidth="1"/>
    <col min="4866" max="4866" width="29.85546875" style="133" customWidth="1"/>
    <col min="4867" max="4867" width="24.42578125" style="133" customWidth="1"/>
    <col min="4868" max="4868" width="3.42578125" style="133" customWidth="1"/>
    <col min="4869" max="4869" width="25.140625" style="133" customWidth="1"/>
    <col min="4870" max="4870" width="3.140625" style="133" customWidth="1"/>
    <col min="4871" max="4872" width="11.85546875" style="133" bestFit="1" customWidth="1"/>
    <col min="4873" max="4873" width="12.85546875" style="133" customWidth="1"/>
    <col min="4874" max="4874" width="23.85546875" style="133" customWidth="1"/>
    <col min="4875" max="5120" width="8.85546875" style="133"/>
    <col min="5121" max="5121" width="6.42578125" style="133" customWidth="1"/>
    <col min="5122" max="5122" width="29.85546875" style="133" customWidth="1"/>
    <col min="5123" max="5123" width="24.42578125" style="133" customWidth="1"/>
    <col min="5124" max="5124" width="3.42578125" style="133" customWidth="1"/>
    <col min="5125" max="5125" width="25.140625" style="133" customWidth="1"/>
    <col min="5126" max="5126" width="3.140625" style="133" customWidth="1"/>
    <col min="5127" max="5128" width="11.85546875" style="133" bestFit="1" customWidth="1"/>
    <col min="5129" max="5129" width="12.85546875" style="133" customWidth="1"/>
    <col min="5130" max="5130" width="23.85546875" style="133" customWidth="1"/>
    <col min="5131" max="5376" width="8.85546875" style="133"/>
    <col min="5377" max="5377" width="6.42578125" style="133" customWidth="1"/>
    <col min="5378" max="5378" width="29.85546875" style="133" customWidth="1"/>
    <col min="5379" max="5379" width="24.42578125" style="133" customWidth="1"/>
    <col min="5380" max="5380" width="3.42578125" style="133" customWidth="1"/>
    <col min="5381" max="5381" width="25.140625" style="133" customWidth="1"/>
    <col min="5382" max="5382" width="3.140625" style="133" customWidth="1"/>
    <col min="5383" max="5384" width="11.85546875" style="133" bestFit="1" customWidth="1"/>
    <col min="5385" max="5385" width="12.85546875" style="133" customWidth="1"/>
    <col min="5386" max="5386" width="23.85546875" style="133" customWidth="1"/>
    <col min="5387" max="5632" width="8.85546875" style="133"/>
    <col min="5633" max="5633" width="6.42578125" style="133" customWidth="1"/>
    <col min="5634" max="5634" width="29.85546875" style="133" customWidth="1"/>
    <col min="5635" max="5635" width="24.42578125" style="133" customWidth="1"/>
    <col min="5636" max="5636" width="3.42578125" style="133" customWidth="1"/>
    <col min="5637" max="5637" width="25.140625" style="133" customWidth="1"/>
    <col min="5638" max="5638" width="3.140625" style="133" customWidth="1"/>
    <col min="5639" max="5640" width="11.85546875" style="133" bestFit="1" customWidth="1"/>
    <col min="5641" max="5641" width="12.85546875" style="133" customWidth="1"/>
    <col min="5642" max="5642" width="23.85546875" style="133" customWidth="1"/>
    <col min="5643" max="5888" width="8.85546875" style="133"/>
    <col min="5889" max="5889" width="6.42578125" style="133" customWidth="1"/>
    <col min="5890" max="5890" width="29.85546875" style="133" customWidth="1"/>
    <col min="5891" max="5891" width="24.42578125" style="133" customWidth="1"/>
    <col min="5892" max="5892" width="3.42578125" style="133" customWidth="1"/>
    <col min="5893" max="5893" width="25.140625" style="133" customWidth="1"/>
    <col min="5894" max="5894" width="3.140625" style="133" customWidth="1"/>
    <col min="5895" max="5896" width="11.85546875" style="133" bestFit="1" customWidth="1"/>
    <col min="5897" max="5897" width="12.85546875" style="133" customWidth="1"/>
    <col min="5898" max="5898" width="23.85546875" style="133" customWidth="1"/>
    <col min="5899" max="6144" width="8.85546875" style="133"/>
    <col min="6145" max="6145" width="6.42578125" style="133" customWidth="1"/>
    <col min="6146" max="6146" width="29.85546875" style="133" customWidth="1"/>
    <col min="6147" max="6147" width="24.42578125" style="133" customWidth="1"/>
    <col min="6148" max="6148" width="3.42578125" style="133" customWidth="1"/>
    <col min="6149" max="6149" width="25.140625" style="133" customWidth="1"/>
    <col min="6150" max="6150" width="3.140625" style="133" customWidth="1"/>
    <col min="6151" max="6152" width="11.85546875" style="133" bestFit="1" customWidth="1"/>
    <col min="6153" max="6153" width="12.85546875" style="133" customWidth="1"/>
    <col min="6154" max="6154" width="23.85546875" style="133" customWidth="1"/>
    <col min="6155" max="6400" width="8.85546875" style="133"/>
    <col min="6401" max="6401" width="6.42578125" style="133" customWidth="1"/>
    <col min="6402" max="6402" width="29.85546875" style="133" customWidth="1"/>
    <col min="6403" max="6403" width="24.42578125" style="133" customWidth="1"/>
    <col min="6404" max="6404" width="3.42578125" style="133" customWidth="1"/>
    <col min="6405" max="6405" width="25.140625" style="133" customWidth="1"/>
    <col min="6406" max="6406" width="3.140625" style="133" customWidth="1"/>
    <col min="6407" max="6408" width="11.85546875" style="133" bestFit="1" customWidth="1"/>
    <col min="6409" max="6409" width="12.85546875" style="133" customWidth="1"/>
    <col min="6410" max="6410" width="23.85546875" style="133" customWidth="1"/>
    <col min="6411" max="6656" width="8.85546875" style="133"/>
    <col min="6657" max="6657" width="6.42578125" style="133" customWidth="1"/>
    <col min="6658" max="6658" width="29.85546875" style="133" customWidth="1"/>
    <col min="6659" max="6659" width="24.42578125" style="133" customWidth="1"/>
    <col min="6660" max="6660" width="3.42578125" style="133" customWidth="1"/>
    <col min="6661" max="6661" width="25.140625" style="133" customWidth="1"/>
    <col min="6662" max="6662" width="3.140625" style="133" customWidth="1"/>
    <col min="6663" max="6664" width="11.85546875" style="133" bestFit="1" customWidth="1"/>
    <col min="6665" max="6665" width="12.85546875" style="133" customWidth="1"/>
    <col min="6666" max="6666" width="23.85546875" style="133" customWidth="1"/>
    <col min="6667" max="6912" width="8.85546875" style="133"/>
    <col min="6913" max="6913" width="6.42578125" style="133" customWidth="1"/>
    <col min="6914" max="6914" width="29.85546875" style="133" customWidth="1"/>
    <col min="6915" max="6915" width="24.42578125" style="133" customWidth="1"/>
    <col min="6916" max="6916" width="3.42578125" style="133" customWidth="1"/>
    <col min="6917" max="6917" width="25.140625" style="133" customWidth="1"/>
    <col min="6918" max="6918" width="3.140625" style="133" customWidth="1"/>
    <col min="6919" max="6920" width="11.85546875" style="133" bestFit="1" customWidth="1"/>
    <col min="6921" max="6921" width="12.85546875" style="133" customWidth="1"/>
    <col min="6922" max="6922" width="23.85546875" style="133" customWidth="1"/>
    <col min="6923" max="7168" width="8.85546875" style="133"/>
    <col min="7169" max="7169" width="6.42578125" style="133" customWidth="1"/>
    <col min="7170" max="7170" width="29.85546875" style="133" customWidth="1"/>
    <col min="7171" max="7171" width="24.42578125" style="133" customWidth="1"/>
    <col min="7172" max="7172" width="3.42578125" style="133" customWidth="1"/>
    <col min="7173" max="7173" width="25.140625" style="133" customWidth="1"/>
    <col min="7174" max="7174" width="3.140625" style="133" customWidth="1"/>
    <col min="7175" max="7176" width="11.85546875" style="133" bestFit="1" customWidth="1"/>
    <col min="7177" max="7177" width="12.85546875" style="133" customWidth="1"/>
    <col min="7178" max="7178" width="23.85546875" style="133" customWidth="1"/>
    <col min="7179" max="7424" width="8.85546875" style="133"/>
    <col min="7425" max="7425" width="6.42578125" style="133" customWidth="1"/>
    <col min="7426" max="7426" width="29.85546875" style="133" customWidth="1"/>
    <col min="7427" max="7427" width="24.42578125" style="133" customWidth="1"/>
    <col min="7428" max="7428" width="3.42578125" style="133" customWidth="1"/>
    <col min="7429" max="7429" width="25.140625" style="133" customWidth="1"/>
    <col min="7430" max="7430" width="3.140625" style="133" customWidth="1"/>
    <col min="7431" max="7432" width="11.85546875" style="133" bestFit="1" customWidth="1"/>
    <col min="7433" max="7433" width="12.85546875" style="133" customWidth="1"/>
    <col min="7434" max="7434" width="23.85546875" style="133" customWidth="1"/>
    <col min="7435" max="7680" width="8.85546875" style="133"/>
    <col min="7681" max="7681" width="6.42578125" style="133" customWidth="1"/>
    <col min="7682" max="7682" width="29.85546875" style="133" customWidth="1"/>
    <col min="7683" max="7683" width="24.42578125" style="133" customWidth="1"/>
    <col min="7684" max="7684" width="3.42578125" style="133" customWidth="1"/>
    <col min="7685" max="7685" width="25.140625" style="133" customWidth="1"/>
    <col min="7686" max="7686" width="3.140625" style="133" customWidth="1"/>
    <col min="7687" max="7688" width="11.85546875" style="133" bestFit="1" customWidth="1"/>
    <col min="7689" max="7689" width="12.85546875" style="133" customWidth="1"/>
    <col min="7690" max="7690" width="23.85546875" style="133" customWidth="1"/>
    <col min="7691" max="7936" width="8.85546875" style="133"/>
    <col min="7937" max="7937" width="6.42578125" style="133" customWidth="1"/>
    <col min="7938" max="7938" width="29.85546875" style="133" customWidth="1"/>
    <col min="7939" max="7939" width="24.42578125" style="133" customWidth="1"/>
    <col min="7940" max="7940" width="3.42578125" style="133" customWidth="1"/>
    <col min="7941" max="7941" width="25.140625" style="133" customWidth="1"/>
    <col min="7942" max="7942" width="3.140625" style="133" customWidth="1"/>
    <col min="7943" max="7944" width="11.85546875" style="133" bestFit="1" customWidth="1"/>
    <col min="7945" max="7945" width="12.85546875" style="133" customWidth="1"/>
    <col min="7946" max="7946" width="23.85546875" style="133" customWidth="1"/>
    <col min="7947" max="8192" width="8.85546875" style="133"/>
    <col min="8193" max="8193" width="6.42578125" style="133" customWidth="1"/>
    <col min="8194" max="8194" width="29.85546875" style="133" customWidth="1"/>
    <col min="8195" max="8195" width="24.42578125" style="133" customWidth="1"/>
    <col min="8196" max="8196" width="3.42578125" style="133" customWidth="1"/>
    <col min="8197" max="8197" width="25.140625" style="133" customWidth="1"/>
    <col min="8198" max="8198" width="3.140625" style="133" customWidth="1"/>
    <col min="8199" max="8200" width="11.85546875" style="133" bestFit="1" customWidth="1"/>
    <col min="8201" max="8201" width="12.85546875" style="133" customWidth="1"/>
    <col min="8202" max="8202" width="23.85546875" style="133" customWidth="1"/>
    <col min="8203" max="8448" width="8.85546875" style="133"/>
    <col min="8449" max="8449" width="6.42578125" style="133" customWidth="1"/>
    <col min="8450" max="8450" width="29.85546875" style="133" customWidth="1"/>
    <col min="8451" max="8451" width="24.42578125" style="133" customWidth="1"/>
    <col min="8452" max="8452" width="3.42578125" style="133" customWidth="1"/>
    <col min="8453" max="8453" width="25.140625" style="133" customWidth="1"/>
    <col min="8454" max="8454" width="3.140625" style="133" customWidth="1"/>
    <col min="8455" max="8456" width="11.85546875" style="133" bestFit="1" customWidth="1"/>
    <col min="8457" max="8457" width="12.85546875" style="133" customWidth="1"/>
    <col min="8458" max="8458" width="23.85546875" style="133" customWidth="1"/>
    <col min="8459" max="8704" width="8.85546875" style="133"/>
    <col min="8705" max="8705" width="6.42578125" style="133" customWidth="1"/>
    <col min="8706" max="8706" width="29.85546875" style="133" customWidth="1"/>
    <col min="8707" max="8707" width="24.42578125" style="133" customWidth="1"/>
    <col min="8708" max="8708" width="3.42578125" style="133" customWidth="1"/>
    <col min="8709" max="8709" width="25.140625" style="133" customWidth="1"/>
    <col min="8710" max="8710" width="3.140625" style="133" customWidth="1"/>
    <col min="8711" max="8712" width="11.85546875" style="133" bestFit="1" customWidth="1"/>
    <col min="8713" max="8713" width="12.85546875" style="133" customWidth="1"/>
    <col min="8714" max="8714" width="23.85546875" style="133" customWidth="1"/>
    <col min="8715" max="8960" width="8.85546875" style="133"/>
    <col min="8961" max="8961" width="6.42578125" style="133" customWidth="1"/>
    <col min="8962" max="8962" width="29.85546875" style="133" customWidth="1"/>
    <col min="8963" max="8963" width="24.42578125" style="133" customWidth="1"/>
    <col min="8964" max="8964" width="3.42578125" style="133" customWidth="1"/>
    <col min="8965" max="8965" width="25.140625" style="133" customWidth="1"/>
    <col min="8966" max="8966" width="3.140625" style="133" customWidth="1"/>
    <col min="8967" max="8968" width="11.85546875" style="133" bestFit="1" customWidth="1"/>
    <col min="8969" max="8969" width="12.85546875" style="133" customWidth="1"/>
    <col min="8970" max="8970" width="23.85546875" style="133" customWidth="1"/>
    <col min="8971" max="9216" width="8.85546875" style="133"/>
    <col min="9217" max="9217" width="6.42578125" style="133" customWidth="1"/>
    <col min="9218" max="9218" width="29.85546875" style="133" customWidth="1"/>
    <col min="9219" max="9219" width="24.42578125" style="133" customWidth="1"/>
    <col min="9220" max="9220" width="3.42578125" style="133" customWidth="1"/>
    <col min="9221" max="9221" width="25.140625" style="133" customWidth="1"/>
    <col min="9222" max="9222" width="3.140625" style="133" customWidth="1"/>
    <col min="9223" max="9224" width="11.85546875" style="133" bestFit="1" customWidth="1"/>
    <col min="9225" max="9225" width="12.85546875" style="133" customWidth="1"/>
    <col min="9226" max="9226" width="23.85546875" style="133" customWidth="1"/>
    <col min="9227" max="9472" width="8.85546875" style="133"/>
    <col min="9473" max="9473" width="6.42578125" style="133" customWidth="1"/>
    <col min="9474" max="9474" width="29.85546875" style="133" customWidth="1"/>
    <col min="9475" max="9475" width="24.42578125" style="133" customWidth="1"/>
    <col min="9476" max="9476" width="3.42578125" style="133" customWidth="1"/>
    <col min="9477" max="9477" width="25.140625" style="133" customWidth="1"/>
    <col min="9478" max="9478" width="3.140625" style="133" customWidth="1"/>
    <col min="9479" max="9480" width="11.85546875" style="133" bestFit="1" customWidth="1"/>
    <col min="9481" max="9481" width="12.85546875" style="133" customWidth="1"/>
    <col min="9482" max="9482" width="23.85546875" style="133" customWidth="1"/>
    <col min="9483" max="9728" width="8.85546875" style="133"/>
    <col min="9729" max="9729" width="6.42578125" style="133" customWidth="1"/>
    <col min="9730" max="9730" width="29.85546875" style="133" customWidth="1"/>
    <col min="9731" max="9731" width="24.42578125" style="133" customWidth="1"/>
    <col min="9732" max="9732" width="3.42578125" style="133" customWidth="1"/>
    <col min="9733" max="9733" width="25.140625" style="133" customWidth="1"/>
    <col min="9734" max="9734" width="3.140625" style="133" customWidth="1"/>
    <col min="9735" max="9736" width="11.85546875" style="133" bestFit="1" customWidth="1"/>
    <col min="9737" max="9737" width="12.85546875" style="133" customWidth="1"/>
    <col min="9738" max="9738" width="23.85546875" style="133" customWidth="1"/>
    <col min="9739" max="9984" width="8.85546875" style="133"/>
    <col min="9985" max="9985" width="6.42578125" style="133" customWidth="1"/>
    <col min="9986" max="9986" width="29.85546875" style="133" customWidth="1"/>
    <col min="9987" max="9987" width="24.42578125" style="133" customWidth="1"/>
    <col min="9988" max="9988" width="3.42578125" style="133" customWidth="1"/>
    <col min="9989" max="9989" width="25.140625" style="133" customWidth="1"/>
    <col min="9990" max="9990" width="3.140625" style="133" customWidth="1"/>
    <col min="9991" max="9992" width="11.85546875" style="133" bestFit="1" customWidth="1"/>
    <col min="9993" max="9993" width="12.85546875" style="133" customWidth="1"/>
    <col min="9994" max="9994" width="23.85546875" style="133" customWidth="1"/>
    <col min="9995" max="10240" width="8.85546875" style="133"/>
    <col min="10241" max="10241" width="6.42578125" style="133" customWidth="1"/>
    <col min="10242" max="10242" width="29.85546875" style="133" customWidth="1"/>
    <col min="10243" max="10243" width="24.42578125" style="133" customWidth="1"/>
    <col min="10244" max="10244" width="3.42578125" style="133" customWidth="1"/>
    <col min="10245" max="10245" width="25.140625" style="133" customWidth="1"/>
    <col min="10246" max="10246" width="3.140625" style="133" customWidth="1"/>
    <col min="10247" max="10248" width="11.85546875" style="133" bestFit="1" customWidth="1"/>
    <col min="10249" max="10249" width="12.85546875" style="133" customWidth="1"/>
    <col min="10250" max="10250" width="23.85546875" style="133" customWidth="1"/>
    <col min="10251" max="10496" width="8.85546875" style="133"/>
    <col min="10497" max="10497" width="6.42578125" style="133" customWidth="1"/>
    <col min="10498" max="10498" width="29.85546875" style="133" customWidth="1"/>
    <col min="10499" max="10499" width="24.42578125" style="133" customWidth="1"/>
    <col min="10500" max="10500" width="3.42578125" style="133" customWidth="1"/>
    <col min="10501" max="10501" width="25.140625" style="133" customWidth="1"/>
    <col min="10502" max="10502" width="3.140625" style="133" customWidth="1"/>
    <col min="10503" max="10504" width="11.85546875" style="133" bestFit="1" customWidth="1"/>
    <col min="10505" max="10505" width="12.85546875" style="133" customWidth="1"/>
    <col min="10506" max="10506" width="23.85546875" style="133" customWidth="1"/>
    <col min="10507" max="10752" width="8.85546875" style="133"/>
    <col min="10753" max="10753" width="6.42578125" style="133" customWidth="1"/>
    <col min="10754" max="10754" width="29.85546875" style="133" customWidth="1"/>
    <col min="10755" max="10755" width="24.42578125" style="133" customWidth="1"/>
    <col min="10756" max="10756" width="3.42578125" style="133" customWidth="1"/>
    <col min="10757" max="10757" width="25.140625" style="133" customWidth="1"/>
    <col min="10758" max="10758" width="3.140625" style="133" customWidth="1"/>
    <col min="10759" max="10760" width="11.85546875" style="133" bestFit="1" customWidth="1"/>
    <col min="10761" max="10761" width="12.85546875" style="133" customWidth="1"/>
    <col min="10762" max="10762" width="23.85546875" style="133" customWidth="1"/>
    <col min="10763" max="11008" width="8.85546875" style="133"/>
    <col min="11009" max="11009" width="6.42578125" style="133" customWidth="1"/>
    <col min="11010" max="11010" width="29.85546875" style="133" customWidth="1"/>
    <col min="11011" max="11011" width="24.42578125" style="133" customWidth="1"/>
    <col min="11012" max="11012" width="3.42578125" style="133" customWidth="1"/>
    <col min="11013" max="11013" width="25.140625" style="133" customWidth="1"/>
    <col min="11014" max="11014" width="3.140625" style="133" customWidth="1"/>
    <col min="11015" max="11016" width="11.85546875" style="133" bestFit="1" customWidth="1"/>
    <col min="11017" max="11017" width="12.85546875" style="133" customWidth="1"/>
    <col min="11018" max="11018" width="23.85546875" style="133" customWidth="1"/>
    <col min="11019" max="11264" width="8.85546875" style="133"/>
    <col min="11265" max="11265" width="6.42578125" style="133" customWidth="1"/>
    <col min="11266" max="11266" width="29.85546875" style="133" customWidth="1"/>
    <col min="11267" max="11267" width="24.42578125" style="133" customWidth="1"/>
    <col min="11268" max="11268" width="3.42578125" style="133" customWidth="1"/>
    <col min="11269" max="11269" width="25.140625" style="133" customWidth="1"/>
    <col min="11270" max="11270" width="3.140625" style="133" customWidth="1"/>
    <col min="11271" max="11272" width="11.85546875" style="133" bestFit="1" customWidth="1"/>
    <col min="11273" max="11273" width="12.85546875" style="133" customWidth="1"/>
    <col min="11274" max="11274" width="23.85546875" style="133" customWidth="1"/>
    <col min="11275" max="11520" width="8.85546875" style="133"/>
    <col min="11521" max="11521" width="6.42578125" style="133" customWidth="1"/>
    <col min="11522" max="11522" width="29.85546875" style="133" customWidth="1"/>
    <col min="11523" max="11523" width="24.42578125" style="133" customWidth="1"/>
    <col min="11524" max="11524" width="3.42578125" style="133" customWidth="1"/>
    <col min="11525" max="11525" width="25.140625" style="133" customWidth="1"/>
    <col min="11526" max="11526" width="3.140625" style="133" customWidth="1"/>
    <col min="11527" max="11528" width="11.85546875" style="133" bestFit="1" customWidth="1"/>
    <col min="11529" max="11529" width="12.85546875" style="133" customWidth="1"/>
    <col min="11530" max="11530" width="23.85546875" style="133" customWidth="1"/>
    <col min="11531" max="11776" width="8.85546875" style="133"/>
    <col min="11777" max="11777" width="6.42578125" style="133" customWidth="1"/>
    <col min="11778" max="11778" width="29.85546875" style="133" customWidth="1"/>
    <col min="11779" max="11779" width="24.42578125" style="133" customWidth="1"/>
    <col min="11780" max="11780" width="3.42578125" style="133" customWidth="1"/>
    <col min="11781" max="11781" width="25.140625" style="133" customWidth="1"/>
    <col min="11782" max="11782" width="3.140625" style="133" customWidth="1"/>
    <col min="11783" max="11784" width="11.85546875" style="133" bestFit="1" customWidth="1"/>
    <col min="11785" max="11785" width="12.85546875" style="133" customWidth="1"/>
    <col min="11786" max="11786" width="23.85546875" style="133" customWidth="1"/>
    <col min="11787" max="12032" width="8.85546875" style="133"/>
    <col min="12033" max="12033" width="6.42578125" style="133" customWidth="1"/>
    <col min="12034" max="12034" width="29.85546875" style="133" customWidth="1"/>
    <col min="12035" max="12035" width="24.42578125" style="133" customWidth="1"/>
    <col min="12036" max="12036" width="3.42578125" style="133" customWidth="1"/>
    <col min="12037" max="12037" width="25.140625" style="133" customWidth="1"/>
    <col min="12038" max="12038" width="3.140625" style="133" customWidth="1"/>
    <col min="12039" max="12040" width="11.85546875" style="133" bestFit="1" customWidth="1"/>
    <col min="12041" max="12041" width="12.85546875" style="133" customWidth="1"/>
    <col min="12042" max="12042" width="23.85546875" style="133" customWidth="1"/>
    <col min="12043" max="12288" width="8.85546875" style="133"/>
    <col min="12289" max="12289" width="6.42578125" style="133" customWidth="1"/>
    <col min="12290" max="12290" width="29.85546875" style="133" customWidth="1"/>
    <col min="12291" max="12291" width="24.42578125" style="133" customWidth="1"/>
    <col min="12292" max="12292" width="3.42578125" style="133" customWidth="1"/>
    <col min="12293" max="12293" width="25.140625" style="133" customWidth="1"/>
    <col min="12294" max="12294" width="3.140625" style="133" customWidth="1"/>
    <col min="12295" max="12296" width="11.85546875" style="133" bestFit="1" customWidth="1"/>
    <col min="12297" max="12297" width="12.85546875" style="133" customWidth="1"/>
    <col min="12298" max="12298" width="23.85546875" style="133" customWidth="1"/>
    <col min="12299" max="12544" width="8.85546875" style="133"/>
    <col min="12545" max="12545" width="6.42578125" style="133" customWidth="1"/>
    <col min="12546" max="12546" width="29.85546875" style="133" customWidth="1"/>
    <col min="12547" max="12547" width="24.42578125" style="133" customWidth="1"/>
    <col min="12548" max="12548" width="3.42578125" style="133" customWidth="1"/>
    <col min="12549" max="12549" width="25.140625" style="133" customWidth="1"/>
    <col min="12550" max="12550" width="3.140625" style="133" customWidth="1"/>
    <col min="12551" max="12552" width="11.85546875" style="133" bestFit="1" customWidth="1"/>
    <col min="12553" max="12553" width="12.85546875" style="133" customWidth="1"/>
    <col min="12554" max="12554" width="23.85546875" style="133" customWidth="1"/>
    <col min="12555" max="12800" width="8.85546875" style="133"/>
    <col min="12801" max="12801" width="6.42578125" style="133" customWidth="1"/>
    <col min="12802" max="12802" width="29.85546875" style="133" customWidth="1"/>
    <col min="12803" max="12803" width="24.42578125" style="133" customWidth="1"/>
    <col min="12804" max="12804" width="3.42578125" style="133" customWidth="1"/>
    <col min="12805" max="12805" width="25.140625" style="133" customWidth="1"/>
    <col min="12806" max="12806" width="3.140625" style="133" customWidth="1"/>
    <col min="12807" max="12808" width="11.85546875" style="133" bestFit="1" customWidth="1"/>
    <col min="12809" max="12809" width="12.85546875" style="133" customWidth="1"/>
    <col min="12810" max="12810" width="23.85546875" style="133" customWidth="1"/>
    <col min="12811" max="13056" width="8.85546875" style="133"/>
    <col min="13057" max="13057" width="6.42578125" style="133" customWidth="1"/>
    <col min="13058" max="13058" width="29.85546875" style="133" customWidth="1"/>
    <col min="13059" max="13059" width="24.42578125" style="133" customWidth="1"/>
    <col min="13060" max="13060" width="3.42578125" style="133" customWidth="1"/>
    <col min="13061" max="13061" width="25.140625" style="133" customWidth="1"/>
    <col min="13062" max="13062" width="3.140625" style="133" customWidth="1"/>
    <col min="13063" max="13064" width="11.85546875" style="133" bestFit="1" customWidth="1"/>
    <col min="13065" max="13065" width="12.85546875" style="133" customWidth="1"/>
    <col min="13066" max="13066" width="23.85546875" style="133" customWidth="1"/>
    <col min="13067" max="13312" width="8.85546875" style="133"/>
    <col min="13313" max="13313" width="6.42578125" style="133" customWidth="1"/>
    <col min="13314" max="13314" width="29.85546875" style="133" customWidth="1"/>
    <col min="13315" max="13315" width="24.42578125" style="133" customWidth="1"/>
    <col min="13316" max="13316" width="3.42578125" style="133" customWidth="1"/>
    <col min="13317" max="13317" width="25.140625" style="133" customWidth="1"/>
    <col min="13318" max="13318" width="3.140625" style="133" customWidth="1"/>
    <col min="13319" max="13320" width="11.85546875" style="133" bestFit="1" customWidth="1"/>
    <col min="13321" max="13321" width="12.85546875" style="133" customWidth="1"/>
    <col min="13322" max="13322" width="23.85546875" style="133" customWidth="1"/>
    <col min="13323" max="13568" width="8.85546875" style="133"/>
    <col min="13569" max="13569" width="6.42578125" style="133" customWidth="1"/>
    <col min="13570" max="13570" width="29.85546875" style="133" customWidth="1"/>
    <col min="13571" max="13571" width="24.42578125" style="133" customWidth="1"/>
    <col min="13572" max="13572" width="3.42578125" style="133" customWidth="1"/>
    <col min="13573" max="13573" width="25.140625" style="133" customWidth="1"/>
    <col min="13574" max="13574" width="3.140625" style="133" customWidth="1"/>
    <col min="13575" max="13576" width="11.85546875" style="133" bestFit="1" customWidth="1"/>
    <col min="13577" max="13577" width="12.85546875" style="133" customWidth="1"/>
    <col min="13578" max="13578" width="23.85546875" style="133" customWidth="1"/>
    <col min="13579" max="13824" width="8.85546875" style="133"/>
    <col min="13825" max="13825" width="6.42578125" style="133" customWidth="1"/>
    <col min="13826" max="13826" width="29.85546875" style="133" customWidth="1"/>
    <col min="13827" max="13827" width="24.42578125" style="133" customWidth="1"/>
    <col min="13828" max="13828" width="3.42578125" style="133" customWidth="1"/>
    <col min="13829" max="13829" width="25.140625" style="133" customWidth="1"/>
    <col min="13830" max="13830" width="3.140625" style="133" customWidth="1"/>
    <col min="13831" max="13832" width="11.85546875" style="133" bestFit="1" customWidth="1"/>
    <col min="13833" max="13833" width="12.85546875" style="133" customWidth="1"/>
    <col min="13834" max="13834" width="23.85546875" style="133" customWidth="1"/>
    <col min="13835" max="14080" width="8.85546875" style="133"/>
    <col min="14081" max="14081" width="6.42578125" style="133" customWidth="1"/>
    <col min="14082" max="14082" width="29.85546875" style="133" customWidth="1"/>
    <col min="14083" max="14083" width="24.42578125" style="133" customWidth="1"/>
    <col min="14084" max="14084" width="3.42578125" style="133" customWidth="1"/>
    <col min="14085" max="14085" width="25.140625" style="133" customWidth="1"/>
    <col min="14086" max="14086" width="3.140625" style="133" customWidth="1"/>
    <col min="14087" max="14088" width="11.85546875" style="133" bestFit="1" customWidth="1"/>
    <col min="14089" max="14089" width="12.85546875" style="133" customWidth="1"/>
    <col min="14090" max="14090" width="23.85546875" style="133" customWidth="1"/>
    <col min="14091" max="14336" width="8.85546875" style="133"/>
    <col min="14337" max="14337" width="6.42578125" style="133" customWidth="1"/>
    <col min="14338" max="14338" width="29.85546875" style="133" customWidth="1"/>
    <col min="14339" max="14339" width="24.42578125" style="133" customWidth="1"/>
    <col min="14340" max="14340" width="3.42578125" style="133" customWidth="1"/>
    <col min="14341" max="14341" width="25.140625" style="133" customWidth="1"/>
    <col min="14342" max="14342" width="3.140625" style="133" customWidth="1"/>
    <col min="14343" max="14344" width="11.85546875" style="133" bestFit="1" customWidth="1"/>
    <col min="14345" max="14345" width="12.85546875" style="133" customWidth="1"/>
    <col min="14346" max="14346" width="23.85546875" style="133" customWidth="1"/>
    <col min="14347" max="14592" width="8.85546875" style="133"/>
    <col min="14593" max="14593" width="6.42578125" style="133" customWidth="1"/>
    <col min="14594" max="14594" width="29.85546875" style="133" customWidth="1"/>
    <col min="14595" max="14595" width="24.42578125" style="133" customWidth="1"/>
    <col min="14596" max="14596" width="3.42578125" style="133" customWidth="1"/>
    <col min="14597" max="14597" width="25.140625" style="133" customWidth="1"/>
    <col min="14598" max="14598" width="3.140625" style="133" customWidth="1"/>
    <col min="14599" max="14600" width="11.85546875" style="133" bestFit="1" customWidth="1"/>
    <col min="14601" max="14601" width="12.85546875" style="133" customWidth="1"/>
    <col min="14602" max="14602" width="23.85546875" style="133" customWidth="1"/>
    <col min="14603" max="14848" width="8.85546875" style="133"/>
    <col min="14849" max="14849" width="6.42578125" style="133" customWidth="1"/>
    <col min="14850" max="14850" width="29.85546875" style="133" customWidth="1"/>
    <col min="14851" max="14851" width="24.42578125" style="133" customWidth="1"/>
    <col min="14852" max="14852" width="3.42578125" style="133" customWidth="1"/>
    <col min="14853" max="14853" width="25.140625" style="133" customWidth="1"/>
    <col min="14854" max="14854" width="3.140625" style="133" customWidth="1"/>
    <col min="14855" max="14856" width="11.85546875" style="133" bestFit="1" customWidth="1"/>
    <col min="14857" max="14857" width="12.85546875" style="133" customWidth="1"/>
    <col min="14858" max="14858" width="23.85546875" style="133" customWidth="1"/>
    <col min="14859" max="15104" width="8.85546875" style="133"/>
    <col min="15105" max="15105" width="6.42578125" style="133" customWidth="1"/>
    <col min="15106" max="15106" width="29.85546875" style="133" customWidth="1"/>
    <col min="15107" max="15107" width="24.42578125" style="133" customWidth="1"/>
    <col min="15108" max="15108" width="3.42578125" style="133" customWidth="1"/>
    <col min="15109" max="15109" width="25.140625" style="133" customWidth="1"/>
    <col min="15110" max="15110" width="3.140625" style="133" customWidth="1"/>
    <col min="15111" max="15112" width="11.85546875" style="133" bestFit="1" customWidth="1"/>
    <col min="15113" max="15113" width="12.85546875" style="133" customWidth="1"/>
    <col min="15114" max="15114" width="23.85546875" style="133" customWidth="1"/>
    <col min="15115" max="15360" width="8.85546875" style="133"/>
    <col min="15361" max="15361" width="6.42578125" style="133" customWidth="1"/>
    <col min="15362" max="15362" width="29.85546875" style="133" customWidth="1"/>
    <col min="15363" max="15363" width="24.42578125" style="133" customWidth="1"/>
    <col min="15364" max="15364" width="3.42578125" style="133" customWidth="1"/>
    <col min="15365" max="15365" width="25.140625" style="133" customWidth="1"/>
    <col min="15366" max="15366" width="3.140625" style="133" customWidth="1"/>
    <col min="15367" max="15368" width="11.85546875" style="133" bestFit="1" customWidth="1"/>
    <col min="15369" max="15369" width="12.85546875" style="133" customWidth="1"/>
    <col min="15370" max="15370" width="23.85546875" style="133" customWidth="1"/>
    <col min="15371" max="15616" width="8.85546875" style="133"/>
    <col min="15617" max="15617" width="6.42578125" style="133" customWidth="1"/>
    <col min="15618" max="15618" width="29.85546875" style="133" customWidth="1"/>
    <col min="15619" max="15619" width="24.42578125" style="133" customWidth="1"/>
    <col min="15620" max="15620" width="3.42578125" style="133" customWidth="1"/>
    <col min="15621" max="15621" width="25.140625" style="133" customWidth="1"/>
    <col min="15622" max="15622" width="3.140625" style="133" customWidth="1"/>
    <col min="15623" max="15624" width="11.85546875" style="133" bestFit="1" customWidth="1"/>
    <col min="15625" max="15625" width="12.85546875" style="133" customWidth="1"/>
    <col min="15626" max="15626" width="23.85546875" style="133" customWidth="1"/>
    <col min="15627" max="15872" width="8.85546875" style="133"/>
    <col min="15873" max="15873" width="6.42578125" style="133" customWidth="1"/>
    <col min="15874" max="15874" width="29.85546875" style="133" customWidth="1"/>
    <col min="15875" max="15875" width="24.42578125" style="133" customWidth="1"/>
    <col min="15876" max="15876" width="3.42578125" style="133" customWidth="1"/>
    <col min="15877" max="15877" width="25.140625" style="133" customWidth="1"/>
    <col min="15878" max="15878" width="3.140625" style="133" customWidth="1"/>
    <col min="15879" max="15880" width="11.85546875" style="133" bestFit="1" customWidth="1"/>
    <col min="15881" max="15881" width="12.85546875" style="133" customWidth="1"/>
    <col min="15882" max="15882" width="23.85546875" style="133" customWidth="1"/>
    <col min="15883" max="16128" width="8.85546875" style="133"/>
    <col min="16129" max="16129" width="6.42578125" style="133" customWidth="1"/>
    <col min="16130" max="16130" width="29.85546875" style="133" customWidth="1"/>
    <col min="16131" max="16131" width="24.42578125" style="133" customWidth="1"/>
    <col min="16132" max="16132" width="3.42578125" style="133" customWidth="1"/>
    <col min="16133" max="16133" width="25.140625" style="133" customWidth="1"/>
    <col min="16134" max="16134" width="3.140625" style="133" customWidth="1"/>
    <col min="16135" max="16136" width="11.85546875" style="133" bestFit="1" customWidth="1"/>
    <col min="16137" max="16137" width="12.85546875" style="133" customWidth="1"/>
    <col min="16138" max="16138" width="23.85546875" style="133" customWidth="1"/>
    <col min="16139" max="16384" width="8.85546875" style="133"/>
  </cols>
  <sheetData>
    <row r="1" spans="1:10" x14ac:dyDescent="0.2">
      <c r="A1" s="722" t="str">
        <f>+BS!A1</f>
        <v>SPITI TOWNSHIP LLP</v>
      </c>
      <c r="B1" s="722"/>
      <c r="C1" s="722"/>
      <c r="D1" s="722"/>
      <c r="E1" s="722"/>
      <c r="F1" s="722"/>
      <c r="G1" s="722"/>
      <c r="H1" s="722"/>
      <c r="I1" s="722"/>
      <c r="J1" s="722"/>
    </row>
    <row r="2" spans="1:10" x14ac:dyDescent="0.2">
      <c r="A2" s="722" t="s">
        <v>218</v>
      </c>
      <c r="B2" s="722"/>
      <c r="C2" s="722"/>
      <c r="D2" s="722"/>
      <c r="E2" s="722"/>
      <c r="F2" s="722"/>
      <c r="G2" s="722"/>
      <c r="H2" s="722"/>
      <c r="I2" s="722"/>
      <c r="J2" s="722"/>
    </row>
    <row r="4" spans="1:10" x14ac:dyDescent="0.2">
      <c r="A4" s="24" t="s">
        <v>237</v>
      </c>
    </row>
    <row r="5" spans="1:10" x14ac:dyDescent="0.2">
      <c r="A5" s="134"/>
      <c r="B5" s="134"/>
      <c r="C5" s="134"/>
      <c r="D5" s="134"/>
      <c r="E5" s="134"/>
      <c r="F5" s="134"/>
      <c r="G5" s="134"/>
      <c r="H5" s="134"/>
      <c r="I5" s="134"/>
      <c r="J5" s="134"/>
    </row>
    <row r="6" spans="1:10" ht="25.5" x14ac:dyDescent="0.2">
      <c r="A6" s="135" t="s">
        <v>41</v>
      </c>
      <c r="B6" s="136" t="s">
        <v>154</v>
      </c>
      <c r="C6" s="135" t="s">
        <v>155</v>
      </c>
      <c r="D6" s="137" t="s">
        <v>156</v>
      </c>
      <c r="E6" s="135" t="s">
        <v>157</v>
      </c>
      <c r="F6" s="135"/>
      <c r="G6" s="135" t="s">
        <v>234</v>
      </c>
      <c r="H6" s="135" t="s">
        <v>158</v>
      </c>
      <c r="I6" s="135" t="s">
        <v>159</v>
      </c>
      <c r="J6" s="138" t="s">
        <v>160</v>
      </c>
    </row>
    <row r="7" spans="1:10" x14ac:dyDescent="0.2">
      <c r="A7" s="139">
        <v>1</v>
      </c>
      <c r="B7" s="140" t="s">
        <v>161</v>
      </c>
      <c r="C7" s="141" t="s">
        <v>139</v>
      </c>
      <c r="D7" s="137" t="s">
        <v>156</v>
      </c>
      <c r="E7" s="141" t="s">
        <v>135</v>
      </c>
      <c r="F7" s="139" t="s">
        <v>162</v>
      </c>
      <c r="G7" s="142">
        <f>+SUM(BS!E29:E30)/SUM(BS!E18:E20)</f>
        <v>0.925441972501857</v>
      </c>
      <c r="H7" s="142" t="e">
        <f>+SUM(BS!#REF!)/SUM(BS!#REF!)</f>
        <v>#REF!</v>
      </c>
      <c r="I7" s="143" t="e">
        <f>(G7-H7)/H7</f>
        <v>#REF!</v>
      </c>
      <c r="J7" s="144"/>
    </row>
    <row r="8" spans="1:10" ht="25.5" x14ac:dyDescent="0.2">
      <c r="A8" s="139">
        <f>A7+1</f>
        <v>2</v>
      </c>
      <c r="B8" s="140" t="s">
        <v>163</v>
      </c>
      <c r="C8" s="145" t="s">
        <v>164</v>
      </c>
      <c r="D8" s="137" t="s">
        <v>156</v>
      </c>
      <c r="E8" s="141" t="s">
        <v>165</v>
      </c>
      <c r="F8" s="139" t="s">
        <v>162</v>
      </c>
      <c r="G8" s="151">
        <f>+BS!E18/BS!E11</f>
        <v>3.1256560124999999</v>
      </c>
      <c r="H8" s="151" t="e">
        <f>+BS!#REF!/BS!#REF!</f>
        <v>#REF!</v>
      </c>
      <c r="I8" s="143" t="e">
        <f>(G8-H8)/H8</f>
        <v>#REF!</v>
      </c>
      <c r="J8" s="152">
        <v>0</v>
      </c>
    </row>
    <row r="9" spans="1:10" ht="41.25" customHeight="1" x14ac:dyDescent="0.2">
      <c r="A9" s="139">
        <f t="shared" ref="A9:A16" si="0">A8+1</f>
        <v>3</v>
      </c>
      <c r="B9" s="140" t="s">
        <v>166</v>
      </c>
      <c r="C9" s="141" t="s">
        <v>167</v>
      </c>
      <c r="D9" s="147" t="s">
        <v>156</v>
      </c>
      <c r="E9" s="148" t="s">
        <v>168</v>
      </c>
      <c r="F9" s="139" t="s">
        <v>162</v>
      </c>
      <c r="G9" s="151">
        <v>0</v>
      </c>
      <c r="H9" s="151">
        <v>0</v>
      </c>
      <c r="I9" s="143"/>
      <c r="J9" s="152">
        <v>0</v>
      </c>
    </row>
    <row r="10" spans="1:10" ht="25.5" x14ac:dyDescent="0.2">
      <c r="A10" s="139">
        <f t="shared" si="0"/>
        <v>4</v>
      </c>
      <c r="B10" s="140" t="s">
        <v>169</v>
      </c>
      <c r="C10" s="145" t="s">
        <v>170</v>
      </c>
      <c r="D10" s="147" t="s">
        <v>156</v>
      </c>
      <c r="E10" s="141" t="s">
        <v>171</v>
      </c>
      <c r="F10" s="139" t="s">
        <v>162</v>
      </c>
      <c r="G10" s="149">
        <f>'P &amp; L'!E34/BS!E11</f>
        <v>-2.2788260375000001E-2</v>
      </c>
      <c r="H10" s="149" t="e">
        <f>'P &amp; L'!#REF!/BS!#REF!</f>
        <v>#REF!</v>
      </c>
      <c r="I10" s="143" t="e">
        <f>(G10-H10)/H10</f>
        <v>#REF!</v>
      </c>
      <c r="J10" s="146"/>
    </row>
    <row r="11" spans="1:10" ht="25.5" x14ac:dyDescent="0.2">
      <c r="A11" s="139">
        <f t="shared" si="0"/>
        <v>5</v>
      </c>
      <c r="B11" s="150" t="s">
        <v>172</v>
      </c>
      <c r="C11" s="145" t="s">
        <v>173</v>
      </c>
      <c r="D11" s="147" t="s">
        <v>156</v>
      </c>
      <c r="E11" s="141" t="s">
        <v>174</v>
      </c>
      <c r="F11" s="139" t="s">
        <v>162</v>
      </c>
      <c r="G11" s="151">
        <v>0</v>
      </c>
      <c r="H11" s="151">
        <v>0</v>
      </c>
      <c r="I11" s="143"/>
      <c r="J11" s="152"/>
    </row>
    <row r="12" spans="1:10" ht="25.5" x14ac:dyDescent="0.2">
      <c r="A12" s="139">
        <f t="shared" si="0"/>
        <v>6</v>
      </c>
      <c r="B12" s="150" t="s">
        <v>175</v>
      </c>
      <c r="C12" s="145" t="s">
        <v>176</v>
      </c>
      <c r="D12" s="153" t="s">
        <v>156</v>
      </c>
      <c r="E12" s="154" t="s">
        <v>177</v>
      </c>
      <c r="F12" s="139" t="s">
        <v>162</v>
      </c>
      <c r="G12" s="151">
        <v>0</v>
      </c>
      <c r="H12" s="151">
        <v>0</v>
      </c>
      <c r="I12" s="143"/>
      <c r="J12" s="152"/>
    </row>
    <row r="13" spans="1:10" x14ac:dyDescent="0.2">
      <c r="A13" s="139">
        <f t="shared" si="0"/>
        <v>7</v>
      </c>
      <c r="B13" s="150" t="s">
        <v>178</v>
      </c>
      <c r="C13" s="145" t="s">
        <v>179</v>
      </c>
      <c r="D13" s="147" t="s">
        <v>156</v>
      </c>
      <c r="E13" s="141" t="s">
        <v>180</v>
      </c>
      <c r="F13" s="139" t="s">
        <v>162</v>
      </c>
      <c r="G13" s="151">
        <v>0</v>
      </c>
      <c r="H13" s="151">
        <v>0</v>
      </c>
      <c r="I13" s="143"/>
      <c r="J13" s="152"/>
    </row>
    <row r="14" spans="1:10" x14ac:dyDescent="0.2">
      <c r="A14" s="139">
        <f t="shared" si="0"/>
        <v>8</v>
      </c>
      <c r="B14" s="140" t="s">
        <v>181</v>
      </c>
      <c r="C14" s="141" t="s">
        <v>182</v>
      </c>
      <c r="D14" s="155" t="s">
        <v>156</v>
      </c>
      <c r="E14" s="156" t="s">
        <v>183</v>
      </c>
      <c r="F14" s="139" t="s">
        <v>162</v>
      </c>
      <c r="G14" s="151">
        <v>0</v>
      </c>
      <c r="H14" s="151">
        <v>0</v>
      </c>
      <c r="I14" s="143"/>
      <c r="J14" s="152"/>
    </row>
    <row r="15" spans="1:10" ht="25.5" x14ac:dyDescent="0.2">
      <c r="A15" s="139">
        <f t="shared" si="0"/>
        <v>9</v>
      </c>
      <c r="B15" s="140" t="s">
        <v>184</v>
      </c>
      <c r="C15" s="141" t="s">
        <v>185</v>
      </c>
      <c r="D15" s="147" t="s">
        <v>156</v>
      </c>
      <c r="E15" s="145" t="s">
        <v>186</v>
      </c>
      <c r="F15" s="139" t="s">
        <v>162</v>
      </c>
      <c r="G15" s="149">
        <f>+'P &amp; L'!E28/(BS!E31-SUM(BS!E18:E20))</f>
        <v>-2.331967520544204E-2</v>
      </c>
      <c r="H15" s="149" t="e">
        <f>+'P &amp; L'!#REF!/(BS!#REF!-SUM(BS!#REF!))</f>
        <v>#REF!</v>
      </c>
      <c r="I15" s="143" t="e">
        <f>(G15-H15)/H15</f>
        <v>#REF!</v>
      </c>
      <c r="J15" s="146"/>
    </row>
    <row r="16" spans="1:10" x14ac:dyDescent="0.2">
      <c r="A16" s="139">
        <f t="shared" si="0"/>
        <v>10</v>
      </c>
      <c r="B16" s="140" t="s">
        <v>187</v>
      </c>
      <c r="C16" s="141" t="s">
        <v>185</v>
      </c>
      <c r="D16" s="157" t="s">
        <v>156</v>
      </c>
      <c r="E16" s="141" t="s">
        <v>188</v>
      </c>
      <c r="F16" s="139" t="s">
        <v>162</v>
      </c>
      <c r="G16" s="151">
        <v>0</v>
      </c>
      <c r="H16" s="151">
        <v>0</v>
      </c>
      <c r="I16" s="143"/>
      <c r="J16" s="152">
        <v>0</v>
      </c>
    </row>
  </sheetData>
  <mergeCells count="2">
    <mergeCell ref="A1:J1"/>
    <mergeCell ref="A2:J2"/>
  </mergeCells>
  <pageMargins left="0.70866141732283472" right="0.70866141732283472" top="0.74803149606299213" bottom="0.74803149606299213" header="0.31496062992125984" footer="0.31496062992125984"/>
  <pageSetup paperSize="9" scale="87"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Q52"/>
  <sheetViews>
    <sheetView showGridLines="0" view="pageBreakPreview" zoomScale="85" zoomScaleNormal="130" zoomScaleSheetLayoutView="85" workbookViewId="0">
      <selection activeCell="I17" sqref="I17"/>
    </sheetView>
  </sheetViews>
  <sheetFormatPr defaultColWidth="8.7109375" defaultRowHeight="12.75" x14ac:dyDescent="0.2"/>
  <cols>
    <col min="1" max="1" width="3.85546875" style="14" customWidth="1"/>
    <col min="2" max="2" width="4.140625" style="14" customWidth="1"/>
    <col min="3" max="3" width="17.140625" style="14" customWidth="1"/>
    <col min="4" max="4" width="14.85546875" style="14" bestFit="1" customWidth="1"/>
    <col min="5" max="5" width="12.140625" style="14" customWidth="1"/>
    <col min="6" max="6" width="14" style="14" bestFit="1" customWidth="1"/>
    <col min="7" max="7" width="11.42578125" style="14" bestFit="1" customWidth="1"/>
    <col min="8" max="8" width="14.85546875" style="14" bestFit="1" customWidth="1"/>
    <col min="9" max="10" width="11.5703125" style="14" bestFit="1" customWidth="1"/>
    <col min="11" max="11" width="15.28515625" style="14" bestFit="1" customWidth="1"/>
    <col min="12" max="12" width="3.85546875" style="14" customWidth="1"/>
    <col min="13" max="16384" width="8.7109375" style="14"/>
  </cols>
  <sheetData>
    <row r="1" spans="2:17" x14ac:dyDescent="0.2">
      <c r="Q1" s="49">
        <v>100</v>
      </c>
    </row>
    <row r="2" spans="2:17" x14ac:dyDescent="0.2">
      <c r="B2" s="722" t="str">
        <f>BS!A1</f>
        <v>SPITI TOWNSHIP LLP</v>
      </c>
      <c r="C2" s="722"/>
      <c r="D2" s="722"/>
      <c r="E2" s="722"/>
      <c r="F2" s="722"/>
      <c r="G2" s="722"/>
      <c r="H2" s="722"/>
      <c r="I2" s="722"/>
      <c r="J2" s="722"/>
      <c r="K2" s="722"/>
    </row>
    <row r="3" spans="2:17" ht="15" x14ac:dyDescent="0.2">
      <c r="B3" s="722" t="s">
        <v>223</v>
      </c>
      <c r="C3" s="722"/>
      <c r="D3" s="722"/>
      <c r="E3" s="722"/>
      <c r="F3" s="722"/>
      <c r="G3" s="722"/>
      <c r="H3" s="722"/>
      <c r="I3" s="722"/>
      <c r="J3" s="722"/>
      <c r="K3" s="722"/>
    </row>
    <row r="4" spans="2:17" x14ac:dyDescent="0.2">
      <c r="B4" s="28"/>
      <c r="C4" s="28"/>
      <c r="D4" s="28"/>
      <c r="E4" s="28"/>
      <c r="F4" s="28"/>
      <c r="G4" s="28"/>
      <c r="H4" s="28"/>
      <c r="I4" s="28"/>
      <c r="J4" s="28"/>
      <c r="K4" s="28"/>
    </row>
    <row r="5" spans="2:17" x14ac:dyDescent="0.2">
      <c r="B5" s="722" t="s">
        <v>201</v>
      </c>
      <c r="C5" s="722"/>
      <c r="D5" s="722"/>
      <c r="E5" s="722"/>
      <c r="F5" s="722"/>
      <c r="G5" s="722"/>
      <c r="H5" s="722"/>
      <c r="I5" s="722"/>
      <c r="J5" s="722"/>
      <c r="K5" s="722"/>
    </row>
    <row r="6" spans="2:17" x14ac:dyDescent="0.2">
      <c r="B6" s="28"/>
      <c r="C6" s="28"/>
      <c r="D6" s="28"/>
      <c r="E6" s="28"/>
      <c r="F6" s="28"/>
      <c r="G6" s="28"/>
      <c r="H6" s="28"/>
      <c r="I6" s="28"/>
      <c r="J6" s="28"/>
      <c r="K6" s="28"/>
    </row>
    <row r="7" spans="2:17" x14ac:dyDescent="0.2">
      <c r="K7" s="124" t="s">
        <v>240</v>
      </c>
    </row>
    <row r="8" spans="2:17" x14ac:dyDescent="0.2">
      <c r="B8" s="779" t="s">
        <v>189</v>
      </c>
      <c r="C8" s="780"/>
      <c r="D8" s="780"/>
      <c r="E8" s="780"/>
      <c r="F8" s="780"/>
      <c r="G8" s="780"/>
      <c r="H8" s="780"/>
      <c r="I8" s="780"/>
      <c r="J8" s="780"/>
      <c r="K8" s="781"/>
    </row>
    <row r="9" spans="2:17" x14ac:dyDescent="0.2">
      <c r="B9" s="782"/>
      <c r="C9" s="784" t="s">
        <v>22</v>
      </c>
      <c r="D9" s="786" t="s">
        <v>190</v>
      </c>
      <c r="E9" s="787"/>
      <c r="F9" s="787"/>
      <c r="G9" s="787"/>
      <c r="H9" s="788"/>
      <c r="I9" s="786" t="s">
        <v>202</v>
      </c>
      <c r="J9" s="788"/>
      <c r="K9" s="130" t="s">
        <v>192</v>
      </c>
    </row>
    <row r="10" spans="2:17" ht="51" x14ac:dyDescent="0.2">
      <c r="B10" s="783"/>
      <c r="C10" s="785"/>
      <c r="D10" s="36" t="s">
        <v>224</v>
      </c>
      <c r="E10" s="36" t="s">
        <v>225</v>
      </c>
      <c r="F10" s="130" t="s">
        <v>226</v>
      </c>
      <c r="G10" s="36" t="s">
        <v>203</v>
      </c>
      <c r="H10" s="177" t="s">
        <v>227</v>
      </c>
      <c r="I10" s="41" t="s">
        <v>193</v>
      </c>
      <c r="J10" s="36" t="s">
        <v>204</v>
      </c>
      <c r="K10" s="130" t="s">
        <v>228</v>
      </c>
    </row>
    <row r="11" spans="2:17" x14ac:dyDescent="0.2">
      <c r="B11" s="71"/>
      <c r="C11" s="178"/>
      <c r="D11" s="158"/>
      <c r="E11" s="179"/>
      <c r="F11" s="179"/>
      <c r="G11" s="158"/>
      <c r="H11" s="180"/>
      <c r="I11" s="158"/>
      <c r="J11" s="179"/>
      <c r="K11" s="179"/>
    </row>
    <row r="12" spans="2:17" x14ac:dyDescent="0.2">
      <c r="B12" s="18">
        <v>1</v>
      </c>
      <c r="C12" s="68" t="s">
        <v>197</v>
      </c>
      <c r="D12" s="181"/>
      <c r="E12" s="182"/>
      <c r="F12" s="182"/>
      <c r="G12" s="182"/>
      <c r="H12" s="183"/>
      <c r="I12" s="184"/>
      <c r="J12" s="182"/>
      <c r="K12" s="182"/>
    </row>
    <row r="13" spans="2:17" x14ac:dyDescent="0.2">
      <c r="B13" s="18"/>
      <c r="C13" s="45" t="s">
        <v>78</v>
      </c>
      <c r="D13" s="43"/>
      <c r="E13" s="182">
        <v>0</v>
      </c>
      <c r="F13" s="182">
        <v>0</v>
      </c>
      <c r="G13" s="182">
        <v>0</v>
      </c>
      <c r="H13" s="183">
        <f>D13+E13+F13</f>
        <v>0</v>
      </c>
      <c r="I13" s="185">
        <v>0</v>
      </c>
      <c r="J13" s="182">
        <v>0</v>
      </c>
      <c r="K13" s="182">
        <f>H13</f>
        <v>0</v>
      </c>
    </row>
    <row r="14" spans="2:17" x14ac:dyDescent="0.2">
      <c r="B14" s="18"/>
      <c r="C14" s="186"/>
      <c r="D14" s="43"/>
      <c r="E14" s="182"/>
      <c r="F14" s="182"/>
      <c r="G14" s="182"/>
      <c r="H14" s="183"/>
      <c r="I14" s="185"/>
      <c r="J14" s="182"/>
      <c r="K14" s="182"/>
    </row>
    <row r="15" spans="2:17" ht="14.25" customHeight="1" x14ac:dyDescent="0.2">
      <c r="B15" s="18">
        <v>2</v>
      </c>
      <c r="C15" s="187" t="s">
        <v>198</v>
      </c>
      <c r="D15" s="43"/>
      <c r="E15" s="182">
        <v>0</v>
      </c>
      <c r="F15" s="182">
        <v>0</v>
      </c>
      <c r="G15" s="182">
        <v>0</v>
      </c>
      <c r="H15" s="183">
        <f>D15+E15+F15</f>
        <v>0</v>
      </c>
      <c r="I15" s="188"/>
      <c r="J15" s="182">
        <f>H15*I15</f>
        <v>0</v>
      </c>
      <c r="K15" s="182">
        <f>H15-J15</f>
        <v>0</v>
      </c>
    </row>
    <row r="16" spans="2:17" x14ac:dyDescent="0.2">
      <c r="B16" s="18"/>
      <c r="C16" s="45"/>
      <c r="D16" s="185"/>
      <c r="E16" s="182"/>
      <c r="F16" s="182"/>
      <c r="G16" s="189"/>
      <c r="H16" s="183"/>
      <c r="I16" s="184"/>
      <c r="J16" s="182"/>
      <c r="K16" s="190"/>
    </row>
    <row r="17" spans="2:11" x14ac:dyDescent="0.2">
      <c r="B17" s="191"/>
      <c r="C17" s="192" t="s">
        <v>205</v>
      </c>
      <c r="D17" s="193">
        <f>SUM(D13:D16)</f>
        <v>0</v>
      </c>
      <c r="E17" s="193">
        <f>SUM(E12:E16)</f>
        <v>0</v>
      </c>
      <c r="F17" s="193">
        <f>SUM(F12:F16)</f>
        <v>0</v>
      </c>
      <c r="G17" s="194">
        <f>SUM(G8:G15)</f>
        <v>0</v>
      </c>
      <c r="H17" s="193">
        <f>SUM(H12:H16)</f>
        <v>0</v>
      </c>
      <c r="I17" s="195"/>
      <c r="J17" s="193">
        <f>SUM(J12:J16)</f>
        <v>0</v>
      </c>
      <c r="K17" s="193">
        <f>SUM(K12:K16)</f>
        <v>0</v>
      </c>
    </row>
    <row r="19" spans="2:11" x14ac:dyDescent="0.2">
      <c r="B19" s="196"/>
      <c r="C19" s="196"/>
      <c r="D19" s="196"/>
      <c r="E19" s="196"/>
      <c r="F19" s="196"/>
      <c r="G19" s="196"/>
      <c r="H19" s="196"/>
      <c r="I19" s="196"/>
      <c r="J19" s="197"/>
    </row>
    <row r="20" spans="2:11" x14ac:dyDescent="0.2">
      <c r="B20" s="198"/>
      <c r="C20" s="24"/>
      <c r="D20" s="198"/>
      <c r="E20" s="198"/>
      <c r="F20" s="198"/>
      <c r="G20" s="198"/>
      <c r="H20" s="198"/>
      <c r="I20" s="198"/>
      <c r="J20" s="198"/>
      <c r="K20" s="198"/>
    </row>
    <row r="21" spans="2:11" x14ac:dyDescent="0.2">
      <c r="B21" s="198"/>
      <c r="C21" s="24"/>
      <c r="D21" s="198"/>
      <c r="E21" s="198"/>
      <c r="F21" s="198"/>
      <c r="G21" s="198"/>
      <c r="H21" s="198"/>
      <c r="I21" s="198"/>
      <c r="J21" s="198"/>
      <c r="K21" s="198"/>
    </row>
    <row r="22" spans="2:11" x14ac:dyDescent="0.2">
      <c r="B22" s="198"/>
      <c r="C22" s="24"/>
      <c r="D22" s="198"/>
      <c r="E22" s="198"/>
      <c r="F22" s="198"/>
      <c r="G22" s="198">
        <f>28*40%</f>
        <v>11.200000000000001</v>
      </c>
      <c r="H22" s="198"/>
      <c r="I22" s="198"/>
      <c r="J22" s="198"/>
      <c r="K22" s="198"/>
    </row>
    <row r="23" spans="2:11" x14ac:dyDescent="0.2">
      <c r="B23" s="198"/>
      <c r="C23" s="24"/>
      <c r="D23" s="198"/>
      <c r="E23" s="198"/>
      <c r="F23" s="198"/>
      <c r="G23" s="198"/>
      <c r="H23" s="198"/>
      <c r="I23" s="198"/>
      <c r="J23" s="198"/>
      <c r="K23" s="198"/>
    </row>
    <row r="24" spans="2:11" x14ac:dyDescent="0.2">
      <c r="B24" s="198"/>
      <c r="C24" s="24"/>
      <c r="D24" s="198"/>
      <c r="E24" s="198"/>
      <c r="F24" s="198"/>
      <c r="G24" s="198"/>
      <c r="H24" s="198"/>
      <c r="I24" s="198"/>
      <c r="J24" s="198"/>
      <c r="K24" s="198"/>
    </row>
    <row r="25" spans="2:11" x14ac:dyDescent="0.2">
      <c r="B25" s="198"/>
      <c r="C25" s="24"/>
      <c r="D25" s="198"/>
      <c r="E25" s="198"/>
      <c r="F25" s="198"/>
      <c r="G25" s="198"/>
      <c r="H25" s="198"/>
      <c r="I25" s="198"/>
      <c r="J25" s="198"/>
      <c r="K25" s="198"/>
    </row>
    <row r="26" spans="2:11" x14ac:dyDescent="0.2">
      <c r="B26" s="198"/>
      <c r="C26" s="24"/>
      <c r="D26" s="198"/>
      <c r="E26" s="198"/>
      <c r="F26" s="198"/>
      <c r="G26" s="198"/>
      <c r="H26" s="198"/>
      <c r="I26" s="198"/>
      <c r="J26" s="198"/>
      <c r="K26" s="198"/>
    </row>
    <row r="27" spans="2:11" x14ac:dyDescent="0.2">
      <c r="B27" s="198"/>
      <c r="C27" s="24"/>
      <c r="D27" s="198"/>
      <c r="E27" s="198"/>
      <c r="F27" s="198"/>
      <c r="G27" s="198"/>
      <c r="H27" s="198"/>
      <c r="I27" s="198"/>
      <c r="J27" s="198"/>
      <c r="K27" s="198"/>
    </row>
    <row r="28" spans="2:11" x14ac:dyDescent="0.2">
      <c r="B28" s="198"/>
      <c r="C28" s="24"/>
      <c r="D28" s="198"/>
      <c r="E28" s="198"/>
      <c r="F28" s="198"/>
      <c r="G28" s="198"/>
      <c r="H28" s="198"/>
      <c r="I28" s="198"/>
      <c r="J28" s="198"/>
      <c r="K28" s="198"/>
    </row>
    <row r="29" spans="2:11" x14ac:dyDescent="0.2">
      <c r="B29" s="198"/>
      <c r="C29" s="24"/>
      <c r="D29" s="198"/>
      <c r="E29" s="198"/>
      <c r="F29" s="198"/>
      <c r="G29" s="198"/>
      <c r="H29" s="198"/>
      <c r="I29" s="198"/>
      <c r="J29" s="198"/>
      <c r="K29" s="198"/>
    </row>
    <row r="30" spans="2:11" x14ac:dyDescent="0.2">
      <c r="B30" s="198"/>
      <c r="C30" s="24"/>
      <c r="D30" s="198"/>
      <c r="E30" s="198"/>
      <c r="F30" s="198"/>
      <c r="G30" s="198"/>
      <c r="H30" s="198"/>
      <c r="I30" s="198"/>
      <c r="J30" s="198"/>
      <c r="K30" s="198"/>
    </row>
    <row r="31" spans="2:11" x14ac:dyDescent="0.2">
      <c r="B31" s="198"/>
      <c r="C31" s="24"/>
      <c r="D31" s="198"/>
      <c r="E31" s="198"/>
      <c r="F31" s="198"/>
      <c r="G31" s="198"/>
      <c r="H31" s="198"/>
      <c r="I31" s="198"/>
      <c r="J31" s="198"/>
      <c r="K31" s="198"/>
    </row>
    <row r="32" spans="2:11" x14ac:dyDescent="0.2">
      <c r="B32" s="198"/>
      <c r="C32" s="24"/>
      <c r="D32" s="198"/>
      <c r="E32" s="198"/>
      <c r="F32" s="198"/>
      <c r="G32" s="198"/>
      <c r="H32" s="198"/>
      <c r="I32" s="198"/>
      <c r="J32" s="198"/>
      <c r="K32" s="198"/>
    </row>
    <row r="33" spans="2:11" x14ac:dyDescent="0.2">
      <c r="B33" s="198"/>
      <c r="C33" s="24"/>
      <c r="D33" s="198"/>
      <c r="E33" s="198"/>
      <c r="F33" s="198"/>
      <c r="G33" s="198"/>
      <c r="H33" s="198"/>
      <c r="I33" s="198"/>
      <c r="J33" s="198"/>
      <c r="K33" s="198"/>
    </row>
    <row r="34" spans="2:11" x14ac:dyDescent="0.2">
      <c r="B34" s="198"/>
      <c r="C34" s="24"/>
      <c r="D34" s="198"/>
      <c r="E34" s="198"/>
      <c r="F34" s="198"/>
      <c r="G34" s="198"/>
      <c r="H34" s="198"/>
      <c r="I34" s="198"/>
      <c r="J34" s="198"/>
      <c r="K34" s="198"/>
    </row>
    <row r="35" spans="2:11" x14ac:dyDescent="0.2">
      <c r="B35" s="198"/>
      <c r="C35" s="24"/>
      <c r="D35" s="198"/>
      <c r="E35" s="198"/>
      <c r="F35" s="198"/>
      <c r="G35" s="198"/>
      <c r="H35" s="198"/>
      <c r="I35" s="198"/>
      <c r="J35" s="198"/>
      <c r="K35" s="198"/>
    </row>
    <row r="36" spans="2:11" x14ac:dyDescent="0.2">
      <c r="B36" s="198"/>
      <c r="C36" s="24"/>
      <c r="D36" s="198"/>
      <c r="E36" s="198"/>
      <c r="F36" s="198"/>
      <c r="G36" s="198"/>
      <c r="H36" s="198"/>
      <c r="I36" s="198"/>
      <c r="J36" s="198"/>
      <c r="K36" s="198"/>
    </row>
    <row r="37" spans="2:11" x14ac:dyDescent="0.2">
      <c r="B37" s="198"/>
      <c r="C37" s="24"/>
      <c r="D37" s="198"/>
      <c r="E37" s="198"/>
      <c r="F37" s="198"/>
      <c r="G37" s="198"/>
      <c r="H37" s="198"/>
      <c r="I37" s="198"/>
      <c r="J37" s="198"/>
      <c r="K37" s="198"/>
    </row>
    <row r="38" spans="2:11" x14ac:dyDescent="0.2">
      <c r="B38" s="198"/>
      <c r="C38" s="24"/>
      <c r="D38" s="198"/>
      <c r="E38" s="198"/>
      <c r="F38" s="198"/>
      <c r="G38" s="198"/>
      <c r="H38" s="198"/>
      <c r="I38" s="198"/>
      <c r="J38" s="198"/>
      <c r="K38" s="198"/>
    </row>
    <row r="39" spans="2:11" x14ac:dyDescent="0.2">
      <c r="B39" s="198"/>
      <c r="C39" s="24"/>
      <c r="D39" s="198"/>
      <c r="E39" s="198"/>
      <c r="F39" s="198"/>
      <c r="G39" s="198"/>
      <c r="H39" s="198"/>
      <c r="I39" s="198"/>
      <c r="J39" s="198"/>
      <c r="K39" s="198"/>
    </row>
    <row r="40" spans="2:11" x14ac:dyDescent="0.2">
      <c r="B40" s="198"/>
      <c r="C40" s="24"/>
      <c r="D40" s="198"/>
      <c r="E40" s="198"/>
      <c r="F40" s="198"/>
      <c r="G40" s="198"/>
      <c r="H40" s="198"/>
      <c r="I40" s="198"/>
      <c r="J40" s="198"/>
      <c r="K40" s="198"/>
    </row>
    <row r="41" spans="2:11" x14ac:dyDescent="0.2">
      <c r="B41" s="198"/>
      <c r="C41" s="24"/>
      <c r="D41" s="198"/>
      <c r="E41" s="198"/>
      <c r="F41" s="198"/>
      <c r="G41" s="198"/>
      <c r="H41" s="198"/>
      <c r="I41" s="198"/>
      <c r="J41" s="198"/>
      <c r="K41" s="198"/>
    </row>
    <row r="42" spans="2:11" x14ac:dyDescent="0.2">
      <c r="B42" s="198"/>
      <c r="C42" s="24"/>
      <c r="D42" s="198"/>
      <c r="E42" s="198"/>
      <c r="F42" s="198"/>
      <c r="G42" s="198"/>
      <c r="H42" s="198"/>
      <c r="I42" s="198"/>
      <c r="J42" s="198"/>
      <c r="K42" s="198"/>
    </row>
    <row r="43" spans="2:11" x14ac:dyDescent="0.2">
      <c r="B43" s="198"/>
      <c r="C43" s="24"/>
      <c r="D43" s="198"/>
      <c r="E43" s="198"/>
      <c r="F43" s="198"/>
      <c r="G43" s="198"/>
      <c r="H43" s="198"/>
      <c r="I43" s="198"/>
      <c r="J43" s="198"/>
      <c r="K43" s="198"/>
    </row>
    <row r="44" spans="2:11" x14ac:dyDescent="0.2">
      <c r="B44" s="198"/>
      <c r="C44" s="24"/>
      <c r="D44" s="198"/>
      <c r="E44" s="198"/>
      <c r="F44" s="198"/>
      <c r="G44" s="198"/>
      <c r="H44" s="198"/>
      <c r="I44" s="198"/>
      <c r="J44" s="198"/>
      <c r="K44" s="198"/>
    </row>
    <row r="45" spans="2:11" x14ac:dyDescent="0.2">
      <c r="B45" s="198"/>
      <c r="C45" s="24"/>
      <c r="D45" s="198"/>
      <c r="E45" s="198"/>
      <c r="F45" s="198"/>
      <c r="G45" s="198"/>
      <c r="H45" s="198"/>
      <c r="I45" s="198"/>
      <c r="J45" s="198"/>
      <c r="K45" s="198"/>
    </row>
    <row r="46" spans="2:11" x14ac:dyDescent="0.2">
      <c r="B46" s="198"/>
      <c r="C46" s="24"/>
      <c r="D46" s="198"/>
      <c r="E46" s="198"/>
      <c r="F46" s="198"/>
      <c r="G46" s="198"/>
      <c r="H46" s="198"/>
      <c r="I46" s="198"/>
      <c r="J46" s="198"/>
      <c r="K46" s="198"/>
    </row>
    <row r="47" spans="2:11" x14ac:dyDescent="0.2">
      <c r="B47" s="198"/>
      <c r="C47" s="24"/>
      <c r="D47" s="198"/>
      <c r="E47" s="198"/>
      <c r="F47" s="198"/>
      <c r="G47" s="198"/>
      <c r="H47" s="198"/>
      <c r="I47" s="198"/>
      <c r="J47" s="198"/>
      <c r="K47" s="198"/>
    </row>
    <row r="48" spans="2:11" x14ac:dyDescent="0.2">
      <c r="B48" s="198"/>
      <c r="C48" s="24"/>
      <c r="D48" s="198"/>
      <c r="E48" s="198"/>
      <c r="F48" s="198"/>
      <c r="G48" s="198"/>
      <c r="H48" s="198"/>
      <c r="I48" s="198"/>
      <c r="J48" s="198"/>
      <c r="K48" s="198"/>
    </row>
    <row r="49" spans="2:11" x14ac:dyDescent="0.2">
      <c r="B49" s="199"/>
      <c r="C49" s="21"/>
      <c r="D49" s="200"/>
      <c r="E49" s="120"/>
      <c r="F49" s="120"/>
      <c r="G49" s="120"/>
      <c r="H49" s="120"/>
      <c r="I49" s="120"/>
      <c r="J49" s="120"/>
      <c r="K49" s="120"/>
    </row>
    <row r="50" spans="2:11" x14ac:dyDescent="0.2">
      <c r="B50" s="198"/>
      <c r="C50" s="24"/>
      <c r="D50" s="198"/>
      <c r="E50" s="198"/>
      <c r="F50" s="198"/>
      <c r="G50" s="198"/>
      <c r="H50" s="198"/>
      <c r="I50" s="198"/>
      <c r="J50" s="198"/>
      <c r="K50" s="198"/>
    </row>
    <row r="51" spans="2:11" x14ac:dyDescent="0.2">
      <c r="B51" s="198"/>
      <c r="C51" s="24"/>
      <c r="D51" s="198"/>
      <c r="E51" s="198"/>
      <c r="F51" s="198"/>
      <c r="G51" s="198"/>
      <c r="H51" s="198"/>
      <c r="I51" s="198"/>
      <c r="J51" s="198"/>
      <c r="K51" s="198"/>
    </row>
    <row r="52" spans="2:11" x14ac:dyDescent="0.2">
      <c r="B52" s="198"/>
      <c r="C52" s="24"/>
      <c r="D52" s="198"/>
      <c r="E52" s="198"/>
      <c r="F52" s="198"/>
      <c r="G52" s="198"/>
      <c r="H52" s="198"/>
      <c r="I52" s="198"/>
      <c r="J52" s="198"/>
      <c r="K52" s="198"/>
    </row>
  </sheetData>
  <mergeCells count="8">
    <mergeCell ref="B2:K2"/>
    <mergeCell ref="B3:K3"/>
    <mergeCell ref="B5:K5"/>
    <mergeCell ref="B8:K8"/>
    <mergeCell ref="B9:B10"/>
    <mergeCell ref="C9:C10"/>
    <mergeCell ref="D9:H9"/>
    <mergeCell ref="I9:J9"/>
  </mergeCells>
  <pageMargins left="0.7" right="0.7" top="0.75" bottom="0.75" header="0.3" footer="0.3"/>
  <pageSetup paperSize="9" scale="9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F36"/>
  <sheetViews>
    <sheetView showGridLines="0" view="pageBreakPreview" zoomScaleSheetLayoutView="100" workbookViewId="0"/>
  </sheetViews>
  <sheetFormatPr defaultColWidth="8.7109375" defaultRowHeight="14.25" x14ac:dyDescent="0.2"/>
  <cols>
    <col min="1" max="1" width="2.28515625" style="230" customWidth="1"/>
    <col min="2" max="2" width="26.42578125" style="230" customWidth="1"/>
    <col min="3" max="3" width="2.5703125" style="230" customWidth="1"/>
    <col min="4" max="4" width="27.5703125" style="237" customWidth="1"/>
    <col min="5" max="5" width="20.42578125" style="230" customWidth="1"/>
    <col min="6" max="6" width="18.5703125" style="230" customWidth="1"/>
    <col min="7" max="256" width="8.7109375" style="230"/>
    <col min="257" max="257" width="2.28515625" style="230" customWidth="1"/>
    <col min="258" max="258" width="26.42578125" style="230" customWidth="1"/>
    <col min="259" max="259" width="2.5703125" style="230" customWidth="1"/>
    <col min="260" max="260" width="27.5703125" style="230" customWidth="1"/>
    <col min="261" max="261" width="20.42578125" style="230" customWidth="1"/>
    <col min="262" max="262" width="18.5703125" style="230" customWidth="1"/>
    <col min="263" max="512" width="8.7109375" style="230"/>
    <col min="513" max="513" width="2.28515625" style="230" customWidth="1"/>
    <col min="514" max="514" width="26.42578125" style="230" customWidth="1"/>
    <col min="515" max="515" width="2.5703125" style="230" customWidth="1"/>
    <col min="516" max="516" width="27.5703125" style="230" customWidth="1"/>
    <col min="517" max="517" width="20.42578125" style="230" customWidth="1"/>
    <col min="518" max="518" width="18.5703125" style="230" customWidth="1"/>
    <col min="519" max="768" width="8.7109375" style="230"/>
    <col min="769" max="769" width="2.28515625" style="230" customWidth="1"/>
    <col min="770" max="770" width="26.42578125" style="230" customWidth="1"/>
    <col min="771" max="771" width="2.5703125" style="230" customWidth="1"/>
    <col min="772" max="772" width="27.5703125" style="230" customWidth="1"/>
    <col min="773" max="773" width="20.42578125" style="230" customWidth="1"/>
    <col min="774" max="774" width="18.5703125" style="230" customWidth="1"/>
    <col min="775" max="1024" width="8.7109375" style="230"/>
    <col min="1025" max="1025" width="2.28515625" style="230" customWidth="1"/>
    <col min="1026" max="1026" width="26.42578125" style="230" customWidth="1"/>
    <col min="1027" max="1027" width="2.5703125" style="230" customWidth="1"/>
    <col min="1028" max="1028" width="27.5703125" style="230" customWidth="1"/>
    <col min="1029" max="1029" width="20.42578125" style="230" customWidth="1"/>
    <col min="1030" max="1030" width="18.5703125" style="230" customWidth="1"/>
    <col min="1031" max="1280" width="8.7109375" style="230"/>
    <col min="1281" max="1281" width="2.28515625" style="230" customWidth="1"/>
    <col min="1282" max="1282" width="26.42578125" style="230" customWidth="1"/>
    <col min="1283" max="1283" width="2.5703125" style="230" customWidth="1"/>
    <col min="1284" max="1284" width="27.5703125" style="230" customWidth="1"/>
    <col min="1285" max="1285" width="20.42578125" style="230" customWidth="1"/>
    <col min="1286" max="1286" width="18.5703125" style="230" customWidth="1"/>
    <col min="1287" max="1536" width="8.7109375" style="230"/>
    <col min="1537" max="1537" width="2.28515625" style="230" customWidth="1"/>
    <col min="1538" max="1538" width="26.42578125" style="230" customWidth="1"/>
    <col min="1539" max="1539" width="2.5703125" style="230" customWidth="1"/>
    <col min="1540" max="1540" width="27.5703125" style="230" customWidth="1"/>
    <col min="1541" max="1541" width="20.42578125" style="230" customWidth="1"/>
    <col min="1542" max="1542" width="18.5703125" style="230" customWidth="1"/>
    <col min="1543" max="1792" width="8.7109375" style="230"/>
    <col min="1793" max="1793" width="2.28515625" style="230" customWidth="1"/>
    <col min="1794" max="1794" width="26.42578125" style="230" customWidth="1"/>
    <col min="1795" max="1795" width="2.5703125" style="230" customWidth="1"/>
    <col min="1796" max="1796" width="27.5703125" style="230" customWidth="1"/>
    <col min="1797" max="1797" width="20.42578125" style="230" customWidth="1"/>
    <col min="1798" max="1798" width="18.5703125" style="230" customWidth="1"/>
    <col min="1799" max="2048" width="8.7109375" style="230"/>
    <col min="2049" max="2049" width="2.28515625" style="230" customWidth="1"/>
    <col min="2050" max="2050" width="26.42578125" style="230" customWidth="1"/>
    <col min="2051" max="2051" width="2.5703125" style="230" customWidth="1"/>
    <col min="2052" max="2052" width="27.5703125" style="230" customWidth="1"/>
    <col min="2053" max="2053" width="20.42578125" style="230" customWidth="1"/>
    <col min="2054" max="2054" width="18.5703125" style="230" customWidth="1"/>
    <col min="2055" max="2304" width="8.7109375" style="230"/>
    <col min="2305" max="2305" width="2.28515625" style="230" customWidth="1"/>
    <col min="2306" max="2306" width="26.42578125" style="230" customWidth="1"/>
    <col min="2307" max="2307" width="2.5703125" style="230" customWidth="1"/>
    <col min="2308" max="2308" width="27.5703125" style="230" customWidth="1"/>
    <col min="2309" max="2309" width="20.42578125" style="230" customWidth="1"/>
    <col min="2310" max="2310" width="18.5703125" style="230" customWidth="1"/>
    <col min="2311" max="2560" width="8.7109375" style="230"/>
    <col min="2561" max="2561" width="2.28515625" style="230" customWidth="1"/>
    <col min="2562" max="2562" width="26.42578125" style="230" customWidth="1"/>
    <col min="2563" max="2563" width="2.5703125" style="230" customWidth="1"/>
    <col min="2564" max="2564" width="27.5703125" style="230" customWidth="1"/>
    <col min="2565" max="2565" width="20.42578125" style="230" customWidth="1"/>
    <col min="2566" max="2566" width="18.5703125" style="230" customWidth="1"/>
    <col min="2567" max="2816" width="8.7109375" style="230"/>
    <col min="2817" max="2817" width="2.28515625" style="230" customWidth="1"/>
    <col min="2818" max="2818" width="26.42578125" style="230" customWidth="1"/>
    <col min="2819" max="2819" width="2.5703125" style="230" customWidth="1"/>
    <col min="2820" max="2820" width="27.5703125" style="230" customWidth="1"/>
    <col min="2821" max="2821" width="20.42578125" style="230" customWidth="1"/>
    <col min="2822" max="2822" width="18.5703125" style="230" customWidth="1"/>
    <col min="2823" max="3072" width="8.7109375" style="230"/>
    <col min="3073" max="3073" width="2.28515625" style="230" customWidth="1"/>
    <col min="3074" max="3074" width="26.42578125" style="230" customWidth="1"/>
    <col min="3075" max="3075" width="2.5703125" style="230" customWidth="1"/>
    <col min="3076" max="3076" width="27.5703125" style="230" customWidth="1"/>
    <col min="3077" max="3077" width="20.42578125" style="230" customWidth="1"/>
    <col min="3078" max="3078" width="18.5703125" style="230" customWidth="1"/>
    <col min="3079" max="3328" width="8.7109375" style="230"/>
    <col min="3329" max="3329" width="2.28515625" style="230" customWidth="1"/>
    <col min="3330" max="3330" width="26.42578125" style="230" customWidth="1"/>
    <col min="3331" max="3331" width="2.5703125" style="230" customWidth="1"/>
    <col min="3332" max="3332" width="27.5703125" style="230" customWidth="1"/>
    <col min="3333" max="3333" width="20.42578125" style="230" customWidth="1"/>
    <col min="3334" max="3334" width="18.5703125" style="230" customWidth="1"/>
    <col min="3335" max="3584" width="8.7109375" style="230"/>
    <col min="3585" max="3585" width="2.28515625" style="230" customWidth="1"/>
    <col min="3586" max="3586" width="26.42578125" style="230" customWidth="1"/>
    <col min="3587" max="3587" width="2.5703125" style="230" customWidth="1"/>
    <col min="3588" max="3588" width="27.5703125" style="230" customWidth="1"/>
    <col min="3589" max="3589" width="20.42578125" style="230" customWidth="1"/>
    <col min="3590" max="3590" width="18.5703125" style="230" customWidth="1"/>
    <col min="3591" max="3840" width="8.7109375" style="230"/>
    <col min="3841" max="3841" width="2.28515625" style="230" customWidth="1"/>
    <col min="3842" max="3842" width="26.42578125" style="230" customWidth="1"/>
    <col min="3843" max="3843" width="2.5703125" style="230" customWidth="1"/>
    <col min="3844" max="3844" width="27.5703125" style="230" customWidth="1"/>
    <col min="3845" max="3845" width="20.42578125" style="230" customWidth="1"/>
    <col min="3846" max="3846" width="18.5703125" style="230" customWidth="1"/>
    <col min="3847" max="4096" width="8.7109375" style="230"/>
    <col min="4097" max="4097" width="2.28515625" style="230" customWidth="1"/>
    <col min="4098" max="4098" width="26.42578125" style="230" customWidth="1"/>
    <col min="4099" max="4099" width="2.5703125" style="230" customWidth="1"/>
    <col min="4100" max="4100" width="27.5703125" style="230" customWidth="1"/>
    <col min="4101" max="4101" width="20.42578125" style="230" customWidth="1"/>
    <col min="4102" max="4102" width="18.5703125" style="230" customWidth="1"/>
    <col min="4103" max="4352" width="8.7109375" style="230"/>
    <col min="4353" max="4353" width="2.28515625" style="230" customWidth="1"/>
    <col min="4354" max="4354" width="26.42578125" style="230" customWidth="1"/>
    <col min="4355" max="4355" width="2.5703125" style="230" customWidth="1"/>
    <col min="4356" max="4356" width="27.5703125" style="230" customWidth="1"/>
    <col min="4357" max="4357" width="20.42578125" style="230" customWidth="1"/>
    <col min="4358" max="4358" width="18.5703125" style="230" customWidth="1"/>
    <col min="4359" max="4608" width="8.7109375" style="230"/>
    <col min="4609" max="4609" width="2.28515625" style="230" customWidth="1"/>
    <col min="4610" max="4610" width="26.42578125" style="230" customWidth="1"/>
    <col min="4611" max="4611" width="2.5703125" style="230" customWidth="1"/>
    <col min="4612" max="4612" width="27.5703125" style="230" customWidth="1"/>
    <col min="4613" max="4613" width="20.42578125" style="230" customWidth="1"/>
    <col min="4614" max="4614" width="18.5703125" style="230" customWidth="1"/>
    <col min="4615" max="4864" width="8.7109375" style="230"/>
    <col min="4865" max="4865" width="2.28515625" style="230" customWidth="1"/>
    <col min="4866" max="4866" width="26.42578125" style="230" customWidth="1"/>
    <col min="4867" max="4867" width="2.5703125" style="230" customWidth="1"/>
    <col min="4868" max="4868" width="27.5703125" style="230" customWidth="1"/>
    <col min="4869" max="4869" width="20.42578125" style="230" customWidth="1"/>
    <col min="4870" max="4870" width="18.5703125" style="230" customWidth="1"/>
    <col min="4871" max="5120" width="8.7109375" style="230"/>
    <col min="5121" max="5121" width="2.28515625" style="230" customWidth="1"/>
    <col min="5122" max="5122" width="26.42578125" style="230" customWidth="1"/>
    <col min="5123" max="5123" width="2.5703125" style="230" customWidth="1"/>
    <col min="5124" max="5124" width="27.5703125" style="230" customWidth="1"/>
    <col min="5125" max="5125" width="20.42578125" style="230" customWidth="1"/>
    <col min="5126" max="5126" width="18.5703125" style="230" customWidth="1"/>
    <col min="5127" max="5376" width="8.7109375" style="230"/>
    <col min="5377" max="5377" width="2.28515625" style="230" customWidth="1"/>
    <col min="5378" max="5378" width="26.42578125" style="230" customWidth="1"/>
    <col min="5379" max="5379" width="2.5703125" style="230" customWidth="1"/>
    <col min="5380" max="5380" width="27.5703125" style="230" customWidth="1"/>
    <col min="5381" max="5381" width="20.42578125" style="230" customWidth="1"/>
    <col min="5382" max="5382" width="18.5703125" style="230" customWidth="1"/>
    <col min="5383" max="5632" width="8.7109375" style="230"/>
    <col min="5633" max="5633" width="2.28515625" style="230" customWidth="1"/>
    <col min="5634" max="5634" width="26.42578125" style="230" customWidth="1"/>
    <col min="5635" max="5635" width="2.5703125" style="230" customWidth="1"/>
    <col min="5636" max="5636" width="27.5703125" style="230" customWidth="1"/>
    <col min="5637" max="5637" width="20.42578125" style="230" customWidth="1"/>
    <col min="5638" max="5638" width="18.5703125" style="230" customWidth="1"/>
    <col min="5639" max="5888" width="8.7109375" style="230"/>
    <col min="5889" max="5889" width="2.28515625" style="230" customWidth="1"/>
    <col min="5890" max="5890" width="26.42578125" style="230" customWidth="1"/>
    <col min="5891" max="5891" width="2.5703125" style="230" customWidth="1"/>
    <col min="5892" max="5892" width="27.5703125" style="230" customWidth="1"/>
    <col min="5893" max="5893" width="20.42578125" style="230" customWidth="1"/>
    <col min="5894" max="5894" width="18.5703125" style="230" customWidth="1"/>
    <col min="5895" max="6144" width="8.7109375" style="230"/>
    <col min="6145" max="6145" width="2.28515625" style="230" customWidth="1"/>
    <col min="6146" max="6146" width="26.42578125" style="230" customWidth="1"/>
    <col min="6147" max="6147" width="2.5703125" style="230" customWidth="1"/>
    <col min="6148" max="6148" width="27.5703125" style="230" customWidth="1"/>
    <col min="6149" max="6149" width="20.42578125" style="230" customWidth="1"/>
    <col min="6150" max="6150" width="18.5703125" style="230" customWidth="1"/>
    <col min="6151" max="6400" width="8.7109375" style="230"/>
    <col min="6401" max="6401" width="2.28515625" style="230" customWidth="1"/>
    <col min="6402" max="6402" width="26.42578125" style="230" customWidth="1"/>
    <col min="6403" max="6403" width="2.5703125" style="230" customWidth="1"/>
    <col min="6404" max="6404" width="27.5703125" style="230" customWidth="1"/>
    <col min="6405" max="6405" width="20.42578125" style="230" customWidth="1"/>
    <col min="6406" max="6406" width="18.5703125" style="230" customWidth="1"/>
    <col min="6407" max="6656" width="8.7109375" style="230"/>
    <col min="6657" max="6657" width="2.28515625" style="230" customWidth="1"/>
    <col min="6658" max="6658" width="26.42578125" style="230" customWidth="1"/>
    <col min="6659" max="6659" width="2.5703125" style="230" customWidth="1"/>
    <col min="6660" max="6660" width="27.5703125" style="230" customWidth="1"/>
    <col min="6661" max="6661" width="20.42578125" style="230" customWidth="1"/>
    <col min="6662" max="6662" width="18.5703125" style="230" customWidth="1"/>
    <col min="6663" max="6912" width="8.7109375" style="230"/>
    <col min="6913" max="6913" width="2.28515625" style="230" customWidth="1"/>
    <col min="6914" max="6914" width="26.42578125" style="230" customWidth="1"/>
    <col min="6915" max="6915" width="2.5703125" style="230" customWidth="1"/>
    <col min="6916" max="6916" width="27.5703125" style="230" customWidth="1"/>
    <col min="6917" max="6917" width="20.42578125" style="230" customWidth="1"/>
    <col min="6918" max="6918" width="18.5703125" style="230" customWidth="1"/>
    <col min="6919" max="7168" width="8.7109375" style="230"/>
    <col min="7169" max="7169" width="2.28515625" style="230" customWidth="1"/>
    <col min="7170" max="7170" width="26.42578125" style="230" customWidth="1"/>
    <col min="7171" max="7171" width="2.5703125" style="230" customWidth="1"/>
    <col min="7172" max="7172" width="27.5703125" style="230" customWidth="1"/>
    <col min="7173" max="7173" width="20.42578125" style="230" customWidth="1"/>
    <col min="7174" max="7174" width="18.5703125" style="230" customWidth="1"/>
    <col min="7175" max="7424" width="8.7109375" style="230"/>
    <col min="7425" max="7425" width="2.28515625" style="230" customWidth="1"/>
    <col min="7426" max="7426" width="26.42578125" style="230" customWidth="1"/>
    <col min="7427" max="7427" width="2.5703125" style="230" customWidth="1"/>
    <col min="7428" max="7428" width="27.5703125" style="230" customWidth="1"/>
    <col min="7429" max="7429" width="20.42578125" style="230" customWidth="1"/>
    <col min="7430" max="7430" width="18.5703125" style="230" customWidth="1"/>
    <col min="7431" max="7680" width="8.7109375" style="230"/>
    <col min="7681" max="7681" width="2.28515625" style="230" customWidth="1"/>
    <col min="7682" max="7682" width="26.42578125" style="230" customWidth="1"/>
    <col min="7683" max="7683" width="2.5703125" style="230" customWidth="1"/>
    <col min="7684" max="7684" width="27.5703125" style="230" customWidth="1"/>
    <col min="7685" max="7685" width="20.42578125" style="230" customWidth="1"/>
    <col min="7686" max="7686" width="18.5703125" style="230" customWidth="1"/>
    <col min="7687" max="7936" width="8.7109375" style="230"/>
    <col min="7937" max="7937" width="2.28515625" style="230" customWidth="1"/>
    <col min="7938" max="7938" width="26.42578125" style="230" customWidth="1"/>
    <col min="7939" max="7939" width="2.5703125" style="230" customWidth="1"/>
    <col min="7940" max="7940" width="27.5703125" style="230" customWidth="1"/>
    <col min="7941" max="7941" width="20.42578125" style="230" customWidth="1"/>
    <col min="7942" max="7942" width="18.5703125" style="230" customWidth="1"/>
    <col min="7943" max="8192" width="8.7109375" style="230"/>
    <col min="8193" max="8193" width="2.28515625" style="230" customWidth="1"/>
    <col min="8194" max="8194" width="26.42578125" style="230" customWidth="1"/>
    <col min="8195" max="8195" width="2.5703125" style="230" customWidth="1"/>
    <col min="8196" max="8196" width="27.5703125" style="230" customWidth="1"/>
    <col min="8197" max="8197" width="20.42578125" style="230" customWidth="1"/>
    <col min="8198" max="8198" width="18.5703125" style="230" customWidth="1"/>
    <col min="8199" max="8448" width="8.7109375" style="230"/>
    <col min="8449" max="8449" width="2.28515625" style="230" customWidth="1"/>
    <col min="8450" max="8450" width="26.42578125" style="230" customWidth="1"/>
    <col min="8451" max="8451" width="2.5703125" style="230" customWidth="1"/>
    <col min="8452" max="8452" width="27.5703125" style="230" customWidth="1"/>
    <col min="8453" max="8453" width="20.42578125" style="230" customWidth="1"/>
    <col min="8454" max="8454" width="18.5703125" style="230" customWidth="1"/>
    <col min="8455" max="8704" width="8.7109375" style="230"/>
    <col min="8705" max="8705" width="2.28515625" style="230" customWidth="1"/>
    <col min="8706" max="8706" width="26.42578125" style="230" customWidth="1"/>
    <col min="8707" max="8707" width="2.5703125" style="230" customWidth="1"/>
    <col min="8708" max="8708" width="27.5703125" style="230" customWidth="1"/>
    <col min="8709" max="8709" width="20.42578125" style="230" customWidth="1"/>
    <col min="8710" max="8710" width="18.5703125" style="230" customWidth="1"/>
    <col min="8711" max="8960" width="8.7109375" style="230"/>
    <col min="8961" max="8961" width="2.28515625" style="230" customWidth="1"/>
    <col min="8962" max="8962" width="26.42578125" style="230" customWidth="1"/>
    <col min="8963" max="8963" width="2.5703125" style="230" customWidth="1"/>
    <col min="8964" max="8964" width="27.5703125" style="230" customWidth="1"/>
    <col min="8965" max="8965" width="20.42578125" style="230" customWidth="1"/>
    <col min="8966" max="8966" width="18.5703125" style="230" customWidth="1"/>
    <col min="8967" max="9216" width="8.7109375" style="230"/>
    <col min="9217" max="9217" width="2.28515625" style="230" customWidth="1"/>
    <col min="9218" max="9218" width="26.42578125" style="230" customWidth="1"/>
    <col min="9219" max="9219" width="2.5703125" style="230" customWidth="1"/>
    <col min="9220" max="9220" width="27.5703125" style="230" customWidth="1"/>
    <col min="9221" max="9221" width="20.42578125" style="230" customWidth="1"/>
    <col min="9222" max="9222" width="18.5703125" style="230" customWidth="1"/>
    <col min="9223" max="9472" width="8.7109375" style="230"/>
    <col min="9473" max="9473" width="2.28515625" style="230" customWidth="1"/>
    <col min="9474" max="9474" width="26.42578125" style="230" customWidth="1"/>
    <col min="9475" max="9475" width="2.5703125" style="230" customWidth="1"/>
    <col min="9476" max="9476" width="27.5703125" style="230" customWidth="1"/>
    <col min="9477" max="9477" width="20.42578125" style="230" customWidth="1"/>
    <col min="9478" max="9478" width="18.5703125" style="230" customWidth="1"/>
    <col min="9479" max="9728" width="8.7109375" style="230"/>
    <col min="9729" max="9729" width="2.28515625" style="230" customWidth="1"/>
    <col min="9730" max="9730" width="26.42578125" style="230" customWidth="1"/>
    <col min="9731" max="9731" width="2.5703125" style="230" customWidth="1"/>
    <col min="9732" max="9732" width="27.5703125" style="230" customWidth="1"/>
    <col min="9733" max="9733" width="20.42578125" style="230" customWidth="1"/>
    <col min="9734" max="9734" width="18.5703125" style="230" customWidth="1"/>
    <col min="9735" max="9984" width="8.7109375" style="230"/>
    <col min="9985" max="9985" width="2.28515625" style="230" customWidth="1"/>
    <col min="9986" max="9986" width="26.42578125" style="230" customWidth="1"/>
    <col min="9987" max="9987" width="2.5703125" style="230" customWidth="1"/>
    <col min="9988" max="9988" width="27.5703125" style="230" customWidth="1"/>
    <col min="9989" max="9989" width="20.42578125" style="230" customWidth="1"/>
    <col min="9990" max="9990" width="18.5703125" style="230" customWidth="1"/>
    <col min="9991" max="10240" width="8.7109375" style="230"/>
    <col min="10241" max="10241" width="2.28515625" style="230" customWidth="1"/>
    <col min="10242" max="10242" width="26.42578125" style="230" customWidth="1"/>
    <col min="10243" max="10243" width="2.5703125" style="230" customWidth="1"/>
    <col min="10244" max="10244" width="27.5703125" style="230" customWidth="1"/>
    <col min="10245" max="10245" width="20.42578125" style="230" customWidth="1"/>
    <col min="10246" max="10246" width="18.5703125" style="230" customWidth="1"/>
    <col min="10247" max="10496" width="8.7109375" style="230"/>
    <col min="10497" max="10497" width="2.28515625" style="230" customWidth="1"/>
    <col min="10498" max="10498" width="26.42578125" style="230" customWidth="1"/>
    <col min="10499" max="10499" width="2.5703125" style="230" customWidth="1"/>
    <col min="10500" max="10500" width="27.5703125" style="230" customWidth="1"/>
    <col min="10501" max="10501" width="20.42578125" style="230" customWidth="1"/>
    <col min="10502" max="10502" width="18.5703125" style="230" customWidth="1"/>
    <col min="10503" max="10752" width="8.7109375" style="230"/>
    <col min="10753" max="10753" width="2.28515625" style="230" customWidth="1"/>
    <col min="10754" max="10754" width="26.42578125" style="230" customWidth="1"/>
    <col min="10755" max="10755" width="2.5703125" style="230" customWidth="1"/>
    <col min="10756" max="10756" width="27.5703125" style="230" customWidth="1"/>
    <col min="10757" max="10757" width="20.42578125" style="230" customWidth="1"/>
    <col min="10758" max="10758" width="18.5703125" style="230" customWidth="1"/>
    <col min="10759" max="11008" width="8.7109375" style="230"/>
    <col min="11009" max="11009" width="2.28515625" style="230" customWidth="1"/>
    <col min="11010" max="11010" width="26.42578125" style="230" customWidth="1"/>
    <col min="11011" max="11011" width="2.5703125" style="230" customWidth="1"/>
    <col min="11012" max="11012" width="27.5703125" style="230" customWidth="1"/>
    <col min="11013" max="11013" width="20.42578125" style="230" customWidth="1"/>
    <col min="11014" max="11014" width="18.5703125" style="230" customWidth="1"/>
    <col min="11015" max="11264" width="8.7109375" style="230"/>
    <col min="11265" max="11265" width="2.28515625" style="230" customWidth="1"/>
    <col min="11266" max="11266" width="26.42578125" style="230" customWidth="1"/>
    <col min="11267" max="11267" width="2.5703125" style="230" customWidth="1"/>
    <col min="11268" max="11268" width="27.5703125" style="230" customWidth="1"/>
    <col min="11269" max="11269" width="20.42578125" style="230" customWidth="1"/>
    <col min="11270" max="11270" width="18.5703125" style="230" customWidth="1"/>
    <col min="11271" max="11520" width="8.7109375" style="230"/>
    <col min="11521" max="11521" width="2.28515625" style="230" customWidth="1"/>
    <col min="11522" max="11522" width="26.42578125" style="230" customWidth="1"/>
    <col min="11523" max="11523" width="2.5703125" style="230" customWidth="1"/>
    <col min="11524" max="11524" width="27.5703125" style="230" customWidth="1"/>
    <col min="11525" max="11525" width="20.42578125" style="230" customWidth="1"/>
    <col min="11526" max="11526" width="18.5703125" style="230" customWidth="1"/>
    <col min="11527" max="11776" width="8.7109375" style="230"/>
    <col min="11777" max="11777" width="2.28515625" style="230" customWidth="1"/>
    <col min="11778" max="11778" width="26.42578125" style="230" customWidth="1"/>
    <col min="11779" max="11779" width="2.5703125" style="230" customWidth="1"/>
    <col min="11780" max="11780" width="27.5703125" style="230" customWidth="1"/>
    <col min="11781" max="11781" width="20.42578125" style="230" customWidth="1"/>
    <col min="11782" max="11782" width="18.5703125" style="230" customWidth="1"/>
    <col min="11783" max="12032" width="8.7109375" style="230"/>
    <col min="12033" max="12033" width="2.28515625" style="230" customWidth="1"/>
    <col min="12034" max="12034" width="26.42578125" style="230" customWidth="1"/>
    <col min="12035" max="12035" width="2.5703125" style="230" customWidth="1"/>
    <col min="12036" max="12036" width="27.5703125" style="230" customWidth="1"/>
    <col min="12037" max="12037" width="20.42578125" style="230" customWidth="1"/>
    <col min="12038" max="12038" width="18.5703125" style="230" customWidth="1"/>
    <col min="12039" max="12288" width="8.7109375" style="230"/>
    <col min="12289" max="12289" width="2.28515625" style="230" customWidth="1"/>
    <col min="12290" max="12290" width="26.42578125" style="230" customWidth="1"/>
    <col min="12291" max="12291" width="2.5703125" style="230" customWidth="1"/>
    <col min="12292" max="12292" width="27.5703125" style="230" customWidth="1"/>
    <col min="12293" max="12293" width="20.42578125" style="230" customWidth="1"/>
    <col min="12294" max="12294" width="18.5703125" style="230" customWidth="1"/>
    <col min="12295" max="12544" width="8.7109375" style="230"/>
    <col min="12545" max="12545" width="2.28515625" style="230" customWidth="1"/>
    <col min="12546" max="12546" width="26.42578125" style="230" customWidth="1"/>
    <col min="12547" max="12547" width="2.5703125" style="230" customWidth="1"/>
    <col min="12548" max="12548" width="27.5703125" style="230" customWidth="1"/>
    <col min="12549" max="12549" width="20.42578125" style="230" customWidth="1"/>
    <col min="12550" max="12550" width="18.5703125" style="230" customWidth="1"/>
    <col min="12551" max="12800" width="8.7109375" style="230"/>
    <col min="12801" max="12801" width="2.28515625" style="230" customWidth="1"/>
    <col min="12802" max="12802" width="26.42578125" style="230" customWidth="1"/>
    <col min="12803" max="12803" width="2.5703125" style="230" customWidth="1"/>
    <col min="12804" max="12804" width="27.5703125" style="230" customWidth="1"/>
    <col min="12805" max="12805" width="20.42578125" style="230" customWidth="1"/>
    <col min="12806" max="12806" width="18.5703125" style="230" customWidth="1"/>
    <col min="12807" max="13056" width="8.7109375" style="230"/>
    <col min="13057" max="13057" width="2.28515625" style="230" customWidth="1"/>
    <col min="13058" max="13058" width="26.42578125" style="230" customWidth="1"/>
    <col min="13059" max="13059" width="2.5703125" style="230" customWidth="1"/>
    <col min="13060" max="13060" width="27.5703125" style="230" customWidth="1"/>
    <col min="13061" max="13061" width="20.42578125" style="230" customWidth="1"/>
    <col min="13062" max="13062" width="18.5703125" style="230" customWidth="1"/>
    <col min="13063" max="13312" width="8.7109375" style="230"/>
    <col min="13313" max="13313" width="2.28515625" style="230" customWidth="1"/>
    <col min="13314" max="13314" width="26.42578125" style="230" customWidth="1"/>
    <col min="13315" max="13315" width="2.5703125" style="230" customWidth="1"/>
    <col min="13316" max="13316" width="27.5703125" style="230" customWidth="1"/>
    <col min="13317" max="13317" width="20.42578125" style="230" customWidth="1"/>
    <col min="13318" max="13318" width="18.5703125" style="230" customWidth="1"/>
    <col min="13319" max="13568" width="8.7109375" style="230"/>
    <col min="13569" max="13569" width="2.28515625" style="230" customWidth="1"/>
    <col min="13570" max="13570" width="26.42578125" style="230" customWidth="1"/>
    <col min="13571" max="13571" width="2.5703125" style="230" customWidth="1"/>
    <col min="13572" max="13572" width="27.5703125" style="230" customWidth="1"/>
    <col min="13573" max="13573" width="20.42578125" style="230" customWidth="1"/>
    <col min="13574" max="13574" width="18.5703125" style="230" customWidth="1"/>
    <col min="13575" max="13824" width="8.7109375" style="230"/>
    <col min="13825" max="13825" width="2.28515625" style="230" customWidth="1"/>
    <col min="13826" max="13826" width="26.42578125" style="230" customWidth="1"/>
    <col min="13827" max="13827" width="2.5703125" style="230" customWidth="1"/>
    <col min="13828" max="13828" width="27.5703125" style="230" customWidth="1"/>
    <col min="13829" max="13829" width="20.42578125" style="230" customWidth="1"/>
    <col min="13830" max="13830" width="18.5703125" style="230" customWidth="1"/>
    <col min="13831" max="14080" width="8.7109375" style="230"/>
    <col min="14081" max="14081" width="2.28515625" style="230" customWidth="1"/>
    <col min="14082" max="14082" width="26.42578125" style="230" customWidth="1"/>
    <col min="14083" max="14083" width="2.5703125" style="230" customWidth="1"/>
    <col min="14084" max="14084" width="27.5703125" style="230" customWidth="1"/>
    <col min="14085" max="14085" width="20.42578125" style="230" customWidth="1"/>
    <col min="14086" max="14086" width="18.5703125" style="230" customWidth="1"/>
    <col min="14087" max="14336" width="8.7109375" style="230"/>
    <col min="14337" max="14337" width="2.28515625" style="230" customWidth="1"/>
    <col min="14338" max="14338" width="26.42578125" style="230" customWidth="1"/>
    <col min="14339" max="14339" width="2.5703125" style="230" customWidth="1"/>
    <col min="14340" max="14340" width="27.5703125" style="230" customWidth="1"/>
    <col min="14341" max="14341" width="20.42578125" style="230" customWidth="1"/>
    <col min="14342" max="14342" width="18.5703125" style="230" customWidth="1"/>
    <col min="14343" max="14592" width="8.7109375" style="230"/>
    <col min="14593" max="14593" width="2.28515625" style="230" customWidth="1"/>
    <col min="14594" max="14594" width="26.42578125" style="230" customWidth="1"/>
    <col min="14595" max="14595" width="2.5703125" style="230" customWidth="1"/>
    <col min="14596" max="14596" width="27.5703125" style="230" customWidth="1"/>
    <col min="14597" max="14597" width="20.42578125" style="230" customWidth="1"/>
    <col min="14598" max="14598" width="18.5703125" style="230" customWidth="1"/>
    <col min="14599" max="14848" width="8.7109375" style="230"/>
    <col min="14849" max="14849" width="2.28515625" style="230" customWidth="1"/>
    <col min="14850" max="14850" width="26.42578125" style="230" customWidth="1"/>
    <col min="14851" max="14851" width="2.5703125" style="230" customWidth="1"/>
    <col min="14852" max="14852" width="27.5703125" style="230" customWidth="1"/>
    <col min="14853" max="14853" width="20.42578125" style="230" customWidth="1"/>
    <col min="14854" max="14854" width="18.5703125" style="230" customWidth="1"/>
    <col min="14855" max="15104" width="8.7109375" style="230"/>
    <col min="15105" max="15105" width="2.28515625" style="230" customWidth="1"/>
    <col min="15106" max="15106" width="26.42578125" style="230" customWidth="1"/>
    <col min="15107" max="15107" width="2.5703125" style="230" customWidth="1"/>
    <col min="15108" max="15108" width="27.5703125" style="230" customWidth="1"/>
    <col min="15109" max="15109" width="20.42578125" style="230" customWidth="1"/>
    <col min="15110" max="15110" width="18.5703125" style="230" customWidth="1"/>
    <col min="15111" max="15360" width="8.7109375" style="230"/>
    <col min="15361" max="15361" width="2.28515625" style="230" customWidth="1"/>
    <col min="15362" max="15362" width="26.42578125" style="230" customWidth="1"/>
    <col min="15363" max="15363" width="2.5703125" style="230" customWidth="1"/>
    <col min="15364" max="15364" width="27.5703125" style="230" customWidth="1"/>
    <col min="15365" max="15365" width="20.42578125" style="230" customWidth="1"/>
    <col min="15366" max="15366" width="18.5703125" style="230" customWidth="1"/>
    <col min="15367" max="15616" width="8.7109375" style="230"/>
    <col min="15617" max="15617" width="2.28515625" style="230" customWidth="1"/>
    <col min="15618" max="15618" width="26.42578125" style="230" customWidth="1"/>
    <col min="15619" max="15619" width="2.5703125" style="230" customWidth="1"/>
    <col min="15620" max="15620" width="27.5703125" style="230" customWidth="1"/>
    <col min="15621" max="15621" width="20.42578125" style="230" customWidth="1"/>
    <col min="15622" max="15622" width="18.5703125" style="230" customWidth="1"/>
    <col min="15623" max="15872" width="8.7109375" style="230"/>
    <col min="15873" max="15873" width="2.28515625" style="230" customWidth="1"/>
    <col min="15874" max="15874" width="26.42578125" style="230" customWidth="1"/>
    <col min="15875" max="15875" width="2.5703125" style="230" customWidth="1"/>
    <col min="15876" max="15876" width="27.5703125" style="230" customWidth="1"/>
    <col min="15877" max="15877" width="20.42578125" style="230" customWidth="1"/>
    <col min="15878" max="15878" width="18.5703125" style="230" customWidth="1"/>
    <col min="15879" max="16128" width="8.7109375" style="230"/>
    <col min="16129" max="16129" width="2.28515625" style="230" customWidth="1"/>
    <col min="16130" max="16130" width="26.42578125" style="230" customWidth="1"/>
    <col min="16131" max="16131" width="2.5703125" style="230" customWidth="1"/>
    <col min="16132" max="16132" width="27.5703125" style="230" customWidth="1"/>
    <col min="16133" max="16133" width="20.42578125" style="230" customWidth="1"/>
    <col min="16134" max="16134" width="18.5703125" style="230" customWidth="1"/>
    <col min="16135" max="16384" width="8.7109375" style="230"/>
  </cols>
  <sheetData>
    <row r="1" spans="2:5" x14ac:dyDescent="0.2">
      <c r="B1" s="234" t="s">
        <v>305</v>
      </c>
      <c r="C1" s="234" t="s">
        <v>306</v>
      </c>
      <c r="D1" s="235" t="s">
        <v>242</v>
      </c>
    </row>
    <row r="2" spans="2:5" x14ac:dyDescent="0.2">
      <c r="B2" s="234" t="s">
        <v>307</v>
      </c>
      <c r="C2" s="234" t="s">
        <v>306</v>
      </c>
      <c r="D2" s="236" t="s">
        <v>337</v>
      </c>
    </row>
    <row r="3" spans="2:5" x14ac:dyDescent="0.2">
      <c r="B3" s="234" t="s">
        <v>308</v>
      </c>
      <c r="C3" s="234" t="s">
        <v>306</v>
      </c>
      <c r="D3" s="235" t="s">
        <v>338</v>
      </c>
    </row>
    <row r="4" spans="2:5" x14ac:dyDescent="0.2">
      <c r="B4" s="234"/>
      <c r="C4" s="234" t="s">
        <v>306</v>
      </c>
      <c r="D4" s="235"/>
    </row>
    <row r="5" spans="2:5" x14ac:dyDescent="0.2">
      <c r="B5" s="234" t="s">
        <v>309</v>
      </c>
      <c r="C5" s="234" t="s">
        <v>306</v>
      </c>
      <c r="D5" s="235" t="s">
        <v>339</v>
      </c>
    </row>
    <row r="6" spans="2:5" x14ac:dyDescent="0.2">
      <c r="B6" s="234" t="s">
        <v>310</v>
      </c>
      <c r="C6" s="234" t="s">
        <v>306</v>
      </c>
      <c r="D6" s="235" t="s">
        <v>311</v>
      </c>
    </row>
    <row r="7" spans="2:5" x14ac:dyDescent="0.2">
      <c r="B7" s="234" t="s">
        <v>312</v>
      </c>
      <c r="C7" s="234" t="s">
        <v>306</v>
      </c>
      <c r="D7" s="234" t="s">
        <v>313</v>
      </c>
    </row>
    <row r="8" spans="2:5" x14ac:dyDescent="0.2">
      <c r="B8" s="234" t="s">
        <v>314</v>
      </c>
      <c r="C8" s="234" t="s">
        <v>306</v>
      </c>
      <c r="D8" s="235" t="s">
        <v>236</v>
      </c>
    </row>
    <row r="9" spans="2:5" x14ac:dyDescent="0.2">
      <c r="B9" s="234" t="s">
        <v>315</v>
      </c>
      <c r="C9" s="234" t="s">
        <v>306</v>
      </c>
      <c r="D9" s="235" t="s">
        <v>101</v>
      </c>
    </row>
    <row r="10" spans="2:5" x14ac:dyDescent="0.2">
      <c r="B10" s="234"/>
      <c r="C10" s="234"/>
      <c r="D10" s="235"/>
    </row>
    <row r="11" spans="2:5" x14ac:dyDescent="0.2">
      <c r="B11" s="234"/>
      <c r="C11" s="234"/>
      <c r="D11" s="235"/>
    </row>
    <row r="12" spans="2:5" x14ac:dyDescent="0.2">
      <c r="B12" s="238" t="s">
        <v>622</v>
      </c>
    </row>
    <row r="13" spans="2:5" ht="15" thickBot="1" x14ac:dyDescent="0.25">
      <c r="E13" s="239" t="s">
        <v>316</v>
      </c>
    </row>
    <row r="14" spans="2:5" x14ac:dyDescent="0.2">
      <c r="B14" s="240"/>
      <c r="C14" s="241"/>
      <c r="D14" s="242"/>
      <c r="E14" s="243"/>
    </row>
    <row r="15" spans="2:5" x14ac:dyDescent="0.2">
      <c r="B15" s="244" t="s">
        <v>317</v>
      </c>
      <c r="D15" s="245"/>
      <c r="E15" s="246"/>
    </row>
    <row r="16" spans="2:5" x14ac:dyDescent="0.2">
      <c r="B16" s="247"/>
      <c r="D16" s="245"/>
      <c r="E16" s="246"/>
    </row>
    <row r="17" spans="2:6" x14ac:dyDescent="0.2">
      <c r="B17" s="248" t="s">
        <v>318</v>
      </c>
      <c r="D17" s="245">
        <f ca="1">'P &amp; L'!D28</f>
        <v>-4582438.4342465755</v>
      </c>
      <c r="E17" s="246"/>
    </row>
    <row r="18" spans="2:6" x14ac:dyDescent="0.2">
      <c r="B18" s="248"/>
      <c r="D18" s="249">
        <v>0</v>
      </c>
      <c r="E18" s="250">
        <f ca="1">D17+D18</f>
        <v>-4582438.4342465755</v>
      </c>
    </row>
    <row r="19" spans="2:6" x14ac:dyDescent="0.2">
      <c r="B19" s="248"/>
      <c r="D19" s="245"/>
      <c r="E19" s="251"/>
    </row>
    <row r="20" spans="2:6" x14ac:dyDescent="0.2">
      <c r="B20" s="252"/>
      <c r="D20" s="245"/>
      <c r="E20" s="253"/>
    </row>
    <row r="21" spans="2:6" x14ac:dyDescent="0.2">
      <c r="B21" s="247" t="s">
        <v>72</v>
      </c>
      <c r="D21" s="245"/>
      <c r="E21" s="251">
        <v>0</v>
      </c>
    </row>
    <row r="22" spans="2:6" x14ac:dyDescent="0.2">
      <c r="B22" s="252"/>
      <c r="D22" s="245"/>
      <c r="E22" s="246"/>
    </row>
    <row r="23" spans="2:6" x14ac:dyDescent="0.2">
      <c r="B23" s="247" t="s">
        <v>319</v>
      </c>
      <c r="D23" s="245"/>
      <c r="E23" s="254" t="s">
        <v>320</v>
      </c>
    </row>
    <row r="24" spans="2:6" ht="15" thickBot="1" x14ac:dyDescent="0.25">
      <c r="B24" s="255"/>
      <c r="C24" s="256"/>
      <c r="D24" s="257"/>
      <c r="E24" s="258"/>
    </row>
    <row r="25" spans="2:6" hidden="1" x14ac:dyDescent="0.2">
      <c r="B25" s="230" t="s">
        <v>321</v>
      </c>
      <c r="D25" s="230"/>
    </row>
    <row r="26" spans="2:6" ht="28.5" hidden="1" x14ac:dyDescent="0.2">
      <c r="B26" s="716" t="s">
        <v>322</v>
      </c>
      <c r="C26" s="717"/>
      <c r="D26" s="718"/>
      <c r="E26" s="259" t="s">
        <v>323</v>
      </c>
      <c r="F26" s="260" t="s">
        <v>324</v>
      </c>
    </row>
    <row r="27" spans="2:6" hidden="1" x14ac:dyDescent="0.2">
      <c r="B27" s="261" t="s">
        <v>325</v>
      </c>
      <c r="C27" s="262" t="s">
        <v>326</v>
      </c>
      <c r="D27" s="233">
        <v>167098</v>
      </c>
      <c r="E27" s="232" t="s">
        <v>327</v>
      </c>
      <c r="F27" s="233" t="s">
        <v>328</v>
      </c>
    </row>
    <row r="28" spans="2:6" hidden="1" x14ac:dyDescent="0.2">
      <c r="B28" s="263" t="s">
        <v>329</v>
      </c>
      <c r="C28" s="264" t="s">
        <v>326</v>
      </c>
      <c r="D28" s="233">
        <v>1128506</v>
      </c>
      <c r="E28" s="232" t="s">
        <v>330</v>
      </c>
      <c r="F28" s="233" t="s">
        <v>331</v>
      </c>
    </row>
    <row r="29" spans="2:6" hidden="1" x14ac:dyDescent="0.2">
      <c r="B29" s="265" t="s">
        <v>332</v>
      </c>
      <c r="C29" s="266" t="s">
        <v>326</v>
      </c>
      <c r="D29" s="231">
        <v>70720</v>
      </c>
      <c r="E29" s="233" t="s">
        <v>333</v>
      </c>
      <c r="F29" s="233" t="s">
        <v>334</v>
      </c>
    </row>
    <row r="30" spans="2:6" hidden="1" x14ac:dyDescent="0.2">
      <c r="B30" s="265" t="s">
        <v>335</v>
      </c>
      <c r="C30" s="266" t="s">
        <v>326</v>
      </c>
      <c r="D30" s="267">
        <v>39806</v>
      </c>
      <c r="E30" s="268" t="s">
        <v>336</v>
      </c>
      <c r="F30" s="231" t="s">
        <v>336</v>
      </c>
    </row>
    <row r="31" spans="2:6" x14ac:dyDescent="0.2">
      <c r="D31" s="245"/>
      <c r="E31" s="269"/>
    </row>
    <row r="33" spans="2:5" x14ac:dyDescent="0.2">
      <c r="B33" s="270"/>
    </row>
    <row r="36" spans="2:5" x14ac:dyDescent="0.2">
      <c r="D36" s="245"/>
      <c r="E36" s="271"/>
    </row>
  </sheetData>
  <mergeCells count="1">
    <mergeCell ref="B26:D26"/>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B22"/>
  <sheetViews>
    <sheetView showGridLines="0" view="pageBreakPreview" zoomScaleSheetLayoutView="100" workbookViewId="0">
      <selection activeCell="B11" sqref="B11"/>
    </sheetView>
  </sheetViews>
  <sheetFormatPr defaultColWidth="8.85546875" defaultRowHeight="12.75" x14ac:dyDescent="0.2"/>
  <cols>
    <col min="1" max="1" width="22.7109375" style="14" customWidth="1"/>
    <col min="2" max="2" width="19.28515625" style="14" customWidth="1"/>
    <col min="3" max="16384" width="8.85546875" style="14"/>
  </cols>
  <sheetData>
    <row r="1" spans="1:2" x14ac:dyDescent="0.2">
      <c r="A1" s="789" t="str">
        <f>BS!A1</f>
        <v>SPITI TOWNSHIP LLP</v>
      </c>
      <c r="B1" s="789"/>
    </row>
    <row r="4" spans="1:2" x14ac:dyDescent="0.2">
      <c r="A4" s="210" t="s">
        <v>247</v>
      </c>
    </row>
    <row r="6" spans="1:2" x14ac:dyDescent="0.2">
      <c r="A6" s="14" t="s">
        <v>250</v>
      </c>
      <c r="B6" s="332">
        <v>86088</v>
      </c>
    </row>
    <row r="7" spans="1:2" x14ac:dyDescent="0.2">
      <c r="A7" s="14" t="s">
        <v>251</v>
      </c>
      <c r="B7" s="332">
        <v>315577</v>
      </c>
    </row>
    <row r="8" spans="1:2" x14ac:dyDescent="0.2">
      <c r="A8" s="14" t="s">
        <v>252</v>
      </c>
      <c r="B8" s="332">
        <v>67361</v>
      </c>
    </row>
    <row r="9" spans="1:2" x14ac:dyDescent="0.2">
      <c r="A9" s="14" t="s">
        <v>253</v>
      </c>
      <c r="B9" s="332">
        <v>95562</v>
      </c>
    </row>
    <row r="10" spans="1:2" x14ac:dyDescent="0.2">
      <c r="A10" s="14" t="s">
        <v>254</v>
      </c>
      <c r="B10" s="332">
        <v>179479</v>
      </c>
    </row>
    <row r="11" spans="1:2" ht="13.5" thickBot="1" x14ac:dyDescent="0.25">
      <c r="B11" s="333">
        <f>SUM(B6:B10)</f>
        <v>744067</v>
      </c>
    </row>
    <row r="12" spans="1:2" ht="13.5" thickTop="1" x14ac:dyDescent="0.2"/>
    <row r="14" spans="1:2" x14ac:dyDescent="0.2">
      <c r="A14" s="334" t="s">
        <v>260</v>
      </c>
    </row>
    <row r="16" spans="1:2" x14ac:dyDescent="0.2">
      <c r="A16" s="14" t="s">
        <v>261</v>
      </c>
      <c r="B16" s="332">
        <v>7049000</v>
      </c>
    </row>
    <row r="17" spans="1:2" x14ac:dyDescent="0.2">
      <c r="A17" s="45" t="s">
        <v>262</v>
      </c>
      <c r="B17" s="120">
        <v>10000000</v>
      </c>
    </row>
    <row r="18" spans="1:2" x14ac:dyDescent="0.2">
      <c r="A18" s="45" t="s">
        <v>263</v>
      </c>
      <c r="B18" s="120">
        <v>19770000</v>
      </c>
    </row>
    <row r="19" spans="1:2" x14ac:dyDescent="0.2">
      <c r="A19" s="45" t="s">
        <v>264</v>
      </c>
      <c r="B19" s="120">
        <v>12570313</v>
      </c>
    </row>
    <row r="20" spans="1:2" x14ac:dyDescent="0.2">
      <c r="A20" s="45" t="s">
        <v>265</v>
      </c>
      <c r="B20" s="120">
        <v>76670445</v>
      </c>
    </row>
    <row r="21" spans="1:2" ht="13.5" thickBot="1" x14ac:dyDescent="0.25">
      <c r="A21" s="45"/>
      <c r="B21" s="216">
        <f>SUM(B16:B20)</f>
        <v>126059758</v>
      </c>
    </row>
    <row r="22" spans="1:2" ht="13.5" thickTop="1" x14ac:dyDescent="0.2">
      <c r="B22" s="335"/>
    </row>
  </sheetData>
  <mergeCells count="1">
    <mergeCell ref="A1:B1"/>
  </mergeCells>
  <pageMargins left="0.7" right="0.7" top="0.75" bottom="0.75" header="0.3" footer="0.3"/>
  <pageSetup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19"/>
  <sheetViews>
    <sheetView workbookViewId="0">
      <selection activeCell="H11" sqref="H11"/>
    </sheetView>
  </sheetViews>
  <sheetFormatPr defaultColWidth="8.85546875" defaultRowHeight="15" x14ac:dyDescent="0.25"/>
  <cols>
    <col min="1" max="1" width="14.7109375" style="369" customWidth="1"/>
    <col min="2" max="2" width="14.42578125" style="369" customWidth="1"/>
    <col min="3" max="3" width="10.28515625" style="369" customWidth="1"/>
    <col min="4" max="4" width="5.42578125" style="369" customWidth="1"/>
    <col min="5" max="5" width="12.7109375" style="369" customWidth="1"/>
    <col min="6" max="6" width="11.7109375" style="369" customWidth="1"/>
    <col min="7" max="7" width="12.7109375" style="369" customWidth="1"/>
    <col min="8" max="8" width="11.5703125" style="369" bestFit="1" customWidth="1"/>
    <col min="9" max="9" width="13.85546875" style="369" customWidth="1"/>
    <col min="10" max="10" width="11.7109375" style="369" bestFit="1" customWidth="1"/>
    <col min="11" max="11" width="10.140625" style="369" bestFit="1" customWidth="1"/>
    <col min="12" max="12" width="14.5703125" style="369" bestFit="1" customWidth="1"/>
    <col min="13" max="13" width="13.5703125" style="369" bestFit="1" customWidth="1"/>
    <col min="14" max="14" width="11.5703125" style="369" bestFit="1" customWidth="1"/>
    <col min="15" max="15" width="14.5703125" style="369" bestFit="1" customWidth="1"/>
    <col min="16" max="16384" width="8.85546875" style="369"/>
  </cols>
  <sheetData>
    <row r="1" spans="1:15" x14ac:dyDescent="0.25">
      <c r="A1" s="790" t="s">
        <v>534</v>
      </c>
      <c r="B1" s="790"/>
      <c r="C1" s="790"/>
      <c r="D1" s="790"/>
      <c r="E1" s="790"/>
      <c r="F1" s="790"/>
      <c r="G1" s="790"/>
    </row>
    <row r="2" spans="1:15" ht="45" x14ac:dyDescent="0.25">
      <c r="A2" s="421" t="s">
        <v>535</v>
      </c>
      <c r="B2" s="421" t="s">
        <v>536</v>
      </c>
      <c r="C2" s="421" t="s">
        <v>537</v>
      </c>
      <c r="D2" s="421" t="s">
        <v>538</v>
      </c>
      <c r="E2" s="421"/>
      <c r="F2" s="421" t="s">
        <v>539</v>
      </c>
      <c r="G2" s="421" t="s">
        <v>540</v>
      </c>
      <c r="H2" s="422"/>
      <c r="I2" s="422"/>
      <c r="J2" s="422"/>
      <c r="K2" s="422" t="s">
        <v>541</v>
      </c>
      <c r="L2" s="422" t="s">
        <v>542</v>
      </c>
      <c r="M2" s="422"/>
    </row>
    <row r="3" spans="1:15" x14ac:dyDescent="0.25">
      <c r="A3" s="369" t="s">
        <v>543</v>
      </c>
      <c r="B3" s="423">
        <v>12570313</v>
      </c>
      <c r="C3" s="423">
        <v>59</v>
      </c>
      <c r="D3" s="423">
        <v>6.3</v>
      </c>
      <c r="E3" s="423">
        <f>B3*D3%*C3/365</f>
        <v>128010.55731780823</v>
      </c>
      <c r="F3" s="423">
        <v>86088</v>
      </c>
      <c r="G3" s="423">
        <f>E3-F3</f>
        <v>41922.557317808227</v>
      </c>
      <c r="H3" s="423">
        <f>+F3/0.9</f>
        <v>95653.333333333328</v>
      </c>
      <c r="I3" s="424">
        <f>+E3-H3</f>
        <v>32357.223984474898</v>
      </c>
      <c r="K3" s="425">
        <v>44974</v>
      </c>
      <c r="L3" s="425">
        <v>45340</v>
      </c>
      <c r="M3" s="423">
        <f t="shared" ref="M3:M6" si="0">DAYS360(K3,L3,0)+4</f>
        <v>365</v>
      </c>
    </row>
    <row r="4" spans="1:15" x14ac:dyDescent="0.25">
      <c r="A4" s="369" t="s">
        <v>544</v>
      </c>
      <c r="B4" s="423">
        <v>76670445</v>
      </c>
      <c r="C4" s="423">
        <v>22</v>
      </c>
      <c r="D4" s="423">
        <v>7.65</v>
      </c>
      <c r="E4" s="423">
        <f>B4*D4%*C4/365</f>
        <v>353524.27105479449</v>
      </c>
      <c r="F4" s="423">
        <v>315577</v>
      </c>
      <c r="G4" s="423">
        <f t="shared" ref="G4:G7" si="1">E4-F4</f>
        <v>37947.271054794488</v>
      </c>
      <c r="H4" s="423">
        <f>+F4/0.9</f>
        <v>350641.11111111112</v>
      </c>
      <c r="I4" s="424">
        <f>+E4-H4</f>
        <v>2883.159943683364</v>
      </c>
      <c r="K4" s="425">
        <v>44995</v>
      </c>
      <c r="L4" s="425">
        <v>45361</v>
      </c>
      <c r="M4" s="423">
        <f t="shared" si="0"/>
        <v>364</v>
      </c>
    </row>
    <row r="5" spans="1:15" x14ac:dyDescent="0.25">
      <c r="A5" s="369" t="s">
        <v>545</v>
      </c>
      <c r="B5" s="423">
        <v>7049000</v>
      </c>
      <c r="C5" s="423">
        <v>60</v>
      </c>
      <c r="D5" s="423">
        <v>6.3</v>
      </c>
      <c r="E5" s="423">
        <f t="shared" ref="E5:E7" si="2">B5*D5%*C5/365</f>
        <v>73000.602739726033</v>
      </c>
      <c r="F5" s="423">
        <v>67361</v>
      </c>
      <c r="G5" s="423">
        <f t="shared" si="1"/>
        <v>5639.6027397260332</v>
      </c>
      <c r="H5" s="423">
        <f>+F5/0.9</f>
        <v>74845.555555555547</v>
      </c>
      <c r="I5" s="424">
        <f>+E5-H5</f>
        <v>-1844.9528158295143</v>
      </c>
      <c r="K5" s="425">
        <v>44957</v>
      </c>
      <c r="L5" s="425">
        <v>45323</v>
      </c>
      <c r="M5" s="423">
        <f t="shared" si="0"/>
        <v>365</v>
      </c>
    </row>
    <row r="6" spans="1:15" x14ac:dyDescent="0.25">
      <c r="A6" s="369" t="s">
        <v>546</v>
      </c>
      <c r="B6" s="423">
        <v>10000000</v>
      </c>
      <c r="C6" s="423">
        <v>60</v>
      </c>
      <c r="D6" s="423">
        <v>6.3</v>
      </c>
      <c r="E6" s="423">
        <f t="shared" si="2"/>
        <v>103561.64383561644</v>
      </c>
      <c r="F6" s="423">
        <v>95562</v>
      </c>
      <c r="G6" s="423">
        <f t="shared" si="1"/>
        <v>7999.6438356164435</v>
      </c>
      <c r="H6" s="423">
        <f>+F6/0.9</f>
        <v>106180</v>
      </c>
      <c r="I6" s="424">
        <f>+E6-H6</f>
        <v>-2618.3561643835565</v>
      </c>
      <c r="K6" s="425">
        <v>44957</v>
      </c>
      <c r="L6" s="425">
        <v>45323</v>
      </c>
      <c r="M6" s="423">
        <f t="shared" si="0"/>
        <v>365</v>
      </c>
    </row>
    <row r="7" spans="1:15" x14ac:dyDescent="0.25">
      <c r="A7" s="369" t="s">
        <v>547</v>
      </c>
      <c r="B7" s="423">
        <v>19770000</v>
      </c>
      <c r="C7" s="423">
        <v>57</v>
      </c>
      <c r="D7" s="423">
        <v>6.3</v>
      </c>
      <c r="E7" s="423">
        <f t="shared" si="2"/>
        <v>194504.30136986301</v>
      </c>
      <c r="F7" s="423">
        <v>179479</v>
      </c>
      <c r="G7" s="423">
        <f t="shared" si="1"/>
        <v>15025.301369863009</v>
      </c>
      <c r="H7" s="423">
        <f>+F7/0.9</f>
        <v>199421.11111111109</v>
      </c>
      <c r="I7" s="424">
        <f>+E7-H7</f>
        <v>-4916.8097412480856</v>
      </c>
      <c r="K7" s="425">
        <v>44960</v>
      </c>
      <c r="L7" s="425">
        <v>45326</v>
      </c>
      <c r="M7" s="423">
        <f>DAYS360(K7,L7,0)+4</f>
        <v>365</v>
      </c>
    </row>
    <row r="9" spans="1:15" x14ac:dyDescent="0.25">
      <c r="A9" s="790" t="s">
        <v>548</v>
      </c>
      <c r="B9" s="790"/>
      <c r="C9" s="790"/>
      <c r="D9" s="790"/>
      <c r="E9" s="790"/>
      <c r="F9" s="790"/>
      <c r="G9" s="790"/>
    </row>
    <row r="10" spans="1:15" ht="75" x14ac:dyDescent="0.25">
      <c r="A10" s="426" t="s">
        <v>535</v>
      </c>
      <c r="B10" s="426" t="s">
        <v>536</v>
      </c>
      <c r="C10" s="426" t="s">
        <v>537</v>
      </c>
      <c r="D10" s="426" t="s">
        <v>538</v>
      </c>
      <c r="E10" s="426" t="s">
        <v>549</v>
      </c>
      <c r="F10" s="426" t="s">
        <v>35</v>
      </c>
      <c r="G10" s="427" t="s">
        <v>550</v>
      </c>
      <c r="H10" s="426" t="s">
        <v>551</v>
      </c>
      <c r="I10" s="426" t="s">
        <v>552</v>
      </c>
      <c r="J10" s="426" t="s">
        <v>553</v>
      </c>
      <c r="K10" s="428"/>
      <c r="L10" s="428"/>
      <c r="M10" s="427"/>
      <c r="N10" s="427"/>
    </row>
    <row r="11" spans="1:15" x14ac:dyDescent="0.25">
      <c r="A11" s="423" t="s">
        <v>543</v>
      </c>
      <c r="B11" s="423">
        <v>12570313</v>
      </c>
      <c r="C11" s="423">
        <v>365</v>
      </c>
      <c r="D11" s="423">
        <v>6.3</v>
      </c>
      <c r="E11" s="423">
        <f>B11*D11%*C11/365</f>
        <v>791929.71900000004</v>
      </c>
      <c r="F11" s="423">
        <f>E11/110*10</f>
        <v>71993.610818181827</v>
      </c>
      <c r="G11" s="423">
        <f>E11-F11</f>
        <v>719936.10818181816</v>
      </c>
      <c r="H11" s="423">
        <f>+F3</f>
        <v>86088</v>
      </c>
      <c r="I11" s="423">
        <f>G11-H11</f>
        <v>633848.10818181816</v>
      </c>
      <c r="J11" s="423">
        <f>+F11-(H3-F3)</f>
        <v>62428.277484848499</v>
      </c>
      <c r="L11" s="424">
        <f>+B11-13383459</f>
        <v>-813146</v>
      </c>
      <c r="M11" s="423">
        <f t="shared" ref="M11:M16" si="3">+L11+E11</f>
        <v>-21216.280999999959</v>
      </c>
      <c r="O11" s="424">
        <v>13383459</v>
      </c>
    </row>
    <row r="12" spans="1:15" x14ac:dyDescent="0.25">
      <c r="A12" s="423" t="s">
        <v>544</v>
      </c>
      <c r="B12" s="423">
        <v>76670445</v>
      </c>
      <c r="C12" s="423">
        <v>366</v>
      </c>
      <c r="D12" s="423">
        <v>7.65</v>
      </c>
      <c r="E12" s="423">
        <f t="shared" ref="E12:E16" si="4">B12*D12%*C12/365</f>
        <v>5881358.3275479451</v>
      </c>
      <c r="F12" s="423">
        <f>E12/110*10</f>
        <v>534668.93886799505</v>
      </c>
      <c r="G12" s="423">
        <f>E12-F12</f>
        <v>5346689.3886799496</v>
      </c>
      <c r="H12" s="423">
        <f t="shared" ref="H12:H15" si="5">+F4</f>
        <v>315577</v>
      </c>
      <c r="I12" s="423">
        <f t="shared" ref="I12:I15" si="6">G12-H12</f>
        <v>5031112.3886799496</v>
      </c>
      <c r="J12" s="423">
        <f t="shared" ref="J12:J15" si="7">+F12-(H4-F4)</f>
        <v>499604.82775688393</v>
      </c>
      <c r="L12" s="424">
        <f>+B12-82706150</f>
        <v>-6035705</v>
      </c>
      <c r="M12" s="423">
        <f t="shared" si="3"/>
        <v>-154346.67245205492</v>
      </c>
      <c r="O12" s="424">
        <v>82706150</v>
      </c>
    </row>
    <row r="13" spans="1:15" x14ac:dyDescent="0.25">
      <c r="A13" s="423" t="s">
        <v>545</v>
      </c>
      <c r="B13" s="423">
        <v>7049000</v>
      </c>
      <c r="C13" s="423">
        <v>365</v>
      </c>
      <c r="D13" s="423">
        <v>6.3</v>
      </c>
      <c r="E13" s="423">
        <f t="shared" si="4"/>
        <v>444087</v>
      </c>
      <c r="F13" s="423">
        <f>E13/110*10</f>
        <v>40371.545454545456</v>
      </c>
      <c r="G13" s="423">
        <f>E13-F13</f>
        <v>403715.45454545453</v>
      </c>
      <c r="H13" s="423">
        <f t="shared" si="5"/>
        <v>67361</v>
      </c>
      <c r="I13" s="423">
        <f t="shared" si="6"/>
        <v>336354.45454545453</v>
      </c>
      <c r="J13" s="423">
        <f t="shared" si="7"/>
        <v>32886.989898989908</v>
      </c>
      <c r="L13" s="424">
        <f>+B13-7504984</f>
        <v>-455984</v>
      </c>
      <c r="M13" s="423">
        <f t="shared" si="3"/>
        <v>-11897</v>
      </c>
      <c r="O13" s="424">
        <v>7504984</v>
      </c>
    </row>
    <row r="14" spans="1:15" x14ac:dyDescent="0.25">
      <c r="A14" s="423" t="s">
        <v>546</v>
      </c>
      <c r="B14" s="423">
        <v>10000000</v>
      </c>
      <c r="C14" s="423">
        <v>365</v>
      </c>
      <c r="D14" s="423">
        <v>6.3</v>
      </c>
      <c r="E14" s="423">
        <f t="shared" si="4"/>
        <v>630000</v>
      </c>
      <c r="F14" s="423">
        <f>E14/110*10</f>
        <v>57272.727272727272</v>
      </c>
      <c r="G14" s="423">
        <f>E14-F14</f>
        <v>572727.27272727271</v>
      </c>
      <c r="H14" s="423">
        <f t="shared" si="5"/>
        <v>95562</v>
      </c>
      <c r="I14" s="423">
        <f t="shared" si="6"/>
        <v>477165.27272727271</v>
      </c>
      <c r="J14" s="423">
        <f t="shared" si="7"/>
        <v>46654.727272727272</v>
      </c>
      <c r="L14" s="424">
        <f>+B14-10646878</f>
        <v>-646878</v>
      </c>
      <c r="M14" s="423">
        <f t="shared" si="3"/>
        <v>-16878</v>
      </c>
      <c r="O14" s="424">
        <v>10646878</v>
      </c>
    </row>
    <row r="15" spans="1:15" x14ac:dyDescent="0.25">
      <c r="A15" s="423" t="s">
        <v>547</v>
      </c>
      <c r="B15" s="423">
        <v>19770000</v>
      </c>
      <c r="C15" s="423">
        <v>365</v>
      </c>
      <c r="D15" s="423">
        <v>6.3</v>
      </c>
      <c r="E15" s="423">
        <f t="shared" si="4"/>
        <v>1245510</v>
      </c>
      <c r="F15" s="423">
        <f>E15/110*10</f>
        <v>113228.18181818182</v>
      </c>
      <c r="G15" s="423">
        <f>E15-F15</f>
        <v>1132281.8181818181</v>
      </c>
      <c r="H15" s="423">
        <f t="shared" si="5"/>
        <v>179479</v>
      </c>
      <c r="I15" s="423">
        <f t="shared" si="6"/>
        <v>952802.81818181812</v>
      </c>
      <c r="J15" s="423">
        <f t="shared" si="7"/>
        <v>93286.070707070729</v>
      </c>
      <c r="L15" s="424">
        <f>+B15-21048878</f>
        <v>-1278878</v>
      </c>
      <c r="M15" s="423">
        <f t="shared" si="3"/>
        <v>-33368</v>
      </c>
      <c r="O15" s="424">
        <v>21048878</v>
      </c>
    </row>
    <row r="16" spans="1:15" ht="15.75" thickBot="1" x14ac:dyDescent="0.3">
      <c r="B16" s="444">
        <v>16500000</v>
      </c>
      <c r="C16" s="444">
        <f>+C18-C19+1</f>
        <v>258</v>
      </c>
      <c r="D16" s="423">
        <v>6.3</v>
      </c>
      <c r="E16" s="423">
        <f t="shared" si="4"/>
        <v>734769.8630136986</v>
      </c>
      <c r="I16" s="429">
        <f>SUM(I11:I15)</f>
        <v>7431283.0423163129</v>
      </c>
      <c r="L16" s="424">
        <f>+B16-17567349</f>
        <v>-1067349</v>
      </c>
      <c r="M16" s="423">
        <f t="shared" si="3"/>
        <v>-332579.1369863014</v>
      </c>
      <c r="O16" s="424">
        <v>17567349</v>
      </c>
    </row>
    <row r="17" spans="3:15" ht="15.75" thickTop="1" x14ac:dyDescent="0.25">
      <c r="N17" s="369">
        <f>365-258</f>
        <v>107</v>
      </c>
    </row>
    <row r="18" spans="3:15" x14ac:dyDescent="0.25">
      <c r="C18" s="425">
        <v>45382</v>
      </c>
      <c r="N18" s="444">
        <f>+N17*B16*D16%/365</f>
        <v>304730.1369863014</v>
      </c>
      <c r="O18" s="424">
        <f>+N18+M16</f>
        <v>-27849</v>
      </c>
    </row>
    <row r="19" spans="3:15" x14ac:dyDescent="0.25">
      <c r="C19" s="425">
        <v>45125</v>
      </c>
    </row>
  </sheetData>
  <mergeCells count="2">
    <mergeCell ref="A1:G1"/>
    <mergeCell ref="A9:G9"/>
  </mergeCells>
  <conditionalFormatting sqref="K2:M7">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2:I16"/>
  <sheetViews>
    <sheetView zoomScale="90" zoomScaleNormal="90" workbookViewId="0">
      <selection activeCell="D16" sqref="D16"/>
    </sheetView>
  </sheetViews>
  <sheetFormatPr defaultColWidth="8.7109375" defaultRowHeight="12.75" x14ac:dyDescent="0.2"/>
  <cols>
    <col min="1" max="1" width="3.7109375" style="14" customWidth="1"/>
    <col min="2" max="3" width="13.7109375" style="14" customWidth="1"/>
    <col min="4" max="5" width="13.5703125" style="14" bestFit="1" customWidth="1"/>
    <col min="6" max="6" width="12.28515625" style="14" bestFit="1" customWidth="1"/>
    <col min="7" max="8" width="13.5703125" style="14" bestFit="1" customWidth="1"/>
    <col min="9" max="9" width="17.5703125" style="14" customWidth="1"/>
    <col min="10" max="10" width="3.7109375" style="14" customWidth="1"/>
    <col min="11" max="16384" width="8.7109375" style="14"/>
  </cols>
  <sheetData>
    <row r="2" spans="2:9" x14ac:dyDescent="0.2">
      <c r="B2" s="725" t="s">
        <v>37</v>
      </c>
      <c r="C2" s="725"/>
      <c r="D2" s="725"/>
      <c r="E2" s="725"/>
      <c r="F2" s="725"/>
      <c r="G2" s="725"/>
      <c r="H2" s="725"/>
      <c r="I2" s="725"/>
    </row>
    <row r="3" spans="2:9" x14ac:dyDescent="0.2">
      <c r="B3" s="725" t="s">
        <v>98</v>
      </c>
      <c r="C3" s="725"/>
      <c r="D3" s="725"/>
      <c r="E3" s="725"/>
      <c r="F3" s="725"/>
      <c r="G3" s="725"/>
      <c r="H3" s="725"/>
      <c r="I3" s="725"/>
    </row>
    <row r="4" spans="2:9" x14ac:dyDescent="0.2">
      <c r="B4" s="96"/>
      <c r="C4" s="96"/>
      <c r="D4" s="96"/>
      <c r="E4" s="96"/>
      <c r="F4" s="96"/>
      <c r="G4" s="96"/>
      <c r="H4" s="96"/>
      <c r="I4" s="96"/>
    </row>
    <row r="6" spans="2:9" ht="38.25" x14ac:dyDescent="0.2">
      <c r="B6" s="70" t="s">
        <v>79</v>
      </c>
      <c r="C6" s="70" t="s">
        <v>80</v>
      </c>
      <c r="D6" s="70" t="s">
        <v>45</v>
      </c>
      <c r="E6" s="70" t="s">
        <v>35</v>
      </c>
      <c r="F6" s="70" t="s">
        <v>46</v>
      </c>
      <c r="G6" s="70" t="s">
        <v>47</v>
      </c>
      <c r="H6" s="70" t="s">
        <v>48</v>
      </c>
      <c r="I6" s="70" t="s">
        <v>82</v>
      </c>
    </row>
    <row r="7" spans="2:9" x14ac:dyDescent="0.2">
      <c r="B7" s="74"/>
      <c r="C7" s="74"/>
      <c r="D7" s="74"/>
      <c r="E7" s="74"/>
      <c r="F7" s="74"/>
      <c r="G7" s="74"/>
      <c r="H7" s="74"/>
      <c r="I7" s="74"/>
    </row>
    <row r="8" spans="2:9" x14ac:dyDescent="0.2">
      <c r="B8" s="74" t="s">
        <v>34</v>
      </c>
      <c r="C8" s="74" t="s">
        <v>81</v>
      </c>
      <c r="D8" s="32">
        <v>219000</v>
      </c>
      <c r="E8" s="32">
        <v>258000</v>
      </c>
      <c r="F8" s="32">
        <v>0</v>
      </c>
      <c r="G8" s="32">
        <f>D8+E8+F8</f>
        <v>477000</v>
      </c>
      <c r="H8" s="76">
        <v>450733</v>
      </c>
      <c r="I8" s="76">
        <f>H8-G8</f>
        <v>-26267</v>
      </c>
    </row>
    <row r="9" spans="2:9" x14ac:dyDescent="0.2">
      <c r="B9" s="74"/>
      <c r="C9" s="74"/>
      <c r="D9" s="74"/>
      <c r="E9" s="74"/>
      <c r="F9" s="32"/>
      <c r="G9" s="74"/>
      <c r="H9" s="74"/>
      <c r="I9" s="74"/>
    </row>
    <row r="10" spans="2:9" x14ac:dyDescent="0.2">
      <c r="B10" s="74" t="s">
        <v>36</v>
      </c>
      <c r="C10" s="74" t="s">
        <v>96</v>
      </c>
      <c r="D10" s="32">
        <v>755000</v>
      </c>
      <c r="E10" s="32">
        <v>1020000</v>
      </c>
      <c r="F10" s="32">
        <v>0</v>
      </c>
      <c r="G10" s="32">
        <f>D10+E10+F10</f>
        <v>1775000</v>
      </c>
      <c r="H10" s="76">
        <v>1842350</v>
      </c>
      <c r="I10" s="32">
        <f>H10-G10</f>
        <v>67350</v>
      </c>
    </row>
    <row r="11" spans="2:9" x14ac:dyDescent="0.2">
      <c r="B11" s="74"/>
      <c r="C11" s="74"/>
      <c r="D11" s="32"/>
      <c r="E11" s="32"/>
      <c r="F11" s="32"/>
      <c r="G11" s="32"/>
      <c r="H11" s="32"/>
      <c r="I11" s="32"/>
    </row>
    <row r="12" spans="2:9" x14ac:dyDescent="0.2">
      <c r="B12" s="74" t="s">
        <v>49</v>
      </c>
      <c r="C12" s="74" t="s">
        <v>97</v>
      </c>
      <c r="D12" s="32">
        <v>575000</v>
      </c>
      <c r="E12" s="32">
        <v>991000</v>
      </c>
      <c r="F12" s="32">
        <v>0</v>
      </c>
      <c r="G12" s="32">
        <f>D12+E12+F12</f>
        <v>1566000</v>
      </c>
      <c r="H12" s="76">
        <v>1617430</v>
      </c>
      <c r="I12" s="32">
        <f>H12-G12</f>
        <v>51430</v>
      </c>
    </row>
    <row r="13" spans="2:9" x14ac:dyDescent="0.2">
      <c r="B13" s="74"/>
      <c r="C13" s="74"/>
      <c r="D13" s="32"/>
      <c r="E13" s="32"/>
      <c r="F13" s="32"/>
      <c r="G13" s="32"/>
      <c r="H13" s="76"/>
      <c r="I13" s="32"/>
    </row>
    <row r="14" spans="2:9" x14ac:dyDescent="0.2">
      <c r="B14" s="74" t="s">
        <v>93</v>
      </c>
      <c r="C14" s="74" t="s">
        <v>91</v>
      </c>
      <c r="D14" s="32">
        <v>0</v>
      </c>
      <c r="E14" s="32">
        <v>575433</v>
      </c>
      <c r="F14" s="32">
        <v>83220</v>
      </c>
      <c r="G14" s="32">
        <f>E14+D14</f>
        <v>575433</v>
      </c>
      <c r="H14" s="76">
        <v>570560</v>
      </c>
      <c r="I14" s="32">
        <f>H14+F14-G14</f>
        <v>78347</v>
      </c>
    </row>
    <row r="15" spans="2:9" x14ac:dyDescent="0.2">
      <c r="B15" s="74"/>
      <c r="C15" s="74"/>
      <c r="D15" s="32"/>
      <c r="E15" s="32"/>
      <c r="F15" s="32"/>
      <c r="G15" s="32"/>
      <c r="H15" s="76"/>
      <c r="I15" s="32"/>
    </row>
    <row r="16" spans="2:9" x14ac:dyDescent="0.2">
      <c r="B16" s="74" t="s">
        <v>99</v>
      </c>
      <c r="C16" s="74" t="s">
        <v>100</v>
      </c>
      <c r="D16" s="123">
        <v>410000</v>
      </c>
      <c r="E16" s="32">
        <f>672000+22764</f>
        <v>694764</v>
      </c>
      <c r="F16" s="32">
        <f>-F14</f>
        <v>-83220</v>
      </c>
      <c r="G16" s="32">
        <f>+D16+E16</f>
        <v>1104764</v>
      </c>
      <c r="H16" s="32" t="e">
        <f>+Computation!E45</f>
        <v>#REF!</v>
      </c>
      <c r="I16" s="32" t="e">
        <f>H16+F16-G16</f>
        <v>#REF!</v>
      </c>
    </row>
  </sheetData>
  <mergeCells count="2">
    <mergeCell ref="B2:I2"/>
    <mergeCell ref="B3:I3"/>
  </mergeCells>
  <pageMargins left="0.7" right="0.7" top="0.75" bottom="0.75" header="0.3" footer="0.3"/>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P46"/>
  <sheetViews>
    <sheetView topLeftCell="A3" workbookViewId="0">
      <selection activeCell="J12" sqref="J12"/>
    </sheetView>
  </sheetViews>
  <sheetFormatPr defaultColWidth="8.7109375" defaultRowHeight="12.75" x14ac:dyDescent="0.2"/>
  <cols>
    <col min="1" max="1" width="16.42578125" style="20" bestFit="1" customWidth="1"/>
    <col min="2" max="2" width="13.85546875" style="20" bestFit="1" customWidth="1"/>
    <col min="3" max="3" width="17.140625" style="20" bestFit="1" customWidth="1"/>
    <col min="4" max="4" width="13.85546875" style="20" bestFit="1" customWidth="1"/>
    <col min="5" max="5" width="8.7109375" style="20"/>
    <col min="6" max="6" width="12.42578125" style="20" bestFit="1" customWidth="1"/>
    <col min="7" max="7" width="9.85546875" style="20" bestFit="1" customWidth="1"/>
    <col min="8" max="8" width="8.7109375" style="20"/>
    <col min="9" max="9" width="9.28515625" style="20" bestFit="1" customWidth="1"/>
    <col min="10" max="16384" width="8.7109375" style="20"/>
  </cols>
  <sheetData>
    <row r="1" spans="1:16" x14ac:dyDescent="0.2">
      <c r="A1" s="722" t="s">
        <v>102</v>
      </c>
      <c r="B1" s="722"/>
      <c r="C1" s="722"/>
      <c r="D1" s="722"/>
    </row>
    <row r="3" spans="1:16" x14ac:dyDescent="0.2">
      <c r="A3" s="106" t="s">
        <v>103</v>
      </c>
      <c r="B3" s="106" t="s">
        <v>104</v>
      </c>
      <c r="C3" s="106" t="s">
        <v>103</v>
      </c>
      <c r="D3" s="107" t="s">
        <v>105</v>
      </c>
    </row>
    <row r="4" spans="1:16" x14ac:dyDescent="0.2">
      <c r="A4" s="49" t="s">
        <v>115</v>
      </c>
      <c r="B4" s="105">
        <v>2312964.27</v>
      </c>
      <c r="C4" s="49" t="s">
        <v>106</v>
      </c>
      <c r="D4" s="111">
        <v>2000000</v>
      </c>
      <c r="F4" s="48">
        <v>2326964.27</v>
      </c>
      <c r="G4" s="59">
        <f>B4-F4</f>
        <v>-14000</v>
      </c>
    </row>
    <row r="5" spans="1:16" x14ac:dyDescent="0.2">
      <c r="A5" s="49" t="s">
        <v>107</v>
      </c>
      <c r="B5" s="109">
        <v>618800</v>
      </c>
      <c r="C5" s="49" t="s">
        <v>108</v>
      </c>
      <c r="D5" s="77">
        <v>92500</v>
      </c>
      <c r="F5" s="20" t="s">
        <v>117</v>
      </c>
    </row>
    <row r="6" spans="1:16" x14ac:dyDescent="0.2">
      <c r="A6" s="49" t="s">
        <v>107</v>
      </c>
      <c r="B6" s="109">
        <v>604800</v>
      </c>
      <c r="C6" s="49" t="s">
        <v>109</v>
      </c>
      <c r="D6" s="77">
        <v>92500</v>
      </c>
      <c r="F6" s="20" t="s">
        <v>117</v>
      </c>
    </row>
    <row r="7" spans="1:16" x14ac:dyDescent="0.2">
      <c r="A7" s="49" t="s">
        <v>107</v>
      </c>
      <c r="B7" s="109">
        <v>590800</v>
      </c>
      <c r="C7" s="49" t="s">
        <v>110</v>
      </c>
      <c r="D7" s="77">
        <v>100800</v>
      </c>
    </row>
    <row r="8" spans="1:16" x14ac:dyDescent="0.2">
      <c r="A8" s="49" t="s">
        <v>107</v>
      </c>
      <c r="B8" s="109">
        <v>604800</v>
      </c>
      <c r="C8" s="49" t="s">
        <v>111</v>
      </c>
      <c r="D8" s="77">
        <v>29.5</v>
      </c>
    </row>
    <row r="9" spans="1:16" x14ac:dyDescent="0.2">
      <c r="A9" s="49" t="s">
        <v>107</v>
      </c>
      <c r="B9" s="109">
        <v>604800</v>
      </c>
      <c r="C9" s="49" t="s">
        <v>111</v>
      </c>
      <c r="D9" s="77">
        <v>29.5</v>
      </c>
    </row>
    <row r="10" spans="1:16" x14ac:dyDescent="0.2">
      <c r="A10" s="49" t="s">
        <v>107</v>
      </c>
      <c r="B10" s="109">
        <v>604800</v>
      </c>
      <c r="C10" s="49" t="s">
        <v>112</v>
      </c>
      <c r="D10" s="77">
        <v>50000</v>
      </c>
    </row>
    <row r="11" spans="1:16" x14ac:dyDescent="0.2">
      <c r="A11" s="49" t="s">
        <v>107</v>
      </c>
      <c r="B11" s="109">
        <v>604800</v>
      </c>
      <c r="C11" s="49" t="s">
        <v>112</v>
      </c>
      <c r="D11" s="77">
        <v>15910</v>
      </c>
      <c r="F11" s="20" t="s">
        <v>129</v>
      </c>
      <c r="I11" s="59">
        <f>D11+D12-1132</f>
        <v>18750</v>
      </c>
      <c r="J11" s="20" t="s">
        <v>130</v>
      </c>
    </row>
    <row r="12" spans="1:16" x14ac:dyDescent="0.2">
      <c r="A12" s="49" t="s">
        <v>107</v>
      </c>
      <c r="B12" s="109">
        <v>604800</v>
      </c>
      <c r="C12" s="49" t="s">
        <v>112</v>
      </c>
      <c r="D12" s="77">
        <v>3972</v>
      </c>
      <c r="N12" s="20">
        <f>6720000/12</f>
        <v>560000</v>
      </c>
      <c r="P12" s="20">
        <f>N12*18%</f>
        <v>100800</v>
      </c>
    </row>
    <row r="13" spans="1:16" x14ac:dyDescent="0.2">
      <c r="A13" s="49" t="s">
        <v>107</v>
      </c>
      <c r="B13" s="109">
        <v>604800</v>
      </c>
      <c r="C13" s="49" t="s">
        <v>111</v>
      </c>
      <c r="D13" s="77">
        <v>29.5</v>
      </c>
      <c r="P13" s="20">
        <f>N12*10%</f>
        <v>56000</v>
      </c>
    </row>
    <row r="14" spans="1:16" x14ac:dyDescent="0.2">
      <c r="A14" s="49" t="s">
        <v>107</v>
      </c>
      <c r="B14" s="43">
        <v>14000</v>
      </c>
      <c r="C14" s="49" t="s">
        <v>111</v>
      </c>
      <c r="D14" s="77">
        <v>29.5</v>
      </c>
      <c r="F14" s="20" t="s">
        <v>123</v>
      </c>
      <c r="N14" s="20">
        <v>7271600</v>
      </c>
      <c r="P14" s="20">
        <f>N12+P12-P13</f>
        <v>604800</v>
      </c>
    </row>
    <row r="15" spans="1:16" x14ac:dyDescent="0.2">
      <c r="A15" s="49" t="s">
        <v>107</v>
      </c>
      <c r="B15" s="109">
        <v>604800</v>
      </c>
      <c r="C15" s="49" t="s">
        <v>110</v>
      </c>
      <c r="D15" s="77">
        <v>302400</v>
      </c>
      <c r="P15" s="20">
        <f>P14*12</f>
        <v>7257600</v>
      </c>
    </row>
    <row r="16" spans="1:16" x14ac:dyDescent="0.2">
      <c r="A16" s="49" t="s">
        <v>107</v>
      </c>
      <c r="B16" s="109">
        <v>604800</v>
      </c>
      <c r="C16" s="112" t="s">
        <v>106</v>
      </c>
      <c r="D16" s="113">
        <v>100800</v>
      </c>
      <c r="E16" s="20" t="s">
        <v>122</v>
      </c>
    </row>
    <row r="17" spans="1:15" x14ac:dyDescent="0.2">
      <c r="A17" s="49" t="s">
        <v>107</v>
      </c>
      <c r="B17" s="109">
        <v>604800</v>
      </c>
      <c r="C17" s="49" t="s">
        <v>111</v>
      </c>
      <c r="D17" s="77">
        <v>29.5</v>
      </c>
    </row>
    <row r="18" spans="1:15" x14ac:dyDescent="0.2">
      <c r="A18" s="49" t="s">
        <v>107</v>
      </c>
      <c r="B18" s="110">
        <v>2000000</v>
      </c>
      <c r="C18" s="49" t="s">
        <v>112</v>
      </c>
      <c r="D18" s="77">
        <v>150000</v>
      </c>
    </row>
    <row r="19" spans="1:15" x14ac:dyDescent="0.2">
      <c r="A19" s="49" t="s">
        <v>107</v>
      </c>
      <c r="B19" s="110">
        <v>3000000</v>
      </c>
      <c r="C19" s="49" t="s">
        <v>110</v>
      </c>
      <c r="D19" s="77">
        <v>100800</v>
      </c>
    </row>
    <row r="20" spans="1:15" x14ac:dyDescent="0.2">
      <c r="A20" s="49" t="s">
        <v>107</v>
      </c>
      <c r="B20" s="43">
        <v>204879</v>
      </c>
      <c r="C20" s="49" t="s">
        <v>111</v>
      </c>
      <c r="D20" s="77">
        <v>29.5</v>
      </c>
      <c r="F20" s="20">
        <f>227643*90%</f>
        <v>204878.7</v>
      </c>
      <c r="G20" s="20" t="s">
        <v>124</v>
      </c>
      <c r="J20" s="20" t="s">
        <v>119</v>
      </c>
    </row>
    <row r="21" spans="1:15" x14ac:dyDescent="0.2">
      <c r="A21" s="49"/>
      <c r="B21" s="49"/>
      <c r="C21" s="49" t="s">
        <v>110</v>
      </c>
      <c r="D21" s="77">
        <v>100800</v>
      </c>
      <c r="J21" s="20" t="s">
        <v>120</v>
      </c>
      <c r="K21" s="20" t="s">
        <v>121</v>
      </c>
    </row>
    <row r="22" spans="1:15" x14ac:dyDescent="0.2">
      <c r="A22" s="49"/>
      <c r="B22" s="49"/>
      <c r="C22" s="49" t="s">
        <v>106</v>
      </c>
      <c r="D22" s="111">
        <v>3000000</v>
      </c>
      <c r="J22" s="20">
        <v>12476479</v>
      </c>
      <c r="K22" s="20">
        <v>5000000</v>
      </c>
      <c r="L22" s="20">
        <f>J22-K22</f>
        <v>7476479</v>
      </c>
      <c r="M22" s="20">
        <f>P15</f>
        <v>7257600</v>
      </c>
      <c r="N22" s="20">
        <v>14000</v>
      </c>
      <c r="O22" s="20">
        <f>L22-M22-N22</f>
        <v>204879</v>
      </c>
    </row>
    <row r="23" spans="1:15" x14ac:dyDescent="0.2">
      <c r="A23" s="49"/>
      <c r="B23" s="49"/>
      <c r="C23" s="49" t="s">
        <v>110</v>
      </c>
      <c r="D23" s="77">
        <v>550</v>
      </c>
      <c r="K23" s="20" t="s">
        <v>127</v>
      </c>
      <c r="M23" s="20" t="s">
        <v>126</v>
      </c>
      <c r="N23" s="20" t="s">
        <v>125</v>
      </c>
    </row>
    <row r="24" spans="1:15" x14ac:dyDescent="0.2">
      <c r="A24" s="49"/>
      <c r="B24" s="49"/>
      <c r="C24" s="49" t="s">
        <v>111</v>
      </c>
      <c r="D24" s="77">
        <v>29.5</v>
      </c>
    </row>
    <row r="25" spans="1:15" x14ac:dyDescent="0.2">
      <c r="A25" s="49"/>
      <c r="B25" s="49"/>
      <c r="C25" s="49" t="s">
        <v>110</v>
      </c>
      <c r="D25" s="77">
        <v>100800</v>
      </c>
    </row>
    <row r="26" spans="1:15" x14ac:dyDescent="0.2">
      <c r="A26" s="49"/>
      <c r="B26" s="49"/>
      <c r="C26" s="49" t="s">
        <v>112</v>
      </c>
      <c r="D26" s="77">
        <v>210000</v>
      </c>
    </row>
    <row r="27" spans="1:15" x14ac:dyDescent="0.2">
      <c r="A27" s="49"/>
      <c r="B27" s="49"/>
      <c r="C27" s="49" t="s">
        <v>110</v>
      </c>
      <c r="D27" s="77">
        <v>100800</v>
      </c>
    </row>
    <row r="28" spans="1:15" x14ac:dyDescent="0.2">
      <c r="A28" s="49"/>
      <c r="B28" s="49"/>
      <c r="C28" s="49" t="s">
        <v>111</v>
      </c>
      <c r="D28" s="77">
        <v>29.5</v>
      </c>
    </row>
    <row r="29" spans="1:15" x14ac:dyDescent="0.2">
      <c r="A29" s="49"/>
      <c r="B29" s="49"/>
      <c r="C29" s="49" t="s">
        <v>111</v>
      </c>
      <c r="D29" s="77">
        <v>236</v>
      </c>
    </row>
    <row r="30" spans="1:15" x14ac:dyDescent="0.2">
      <c r="A30" s="49"/>
      <c r="B30" s="49"/>
      <c r="C30" s="49" t="s">
        <v>111</v>
      </c>
      <c r="D30" s="77">
        <v>29.5</v>
      </c>
    </row>
    <row r="31" spans="1:15" x14ac:dyDescent="0.2">
      <c r="A31" s="49"/>
      <c r="B31" s="49"/>
      <c r="C31" s="49" t="s">
        <v>110</v>
      </c>
      <c r="D31" s="77">
        <v>100800</v>
      </c>
    </row>
    <row r="32" spans="1:15" x14ac:dyDescent="0.2">
      <c r="A32" s="49"/>
      <c r="B32" s="49"/>
      <c r="C32" s="49" t="s">
        <v>113</v>
      </c>
      <c r="D32" s="77">
        <v>55250</v>
      </c>
      <c r="F32" s="20" t="s">
        <v>118</v>
      </c>
    </row>
    <row r="33" spans="1:8" x14ac:dyDescent="0.2">
      <c r="A33" s="49"/>
      <c r="B33" s="49"/>
      <c r="C33" s="49" t="s">
        <v>114</v>
      </c>
      <c r="D33" s="77">
        <v>45000</v>
      </c>
    </row>
    <row r="34" spans="1:8" x14ac:dyDescent="0.2">
      <c r="A34" s="49"/>
      <c r="B34" s="49"/>
      <c r="C34" s="49" t="s">
        <v>109</v>
      </c>
      <c r="D34" s="77">
        <v>45000</v>
      </c>
    </row>
    <row r="35" spans="1:8" x14ac:dyDescent="0.2">
      <c r="A35" s="49"/>
      <c r="B35" s="49"/>
      <c r="C35" s="49" t="s">
        <v>109</v>
      </c>
      <c r="D35" s="77">
        <v>45000</v>
      </c>
    </row>
    <row r="36" spans="1:8" x14ac:dyDescent="0.2">
      <c r="A36" s="49"/>
      <c r="B36" s="49"/>
      <c r="C36" s="49" t="s">
        <v>114</v>
      </c>
      <c r="D36" s="77">
        <v>45000</v>
      </c>
    </row>
    <row r="37" spans="1:8" x14ac:dyDescent="0.2">
      <c r="A37" s="49"/>
      <c r="B37" s="49"/>
      <c r="C37" s="49" t="s">
        <v>110</v>
      </c>
      <c r="D37" s="77">
        <v>100800</v>
      </c>
    </row>
    <row r="38" spans="1:8" x14ac:dyDescent="0.2">
      <c r="A38" s="49"/>
      <c r="B38" s="49"/>
      <c r="C38" s="49" t="s">
        <v>111</v>
      </c>
      <c r="D38" s="77">
        <v>29.5</v>
      </c>
    </row>
    <row r="39" spans="1:8" x14ac:dyDescent="0.2">
      <c r="A39" s="49"/>
      <c r="B39" s="49"/>
      <c r="C39" s="49" t="s">
        <v>114</v>
      </c>
      <c r="D39" s="77">
        <v>45000</v>
      </c>
    </row>
    <row r="40" spans="1:8" x14ac:dyDescent="0.2">
      <c r="A40" s="49"/>
      <c r="B40" s="49"/>
      <c r="C40" s="49" t="s">
        <v>109</v>
      </c>
      <c r="D40" s="77">
        <v>45000</v>
      </c>
    </row>
    <row r="41" spans="1:8" x14ac:dyDescent="0.2">
      <c r="A41" s="49"/>
      <c r="B41" s="49"/>
      <c r="C41" s="49" t="s">
        <v>111</v>
      </c>
      <c r="D41" s="77">
        <v>5.59</v>
      </c>
    </row>
    <row r="42" spans="1:8" x14ac:dyDescent="0.2">
      <c r="A42" s="49"/>
      <c r="B42" s="49"/>
      <c r="C42" s="49" t="s">
        <v>110</v>
      </c>
      <c r="D42" s="77">
        <v>100800</v>
      </c>
    </row>
    <row r="43" spans="1:8" x14ac:dyDescent="0.2">
      <c r="A43" s="49"/>
      <c r="B43" s="49"/>
      <c r="C43" s="49" t="s">
        <v>111</v>
      </c>
      <c r="D43" s="77">
        <v>29.5</v>
      </c>
    </row>
    <row r="44" spans="1:8" x14ac:dyDescent="0.2">
      <c r="A44" s="49"/>
      <c r="B44" s="49"/>
      <c r="C44" s="49" t="s">
        <v>116</v>
      </c>
      <c r="D44" s="104">
        <f>SUM(B4:B20)-SUM(D4:D43)</f>
        <v>7638595.1799999997</v>
      </c>
      <c r="F44" s="48">
        <v>7548465.1799999997</v>
      </c>
      <c r="G44" s="59">
        <f>D44-F44</f>
        <v>90130</v>
      </c>
      <c r="H44" s="20" t="s">
        <v>128</v>
      </c>
    </row>
    <row r="45" spans="1:8" ht="13.5" thickBot="1" x14ac:dyDescent="0.25">
      <c r="A45" s="35"/>
      <c r="B45" s="108">
        <f>SUM(B4:B44)</f>
        <v>14789443.27</v>
      </c>
      <c r="C45" s="35"/>
      <c r="D45" s="108">
        <f>SUM(D4:D44)</f>
        <v>14789443.27</v>
      </c>
    </row>
    <row r="46" spans="1:8" ht="13.5" thickTop="1" x14ac:dyDescent="0.2"/>
  </sheetData>
  <autoFilter ref="A3:D45" xr:uid="{00000000-0009-0000-0000-000012000000}"/>
  <mergeCells count="1">
    <mergeCell ref="A1:D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48"/>
  <sheetViews>
    <sheetView showGridLines="0" tabSelected="1" view="pageBreakPreview" topLeftCell="A13" zoomScale="90" zoomScaleNormal="90" zoomScaleSheetLayoutView="90" workbookViewId="0">
      <selection activeCell="F32" sqref="F32"/>
    </sheetView>
  </sheetViews>
  <sheetFormatPr defaultColWidth="9.28515625" defaultRowHeight="13.15" customHeight="1" x14ac:dyDescent="0.2"/>
  <cols>
    <col min="1" max="1" width="3.7109375" style="20" customWidth="1"/>
    <col min="2" max="2" width="47.7109375" style="20" customWidth="1"/>
    <col min="3" max="3" width="7.5703125" style="21" customWidth="1"/>
    <col min="4" max="4" width="20" style="21" customWidth="1"/>
    <col min="5" max="5" width="20" style="20" customWidth="1"/>
    <col min="6" max="6" width="15.7109375" style="20" bestFit="1" customWidth="1"/>
    <col min="7" max="7" width="16.5703125" style="20" customWidth="1"/>
    <col min="8" max="8" width="14.85546875" style="20" customWidth="1"/>
    <col min="9" max="9" width="12.28515625" style="20" bestFit="1" customWidth="1"/>
    <col min="10" max="16384" width="9.28515625" style="20"/>
  </cols>
  <sheetData>
    <row r="1" spans="1:6" ht="13.15" customHeight="1" x14ac:dyDescent="0.2">
      <c r="A1" s="722" t="s">
        <v>242</v>
      </c>
      <c r="B1" s="722"/>
      <c r="C1" s="722"/>
      <c r="D1" s="722"/>
      <c r="E1" s="722"/>
    </row>
    <row r="2" spans="1:6" ht="13.15" customHeight="1" x14ac:dyDescent="0.2">
      <c r="A2" s="722" t="s">
        <v>715</v>
      </c>
      <c r="B2" s="722"/>
      <c r="C2" s="722"/>
      <c r="D2" s="722"/>
      <c r="E2" s="722"/>
    </row>
    <row r="3" spans="1:6" ht="13.15" customHeight="1" x14ac:dyDescent="0.2">
      <c r="A3" s="28"/>
      <c r="B3" s="28"/>
      <c r="C3" s="28"/>
      <c r="D3" s="28"/>
      <c r="E3" s="28"/>
    </row>
    <row r="4" spans="1:6" ht="13.15" customHeight="1" x14ac:dyDescent="0.2">
      <c r="A4" s="721" t="s">
        <v>347</v>
      </c>
      <c r="B4" s="721"/>
      <c r="C4" s="721"/>
      <c r="D4" s="721"/>
      <c r="E4" s="721"/>
    </row>
    <row r="5" spans="1:6" ht="25.5" x14ac:dyDescent="0.2">
      <c r="A5" s="723" t="s">
        <v>0</v>
      </c>
      <c r="B5" s="724"/>
      <c r="C5" s="16" t="s">
        <v>1</v>
      </c>
      <c r="D5" s="16" t="s">
        <v>395</v>
      </c>
      <c r="E5" s="16" t="s">
        <v>219</v>
      </c>
    </row>
    <row r="6" spans="1:6" ht="13.15" customHeight="1" x14ac:dyDescent="0.2">
      <c r="A6" s="79" t="s">
        <v>131</v>
      </c>
      <c r="B6" s="212" t="s">
        <v>132</v>
      </c>
      <c r="C6" s="31"/>
      <c r="D6" s="31"/>
      <c r="E6" s="54"/>
    </row>
    <row r="7" spans="1:6" ht="13.15" customHeight="1" x14ac:dyDescent="0.2">
      <c r="A7" s="79"/>
      <c r="B7" s="34"/>
      <c r="C7" s="31"/>
      <c r="D7" s="31"/>
      <c r="E7" s="54"/>
    </row>
    <row r="8" spans="1:6" ht="13.15" customHeight="1" x14ac:dyDescent="0.2">
      <c r="A8" s="79">
        <v>1</v>
      </c>
      <c r="B8" s="34" t="s">
        <v>133</v>
      </c>
      <c r="C8" s="31"/>
      <c r="D8" s="31"/>
      <c r="E8" s="54"/>
    </row>
    <row r="9" spans="1:6" ht="13.15" customHeight="1" x14ac:dyDescent="0.2">
      <c r="A9" s="79"/>
      <c r="B9" s="213" t="s">
        <v>255</v>
      </c>
      <c r="C9" s="31"/>
      <c r="D9" s="31"/>
      <c r="E9" s="56"/>
    </row>
    <row r="10" spans="1:6" ht="13.15" customHeight="1" x14ac:dyDescent="0.2">
      <c r="A10" s="79"/>
      <c r="B10" s="214" t="s">
        <v>256</v>
      </c>
      <c r="C10" s="31">
        <v>2</v>
      </c>
      <c r="D10" s="31"/>
      <c r="E10" s="56"/>
      <c r="F10" s="59"/>
    </row>
    <row r="11" spans="1:6" ht="13.15" customHeight="1" x14ac:dyDescent="0.2">
      <c r="A11" s="79"/>
      <c r="B11" s="215" t="s">
        <v>257</v>
      </c>
      <c r="C11" s="31">
        <v>2.1</v>
      </c>
      <c r="D11" s="43">
        <f>'Note 2 (for Partners capital Ac'!I12</f>
        <v>80000000</v>
      </c>
      <c r="E11" s="43">
        <f>'Note 2 (for Partners capital Ac'!I20</f>
        <v>80000000</v>
      </c>
    </row>
    <row r="12" spans="1:6" ht="13.15" customHeight="1" x14ac:dyDescent="0.2">
      <c r="A12" s="79"/>
      <c r="B12" s="215" t="s">
        <v>258</v>
      </c>
      <c r="C12" s="31">
        <v>2.2000000000000002</v>
      </c>
      <c r="D12" s="43">
        <f ca="1">'Note 2 (for Partners capital Ac'!F29</f>
        <v>-6405499.2642465755</v>
      </c>
      <c r="E12" s="43">
        <f>'Note 2 (for Partners capital Ac'!F37</f>
        <v>-1823060.83</v>
      </c>
    </row>
    <row r="13" spans="1:6" ht="13.15" customHeight="1" x14ac:dyDescent="0.2">
      <c r="A13" s="79"/>
      <c r="B13" s="214" t="s">
        <v>259</v>
      </c>
      <c r="C13" s="31"/>
      <c r="D13" s="43">
        <v>0</v>
      </c>
      <c r="E13" s="43">
        <v>0</v>
      </c>
    </row>
    <row r="14" spans="1:6" ht="13.15" customHeight="1" x14ac:dyDescent="0.2">
      <c r="A14" s="79"/>
      <c r="B14" s="34"/>
      <c r="C14" s="31"/>
      <c r="D14" s="43"/>
      <c r="E14" s="43"/>
    </row>
    <row r="15" spans="1:6" ht="13.15" customHeight="1" x14ac:dyDescent="0.2">
      <c r="A15" s="79">
        <v>3</v>
      </c>
      <c r="B15" s="34" t="s">
        <v>134</v>
      </c>
      <c r="C15" s="31"/>
      <c r="D15" s="43">
        <v>0</v>
      </c>
      <c r="E15" s="43">
        <v>0</v>
      </c>
    </row>
    <row r="16" spans="1:6" ht="13.15" customHeight="1" x14ac:dyDescent="0.2">
      <c r="A16" s="79"/>
      <c r="B16" s="49"/>
      <c r="C16" s="31"/>
      <c r="D16" s="31"/>
      <c r="E16" s="43"/>
    </row>
    <row r="17" spans="1:9" ht="13.15" customHeight="1" x14ac:dyDescent="0.2">
      <c r="A17" s="79">
        <v>4</v>
      </c>
      <c r="B17" s="34" t="s">
        <v>135</v>
      </c>
      <c r="C17" s="31"/>
      <c r="D17" s="31"/>
      <c r="E17" s="43"/>
    </row>
    <row r="18" spans="1:9" ht="13.15" customHeight="1" x14ac:dyDescent="0.2">
      <c r="A18" s="79"/>
      <c r="B18" s="55" t="s">
        <v>206</v>
      </c>
      <c r="C18" s="31">
        <v>3</v>
      </c>
      <c r="D18" s="43">
        <f>'Note 3-12'!C25</f>
        <v>420008564</v>
      </c>
      <c r="E18" s="43">
        <f>'Note 3-12'!D25</f>
        <v>250052481</v>
      </c>
    </row>
    <row r="19" spans="1:9" ht="13.15" customHeight="1" x14ac:dyDescent="0.2">
      <c r="A19" s="79"/>
      <c r="B19" s="55" t="s">
        <v>557</v>
      </c>
      <c r="C19" s="31">
        <f>+C18+1</f>
        <v>4</v>
      </c>
      <c r="D19" s="43">
        <f>'Note 3-12'!$C$31</f>
        <v>3927042</v>
      </c>
      <c r="E19" s="43">
        <v>0</v>
      </c>
    </row>
    <row r="20" spans="1:9" ht="13.15" customHeight="1" x14ac:dyDescent="0.2">
      <c r="A20" s="79"/>
      <c r="B20" s="55" t="s">
        <v>558</v>
      </c>
      <c r="C20" s="31">
        <f>+C19+1</f>
        <v>5</v>
      </c>
      <c r="D20" s="56">
        <f>+'Note 3-12'!C58</f>
        <v>454307759.80000001</v>
      </c>
      <c r="E20" s="56">
        <f>+'Note 3-12'!D58</f>
        <v>30299904</v>
      </c>
    </row>
    <row r="21" spans="1:9" ht="13.15" customHeight="1" thickBot="1" x14ac:dyDescent="0.25">
      <c r="A21" s="79"/>
      <c r="B21" s="58" t="s">
        <v>144</v>
      </c>
      <c r="C21" s="31"/>
      <c r="D21" s="128">
        <f ca="1">+SUM(D11:D20)</f>
        <v>951837866.53575349</v>
      </c>
      <c r="E21" s="128">
        <f>+SUM(E11:E20)</f>
        <v>358529324.17000002</v>
      </c>
    </row>
    <row r="22" spans="1:9" ht="13.15" customHeight="1" thickTop="1" x14ac:dyDescent="0.2">
      <c r="A22" s="79"/>
      <c r="B22" s="58"/>
      <c r="C22" s="31"/>
      <c r="D22" s="31"/>
      <c r="E22" s="43"/>
    </row>
    <row r="23" spans="1:9" ht="13.15" customHeight="1" x14ac:dyDescent="0.2">
      <c r="A23" s="79" t="s">
        <v>136</v>
      </c>
      <c r="B23" s="34" t="s">
        <v>137</v>
      </c>
      <c r="C23" s="31"/>
      <c r="D23" s="31"/>
      <c r="E23" s="43"/>
    </row>
    <row r="24" spans="1:9" ht="13.15" customHeight="1" x14ac:dyDescent="0.2">
      <c r="A24" s="79"/>
      <c r="B24" s="34"/>
      <c r="C24" s="31"/>
      <c r="D24" s="31"/>
      <c r="E24" s="43"/>
    </row>
    <row r="25" spans="1:9" ht="13.15" customHeight="1" x14ac:dyDescent="0.2">
      <c r="A25" s="79">
        <v>1</v>
      </c>
      <c r="B25" s="34" t="s">
        <v>138</v>
      </c>
      <c r="C25" s="31"/>
      <c r="D25" s="54">
        <v>0</v>
      </c>
      <c r="E25" s="54">
        <v>0</v>
      </c>
    </row>
    <row r="26" spans="1:9" ht="13.15" customHeight="1" x14ac:dyDescent="0.2">
      <c r="A26" s="79"/>
      <c r="B26" s="49"/>
      <c r="C26" s="31"/>
      <c r="D26" s="31"/>
      <c r="E26" s="49"/>
    </row>
    <row r="27" spans="1:9" ht="13.15" customHeight="1" x14ac:dyDescent="0.2">
      <c r="A27" s="79">
        <v>2</v>
      </c>
      <c r="B27" s="34" t="s">
        <v>139</v>
      </c>
      <c r="C27" s="31"/>
      <c r="D27" s="31"/>
      <c r="E27" s="49"/>
    </row>
    <row r="28" spans="1:9" ht="13.15" customHeight="1" x14ac:dyDescent="0.2">
      <c r="A28" s="79"/>
      <c r="B28" s="55" t="s">
        <v>269</v>
      </c>
      <c r="C28" s="31">
        <f>+C20+1</f>
        <v>6</v>
      </c>
      <c r="D28" s="56">
        <f ca="1">'Note 3-12'!C64</f>
        <v>761907261.3499999</v>
      </c>
      <c r="E28" s="56">
        <f>'Note 3-12'!D64</f>
        <v>99079460</v>
      </c>
    </row>
    <row r="29" spans="1:9" ht="13.15" customHeight="1" x14ac:dyDescent="0.2">
      <c r="A29" s="79"/>
      <c r="B29" s="55" t="s">
        <v>268</v>
      </c>
      <c r="C29" s="31">
        <f>+C28+1</f>
        <v>7</v>
      </c>
      <c r="D29" s="56">
        <f>+'Note 3-12'!C75</f>
        <v>152060394.40917811</v>
      </c>
      <c r="E29" s="56">
        <f>+'Note 3-12'!D75</f>
        <v>127199052.17</v>
      </c>
      <c r="G29" s="59"/>
      <c r="H29" s="132"/>
    </row>
    <row r="30" spans="1:9" ht="13.15" customHeight="1" x14ac:dyDescent="0.2">
      <c r="A30" s="79"/>
      <c r="B30" s="55" t="s">
        <v>207</v>
      </c>
      <c r="C30" s="31">
        <f>+C29+1</f>
        <v>8</v>
      </c>
      <c r="D30" s="56">
        <f>'Note 3-12'!C107</f>
        <v>37870210.776575342</v>
      </c>
      <c r="E30" s="56">
        <f>'Note 3-12'!D107</f>
        <v>132250812</v>
      </c>
      <c r="G30" s="59"/>
      <c r="I30" s="59"/>
    </row>
    <row r="31" spans="1:9" ht="13.15" customHeight="1" thickBot="1" x14ac:dyDescent="0.25">
      <c r="A31" s="79"/>
      <c r="B31" s="58" t="s">
        <v>144</v>
      </c>
      <c r="C31" s="31"/>
      <c r="D31" s="128">
        <f ca="1">+SUM(D26:D30)</f>
        <v>951837866.53575337</v>
      </c>
      <c r="E31" s="128">
        <f>+SUM(E26:E30)</f>
        <v>358529324.17000002</v>
      </c>
      <c r="F31" s="59">
        <f ca="1">D21-D31</f>
        <v>0</v>
      </c>
      <c r="G31" s="59">
        <f>E21-E31</f>
        <v>0</v>
      </c>
      <c r="H31" s="59"/>
    </row>
    <row r="32" spans="1:9" ht="13.15" customHeight="1" thickTop="1" x14ac:dyDescent="0.2">
      <c r="A32" s="79"/>
      <c r="B32" s="55"/>
      <c r="C32" s="31"/>
      <c r="D32" s="31"/>
      <c r="E32" s="49"/>
      <c r="G32" s="59"/>
    </row>
    <row r="33" spans="1:8" ht="13.15" customHeight="1" x14ac:dyDescent="0.2">
      <c r="A33" s="351"/>
      <c r="B33" s="70" t="s">
        <v>40</v>
      </c>
      <c r="C33" s="191" t="s">
        <v>340</v>
      </c>
      <c r="D33" s="191"/>
      <c r="E33" s="173"/>
    </row>
    <row r="34" spans="1:8" ht="13.15" customHeight="1" x14ac:dyDescent="0.2">
      <c r="A34" s="21"/>
      <c r="C34" s="20"/>
      <c r="D34" s="20"/>
      <c r="E34" s="59"/>
    </row>
    <row r="35" spans="1:8" ht="13.15" customHeight="1" x14ac:dyDescent="0.2">
      <c r="A35" s="24" t="s">
        <v>28</v>
      </c>
      <c r="C35" s="20"/>
      <c r="D35" s="20"/>
      <c r="F35" s="21"/>
      <c r="G35" s="21"/>
      <c r="H35" s="22"/>
    </row>
    <row r="36" spans="1:8" ht="13.15" customHeight="1" x14ac:dyDescent="0.2">
      <c r="A36" s="720" t="s">
        <v>346</v>
      </c>
      <c r="B36" s="720"/>
      <c r="C36" s="720"/>
      <c r="D36" s="720"/>
      <c r="E36" s="720"/>
      <c r="F36" s="24"/>
    </row>
    <row r="37" spans="1:8" ht="13.15" customHeight="1" x14ac:dyDescent="0.2">
      <c r="A37" s="24" t="s">
        <v>19</v>
      </c>
      <c r="C37" s="23"/>
      <c r="D37" s="23"/>
      <c r="E37" s="23"/>
      <c r="F37" s="60"/>
      <c r="H37" s="25"/>
    </row>
    <row r="38" spans="1:8" ht="13.15" customHeight="1" x14ac:dyDescent="0.2">
      <c r="A38" s="24" t="s">
        <v>20</v>
      </c>
      <c r="C38" s="23"/>
      <c r="D38" s="23"/>
      <c r="E38" s="23"/>
      <c r="F38" s="26"/>
      <c r="H38" s="25"/>
    </row>
    <row r="39" spans="1:8" ht="13.15" customHeight="1" x14ac:dyDescent="0.2">
      <c r="A39" s="24"/>
      <c r="C39" s="23"/>
      <c r="D39" s="23"/>
      <c r="E39" s="23"/>
      <c r="F39" s="26"/>
      <c r="H39" s="25"/>
    </row>
    <row r="40" spans="1:8" ht="13.15" customHeight="1" x14ac:dyDescent="0.2">
      <c r="A40" s="24"/>
      <c r="C40" s="23"/>
      <c r="D40" s="23"/>
      <c r="E40" s="26"/>
      <c r="F40" s="26"/>
      <c r="H40" s="25"/>
    </row>
    <row r="41" spans="1:8" ht="13.15" customHeight="1" x14ac:dyDescent="0.2">
      <c r="A41" s="60"/>
      <c r="C41" s="23"/>
      <c r="D41" s="23"/>
      <c r="F41" s="24"/>
    </row>
    <row r="42" spans="1:8" ht="13.15" customHeight="1" x14ac:dyDescent="0.2">
      <c r="A42" s="719" t="s">
        <v>344</v>
      </c>
      <c r="B42" s="719"/>
      <c r="C42" s="23"/>
      <c r="D42" s="23"/>
      <c r="E42" s="24" t="s">
        <v>245</v>
      </c>
    </row>
    <row r="43" spans="1:8" ht="13.15" customHeight="1" x14ac:dyDescent="0.2">
      <c r="A43" s="719" t="s">
        <v>343</v>
      </c>
      <c r="B43" s="719"/>
      <c r="C43" s="23"/>
      <c r="D43" s="23"/>
      <c r="E43" s="24" t="s">
        <v>341</v>
      </c>
      <c r="F43" s="30"/>
    </row>
    <row r="44" spans="1:8" ht="13.15" customHeight="1" x14ac:dyDescent="0.2">
      <c r="A44" s="719" t="s">
        <v>345</v>
      </c>
      <c r="B44" s="719"/>
      <c r="C44" s="23"/>
      <c r="D44" s="23"/>
      <c r="E44" s="24" t="s">
        <v>342</v>
      </c>
      <c r="F44" s="25"/>
    </row>
    <row r="45" spans="1:8" ht="13.15" customHeight="1" x14ac:dyDescent="0.2">
      <c r="A45" s="24"/>
      <c r="C45" s="20"/>
      <c r="D45" s="20"/>
      <c r="F45" s="27"/>
    </row>
    <row r="46" spans="1:8" ht="13.15" customHeight="1" x14ac:dyDescent="0.2">
      <c r="A46" s="24" t="s">
        <v>83</v>
      </c>
      <c r="C46" s="23"/>
      <c r="D46" s="23"/>
      <c r="E46" s="30"/>
    </row>
    <row r="47" spans="1:8" ht="13.15" customHeight="1" x14ac:dyDescent="0.2">
      <c r="A47" s="24" t="s">
        <v>140</v>
      </c>
      <c r="C47" s="20"/>
      <c r="D47" s="20"/>
      <c r="E47" s="30"/>
    </row>
    <row r="48" spans="1:8" ht="13.15" customHeight="1" x14ac:dyDescent="0.2">
      <c r="C48" s="20"/>
      <c r="D48" s="20"/>
    </row>
  </sheetData>
  <mergeCells count="8">
    <mergeCell ref="A44:B44"/>
    <mergeCell ref="A36:E36"/>
    <mergeCell ref="A4:E4"/>
    <mergeCell ref="A2:E2"/>
    <mergeCell ref="A1:E1"/>
    <mergeCell ref="A5:B5"/>
    <mergeCell ref="A42:B42"/>
    <mergeCell ref="A43:B43"/>
  </mergeCells>
  <phoneticPr fontId="16" type="noConversion"/>
  <printOptions horizontalCentered="1"/>
  <pageMargins left="0.7" right="0.7" top="0.75" bottom="0.75" header="0.3" footer="0.3"/>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5"/>
  <sheetViews>
    <sheetView showGridLines="0" view="pageBreakPreview" zoomScale="90" zoomScaleNormal="90" zoomScaleSheetLayoutView="90" workbookViewId="0">
      <selection activeCell="D11" sqref="D11"/>
    </sheetView>
  </sheetViews>
  <sheetFormatPr defaultColWidth="9.28515625" defaultRowHeight="13.15" customHeight="1" x14ac:dyDescent="0.2"/>
  <cols>
    <col min="1" max="1" width="5.7109375" style="51" customWidth="1"/>
    <col min="2" max="2" width="53.28515625" style="20" customWidth="1"/>
    <col min="3" max="3" width="7" style="21" bestFit="1" customWidth="1"/>
    <col min="4" max="5" width="19.28515625" style="20" customWidth="1"/>
    <col min="6" max="6" width="3.7109375" style="20" customWidth="1"/>
    <col min="7" max="7" width="13.7109375" style="20" bestFit="1" customWidth="1"/>
    <col min="8" max="8" width="12.28515625" style="20" bestFit="1" customWidth="1"/>
    <col min="9" max="16384" width="9.28515625" style="20"/>
  </cols>
  <sheetData>
    <row r="1" spans="1:5" ht="12.75" x14ac:dyDescent="0.2">
      <c r="A1" s="722" t="s">
        <v>242</v>
      </c>
      <c r="B1" s="722"/>
      <c r="C1" s="722"/>
      <c r="D1" s="722"/>
      <c r="E1" s="722"/>
    </row>
    <row r="2" spans="1:5" ht="12.75" x14ac:dyDescent="0.2">
      <c r="A2" s="725" t="s">
        <v>716</v>
      </c>
      <c r="B2" s="725"/>
      <c r="C2" s="725"/>
      <c r="D2" s="725"/>
      <c r="E2" s="725"/>
    </row>
    <row r="3" spans="1:5" ht="12.75" x14ac:dyDescent="0.2">
      <c r="A3" s="96"/>
      <c r="B3" s="96"/>
      <c r="C3" s="96"/>
      <c r="D3" s="96"/>
      <c r="E3" s="96"/>
    </row>
    <row r="4" spans="1:5" ht="13.15" customHeight="1" x14ac:dyDescent="0.2">
      <c r="A4" s="721" t="s">
        <v>347</v>
      </c>
      <c r="B4" s="721"/>
      <c r="C4" s="721"/>
      <c r="D4" s="721"/>
      <c r="E4" s="721"/>
    </row>
    <row r="5" spans="1:5" ht="25.5" x14ac:dyDescent="0.2">
      <c r="A5" s="98"/>
      <c r="B5" s="15" t="s">
        <v>0</v>
      </c>
      <c r="C5" s="16" t="s">
        <v>1</v>
      </c>
      <c r="D5" s="66" t="s">
        <v>396</v>
      </c>
      <c r="E5" s="66" t="s">
        <v>220</v>
      </c>
    </row>
    <row r="6" spans="1:5" ht="13.15" customHeight="1" x14ac:dyDescent="0.2">
      <c r="A6" s="58" t="s">
        <v>141</v>
      </c>
      <c r="B6" s="19" t="s">
        <v>142</v>
      </c>
      <c r="C6" s="39"/>
      <c r="D6" s="53"/>
      <c r="E6" s="53"/>
    </row>
    <row r="7" spans="1:5" ht="13.15" customHeight="1" x14ac:dyDescent="0.2">
      <c r="A7" s="58"/>
      <c r="B7" s="49"/>
      <c r="C7" s="31"/>
      <c r="D7" s="49"/>
      <c r="E7" s="49"/>
    </row>
    <row r="8" spans="1:5" ht="13.15" customHeight="1" x14ac:dyDescent="0.2">
      <c r="A8" s="58">
        <v>1</v>
      </c>
      <c r="B8" s="49" t="s">
        <v>33</v>
      </c>
      <c r="C8" s="31"/>
      <c r="D8" s="43">
        <f>+'Trial Balance_16.04'!B178</f>
        <v>0</v>
      </c>
      <c r="E8" s="43">
        <v>0</v>
      </c>
    </row>
    <row r="9" spans="1:5" ht="13.15" customHeight="1" x14ac:dyDescent="0.2">
      <c r="A9" s="58">
        <v>2</v>
      </c>
      <c r="B9" s="49" t="s">
        <v>5</v>
      </c>
      <c r="C9" s="31">
        <f>+BS!C30+1</f>
        <v>9</v>
      </c>
      <c r="D9" s="43">
        <f>+'Note 3-12'!C115</f>
        <v>9158681.6657534242</v>
      </c>
      <c r="E9" s="43">
        <f>+'Note 3-12'!D115</f>
        <v>826744</v>
      </c>
    </row>
    <row r="10" spans="1:5" ht="13.15" customHeight="1" x14ac:dyDescent="0.2">
      <c r="A10" s="58">
        <v>3</v>
      </c>
      <c r="B10" s="58" t="s">
        <v>143</v>
      </c>
      <c r="C10" s="31"/>
      <c r="D10" s="125">
        <f>D8+D9</f>
        <v>9158681.6657534242</v>
      </c>
      <c r="E10" s="125">
        <f>E8+E9</f>
        <v>826744</v>
      </c>
    </row>
    <row r="11" spans="1:5" ht="13.15" customHeight="1" x14ac:dyDescent="0.2">
      <c r="A11" s="58"/>
      <c r="B11" s="58"/>
      <c r="C11" s="31"/>
      <c r="D11" s="43"/>
      <c r="E11" s="43"/>
    </row>
    <row r="12" spans="1:5" ht="13.15" customHeight="1" x14ac:dyDescent="0.2">
      <c r="A12" s="58">
        <v>4</v>
      </c>
      <c r="B12" s="34" t="s">
        <v>145</v>
      </c>
      <c r="C12" s="31"/>
      <c r="D12" s="43"/>
      <c r="E12" s="43"/>
    </row>
    <row r="13" spans="1:5" ht="13.15" customHeight="1" x14ac:dyDescent="0.2">
      <c r="A13" s="58"/>
      <c r="B13" s="49" t="s">
        <v>278</v>
      </c>
      <c r="C13" s="20"/>
      <c r="D13" s="56">
        <f ca="1">-D14</f>
        <v>661868601.3499999</v>
      </c>
      <c r="E13" s="56">
        <f>-E14</f>
        <v>99079460</v>
      </c>
    </row>
    <row r="14" spans="1:5" ht="13.15" customHeight="1" x14ac:dyDescent="0.2">
      <c r="A14" s="58"/>
      <c r="B14" s="726" t="s">
        <v>279</v>
      </c>
      <c r="C14" s="727">
        <f>+C9+1</f>
        <v>10</v>
      </c>
      <c r="D14" s="43">
        <f ca="1">'Note 3-12'!C126</f>
        <v>-661868601.3499999</v>
      </c>
      <c r="E14" s="43">
        <f>'Note 3-12'!D126</f>
        <v>-99079460</v>
      </c>
    </row>
    <row r="15" spans="1:5" ht="13.15" customHeight="1" x14ac:dyDescent="0.2">
      <c r="A15" s="58"/>
      <c r="B15" s="726"/>
      <c r="C15" s="727"/>
      <c r="D15" s="43"/>
      <c r="E15" s="43"/>
    </row>
    <row r="16" spans="1:5" ht="13.15" customHeight="1" x14ac:dyDescent="0.2">
      <c r="A16" s="58"/>
      <c r="B16" s="49" t="s">
        <v>527</v>
      </c>
      <c r="C16" s="31">
        <f>+C14+1</f>
        <v>11</v>
      </c>
      <c r="D16" s="56">
        <f>+'Note 3-12'!C134</f>
        <v>8000609</v>
      </c>
      <c r="E16" s="56">
        <f>+'Note 3-12'!D134</f>
        <v>0</v>
      </c>
    </row>
    <row r="17" spans="1:8" ht="13.15" customHeight="1" x14ac:dyDescent="0.2">
      <c r="A17" s="58"/>
      <c r="B17" s="49" t="s">
        <v>8</v>
      </c>
      <c r="C17" s="31">
        <f>+C16+1</f>
        <v>12</v>
      </c>
      <c r="D17" s="56">
        <f>+'Note 3-12'!C151</f>
        <v>5740511.0999999996</v>
      </c>
      <c r="E17" s="56">
        <f>+'Note 3-12'!D151</f>
        <v>2649804.83</v>
      </c>
    </row>
    <row r="18" spans="1:8" ht="13.15" customHeight="1" x14ac:dyDescent="0.2">
      <c r="A18" s="58"/>
      <c r="B18" s="58" t="s">
        <v>146</v>
      </c>
      <c r="C18" s="31"/>
      <c r="D18" s="125">
        <f ca="1">SUM(D13:D17)</f>
        <v>13741120.1</v>
      </c>
      <c r="E18" s="125">
        <f>SUM(E13:E17)</f>
        <v>2649804.83</v>
      </c>
    </row>
    <row r="19" spans="1:8" ht="13.15" customHeight="1" x14ac:dyDescent="0.2">
      <c r="A19" s="58"/>
      <c r="B19" s="49"/>
      <c r="C19" s="31"/>
      <c r="D19" s="43"/>
      <c r="E19" s="43"/>
    </row>
    <row r="20" spans="1:8" ht="29.45" customHeight="1" x14ac:dyDescent="0.2">
      <c r="A20" s="58">
        <v>5</v>
      </c>
      <c r="B20" s="67" t="s">
        <v>147</v>
      </c>
      <c r="C20" s="31"/>
      <c r="D20" s="126">
        <f ca="1">+D10-D18</f>
        <v>-4582438.4342465755</v>
      </c>
      <c r="E20" s="126">
        <f>+E10-E18</f>
        <v>-1823060.83</v>
      </c>
      <c r="F20" s="44"/>
    </row>
    <row r="21" spans="1:8" ht="13.15" customHeight="1" x14ac:dyDescent="0.2">
      <c r="A21" s="58"/>
      <c r="B21" s="49"/>
      <c r="C21" s="31"/>
      <c r="D21" s="43"/>
      <c r="E21" s="43"/>
    </row>
    <row r="22" spans="1:8" ht="13.15" customHeight="1" x14ac:dyDescent="0.2">
      <c r="A22" s="58">
        <v>6</v>
      </c>
      <c r="B22" s="49" t="s">
        <v>4</v>
      </c>
      <c r="C22" s="31"/>
      <c r="D22" s="43">
        <v>0</v>
      </c>
      <c r="E22" s="43">
        <v>0</v>
      </c>
    </row>
    <row r="23" spans="1:8" ht="13.15" customHeight="1" x14ac:dyDescent="0.2">
      <c r="A23" s="58"/>
      <c r="B23" s="49"/>
      <c r="C23" s="31"/>
      <c r="D23" s="43"/>
      <c r="E23" s="43"/>
    </row>
    <row r="24" spans="1:8" ht="13.15" customHeight="1" x14ac:dyDescent="0.2">
      <c r="A24" s="58">
        <v>7</v>
      </c>
      <c r="B24" s="17" t="s">
        <v>148</v>
      </c>
      <c r="C24" s="31"/>
      <c r="D24" s="127">
        <f ca="1">+D20-D22</f>
        <v>-4582438.4342465755</v>
      </c>
      <c r="E24" s="127">
        <f>+E20-E22</f>
        <v>-1823060.83</v>
      </c>
      <c r="G24" s="62"/>
      <c r="H24" s="62"/>
    </row>
    <row r="25" spans="1:8" ht="13.15" customHeight="1" x14ac:dyDescent="0.2">
      <c r="A25" s="58"/>
      <c r="B25" s="49"/>
      <c r="C25" s="31"/>
      <c r="D25" s="43"/>
      <c r="E25" s="43"/>
    </row>
    <row r="26" spans="1:8" ht="13.15" customHeight="1" x14ac:dyDescent="0.2">
      <c r="A26" s="58">
        <v>8</v>
      </c>
      <c r="B26" s="49" t="s">
        <v>3</v>
      </c>
      <c r="C26" s="31"/>
      <c r="D26" s="43">
        <v>0</v>
      </c>
      <c r="E26" s="43">
        <v>0</v>
      </c>
    </row>
    <row r="27" spans="1:8" ht="13.15" customHeight="1" x14ac:dyDescent="0.2">
      <c r="A27" s="58"/>
      <c r="B27" s="49"/>
      <c r="C27" s="31"/>
      <c r="D27" s="43"/>
      <c r="E27" s="43"/>
    </row>
    <row r="28" spans="1:8" ht="13.15" customHeight="1" x14ac:dyDescent="0.2">
      <c r="A28" s="58">
        <v>9</v>
      </c>
      <c r="B28" s="19" t="s">
        <v>149</v>
      </c>
      <c r="C28" s="31"/>
      <c r="D28" s="125">
        <f ca="1">+D24-D26</f>
        <v>-4582438.4342465755</v>
      </c>
      <c r="E28" s="125">
        <f>+E24-E26</f>
        <v>-1823060.83</v>
      </c>
    </row>
    <row r="29" spans="1:8" ht="13.15" customHeight="1" x14ac:dyDescent="0.2">
      <c r="A29" s="58"/>
      <c r="B29" s="49"/>
      <c r="C29" s="31"/>
      <c r="D29" s="43"/>
      <c r="E29" s="43"/>
    </row>
    <row r="30" spans="1:8" ht="13.15" customHeight="1" x14ac:dyDescent="0.2">
      <c r="A30" s="58">
        <v>10</v>
      </c>
      <c r="B30" s="34" t="s">
        <v>38</v>
      </c>
      <c r="C30" s="31"/>
      <c r="D30" s="43"/>
      <c r="E30" s="43"/>
    </row>
    <row r="31" spans="1:8" ht="13.15" customHeight="1" x14ac:dyDescent="0.2">
      <c r="A31" s="58"/>
      <c r="B31" s="88" t="s">
        <v>151</v>
      </c>
      <c r="C31" s="31"/>
      <c r="D31" s="43">
        <v>0</v>
      </c>
      <c r="E31" s="43">
        <v>0</v>
      </c>
    </row>
    <row r="32" spans="1:8" ht="13.15" customHeight="1" x14ac:dyDescent="0.2">
      <c r="A32" s="58"/>
      <c r="B32" s="55" t="s">
        <v>150</v>
      </c>
      <c r="C32" s="31"/>
      <c r="D32" s="43">
        <v>0</v>
      </c>
      <c r="E32" s="43">
        <v>0</v>
      </c>
    </row>
    <row r="33" spans="1:5" ht="13.15" customHeight="1" x14ac:dyDescent="0.2">
      <c r="A33" s="58"/>
      <c r="B33" s="49"/>
      <c r="C33" s="31"/>
      <c r="D33" s="43"/>
      <c r="E33" s="43"/>
    </row>
    <row r="34" spans="1:5" ht="13.15" customHeight="1" thickBot="1" x14ac:dyDescent="0.25">
      <c r="A34" s="58">
        <v>11</v>
      </c>
      <c r="B34" s="17" t="s">
        <v>152</v>
      </c>
      <c r="C34" s="31"/>
      <c r="D34" s="128">
        <f ca="1">D28-D31-D32</f>
        <v>-4582438.4342465755</v>
      </c>
      <c r="E34" s="128">
        <f>E28-E31-E32</f>
        <v>-1823060.83</v>
      </c>
    </row>
    <row r="35" spans="1:5" ht="13.15" customHeight="1" thickTop="1" x14ac:dyDescent="0.2">
      <c r="A35" s="58"/>
      <c r="B35" s="49"/>
      <c r="C35" s="31"/>
      <c r="D35" s="54"/>
      <c r="E35" s="54"/>
    </row>
    <row r="36" spans="1:5" ht="13.15" customHeight="1" x14ac:dyDescent="0.2">
      <c r="A36" s="58">
        <v>12</v>
      </c>
      <c r="B36" s="34" t="s">
        <v>39</v>
      </c>
      <c r="C36" s="31"/>
      <c r="D36" s="54"/>
      <c r="E36" s="54"/>
    </row>
    <row r="37" spans="1:5" ht="13.15" customHeight="1" x14ac:dyDescent="0.2">
      <c r="A37" s="75"/>
      <c r="B37" s="55" t="s">
        <v>6</v>
      </c>
      <c r="C37" s="31"/>
      <c r="D37" s="64"/>
      <c r="E37" s="64"/>
    </row>
    <row r="38" spans="1:5" ht="13.15" customHeight="1" x14ac:dyDescent="0.2">
      <c r="A38" s="75"/>
      <c r="B38" s="55" t="s">
        <v>7</v>
      </c>
      <c r="C38" s="31"/>
      <c r="D38" s="43"/>
      <c r="E38" s="43"/>
    </row>
    <row r="39" spans="1:5" ht="13.15" customHeight="1" x14ac:dyDescent="0.2">
      <c r="A39" s="75"/>
      <c r="B39" s="63"/>
      <c r="C39" s="31"/>
      <c r="D39" s="43"/>
      <c r="E39" s="43"/>
    </row>
    <row r="40" spans="1:5" ht="13.15" customHeight="1" x14ac:dyDescent="0.2">
      <c r="A40" s="353"/>
      <c r="B40" s="70" t="s">
        <v>40</v>
      </c>
      <c r="C40" s="191" t="s">
        <v>340</v>
      </c>
      <c r="D40" s="354"/>
      <c r="E40" s="354"/>
    </row>
    <row r="42" spans="1:5" ht="13.15" customHeight="1" x14ac:dyDescent="0.2">
      <c r="A42" s="720" t="s">
        <v>28</v>
      </c>
      <c r="B42" s="720"/>
      <c r="C42" s="20"/>
    </row>
    <row r="43" spans="1:5" ht="13.15" customHeight="1" x14ac:dyDescent="0.2">
      <c r="A43" s="720" t="s">
        <v>346</v>
      </c>
      <c r="B43" s="720"/>
      <c r="C43" s="720"/>
      <c r="D43" s="720"/>
      <c r="E43" s="720"/>
    </row>
    <row r="44" spans="1:5" ht="13.15" customHeight="1" x14ac:dyDescent="0.2">
      <c r="A44" s="720" t="s">
        <v>19</v>
      </c>
      <c r="B44" s="720"/>
      <c r="C44" s="23"/>
      <c r="D44" s="23"/>
      <c r="E44" s="23"/>
    </row>
    <row r="45" spans="1:5" ht="13.15" customHeight="1" x14ac:dyDescent="0.2">
      <c r="A45" s="720" t="s">
        <v>20</v>
      </c>
      <c r="B45" s="720"/>
      <c r="C45" s="23"/>
      <c r="D45" s="23"/>
      <c r="E45" s="23"/>
    </row>
    <row r="46" spans="1:5" ht="13.15" customHeight="1" x14ac:dyDescent="0.2">
      <c r="A46" s="50"/>
      <c r="B46" s="23"/>
      <c r="D46" s="26"/>
      <c r="E46" s="26"/>
    </row>
    <row r="47" spans="1:5" ht="13.15" customHeight="1" x14ac:dyDescent="0.2">
      <c r="A47" s="50"/>
      <c r="B47" s="23"/>
      <c r="D47" s="26"/>
      <c r="E47" s="26"/>
    </row>
    <row r="48" spans="1:5" ht="13.15" customHeight="1" x14ac:dyDescent="0.2">
      <c r="A48" s="355"/>
      <c r="B48" s="23"/>
    </row>
    <row r="49" spans="1:5" ht="13.15" customHeight="1" x14ac:dyDescent="0.2">
      <c r="A49" s="356"/>
      <c r="B49" s="29"/>
    </row>
    <row r="50" spans="1:5" ht="13.15" customHeight="1" x14ac:dyDescent="0.2">
      <c r="A50" s="719" t="s">
        <v>674</v>
      </c>
      <c r="B50" s="719"/>
      <c r="C50" s="23"/>
      <c r="D50" s="24" t="s">
        <v>245</v>
      </c>
      <c r="E50" s="24" t="s">
        <v>245</v>
      </c>
    </row>
    <row r="51" spans="1:5" ht="13.15" customHeight="1" x14ac:dyDescent="0.2">
      <c r="A51" s="719" t="s">
        <v>673</v>
      </c>
      <c r="B51" s="719"/>
      <c r="C51" s="23"/>
      <c r="D51" s="24" t="s">
        <v>341</v>
      </c>
      <c r="E51" s="24" t="s">
        <v>341</v>
      </c>
    </row>
    <row r="52" spans="1:5" ht="13.15" customHeight="1" x14ac:dyDescent="0.2">
      <c r="A52" s="719" t="s">
        <v>345</v>
      </c>
      <c r="B52" s="719"/>
      <c r="C52" s="23"/>
      <c r="D52" s="24" t="s">
        <v>342</v>
      </c>
      <c r="E52" s="24" t="s">
        <v>342</v>
      </c>
    </row>
    <row r="53" spans="1:5" ht="13.15" customHeight="1" x14ac:dyDescent="0.2">
      <c r="A53" s="24"/>
      <c r="C53" s="20"/>
    </row>
    <row r="54" spans="1:5" ht="13.15" customHeight="1" x14ac:dyDescent="0.2">
      <c r="A54" s="24" t="s">
        <v>83</v>
      </c>
      <c r="C54" s="23"/>
      <c r="D54" s="30"/>
      <c r="E54" s="30"/>
    </row>
    <row r="55" spans="1:5" ht="13.15" customHeight="1" x14ac:dyDescent="0.2">
      <c r="A55" s="24" t="s">
        <v>140</v>
      </c>
      <c r="C55" s="20"/>
      <c r="D55" s="30"/>
      <c r="E55" s="30"/>
    </row>
  </sheetData>
  <mergeCells count="12">
    <mergeCell ref="A1:E1"/>
    <mergeCell ref="A51:B51"/>
    <mergeCell ref="A52:B52"/>
    <mergeCell ref="A2:E2"/>
    <mergeCell ref="B14:B15"/>
    <mergeCell ref="A4:E4"/>
    <mergeCell ref="A42:B42"/>
    <mergeCell ref="A44:B44"/>
    <mergeCell ref="A45:B45"/>
    <mergeCell ref="A50:B50"/>
    <mergeCell ref="A43:E43"/>
    <mergeCell ref="C14:C15"/>
  </mergeCells>
  <phoneticPr fontId="16" type="noConversion"/>
  <printOptions horizontalCentered="1"/>
  <pageMargins left="0.7" right="0.7" top="0.75" bottom="0.75" header="0.3" footer="0.3"/>
  <pageSetup paperSize="9" scale="8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8"/>
  <sheetViews>
    <sheetView workbookViewId="0">
      <selection activeCell="B8" sqref="B8:D16"/>
    </sheetView>
  </sheetViews>
  <sheetFormatPr defaultRowHeight="12.75" x14ac:dyDescent="0.2"/>
  <cols>
    <col min="1" max="1" width="7.28515625" customWidth="1"/>
    <col min="2" max="2" width="39.28515625" customWidth="1"/>
    <col min="3" max="3" width="11.5703125" customWidth="1"/>
    <col min="4" max="4" width="12.42578125" customWidth="1"/>
  </cols>
  <sheetData>
    <row r="1" spans="1:6" x14ac:dyDescent="0.2">
      <c r="A1" s="728" t="s">
        <v>26</v>
      </c>
      <c r="B1" s="728"/>
      <c r="C1" s="728"/>
      <c r="D1" s="728"/>
      <c r="E1" s="9"/>
      <c r="F1" s="9"/>
    </row>
    <row r="2" spans="1:6" x14ac:dyDescent="0.2">
      <c r="A2" s="728" t="s">
        <v>16</v>
      </c>
      <c r="B2" s="728"/>
      <c r="C2" s="728"/>
      <c r="D2" s="728"/>
      <c r="E2" s="9"/>
      <c r="F2" s="9"/>
    </row>
    <row r="3" spans="1:6" x14ac:dyDescent="0.2">
      <c r="A3" s="10"/>
      <c r="B3" s="10"/>
      <c r="C3" s="10"/>
      <c r="D3" s="10"/>
      <c r="E3" s="10"/>
      <c r="F3" s="10"/>
    </row>
    <row r="4" spans="1:6" x14ac:dyDescent="0.2">
      <c r="A4" s="10" t="s">
        <v>15</v>
      </c>
      <c r="B4" s="10"/>
      <c r="C4" s="10"/>
      <c r="D4" s="10"/>
      <c r="E4" s="10"/>
      <c r="F4" s="10"/>
    </row>
    <row r="6" spans="1:6" ht="15" x14ac:dyDescent="0.25">
      <c r="A6" s="11" t="s">
        <v>10</v>
      </c>
      <c r="B6" s="12" t="s">
        <v>11</v>
      </c>
      <c r="C6" s="13" t="s">
        <v>17</v>
      </c>
      <c r="D6" s="13" t="s">
        <v>18</v>
      </c>
    </row>
    <row r="7" spans="1:6" x14ac:dyDescent="0.2">
      <c r="B7" s="6"/>
      <c r="C7" s="3"/>
      <c r="D7" s="3"/>
    </row>
    <row r="8" spans="1:6" x14ac:dyDescent="0.2">
      <c r="A8" s="2">
        <v>1</v>
      </c>
      <c r="B8" s="7" t="s">
        <v>12</v>
      </c>
      <c r="C8" s="4">
        <v>11236</v>
      </c>
      <c r="D8" s="4">
        <v>11030</v>
      </c>
    </row>
    <row r="9" spans="1:6" x14ac:dyDescent="0.2">
      <c r="A9" s="2">
        <v>2</v>
      </c>
      <c r="B9" s="7" t="s">
        <v>21</v>
      </c>
      <c r="C9" s="4">
        <v>6258.92</v>
      </c>
      <c r="D9" s="4">
        <v>2405.5700000000002</v>
      </c>
    </row>
    <row r="10" spans="1:6" x14ac:dyDescent="0.2">
      <c r="A10" s="2">
        <v>3</v>
      </c>
      <c r="B10" s="7" t="s">
        <v>27</v>
      </c>
      <c r="C10" s="4">
        <v>1917</v>
      </c>
      <c r="D10" s="4">
        <v>428</v>
      </c>
    </row>
    <row r="11" spans="1:6" x14ac:dyDescent="0.2">
      <c r="A11" s="2">
        <v>4</v>
      </c>
      <c r="B11" s="7" t="s">
        <v>14</v>
      </c>
      <c r="C11" s="4">
        <v>13000</v>
      </c>
      <c r="D11" s="4">
        <v>77900</v>
      </c>
    </row>
    <row r="12" spans="1:6" x14ac:dyDescent="0.2">
      <c r="A12" s="2">
        <v>5</v>
      </c>
      <c r="B12" s="7" t="s">
        <v>9</v>
      </c>
      <c r="C12" s="4">
        <v>23700</v>
      </c>
      <c r="D12" s="4">
        <v>1800</v>
      </c>
    </row>
    <row r="13" spans="1:6" x14ac:dyDescent="0.2">
      <c r="A13" s="2">
        <v>6</v>
      </c>
      <c r="B13" s="7" t="s">
        <v>23</v>
      </c>
      <c r="C13" s="4">
        <v>1862</v>
      </c>
      <c r="D13" s="4">
        <v>0</v>
      </c>
    </row>
    <row r="14" spans="1:6" x14ac:dyDescent="0.2">
      <c r="A14" s="2">
        <v>7</v>
      </c>
      <c r="B14" s="7" t="s">
        <v>24</v>
      </c>
      <c r="C14" s="4">
        <v>30</v>
      </c>
      <c r="D14" s="4">
        <v>0</v>
      </c>
    </row>
    <row r="15" spans="1:6" x14ac:dyDescent="0.2">
      <c r="A15" s="2">
        <v>8</v>
      </c>
      <c r="B15" s="7" t="s">
        <v>25</v>
      </c>
      <c r="C15" s="4">
        <v>120</v>
      </c>
      <c r="D15" s="4">
        <v>0</v>
      </c>
    </row>
    <row r="16" spans="1:6" x14ac:dyDescent="0.2">
      <c r="A16" s="2">
        <v>9</v>
      </c>
      <c r="B16" s="7" t="s">
        <v>13</v>
      </c>
      <c r="C16" s="4">
        <v>1275</v>
      </c>
      <c r="D16" s="4"/>
    </row>
    <row r="17" spans="1:4" x14ac:dyDescent="0.2">
      <c r="B17" s="6"/>
      <c r="C17" s="3"/>
      <c r="D17" s="4"/>
    </row>
    <row r="18" spans="1:4" x14ac:dyDescent="0.2">
      <c r="A18" s="1"/>
      <c r="B18" s="8" t="s">
        <v>2</v>
      </c>
      <c r="C18" s="5">
        <f>SUM(C8:C17)</f>
        <v>59398.92</v>
      </c>
      <c r="D18" s="5">
        <f>SUM(D8:D17)</f>
        <v>93563.57</v>
      </c>
    </row>
  </sheetData>
  <mergeCells count="2">
    <mergeCell ref="A1:D1"/>
    <mergeCell ref="A2:D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42"/>
  <sheetViews>
    <sheetView showGridLines="0" view="pageBreakPreview" topLeftCell="B1" zoomScaleSheetLayoutView="100" workbookViewId="0">
      <selection activeCell="B1" sqref="B1:C1"/>
    </sheetView>
  </sheetViews>
  <sheetFormatPr defaultColWidth="8.7109375" defaultRowHeight="12.75" x14ac:dyDescent="0.2"/>
  <cols>
    <col min="1" max="1" width="0.28515625" style="336" hidden="1" customWidth="1"/>
    <col min="2" max="2" width="6" style="339" customWidth="1"/>
    <col min="3" max="3" width="92.28515625" style="347" customWidth="1"/>
    <col min="4" max="256" width="8.7109375" style="338"/>
    <col min="257" max="257" width="0" style="338" hidden="1" customWidth="1"/>
    <col min="258" max="258" width="6" style="338" customWidth="1"/>
    <col min="259" max="259" width="92.28515625" style="338" customWidth="1"/>
    <col min="260" max="512" width="8.7109375" style="338"/>
    <col min="513" max="513" width="0" style="338" hidden="1" customWidth="1"/>
    <col min="514" max="514" width="6" style="338" customWidth="1"/>
    <col min="515" max="515" width="92.28515625" style="338" customWidth="1"/>
    <col min="516" max="768" width="8.7109375" style="338"/>
    <col min="769" max="769" width="0" style="338" hidden="1" customWidth="1"/>
    <col min="770" max="770" width="6" style="338" customWidth="1"/>
    <col min="771" max="771" width="92.28515625" style="338" customWidth="1"/>
    <col min="772" max="1024" width="8.7109375" style="338"/>
    <col min="1025" max="1025" width="0" style="338" hidden="1" customWidth="1"/>
    <col min="1026" max="1026" width="6" style="338" customWidth="1"/>
    <col min="1027" max="1027" width="92.28515625" style="338" customWidth="1"/>
    <col min="1028" max="1280" width="8.7109375" style="338"/>
    <col min="1281" max="1281" width="0" style="338" hidden="1" customWidth="1"/>
    <col min="1282" max="1282" width="6" style="338" customWidth="1"/>
    <col min="1283" max="1283" width="92.28515625" style="338" customWidth="1"/>
    <col min="1284" max="1536" width="8.7109375" style="338"/>
    <col min="1537" max="1537" width="0" style="338" hidden="1" customWidth="1"/>
    <col min="1538" max="1538" width="6" style="338" customWidth="1"/>
    <col min="1539" max="1539" width="92.28515625" style="338" customWidth="1"/>
    <col min="1540" max="1792" width="8.7109375" style="338"/>
    <col min="1793" max="1793" width="0" style="338" hidden="1" customWidth="1"/>
    <col min="1794" max="1794" width="6" style="338" customWidth="1"/>
    <col min="1795" max="1795" width="92.28515625" style="338" customWidth="1"/>
    <col min="1796" max="2048" width="8.7109375" style="338"/>
    <col min="2049" max="2049" width="0" style="338" hidden="1" customWidth="1"/>
    <col min="2050" max="2050" width="6" style="338" customWidth="1"/>
    <col min="2051" max="2051" width="92.28515625" style="338" customWidth="1"/>
    <col min="2052" max="2304" width="8.7109375" style="338"/>
    <col min="2305" max="2305" width="0" style="338" hidden="1" customWidth="1"/>
    <col min="2306" max="2306" width="6" style="338" customWidth="1"/>
    <col min="2307" max="2307" width="92.28515625" style="338" customWidth="1"/>
    <col min="2308" max="2560" width="8.7109375" style="338"/>
    <col min="2561" max="2561" width="0" style="338" hidden="1" customWidth="1"/>
    <col min="2562" max="2562" width="6" style="338" customWidth="1"/>
    <col min="2563" max="2563" width="92.28515625" style="338" customWidth="1"/>
    <col min="2564" max="2816" width="8.7109375" style="338"/>
    <col min="2817" max="2817" width="0" style="338" hidden="1" customWidth="1"/>
    <col min="2818" max="2818" width="6" style="338" customWidth="1"/>
    <col min="2819" max="2819" width="92.28515625" style="338" customWidth="1"/>
    <col min="2820" max="3072" width="8.7109375" style="338"/>
    <col min="3073" max="3073" width="0" style="338" hidden="1" customWidth="1"/>
    <col min="3074" max="3074" width="6" style="338" customWidth="1"/>
    <col min="3075" max="3075" width="92.28515625" style="338" customWidth="1"/>
    <col min="3076" max="3328" width="8.7109375" style="338"/>
    <col min="3329" max="3329" width="0" style="338" hidden="1" customWidth="1"/>
    <col min="3330" max="3330" width="6" style="338" customWidth="1"/>
    <col min="3331" max="3331" width="92.28515625" style="338" customWidth="1"/>
    <col min="3332" max="3584" width="8.7109375" style="338"/>
    <col min="3585" max="3585" width="0" style="338" hidden="1" customWidth="1"/>
    <col min="3586" max="3586" width="6" style="338" customWidth="1"/>
    <col min="3587" max="3587" width="92.28515625" style="338" customWidth="1"/>
    <col min="3588" max="3840" width="8.7109375" style="338"/>
    <col min="3841" max="3841" width="0" style="338" hidden="1" customWidth="1"/>
    <col min="3842" max="3842" width="6" style="338" customWidth="1"/>
    <col min="3843" max="3843" width="92.28515625" style="338" customWidth="1"/>
    <col min="3844" max="4096" width="8.7109375" style="338"/>
    <col min="4097" max="4097" width="0" style="338" hidden="1" customWidth="1"/>
    <col min="4098" max="4098" width="6" style="338" customWidth="1"/>
    <col min="4099" max="4099" width="92.28515625" style="338" customWidth="1"/>
    <col min="4100" max="4352" width="8.7109375" style="338"/>
    <col min="4353" max="4353" width="0" style="338" hidden="1" customWidth="1"/>
    <col min="4354" max="4354" width="6" style="338" customWidth="1"/>
    <col min="4355" max="4355" width="92.28515625" style="338" customWidth="1"/>
    <col min="4356" max="4608" width="8.7109375" style="338"/>
    <col min="4609" max="4609" width="0" style="338" hidden="1" customWidth="1"/>
    <col min="4610" max="4610" width="6" style="338" customWidth="1"/>
    <col min="4611" max="4611" width="92.28515625" style="338" customWidth="1"/>
    <col min="4612" max="4864" width="8.7109375" style="338"/>
    <col min="4865" max="4865" width="0" style="338" hidden="1" customWidth="1"/>
    <col min="4866" max="4866" width="6" style="338" customWidth="1"/>
    <col min="4867" max="4867" width="92.28515625" style="338" customWidth="1"/>
    <col min="4868" max="5120" width="8.7109375" style="338"/>
    <col min="5121" max="5121" width="0" style="338" hidden="1" customWidth="1"/>
    <col min="5122" max="5122" width="6" style="338" customWidth="1"/>
    <col min="5123" max="5123" width="92.28515625" style="338" customWidth="1"/>
    <col min="5124" max="5376" width="8.7109375" style="338"/>
    <col min="5377" max="5377" width="0" style="338" hidden="1" customWidth="1"/>
    <col min="5378" max="5378" width="6" style="338" customWidth="1"/>
    <col min="5379" max="5379" width="92.28515625" style="338" customWidth="1"/>
    <col min="5380" max="5632" width="8.7109375" style="338"/>
    <col min="5633" max="5633" width="0" style="338" hidden="1" customWidth="1"/>
    <col min="5634" max="5634" width="6" style="338" customWidth="1"/>
    <col min="5635" max="5635" width="92.28515625" style="338" customWidth="1"/>
    <col min="5636" max="5888" width="8.7109375" style="338"/>
    <col min="5889" max="5889" width="0" style="338" hidden="1" customWidth="1"/>
    <col min="5890" max="5890" width="6" style="338" customWidth="1"/>
    <col min="5891" max="5891" width="92.28515625" style="338" customWidth="1"/>
    <col min="5892" max="6144" width="8.7109375" style="338"/>
    <col min="6145" max="6145" width="0" style="338" hidden="1" customWidth="1"/>
    <col min="6146" max="6146" width="6" style="338" customWidth="1"/>
    <col min="6147" max="6147" width="92.28515625" style="338" customWidth="1"/>
    <col min="6148" max="6400" width="8.7109375" style="338"/>
    <col min="6401" max="6401" width="0" style="338" hidden="1" customWidth="1"/>
    <col min="6402" max="6402" width="6" style="338" customWidth="1"/>
    <col min="6403" max="6403" width="92.28515625" style="338" customWidth="1"/>
    <col min="6404" max="6656" width="8.7109375" style="338"/>
    <col min="6657" max="6657" width="0" style="338" hidden="1" customWidth="1"/>
    <col min="6658" max="6658" width="6" style="338" customWidth="1"/>
    <col min="6659" max="6659" width="92.28515625" style="338" customWidth="1"/>
    <col min="6660" max="6912" width="8.7109375" style="338"/>
    <col min="6913" max="6913" width="0" style="338" hidden="1" customWidth="1"/>
    <col min="6914" max="6914" width="6" style="338" customWidth="1"/>
    <col min="6915" max="6915" width="92.28515625" style="338" customWidth="1"/>
    <col min="6916" max="7168" width="8.7109375" style="338"/>
    <col min="7169" max="7169" width="0" style="338" hidden="1" customWidth="1"/>
    <col min="7170" max="7170" width="6" style="338" customWidth="1"/>
    <col min="7171" max="7171" width="92.28515625" style="338" customWidth="1"/>
    <col min="7172" max="7424" width="8.7109375" style="338"/>
    <col min="7425" max="7425" width="0" style="338" hidden="1" customWidth="1"/>
    <col min="7426" max="7426" width="6" style="338" customWidth="1"/>
    <col min="7427" max="7427" width="92.28515625" style="338" customWidth="1"/>
    <col min="7428" max="7680" width="8.7109375" style="338"/>
    <col min="7681" max="7681" width="0" style="338" hidden="1" customWidth="1"/>
    <col min="7682" max="7682" width="6" style="338" customWidth="1"/>
    <col min="7683" max="7683" width="92.28515625" style="338" customWidth="1"/>
    <col min="7684" max="7936" width="8.7109375" style="338"/>
    <col min="7937" max="7937" width="0" style="338" hidden="1" customWidth="1"/>
    <col min="7938" max="7938" width="6" style="338" customWidth="1"/>
    <col min="7939" max="7939" width="92.28515625" style="338" customWidth="1"/>
    <col min="7940" max="8192" width="8.7109375" style="338"/>
    <col min="8193" max="8193" width="0" style="338" hidden="1" customWidth="1"/>
    <col min="8194" max="8194" width="6" style="338" customWidth="1"/>
    <col min="8195" max="8195" width="92.28515625" style="338" customWidth="1"/>
    <col min="8196" max="8448" width="8.7109375" style="338"/>
    <col min="8449" max="8449" width="0" style="338" hidden="1" customWidth="1"/>
    <col min="8450" max="8450" width="6" style="338" customWidth="1"/>
    <col min="8451" max="8451" width="92.28515625" style="338" customWidth="1"/>
    <col min="8452" max="8704" width="8.7109375" style="338"/>
    <col min="8705" max="8705" width="0" style="338" hidden="1" customWidth="1"/>
    <col min="8706" max="8706" width="6" style="338" customWidth="1"/>
    <col min="8707" max="8707" width="92.28515625" style="338" customWidth="1"/>
    <col min="8708" max="8960" width="8.7109375" style="338"/>
    <col min="8961" max="8961" width="0" style="338" hidden="1" customWidth="1"/>
    <col min="8962" max="8962" width="6" style="338" customWidth="1"/>
    <col min="8963" max="8963" width="92.28515625" style="338" customWidth="1"/>
    <col min="8964" max="9216" width="8.7109375" style="338"/>
    <col min="9217" max="9217" width="0" style="338" hidden="1" customWidth="1"/>
    <col min="9218" max="9218" width="6" style="338" customWidth="1"/>
    <col min="9219" max="9219" width="92.28515625" style="338" customWidth="1"/>
    <col min="9220" max="9472" width="8.7109375" style="338"/>
    <col min="9473" max="9473" width="0" style="338" hidden="1" customWidth="1"/>
    <col min="9474" max="9474" width="6" style="338" customWidth="1"/>
    <col min="9475" max="9475" width="92.28515625" style="338" customWidth="1"/>
    <col min="9476" max="9728" width="8.7109375" style="338"/>
    <col min="9729" max="9729" width="0" style="338" hidden="1" customWidth="1"/>
    <col min="9730" max="9730" width="6" style="338" customWidth="1"/>
    <col min="9731" max="9731" width="92.28515625" style="338" customWidth="1"/>
    <col min="9732" max="9984" width="8.7109375" style="338"/>
    <col min="9985" max="9985" width="0" style="338" hidden="1" customWidth="1"/>
    <col min="9986" max="9986" width="6" style="338" customWidth="1"/>
    <col min="9987" max="9987" width="92.28515625" style="338" customWidth="1"/>
    <col min="9988" max="10240" width="8.7109375" style="338"/>
    <col min="10241" max="10241" width="0" style="338" hidden="1" customWidth="1"/>
    <col min="10242" max="10242" width="6" style="338" customWidth="1"/>
    <col min="10243" max="10243" width="92.28515625" style="338" customWidth="1"/>
    <col min="10244" max="10496" width="8.7109375" style="338"/>
    <col min="10497" max="10497" width="0" style="338" hidden="1" customWidth="1"/>
    <col min="10498" max="10498" width="6" style="338" customWidth="1"/>
    <col min="10499" max="10499" width="92.28515625" style="338" customWidth="1"/>
    <col min="10500" max="10752" width="8.7109375" style="338"/>
    <col min="10753" max="10753" width="0" style="338" hidden="1" customWidth="1"/>
    <col min="10754" max="10754" width="6" style="338" customWidth="1"/>
    <col min="10755" max="10755" width="92.28515625" style="338" customWidth="1"/>
    <col min="10756" max="11008" width="8.7109375" style="338"/>
    <col min="11009" max="11009" width="0" style="338" hidden="1" customWidth="1"/>
    <col min="11010" max="11010" width="6" style="338" customWidth="1"/>
    <col min="11011" max="11011" width="92.28515625" style="338" customWidth="1"/>
    <col min="11012" max="11264" width="8.7109375" style="338"/>
    <col min="11265" max="11265" width="0" style="338" hidden="1" customWidth="1"/>
    <col min="11266" max="11266" width="6" style="338" customWidth="1"/>
    <col min="11267" max="11267" width="92.28515625" style="338" customWidth="1"/>
    <col min="11268" max="11520" width="8.7109375" style="338"/>
    <col min="11521" max="11521" width="0" style="338" hidden="1" customWidth="1"/>
    <col min="11522" max="11522" width="6" style="338" customWidth="1"/>
    <col min="11523" max="11523" width="92.28515625" style="338" customWidth="1"/>
    <col min="11524" max="11776" width="8.7109375" style="338"/>
    <col min="11777" max="11777" width="0" style="338" hidden="1" customWidth="1"/>
    <col min="11778" max="11778" width="6" style="338" customWidth="1"/>
    <col min="11779" max="11779" width="92.28515625" style="338" customWidth="1"/>
    <col min="11780" max="12032" width="8.7109375" style="338"/>
    <col min="12033" max="12033" width="0" style="338" hidden="1" customWidth="1"/>
    <col min="12034" max="12034" width="6" style="338" customWidth="1"/>
    <col min="12035" max="12035" width="92.28515625" style="338" customWidth="1"/>
    <col min="12036" max="12288" width="8.7109375" style="338"/>
    <col min="12289" max="12289" width="0" style="338" hidden="1" customWidth="1"/>
    <col min="12290" max="12290" width="6" style="338" customWidth="1"/>
    <col min="12291" max="12291" width="92.28515625" style="338" customWidth="1"/>
    <col min="12292" max="12544" width="8.7109375" style="338"/>
    <col min="12545" max="12545" width="0" style="338" hidden="1" customWidth="1"/>
    <col min="12546" max="12546" width="6" style="338" customWidth="1"/>
    <col min="12547" max="12547" width="92.28515625" style="338" customWidth="1"/>
    <col min="12548" max="12800" width="8.7109375" style="338"/>
    <col min="12801" max="12801" width="0" style="338" hidden="1" customWidth="1"/>
    <col min="12802" max="12802" width="6" style="338" customWidth="1"/>
    <col min="12803" max="12803" width="92.28515625" style="338" customWidth="1"/>
    <col min="12804" max="13056" width="8.7109375" style="338"/>
    <col min="13057" max="13057" width="0" style="338" hidden="1" customWidth="1"/>
    <col min="13058" max="13058" width="6" style="338" customWidth="1"/>
    <col min="13059" max="13059" width="92.28515625" style="338" customWidth="1"/>
    <col min="13060" max="13312" width="8.7109375" style="338"/>
    <col min="13313" max="13313" width="0" style="338" hidden="1" customWidth="1"/>
    <col min="13314" max="13314" width="6" style="338" customWidth="1"/>
    <col min="13315" max="13315" width="92.28515625" style="338" customWidth="1"/>
    <col min="13316" max="13568" width="8.7109375" style="338"/>
    <col min="13569" max="13569" width="0" style="338" hidden="1" customWidth="1"/>
    <col min="13570" max="13570" width="6" style="338" customWidth="1"/>
    <col min="13571" max="13571" width="92.28515625" style="338" customWidth="1"/>
    <col min="13572" max="13824" width="8.7109375" style="338"/>
    <col min="13825" max="13825" width="0" style="338" hidden="1" customWidth="1"/>
    <col min="13826" max="13826" width="6" style="338" customWidth="1"/>
    <col min="13827" max="13827" width="92.28515625" style="338" customWidth="1"/>
    <col min="13828" max="14080" width="8.7109375" style="338"/>
    <col min="14081" max="14081" width="0" style="338" hidden="1" customWidth="1"/>
    <col min="14082" max="14082" width="6" style="338" customWidth="1"/>
    <col min="14083" max="14083" width="92.28515625" style="338" customWidth="1"/>
    <col min="14084" max="14336" width="8.7109375" style="338"/>
    <col min="14337" max="14337" width="0" style="338" hidden="1" customWidth="1"/>
    <col min="14338" max="14338" width="6" style="338" customWidth="1"/>
    <col min="14339" max="14339" width="92.28515625" style="338" customWidth="1"/>
    <col min="14340" max="14592" width="8.7109375" style="338"/>
    <col min="14593" max="14593" width="0" style="338" hidden="1" customWidth="1"/>
    <col min="14594" max="14594" width="6" style="338" customWidth="1"/>
    <col min="14595" max="14595" width="92.28515625" style="338" customWidth="1"/>
    <col min="14596" max="14848" width="8.7109375" style="338"/>
    <col min="14849" max="14849" width="0" style="338" hidden="1" customWidth="1"/>
    <col min="14850" max="14850" width="6" style="338" customWidth="1"/>
    <col min="14851" max="14851" width="92.28515625" style="338" customWidth="1"/>
    <col min="14852" max="15104" width="8.7109375" style="338"/>
    <col min="15105" max="15105" width="0" style="338" hidden="1" customWidth="1"/>
    <col min="15106" max="15106" width="6" style="338" customWidth="1"/>
    <col min="15107" max="15107" width="92.28515625" style="338" customWidth="1"/>
    <col min="15108" max="15360" width="8.7109375" style="338"/>
    <col min="15361" max="15361" width="0" style="338" hidden="1" customWidth="1"/>
    <col min="15362" max="15362" width="6" style="338" customWidth="1"/>
    <col min="15363" max="15363" width="92.28515625" style="338" customWidth="1"/>
    <col min="15364" max="15616" width="8.7109375" style="338"/>
    <col min="15617" max="15617" width="0" style="338" hidden="1" customWidth="1"/>
    <col min="15618" max="15618" width="6" style="338" customWidth="1"/>
    <col min="15619" max="15619" width="92.28515625" style="338" customWidth="1"/>
    <col min="15620" max="15872" width="8.7109375" style="338"/>
    <col min="15873" max="15873" width="0" style="338" hidden="1" customWidth="1"/>
    <col min="15874" max="15874" width="6" style="338" customWidth="1"/>
    <col min="15875" max="15875" width="92.28515625" style="338" customWidth="1"/>
    <col min="15876" max="16128" width="8.7109375" style="338"/>
    <col min="16129" max="16129" width="0" style="338" hidden="1" customWidth="1"/>
    <col min="16130" max="16130" width="6" style="338" customWidth="1"/>
    <col min="16131" max="16131" width="92.28515625" style="338" customWidth="1"/>
    <col min="16132" max="16384" width="8.7109375" style="338"/>
  </cols>
  <sheetData>
    <row r="1" spans="1:3" x14ac:dyDescent="0.2">
      <c r="B1" s="729" t="s">
        <v>242</v>
      </c>
      <c r="C1" s="729"/>
    </row>
    <row r="2" spans="1:3" x14ac:dyDescent="0.2">
      <c r="B2" s="730" t="s">
        <v>717</v>
      </c>
      <c r="C2" s="730"/>
    </row>
    <row r="3" spans="1:3" ht="13.5" thickBot="1" x14ac:dyDescent="0.25">
      <c r="C3" s="337"/>
    </row>
    <row r="4" spans="1:3" x14ac:dyDescent="0.2">
      <c r="A4" s="350"/>
      <c r="B4" s="357" t="s">
        <v>29</v>
      </c>
      <c r="C4" s="358" t="s">
        <v>0</v>
      </c>
    </row>
    <row r="5" spans="1:3" ht="17.25" customHeight="1" x14ac:dyDescent="0.2">
      <c r="A5" s="340"/>
      <c r="B5" s="359">
        <v>1</v>
      </c>
      <c r="C5" s="360" t="s">
        <v>392</v>
      </c>
    </row>
    <row r="6" spans="1:3" x14ac:dyDescent="0.2">
      <c r="A6" s="340"/>
      <c r="B6" s="361"/>
      <c r="C6" s="341"/>
    </row>
    <row r="7" spans="1:3" x14ac:dyDescent="0.2">
      <c r="A7" s="340"/>
      <c r="B7" s="362">
        <v>1.1000000000000001</v>
      </c>
      <c r="C7" s="342" t="s">
        <v>371</v>
      </c>
    </row>
    <row r="8" spans="1:3" ht="51" x14ac:dyDescent="0.2">
      <c r="A8" s="340"/>
      <c r="B8" s="362"/>
      <c r="C8" s="343" t="s">
        <v>385</v>
      </c>
    </row>
    <row r="9" spans="1:3" ht="15" customHeight="1" x14ac:dyDescent="0.2">
      <c r="A9" s="340"/>
      <c r="B9" s="362"/>
      <c r="C9" s="343"/>
    </row>
    <row r="10" spans="1:3" ht="15" customHeight="1" x14ac:dyDescent="0.2">
      <c r="A10" s="340"/>
      <c r="B10" s="363">
        <f>B7+0.1</f>
        <v>1.2000000000000002</v>
      </c>
      <c r="C10" s="342" t="s">
        <v>372</v>
      </c>
    </row>
    <row r="11" spans="1:3" ht="82.5" customHeight="1" x14ac:dyDescent="0.2">
      <c r="A11" s="340"/>
      <c r="B11" s="362"/>
      <c r="C11" s="343" t="s">
        <v>30</v>
      </c>
    </row>
    <row r="12" spans="1:3" ht="13.15" customHeight="1" x14ac:dyDescent="0.2">
      <c r="A12" s="340"/>
      <c r="B12" s="362"/>
      <c r="C12" s="348" t="s">
        <v>386</v>
      </c>
    </row>
    <row r="13" spans="1:3" x14ac:dyDescent="0.2">
      <c r="A13" s="340"/>
      <c r="B13" s="362"/>
      <c r="C13" s="343"/>
    </row>
    <row r="14" spans="1:3" x14ac:dyDescent="0.2">
      <c r="A14" s="340"/>
      <c r="B14" s="362">
        <v>1.3</v>
      </c>
      <c r="C14" s="342" t="s">
        <v>373</v>
      </c>
    </row>
    <row r="15" spans="1:3" ht="17.25" customHeight="1" x14ac:dyDescent="0.2">
      <c r="A15" s="340"/>
      <c r="B15" s="362"/>
      <c r="C15" s="343" t="s">
        <v>374</v>
      </c>
    </row>
    <row r="16" spans="1:3" x14ac:dyDescent="0.2">
      <c r="A16" s="340"/>
      <c r="B16" s="362"/>
      <c r="C16" s="343"/>
    </row>
    <row r="17" spans="1:3" ht="17.25" customHeight="1" x14ac:dyDescent="0.2">
      <c r="A17" s="340"/>
      <c r="B17" s="364">
        <v>1.4</v>
      </c>
      <c r="C17" s="342" t="s">
        <v>375</v>
      </c>
    </row>
    <row r="18" spans="1:3" ht="68.25" customHeight="1" x14ac:dyDescent="0.2">
      <c r="A18" s="340"/>
      <c r="B18" s="363"/>
      <c r="C18" s="343" t="s">
        <v>389</v>
      </c>
    </row>
    <row r="19" spans="1:3" x14ac:dyDescent="0.2">
      <c r="A19" s="340"/>
      <c r="B19" s="363"/>
      <c r="C19" s="343"/>
    </row>
    <row r="20" spans="1:3" ht="17.25" customHeight="1" x14ac:dyDescent="0.2">
      <c r="A20" s="340"/>
      <c r="B20" s="362">
        <v>1.5</v>
      </c>
      <c r="C20" s="344" t="s">
        <v>376</v>
      </c>
    </row>
    <row r="21" spans="1:3" x14ac:dyDescent="0.2">
      <c r="B21" s="365"/>
      <c r="C21" s="344" t="s">
        <v>377</v>
      </c>
    </row>
    <row r="22" spans="1:3" ht="76.5" x14ac:dyDescent="0.2">
      <c r="B22" s="365"/>
      <c r="C22" s="343" t="s">
        <v>378</v>
      </c>
    </row>
    <row r="23" spans="1:3" x14ac:dyDescent="0.2">
      <c r="B23" s="365"/>
      <c r="C23" s="349"/>
    </row>
    <row r="24" spans="1:3" x14ac:dyDescent="0.2">
      <c r="B24" s="364">
        <v>1.6</v>
      </c>
      <c r="C24" s="344" t="s">
        <v>387</v>
      </c>
    </row>
    <row r="25" spans="1:3" ht="13.15" customHeight="1" x14ac:dyDescent="0.2">
      <c r="B25" s="364"/>
      <c r="C25" s="733" t="s">
        <v>388</v>
      </c>
    </row>
    <row r="26" spans="1:3" x14ac:dyDescent="0.2">
      <c r="B26" s="365"/>
      <c r="C26" s="733"/>
    </row>
    <row r="27" spans="1:3" x14ac:dyDescent="0.2">
      <c r="B27" s="365"/>
      <c r="C27" s="733"/>
    </row>
    <row r="28" spans="1:3" x14ac:dyDescent="0.2">
      <c r="B28" s="365"/>
      <c r="C28" s="733"/>
    </row>
    <row r="29" spans="1:3" x14ac:dyDescent="0.2">
      <c r="B29" s="365"/>
      <c r="C29" s="349"/>
    </row>
    <row r="30" spans="1:3" x14ac:dyDescent="0.2">
      <c r="B30" s="364">
        <v>1.7</v>
      </c>
      <c r="C30" s="342" t="s">
        <v>379</v>
      </c>
    </row>
    <row r="31" spans="1:3" ht="13.15" customHeight="1" x14ac:dyDescent="0.2">
      <c r="B31" s="365"/>
      <c r="C31" s="734" t="s">
        <v>380</v>
      </c>
    </row>
    <row r="32" spans="1:3" x14ac:dyDescent="0.2">
      <c r="B32" s="365"/>
      <c r="C32" s="734"/>
    </row>
    <row r="33" spans="2:3" x14ac:dyDescent="0.2">
      <c r="B33" s="365"/>
      <c r="C33" s="731" t="s">
        <v>381</v>
      </c>
    </row>
    <row r="34" spans="2:3" x14ac:dyDescent="0.2">
      <c r="B34" s="365"/>
      <c r="C34" s="731"/>
    </row>
    <row r="35" spans="2:3" x14ac:dyDescent="0.2">
      <c r="B35" s="365"/>
      <c r="C35" s="345"/>
    </row>
    <row r="36" spans="2:3" x14ac:dyDescent="0.2">
      <c r="B36" s="366">
        <v>1.8</v>
      </c>
      <c r="C36" s="346" t="s">
        <v>382</v>
      </c>
    </row>
    <row r="37" spans="2:3" x14ac:dyDescent="0.2">
      <c r="B37" s="364"/>
      <c r="C37" s="731" t="s">
        <v>383</v>
      </c>
    </row>
    <row r="38" spans="2:3" x14ac:dyDescent="0.2">
      <c r="B38" s="365"/>
      <c r="C38" s="731"/>
    </row>
    <row r="39" spans="2:3" x14ac:dyDescent="0.2">
      <c r="B39" s="365"/>
      <c r="C39" s="731"/>
    </row>
    <row r="40" spans="2:3" x14ac:dyDescent="0.2">
      <c r="B40" s="365"/>
      <c r="C40" s="731" t="s">
        <v>384</v>
      </c>
    </row>
    <row r="41" spans="2:3" x14ac:dyDescent="0.2">
      <c r="B41" s="365"/>
      <c r="C41" s="731"/>
    </row>
    <row r="42" spans="2:3" x14ac:dyDescent="0.2">
      <c r="B42" s="367"/>
      <c r="C42" s="732"/>
    </row>
  </sheetData>
  <mergeCells count="7">
    <mergeCell ref="B1:C1"/>
    <mergeCell ref="B2:C2"/>
    <mergeCell ref="C33:C34"/>
    <mergeCell ref="C37:C39"/>
    <mergeCell ref="C40:C42"/>
    <mergeCell ref="C25:C28"/>
    <mergeCell ref="C31:C32"/>
  </mergeCells>
  <pageMargins left="0.25" right="0.25" top="0.75" bottom="0.75" header="0.3" footer="0.3"/>
  <pageSetup paperSize="9" scale="9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7"/>
  <sheetViews>
    <sheetView showGridLines="0" view="pageBreakPreview" zoomScaleSheetLayoutView="100" workbookViewId="0">
      <selection activeCell="A72" sqref="A72:D72"/>
    </sheetView>
  </sheetViews>
  <sheetFormatPr defaultRowHeight="12.75" x14ac:dyDescent="0.2"/>
  <cols>
    <col min="1" max="1" width="8.85546875" style="273"/>
    <col min="2" max="2" width="32.5703125" style="273" bestFit="1" customWidth="1"/>
    <col min="3" max="3" width="12.7109375" style="273" bestFit="1" customWidth="1"/>
    <col min="4" max="4" width="24" style="273" customWidth="1"/>
    <col min="5" max="5" width="22.28515625" style="273" bestFit="1" customWidth="1"/>
    <col min="6" max="6" width="20.28515625" style="273" customWidth="1"/>
    <col min="7" max="7" width="14.28515625" style="273" customWidth="1"/>
    <col min="8" max="8" width="18.140625" style="273" customWidth="1"/>
    <col min="9" max="9" width="25.85546875" style="273" customWidth="1"/>
    <col min="10" max="257" width="8.85546875" style="273"/>
    <col min="258" max="258" width="32.5703125" style="273" bestFit="1" customWidth="1"/>
    <col min="259" max="259" width="12.7109375" style="273" bestFit="1" customWidth="1"/>
    <col min="260" max="260" width="24" style="273" customWidth="1"/>
    <col min="261" max="261" width="22.28515625" style="273" bestFit="1" customWidth="1"/>
    <col min="262" max="262" width="23.85546875" style="273" customWidth="1"/>
    <col min="263" max="263" width="14.28515625" style="273" customWidth="1"/>
    <col min="264" max="264" width="18.140625" style="273" customWidth="1"/>
    <col min="265" max="265" width="25.85546875" style="273" customWidth="1"/>
    <col min="266" max="513" width="8.85546875" style="273"/>
    <col min="514" max="514" width="32.5703125" style="273" bestFit="1" customWidth="1"/>
    <col min="515" max="515" width="12.7109375" style="273" bestFit="1" customWidth="1"/>
    <col min="516" max="516" width="24" style="273" customWidth="1"/>
    <col min="517" max="517" width="22.28515625" style="273" bestFit="1" customWidth="1"/>
    <col min="518" max="518" width="23.85546875" style="273" customWidth="1"/>
    <col min="519" max="519" width="14.28515625" style="273" customWidth="1"/>
    <col min="520" max="520" width="18.140625" style="273" customWidth="1"/>
    <col min="521" max="521" width="25.85546875" style="273" customWidth="1"/>
    <col min="522" max="769" width="8.85546875" style="273"/>
    <col min="770" max="770" width="32.5703125" style="273" bestFit="1" customWidth="1"/>
    <col min="771" max="771" width="12.7109375" style="273" bestFit="1" customWidth="1"/>
    <col min="772" max="772" width="24" style="273" customWidth="1"/>
    <col min="773" max="773" width="22.28515625" style="273" bestFit="1" customWidth="1"/>
    <col min="774" max="774" width="23.85546875" style="273" customWidth="1"/>
    <col min="775" max="775" width="14.28515625" style="273" customWidth="1"/>
    <col min="776" max="776" width="18.140625" style="273" customWidth="1"/>
    <col min="777" max="777" width="25.85546875" style="273" customWidth="1"/>
    <col min="778" max="1025" width="8.85546875" style="273"/>
    <col min="1026" max="1026" width="32.5703125" style="273" bestFit="1" customWidth="1"/>
    <col min="1027" max="1027" width="12.7109375" style="273" bestFit="1" customWidth="1"/>
    <col min="1028" max="1028" width="24" style="273" customWidth="1"/>
    <col min="1029" max="1029" width="22.28515625" style="273" bestFit="1" customWidth="1"/>
    <col min="1030" max="1030" width="23.85546875" style="273" customWidth="1"/>
    <col min="1031" max="1031" width="14.28515625" style="273" customWidth="1"/>
    <col min="1032" max="1032" width="18.140625" style="273" customWidth="1"/>
    <col min="1033" max="1033" width="25.85546875" style="273" customWidth="1"/>
    <col min="1034" max="1281" width="8.85546875" style="273"/>
    <col min="1282" max="1282" width="32.5703125" style="273" bestFit="1" customWidth="1"/>
    <col min="1283" max="1283" width="12.7109375" style="273" bestFit="1" customWidth="1"/>
    <col min="1284" max="1284" width="24" style="273" customWidth="1"/>
    <col min="1285" max="1285" width="22.28515625" style="273" bestFit="1" customWidth="1"/>
    <col min="1286" max="1286" width="23.85546875" style="273" customWidth="1"/>
    <col min="1287" max="1287" width="14.28515625" style="273" customWidth="1"/>
    <col min="1288" max="1288" width="18.140625" style="273" customWidth="1"/>
    <col min="1289" max="1289" width="25.85546875" style="273" customWidth="1"/>
    <col min="1290" max="1537" width="8.85546875" style="273"/>
    <col min="1538" max="1538" width="32.5703125" style="273" bestFit="1" customWidth="1"/>
    <col min="1539" max="1539" width="12.7109375" style="273" bestFit="1" customWidth="1"/>
    <col min="1540" max="1540" width="24" style="273" customWidth="1"/>
    <col min="1541" max="1541" width="22.28515625" style="273" bestFit="1" customWidth="1"/>
    <col min="1542" max="1542" width="23.85546875" style="273" customWidth="1"/>
    <col min="1543" max="1543" width="14.28515625" style="273" customWidth="1"/>
    <col min="1544" max="1544" width="18.140625" style="273" customWidth="1"/>
    <col min="1545" max="1545" width="25.85546875" style="273" customWidth="1"/>
    <col min="1546" max="1793" width="8.85546875" style="273"/>
    <col min="1794" max="1794" width="32.5703125" style="273" bestFit="1" customWidth="1"/>
    <col min="1795" max="1795" width="12.7109375" style="273" bestFit="1" customWidth="1"/>
    <col min="1796" max="1796" width="24" style="273" customWidth="1"/>
    <col min="1797" max="1797" width="22.28515625" style="273" bestFit="1" customWidth="1"/>
    <col min="1798" max="1798" width="23.85546875" style="273" customWidth="1"/>
    <col min="1799" max="1799" width="14.28515625" style="273" customWidth="1"/>
    <col min="1800" max="1800" width="18.140625" style="273" customWidth="1"/>
    <col min="1801" max="1801" width="25.85546875" style="273" customWidth="1"/>
    <col min="1802" max="2049" width="8.85546875" style="273"/>
    <col min="2050" max="2050" width="32.5703125" style="273" bestFit="1" customWidth="1"/>
    <col min="2051" max="2051" width="12.7109375" style="273" bestFit="1" customWidth="1"/>
    <col min="2052" max="2052" width="24" style="273" customWidth="1"/>
    <col min="2053" max="2053" width="22.28515625" style="273" bestFit="1" customWidth="1"/>
    <col min="2054" max="2054" width="23.85546875" style="273" customWidth="1"/>
    <col min="2055" max="2055" width="14.28515625" style="273" customWidth="1"/>
    <col min="2056" max="2056" width="18.140625" style="273" customWidth="1"/>
    <col min="2057" max="2057" width="25.85546875" style="273" customWidth="1"/>
    <col min="2058" max="2305" width="8.85546875" style="273"/>
    <col min="2306" max="2306" width="32.5703125" style="273" bestFit="1" customWidth="1"/>
    <col min="2307" max="2307" width="12.7109375" style="273" bestFit="1" customWidth="1"/>
    <col min="2308" max="2308" width="24" style="273" customWidth="1"/>
    <col min="2309" max="2309" width="22.28515625" style="273" bestFit="1" customWidth="1"/>
    <col min="2310" max="2310" width="23.85546875" style="273" customWidth="1"/>
    <col min="2311" max="2311" width="14.28515625" style="273" customWidth="1"/>
    <col min="2312" max="2312" width="18.140625" style="273" customWidth="1"/>
    <col min="2313" max="2313" width="25.85546875" style="273" customWidth="1"/>
    <col min="2314" max="2561" width="8.85546875" style="273"/>
    <col min="2562" max="2562" width="32.5703125" style="273" bestFit="1" customWidth="1"/>
    <col min="2563" max="2563" width="12.7109375" style="273" bestFit="1" customWidth="1"/>
    <col min="2564" max="2564" width="24" style="273" customWidth="1"/>
    <col min="2565" max="2565" width="22.28515625" style="273" bestFit="1" customWidth="1"/>
    <col min="2566" max="2566" width="23.85546875" style="273" customWidth="1"/>
    <col min="2567" max="2567" width="14.28515625" style="273" customWidth="1"/>
    <col min="2568" max="2568" width="18.140625" style="273" customWidth="1"/>
    <col min="2569" max="2569" width="25.85546875" style="273" customWidth="1"/>
    <col min="2570" max="2817" width="8.85546875" style="273"/>
    <col min="2818" max="2818" width="32.5703125" style="273" bestFit="1" customWidth="1"/>
    <col min="2819" max="2819" width="12.7109375" style="273" bestFit="1" customWidth="1"/>
    <col min="2820" max="2820" width="24" style="273" customWidth="1"/>
    <col min="2821" max="2821" width="22.28515625" style="273" bestFit="1" customWidth="1"/>
    <col min="2822" max="2822" width="23.85546875" style="273" customWidth="1"/>
    <col min="2823" max="2823" width="14.28515625" style="273" customWidth="1"/>
    <col min="2824" max="2824" width="18.140625" style="273" customWidth="1"/>
    <col min="2825" max="2825" width="25.85546875" style="273" customWidth="1"/>
    <col min="2826" max="3073" width="8.85546875" style="273"/>
    <col min="3074" max="3074" width="32.5703125" style="273" bestFit="1" customWidth="1"/>
    <col min="3075" max="3075" width="12.7109375" style="273" bestFit="1" customWidth="1"/>
    <col min="3076" max="3076" width="24" style="273" customWidth="1"/>
    <col min="3077" max="3077" width="22.28515625" style="273" bestFit="1" customWidth="1"/>
    <col min="3078" max="3078" width="23.85546875" style="273" customWidth="1"/>
    <col min="3079" max="3079" width="14.28515625" style="273" customWidth="1"/>
    <col min="3080" max="3080" width="18.140625" style="273" customWidth="1"/>
    <col min="3081" max="3081" width="25.85546875" style="273" customWidth="1"/>
    <col min="3082" max="3329" width="8.85546875" style="273"/>
    <col min="3330" max="3330" width="32.5703125" style="273" bestFit="1" customWidth="1"/>
    <col min="3331" max="3331" width="12.7109375" style="273" bestFit="1" customWidth="1"/>
    <col min="3332" max="3332" width="24" style="273" customWidth="1"/>
    <col min="3333" max="3333" width="22.28515625" style="273" bestFit="1" customWidth="1"/>
    <col min="3334" max="3334" width="23.85546875" style="273" customWidth="1"/>
    <col min="3335" max="3335" width="14.28515625" style="273" customWidth="1"/>
    <col min="3336" max="3336" width="18.140625" style="273" customWidth="1"/>
    <col min="3337" max="3337" width="25.85546875" style="273" customWidth="1"/>
    <col min="3338" max="3585" width="8.85546875" style="273"/>
    <col min="3586" max="3586" width="32.5703125" style="273" bestFit="1" customWidth="1"/>
    <col min="3587" max="3587" width="12.7109375" style="273" bestFit="1" customWidth="1"/>
    <col min="3588" max="3588" width="24" style="273" customWidth="1"/>
    <col min="3589" max="3589" width="22.28515625" style="273" bestFit="1" customWidth="1"/>
    <col min="3590" max="3590" width="23.85546875" style="273" customWidth="1"/>
    <col min="3591" max="3591" width="14.28515625" style="273" customWidth="1"/>
    <col min="3592" max="3592" width="18.140625" style="273" customWidth="1"/>
    <col min="3593" max="3593" width="25.85546875" style="273" customWidth="1"/>
    <col min="3594" max="3841" width="8.85546875" style="273"/>
    <col min="3842" max="3842" width="32.5703125" style="273" bestFit="1" customWidth="1"/>
    <col min="3843" max="3843" width="12.7109375" style="273" bestFit="1" customWidth="1"/>
    <col min="3844" max="3844" width="24" style="273" customWidth="1"/>
    <col min="3845" max="3845" width="22.28515625" style="273" bestFit="1" customWidth="1"/>
    <col min="3846" max="3846" width="23.85546875" style="273" customWidth="1"/>
    <col min="3847" max="3847" width="14.28515625" style="273" customWidth="1"/>
    <col min="3848" max="3848" width="18.140625" style="273" customWidth="1"/>
    <col min="3849" max="3849" width="25.85546875" style="273" customWidth="1"/>
    <col min="3850" max="4097" width="8.85546875" style="273"/>
    <col min="4098" max="4098" width="32.5703125" style="273" bestFit="1" customWidth="1"/>
    <col min="4099" max="4099" width="12.7109375" style="273" bestFit="1" customWidth="1"/>
    <col min="4100" max="4100" width="24" style="273" customWidth="1"/>
    <col min="4101" max="4101" width="22.28515625" style="273" bestFit="1" customWidth="1"/>
    <col min="4102" max="4102" width="23.85546875" style="273" customWidth="1"/>
    <col min="4103" max="4103" width="14.28515625" style="273" customWidth="1"/>
    <col min="4104" max="4104" width="18.140625" style="273" customWidth="1"/>
    <col min="4105" max="4105" width="25.85546875" style="273" customWidth="1"/>
    <col min="4106" max="4353" width="8.85546875" style="273"/>
    <col min="4354" max="4354" width="32.5703125" style="273" bestFit="1" customWidth="1"/>
    <col min="4355" max="4355" width="12.7109375" style="273" bestFit="1" customWidth="1"/>
    <col min="4356" max="4356" width="24" style="273" customWidth="1"/>
    <col min="4357" max="4357" width="22.28515625" style="273" bestFit="1" customWidth="1"/>
    <col min="4358" max="4358" width="23.85546875" style="273" customWidth="1"/>
    <col min="4359" max="4359" width="14.28515625" style="273" customWidth="1"/>
    <col min="4360" max="4360" width="18.140625" style="273" customWidth="1"/>
    <col min="4361" max="4361" width="25.85546875" style="273" customWidth="1"/>
    <col min="4362" max="4609" width="8.85546875" style="273"/>
    <col min="4610" max="4610" width="32.5703125" style="273" bestFit="1" customWidth="1"/>
    <col min="4611" max="4611" width="12.7109375" style="273" bestFit="1" customWidth="1"/>
    <col min="4612" max="4612" width="24" style="273" customWidth="1"/>
    <col min="4613" max="4613" width="22.28515625" style="273" bestFit="1" customWidth="1"/>
    <col min="4614" max="4614" width="23.85546875" style="273" customWidth="1"/>
    <col min="4615" max="4615" width="14.28515625" style="273" customWidth="1"/>
    <col min="4616" max="4616" width="18.140625" style="273" customWidth="1"/>
    <col min="4617" max="4617" width="25.85546875" style="273" customWidth="1"/>
    <col min="4618" max="4865" width="8.85546875" style="273"/>
    <col min="4866" max="4866" width="32.5703125" style="273" bestFit="1" customWidth="1"/>
    <col min="4867" max="4867" width="12.7109375" style="273" bestFit="1" customWidth="1"/>
    <col min="4868" max="4868" width="24" style="273" customWidth="1"/>
    <col min="4869" max="4869" width="22.28515625" style="273" bestFit="1" customWidth="1"/>
    <col min="4870" max="4870" width="23.85546875" style="273" customWidth="1"/>
    <col min="4871" max="4871" width="14.28515625" style="273" customWidth="1"/>
    <col min="4872" max="4872" width="18.140625" style="273" customWidth="1"/>
    <col min="4873" max="4873" width="25.85546875" style="273" customWidth="1"/>
    <col min="4874" max="5121" width="8.85546875" style="273"/>
    <col min="5122" max="5122" width="32.5703125" style="273" bestFit="1" customWidth="1"/>
    <col min="5123" max="5123" width="12.7109375" style="273" bestFit="1" customWidth="1"/>
    <col min="5124" max="5124" width="24" style="273" customWidth="1"/>
    <col min="5125" max="5125" width="22.28515625" style="273" bestFit="1" customWidth="1"/>
    <col min="5126" max="5126" width="23.85546875" style="273" customWidth="1"/>
    <col min="5127" max="5127" width="14.28515625" style="273" customWidth="1"/>
    <col min="5128" max="5128" width="18.140625" style="273" customWidth="1"/>
    <col min="5129" max="5129" width="25.85546875" style="273" customWidth="1"/>
    <col min="5130" max="5377" width="8.85546875" style="273"/>
    <col min="5378" max="5378" width="32.5703125" style="273" bestFit="1" customWidth="1"/>
    <col min="5379" max="5379" width="12.7109375" style="273" bestFit="1" customWidth="1"/>
    <col min="5380" max="5380" width="24" style="273" customWidth="1"/>
    <col min="5381" max="5381" width="22.28515625" style="273" bestFit="1" customWidth="1"/>
    <col min="5382" max="5382" width="23.85546875" style="273" customWidth="1"/>
    <col min="5383" max="5383" width="14.28515625" style="273" customWidth="1"/>
    <col min="5384" max="5384" width="18.140625" style="273" customWidth="1"/>
    <col min="5385" max="5385" width="25.85546875" style="273" customWidth="1"/>
    <col min="5386" max="5633" width="8.85546875" style="273"/>
    <col min="5634" max="5634" width="32.5703125" style="273" bestFit="1" customWidth="1"/>
    <col min="5635" max="5635" width="12.7109375" style="273" bestFit="1" customWidth="1"/>
    <col min="5636" max="5636" width="24" style="273" customWidth="1"/>
    <col min="5637" max="5637" width="22.28515625" style="273" bestFit="1" customWidth="1"/>
    <col min="5638" max="5638" width="23.85546875" style="273" customWidth="1"/>
    <col min="5639" max="5639" width="14.28515625" style="273" customWidth="1"/>
    <col min="5640" max="5640" width="18.140625" style="273" customWidth="1"/>
    <col min="5641" max="5641" width="25.85546875" style="273" customWidth="1"/>
    <col min="5642" max="5889" width="8.85546875" style="273"/>
    <col min="5890" max="5890" width="32.5703125" style="273" bestFit="1" customWidth="1"/>
    <col min="5891" max="5891" width="12.7109375" style="273" bestFit="1" customWidth="1"/>
    <col min="5892" max="5892" width="24" style="273" customWidth="1"/>
    <col min="5893" max="5893" width="22.28515625" style="273" bestFit="1" customWidth="1"/>
    <col min="5894" max="5894" width="23.85546875" style="273" customWidth="1"/>
    <col min="5895" max="5895" width="14.28515625" style="273" customWidth="1"/>
    <col min="5896" max="5896" width="18.140625" style="273" customWidth="1"/>
    <col min="5897" max="5897" width="25.85546875" style="273" customWidth="1"/>
    <col min="5898" max="6145" width="8.85546875" style="273"/>
    <col min="6146" max="6146" width="32.5703125" style="273" bestFit="1" customWidth="1"/>
    <col min="6147" max="6147" width="12.7109375" style="273" bestFit="1" customWidth="1"/>
    <col min="6148" max="6148" width="24" style="273" customWidth="1"/>
    <col min="6149" max="6149" width="22.28515625" style="273" bestFit="1" customWidth="1"/>
    <col min="6150" max="6150" width="23.85546875" style="273" customWidth="1"/>
    <col min="6151" max="6151" width="14.28515625" style="273" customWidth="1"/>
    <col min="6152" max="6152" width="18.140625" style="273" customWidth="1"/>
    <col min="6153" max="6153" width="25.85546875" style="273" customWidth="1"/>
    <col min="6154" max="6401" width="8.85546875" style="273"/>
    <col min="6402" max="6402" width="32.5703125" style="273" bestFit="1" customWidth="1"/>
    <col min="6403" max="6403" width="12.7109375" style="273" bestFit="1" customWidth="1"/>
    <col min="6404" max="6404" width="24" style="273" customWidth="1"/>
    <col min="6405" max="6405" width="22.28515625" style="273" bestFit="1" customWidth="1"/>
    <col min="6406" max="6406" width="23.85546875" style="273" customWidth="1"/>
    <col min="6407" max="6407" width="14.28515625" style="273" customWidth="1"/>
    <col min="6408" max="6408" width="18.140625" style="273" customWidth="1"/>
    <col min="6409" max="6409" width="25.85546875" style="273" customWidth="1"/>
    <col min="6410" max="6657" width="8.85546875" style="273"/>
    <col min="6658" max="6658" width="32.5703125" style="273" bestFit="1" customWidth="1"/>
    <col min="6659" max="6659" width="12.7109375" style="273" bestFit="1" customWidth="1"/>
    <col min="6660" max="6660" width="24" style="273" customWidth="1"/>
    <col min="6661" max="6661" width="22.28515625" style="273" bestFit="1" customWidth="1"/>
    <col min="6662" max="6662" width="23.85546875" style="273" customWidth="1"/>
    <col min="6663" max="6663" width="14.28515625" style="273" customWidth="1"/>
    <col min="6664" max="6664" width="18.140625" style="273" customWidth="1"/>
    <col min="6665" max="6665" width="25.85546875" style="273" customWidth="1"/>
    <col min="6666" max="6913" width="8.85546875" style="273"/>
    <col min="6914" max="6914" width="32.5703125" style="273" bestFit="1" customWidth="1"/>
    <col min="6915" max="6915" width="12.7109375" style="273" bestFit="1" customWidth="1"/>
    <col min="6916" max="6916" width="24" style="273" customWidth="1"/>
    <col min="6917" max="6917" width="22.28515625" style="273" bestFit="1" customWidth="1"/>
    <col min="6918" max="6918" width="23.85546875" style="273" customWidth="1"/>
    <col min="6919" max="6919" width="14.28515625" style="273" customWidth="1"/>
    <col min="6920" max="6920" width="18.140625" style="273" customWidth="1"/>
    <col min="6921" max="6921" width="25.85546875" style="273" customWidth="1"/>
    <col min="6922" max="7169" width="8.85546875" style="273"/>
    <col min="7170" max="7170" width="32.5703125" style="273" bestFit="1" customWidth="1"/>
    <col min="7171" max="7171" width="12.7109375" style="273" bestFit="1" customWidth="1"/>
    <col min="7172" max="7172" width="24" style="273" customWidth="1"/>
    <col min="7173" max="7173" width="22.28515625" style="273" bestFit="1" customWidth="1"/>
    <col min="7174" max="7174" width="23.85546875" style="273" customWidth="1"/>
    <col min="7175" max="7175" width="14.28515625" style="273" customWidth="1"/>
    <col min="7176" max="7176" width="18.140625" style="273" customWidth="1"/>
    <col min="7177" max="7177" width="25.85546875" style="273" customWidth="1"/>
    <col min="7178" max="7425" width="8.85546875" style="273"/>
    <col min="7426" max="7426" width="32.5703125" style="273" bestFit="1" customWidth="1"/>
    <col min="7427" max="7427" width="12.7109375" style="273" bestFit="1" customWidth="1"/>
    <col min="7428" max="7428" width="24" style="273" customWidth="1"/>
    <col min="7429" max="7429" width="22.28515625" style="273" bestFit="1" customWidth="1"/>
    <col min="7430" max="7430" width="23.85546875" style="273" customWidth="1"/>
    <col min="7431" max="7431" width="14.28515625" style="273" customWidth="1"/>
    <col min="7432" max="7432" width="18.140625" style="273" customWidth="1"/>
    <col min="7433" max="7433" width="25.85546875" style="273" customWidth="1"/>
    <col min="7434" max="7681" width="8.85546875" style="273"/>
    <col min="7682" max="7682" width="32.5703125" style="273" bestFit="1" customWidth="1"/>
    <col min="7683" max="7683" width="12.7109375" style="273" bestFit="1" customWidth="1"/>
    <col min="7684" max="7684" width="24" style="273" customWidth="1"/>
    <col min="7685" max="7685" width="22.28515625" style="273" bestFit="1" customWidth="1"/>
    <col min="7686" max="7686" width="23.85546875" style="273" customWidth="1"/>
    <col min="7687" max="7687" width="14.28515625" style="273" customWidth="1"/>
    <col min="7688" max="7688" width="18.140625" style="273" customWidth="1"/>
    <col min="7689" max="7689" width="25.85546875" style="273" customWidth="1"/>
    <col min="7690" max="7937" width="8.85546875" style="273"/>
    <col min="7938" max="7938" width="32.5703125" style="273" bestFit="1" customWidth="1"/>
    <col min="7939" max="7939" width="12.7109375" style="273" bestFit="1" customWidth="1"/>
    <col min="7940" max="7940" width="24" style="273" customWidth="1"/>
    <col min="7941" max="7941" width="22.28515625" style="273" bestFit="1" customWidth="1"/>
    <col min="7942" max="7942" width="23.85546875" style="273" customWidth="1"/>
    <col min="7943" max="7943" width="14.28515625" style="273" customWidth="1"/>
    <col min="7944" max="7944" width="18.140625" style="273" customWidth="1"/>
    <col min="7945" max="7945" width="25.85546875" style="273" customWidth="1"/>
    <col min="7946" max="8193" width="8.85546875" style="273"/>
    <col min="8194" max="8194" width="32.5703125" style="273" bestFit="1" customWidth="1"/>
    <col min="8195" max="8195" width="12.7109375" style="273" bestFit="1" customWidth="1"/>
    <col min="8196" max="8196" width="24" style="273" customWidth="1"/>
    <col min="8197" max="8197" width="22.28515625" style="273" bestFit="1" customWidth="1"/>
    <col min="8198" max="8198" width="23.85546875" style="273" customWidth="1"/>
    <col min="8199" max="8199" width="14.28515625" style="273" customWidth="1"/>
    <col min="8200" max="8200" width="18.140625" style="273" customWidth="1"/>
    <col min="8201" max="8201" width="25.85546875" style="273" customWidth="1"/>
    <col min="8202" max="8449" width="8.85546875" style="273"/>
    <col min="8450" max="8450" width="32.5703125" style="273" bestFit="1" customWidth="1"/>
    <col min="8451" max="8451" width="12.7109375" style="273" bestFit="1" customWidth="1"/>
    <col min="8452" max="8452" width="24" style="273" customWidth="1"/>
    <col min="8453" max="8453" width="22.28515625" style="273" bestFit="1" customWidth="1"/>
    <col min="8454" max="8454" width="23.85546875" style="273" customWidth="1"/>
    <col min="8455" max="8455" width="14.28515625" style="273" customWidth="1"/>
    <col min="8456" max="8456" width="18.140625" style="273" customWidth="1"/>
    <col min="8457" max="8457" width="25.85546875" style="273" customWidth="1"/>
    <col min="8458" max="8705" width="8.85546875" style="273"/>
    <col min="8706" max="8706" width="32.5703125" style="273" bestFit="1" customWidth="1"/>
    <col min="8707" max="8707" width="12.7109375" style="273" bestFit="1" customWidth="1"/>
    <col min="8708" max="8708" width="24" style="273" customWidth="1"/>
    <col min="8709" max="8709" width="22.28515625" style="273" bestFit="1" customWidth="1"/>
    <col min="8710" max="8710" width="23.85546875" style="273" customWidth="1"/>
    <col min="8711" max="8711" width="14.28515625" style="273" customWidth="1"/>
    <col min="8712" max="8712" width="18.140625" style="273" customWidth="1"/>
    <col min="8713" max="8713" width="25.85546875" style="273" customWidth="1"/>
    <col min="8714" max="8961" width="8.85546875" style="273"/>
    <col min="8962" max="8962" width="32.5703125" style="273" bestFit="1" customWidth="1"/>
    <col min="8963" max="8963" width="12.7109375" style="273" bestFit="1" customWidth="1"/>
    <col min="8964" max="8964" width="24" style="273" customWidth="1"/>
    <col min="8965" max="8965" width="22.28515625" style="273" bestFit="1" customWidth="1"/>
    <col min="8966" max="8966" width="23.85546875" style="273" customWidth="1"/>
    <col min="8967" max="8967" width="14.28515625" style="273" customWidth="1"/>
    <col min="8968" max="8968" width="18.140625" style="273" customWidth="1"/>
    <col min="8969" max="8969" width="25.85546875" style="273" customWidth="1"/>
    <col min="8970" max="9217" width="8.85546875" style="273"/>
    <col min="9218" max="9218" width="32.5703125" style="273" bestFit="1" customWidth="1"/>
    <col min="9219" max="9219" width="12.7109375" style="273" bestFit="1" customWidth="1"/>
    <col min="9220" max="9220" width="24" style="273" customWidth="1"/>
    <col min="9221" max="9221" width="22.28515625" style="273" bestFit="1" customWidth="1"/>
    <col min="9222" max="9222" width="23.85546875" style="273" customWidth="1"/>
    <col min="9223" max="9223" width="14.28515625" style="273" customWidth="1"/>
    <col min="9224" max="9224" width="18.140625" style="273" customWidth="1"/>
    <col min="9225" max="9225" width="25.85546875" style="273" customWidth="1"/>
    <col min="9226" max="9473" width="8.85546875" style="273"/>
    <col min="9474" max="9474" width="32.5703125" style="273" bestFit="1" customWidth="1"/>
    <col min="9475" max="9475" width="12.7109375" style="273" bestFit="1" customWidth="1"/>
    <col min="9476" max="9476" width="24" style="273" customWidth="1"/>
    <col min="9477" max="9477" width="22.28515625" style="273" bestFit="1" customWidth="1"/>
    <col min="9478" max="9478" width="23.85546875" style="273" customWidth="1"/>
    <col min="9479" max="9479" width="14.28515625" style="273" customWidth="1"/>
    <col min="9480" max="9480" width="18.140625" style="273" customWidth="1"/>
    <col min="9481" max="9481" width="25.85546875" style="273" customWidth="1"/>
    <col min="9482" max="9729" width="8.85546875" style="273"/>
    <col min="9730" max="9730" width="32.5703125" style="273" bestFit="1" customWidth="1"/>
    <col min="9731" max="9731" width="12.7109375" style="273" bestFit="1" customWidth="1"/>
    <col min="9732" max="9732" width="24" style="273" customWidth="1"/>
    <col min="9733" max="9733" width="22.28515625" style="273" bestFit="1" customWidth="1"/>
    <col min="9734" max="9734" width="23.85546875" style="273" customWidth="1"/>
    <col min="9735" max="9735" width="14.28515625" style="273" customWidth="1"/>
    <col min="9736" max="9736" width="18.140625" style="273" customWidth="1"/>
    <col min="9737" max="9737" width="25.85546875" style="273" customWidth="1"/>
    <col min="9738" max="9985" width="8.85546875" style="273"/>
    <col min="9986" max="9986" width="32.5703125" style="273" bestFit="1" customWidth="1"/>
    <col min="9987" max="9987" width="12.7109375" style="273" bestFit="1" customWidth="1"/>
    <col min="9988" max="9988" width="24" style="273" customWidth="1"/>
    <col min="9989" max="9989" width="22.28515625" style="273" bestFit="1" customWidth="1"/>
    <col min="9990" max="9990" width="23.85546875" style="273" customWidth="1"/>
    <col min="9991" max="9991" width="14.28515625" style="273" customWidth="1"/>
    <col min="9992" max="9992" width="18.140625" style="273" customWidth="1"/>
    <col min="9993" max="9993" width="25.85546875" style="273" customWidth="1"/>
    <col min="9994" max="10241" width="8.85546875" style="273"/>
    <col min="10242" max="10242" width="32.5703125" style="273" bestFit="1" customWidth="1"/>
    <col min="10243" max="10243" width="12.7109375" style="273" bestFit="1" customWidth="1"/>
    <col min="10244" max="10244" width="24" style="273" customWidth="1"/>
    <col min="10245" max="10245" width="22.28515625" style="273" bestFit="1" customWidth="1"/>
    <col min="10246" max="10246" width="23.85546875" style="273" customWidth="1"/>
    <col min="10247" max="10247" width="14.28515625" style="273" customWidth="1"/>
    <col min="10248" max="10248" width="18.140625" style="273" customWidth="1"/>
    <col min="10249" max="10249" width="25.85546875" style="273" customWidth="1"/>
    <col min="10250" max="10497" width="8.85546875" style="273"/>
    <col min="10498" max="10498" width="32.5703125" style="273" bestFit="1" customWidth="1"/>
    <col min="10499" max="10499" width="12.7109375" style="273" bestFit="1" customWidth="1"/>
    <col min="10500" max="10500" width="24" style="273" customWidth="1"/>
    <col min="10501" max="10501" width="22.28515625" style="273" bestFit="1" customWidth="1"/>
    <col min="10502" max="10502" width="23.85546875" style="273" customWidth="1"/>
    <col min="10503" max="10503" width="14.28515625" style="273" customWidth="1"/>
    <col min="10504" max="10504" width="18.140625" style="273" customWidth="1"/>
    <col min="10505" max="10505" width="25.85546875" style="273" customWidth="1"/>
    <col min="10506" max="10753" width="8.85546875" style="273"/>
    <col min="10754" max="10754" width="32.5703125" style="273" bestFit="1" customWidth="1"/>
    <col min="10755" max="10755" width="12.7109375" style="273" bestFit="1" customWidth="1"/>
    <col min="10756" max="10756" width="24" style="273" customWidth="1"/>
    <col min="10757" max="10757" width="22.28515625" style="273" bestFit="1" customWidth="1"/>
    <col min="10758" max="10758" width="23.85546875" style="273" customWidth="1"/>
    <col min="10759" max="10759" width="14.28515625" style="273" customWidth="1"/>
    <col min="10760" max="10760" width="18.140625" style="273" customWidth="1"/>
    <col min="10761" max="10761" width="25.85546875" style="273" customWidth="1"/>
    <col min="10762" max="11009" width="8.85546875" style="273"/>
    <col min="11010" max="11010" width="32.5703125" style="273" bestFit="1" customWidth="1"/>
    <col min="11011" max="11011" width="12.7109375" style="273" bestFit="1" customWidth="1"/>
    <col min="11012" max="11012" width="24" style="273" customWidth="1"/>
    <col min="11013" max="11013" width="22.28515625" style="273" bestFit="1" customWidth="1"/>
    <col min="11014" max="11014" width="23.85546875" style="273" customWidth="1"/>
    <col min="11015" max="11015" width="14.28515625" style="273" customWidth="1"/>
    <col min="11016" max="11016" width="18.140625" style="273" customWidth="1"/>
    <col min="11017" max="11017" width="25.85546875" style="273" customWidth="1"/>
    <col min="11018" max="11265" width="8.85546875" style="273"/>
    <col min="11266" max="11266" width="32.5703125" style="273" bestFit="1" customWidth="1"/>
    <col min="11267" max="11267" width="12.7109375" style="273" bestFit="1" customWidth="1"/>
    <col min="11268" max="11268" width="24" style="273" customWidth="1"/>
    <col min="11269" max="11269" width="22.28515625" style="273" bestFit="1" customWidth="1"/>
    <col min="11270" max="11270" width="23.85546875" style="273" customWidth="1"/>
    <col min="11271" max="11271" width="14.28515625" style="273" customWidth="1"/>
    <col min="11272" max="11272" width="18.140625" style="273" customWidth="1"/>
    <col min="11273" max="11273" width="25.85546875" style="273" customWidth="1"/>
    <col min="11274" max="11521" width="8.85546875" style="273"/>
    <col min="11522" max="11522" width="32.5703125" style="273" bestFit="1" customWidth="1"/>
    <col min="11523" max="11523" width="12.7109375" style="273" bestFit="1" customWidth="1"/>
    <col min="11524" max="11524" width="24" style="273" customWidth="1"/>
    <col min="11525" max="11525" width="22.28515625" style="273" bestFit="1" customWidth="1"/>
    <col min="11526" max="11526" width="23.85546875" style="273" customWidth="1"/>
    <col min="11527" max="11527" width="14.28515625" style="273" customWidth="1"/>
    <col min="11528" max="11528" width="18.140625" style="273" customWidth="1"/>
    <col min="11529" max="11529" width="25.85546875" style="273" customWidth="1"/>
    <col min="11530" max="11777" width="8.85546875" style="273"/>
    <col min="11778" max="11778" width="32.5703125" style="273" bestFit="1" customWidth="1"/>
    <col min="11779" max="11779" width="12.7109375" style="273" bestFit="1" customWidth="1"/>
    <col min="11780" max="11780" width="24" style="273" customWidth="1"/>
    <col min="11781" max="11781" width="22.28515625" style="273" bestFit="1" customWidth="1"/>
    <col min="11782" max="11782" width="23.85546875" style="273" customWidth="1"/>
    <col min="11783" max="11783" width="14.28515625" style="273" customWidth="1"/>
    <col min="11784" max="11784" width="18.140625" style="273" customWidth="1"/>
    <col min="11785" max="11785" width="25.85546875" style="273" customWidth="1"/>
    <col min="11786" max="12033" width="8.85546875" style="273"/>
    <col min="12034" max="12034" width="32.5703125" style="273" bestFit="1" customWidth="1"/>
    <col min="12035" max="12035" width="12.7109375" style="273" bestFit="1" customWidth="1"/>
    <col min="12036" max="12036" width="24" style="273" customWidth="1"/>
    <col min="12037" max="12037" width="22.28515625" style="273" bestFit="1" customWidth="1"/>
    <col min="12038" max="12038" width="23.85546875" style="273" customWidth="1"/>
    <col min="12039" max="12039" width="14.28515625" style="273" customWidth="1"/>
    <col min="12040" max="12040" width="18.140625" style="273" customWidth="1"/>
    <col min="12041" max="12041" width="25.85546875" style="273" customWidth="1"/>
    <col min="12042" max="12289" width="8.85546875" style="273"/>
    <col min="12290" max="12290" width="32.5703125" style="273" bestFit="1" customWidth="1"/>
    <col min="12291" max="12291" width="12.7109375" style="273" bestFit="1" customWidth="1"/>
    <col min="12292" max="12292" width="24" style="273" customWidth="1"/>
    <col min="12293" max="12293" width="22.28515625" style="273" bestFit="1" customWidth="1"/>
    <col min="12294" max="12294" width="23.85546875" style="273" customWidth="1"/>
    <col min="12295" max="12295" width="14.28515625" style="273" customWidth="1"/>
    <col min="12296" max="12296" width="18.140625" style="273" customWidth="1"/>
    <col min="12297" max="12297" width="25.85546875" style="273" customWidth="1"/>
    <col min="12298" max="12545" width="8.85546875" style="273"/>
    <col min="12546" max="12546" width="32.5703125" style="273" bestFit="1" customWidth="1"/>
    <col min="12547" max="12547" width="12.7109375" style="273" bestFit="1" customWidth="1"/>
    <col min="12548" max="12548" width="24" style="273" customWidth="1"/>
    <col min="12549" max="12549" width="22.28515625" style="273" bestFit="1" customWidth="1"/>
    <col min="12550" max="12550" width="23.85546875" style="273" customWidth="1"/>
    <col min="12551" max="12551" width="14.28515625" style="273" customWidth="1"/>
    <col min="12552" max="12552" width="18.140625" style="273" customWidth="1"/>
    <col min="12553" max="12553" width="25.85546875" style="273" customWidth="1"/>
    <col min="12554" max="12801" width="8.85546875" style="273"/>
    <col min="12802" max="12802" width="32.5703125" style="273" bestFit="1" customWidth="1"/>
    <col min="12803" max="12803" width="12.7109375" style="273" bestFit="1" customWidth="1"/>
    <col min="12804" max="12804" width="24" style="273" customWidth="1"/>
    <col min="12805" max="12805" width="22.28515625" style="273" bestFit="1" customWidth="1"/>
    <col min="12806" max="12806" width="23.85546875" style="273" customWidth="1"/>
    <col min="12807" max="12807" width="14.28515625" style="273" customWidth="1"/>
    <col min="12808" max="12808" width="18.140625" style="273" customWidth="1"/>
    <col min="12809" max="12809" width="25.85546875" style="273" customWidth="1"/>
    <col min="12810" max="13057" width="8.85546875" style="273"/>
    <col min="13058" max="13058" width="32.5703125" style="273" bestFit="1" customWidth="1"/>
    <col min="13059" max="13059" width="12.7109375" style="273" bestFit="1" customWidth="1"/>
    <col min="13060" max="13060" width="24" style="273" customWidth="1"/>
    <col min="13061" max="13061" width="22.28515625" style="273" bestFit="1" customWidth="1"/>
    <col min="13062" max="13062" width="23.85546875" style="273" customWidth="1"/>
    <col min="13063" max="13063" width="14.28515625" style="273" customWidth="1"/>
    <col min="13064" max="13064" width="18.140625" style="273" customWidth="1"/>
    <col min="13065" max="13065" width="25.85546875" style="273" customWidth="1"/>
    <col min="13066" max="13313" width="8.85546875" style="273"/>
    <col min="13314" max="13314" width="32.5703125" style="273" bestFit="1" customWidth="1"/>
    <col min="13315" max="13315" width="12.7109375" style="273" bestFit="1" customWidth="1"/>
    <col min="13316" max="13316" width="24" style="273" customWidth="1"/>
    <col min="13317" max="13317" width="22.28515625" style="273" bestFit="1" customWidth="1"/>
    <col min="13318" max="13318" width="23.85546875" style="273" customWidth="1"/>
    <col min="13319" max="13319" width="14.28515625" style="273" customWidth="1"/>
    <col min="13320" max="13320" width="18.140625" style="273" customWidth="1"/>
    <col min="13321" max="13321" width="25.85546875" style="273" customWidth="1"/>
    <col min="13322" max="13569" width="8.85546875" style="273"/>
    <col min="13570" max="13570" width="32.5703125" style="273" bestFit="1" customWidth="1"/>
    <col min="13571" max="13571" width="12.7109375" style="273" bestFit="1" customWidth="1"/>
    <col min="13572" max="13572" width="24" style="273" customWidth="1"/>
    <col min="13573" max="13573" width="22.28515625" style="273" bestFit="1" customWidth="1"/>
    <col min="13574" max="13574" width="23.85546875" style="273" customWidth="1"/>
    <col min="13575" max="13575" width="14.28515625" style="273" customWidth="1"/>
    <col min="13576" max="13576" width="18.140625" style="273" customWidth="1"/>
    <col min="13577" max="13577" width="25.85546875" style="273" customWidth="1"/>
    <col min="13578" max="13825" width="8.85546875" style="273"/>
    <col min="13826" max="13826" width="32.5703125" style="273" bestFit="1" customWidth="1"/>
    <col min="13827" max="13827" width="12.7109375" style="273" bestFit="1" customWidth="1"/>
    <col min="13828" max="13828" width="24" style="273" customWidth="1"/>
    <col min="13829" max="13829" width="22.28515625" style="273" bestFit="1" customWidth="1"/>
    <col min="13830" max="13830" width="23.85546875" style="273" customWidth="1"/>
    <col min="13831" max="13831" width="14.28515625" style="273" customWidth="1"/>
    <col min="13832" max="13832" width="18.140625" style="273" customWidth="1"/>
    <col min="13833" max="13833" width="25.85546875" style="273" customWidth="1"/>
    <col min="13834" max="14081" width="8.85546875" style="273"/>
    <col min="14082" max="14082" width="32.5703125" style="273" bestFit="1" customWidth="1"/>
    <col min="14083" max="14083" width="12.7109375" style="273" bestFit="1" customWidth="1"/>
    <col min="14084" max="14084" width="24" style="273" customWidth="1"/>
    <col min="14085" max="14085" width="22.28515625" style="273" bestFit="1" customWidth="1"/>
    <col min="14086" max="14086" width="23.85546875" style="273" customWidth="1"/>
    <col min="14087" max="14087" width="14.28515625" style="273" customWidth="1"/>
    <col min="14088" max="14088" width="18.140625" style="273" customWidth="1"/>
    <col min="14089" max="14089" width="25.85546875" style="273" customWidth="1"/>
    <col min="14090" max="14337" width="8.85546875" style="273"/>
    <col min="14338" max="14338" width="32.5703125" style="273" bestFit="1" customWidth="1"/>
    <col min="14339" max="14339" width="12.7109375" style="273" bestFit="1" customWidth="1"/>
    <col min="14340" max="14340" width="24" style="273" customWidth="1"/>
    <col min="14341" max="14341" width="22.28515625" style="273" bestFit="1" customWidth="1"/>
    <col min="14342" max="14342" width="23.85546875" style="273" customWidth="1"/>
    <col min="14343" max="14343" width="14.28515625" style="273" customWidth="1"/>
    <col min="14344" max="14344" width="18.140625" style="273" customWidth="1"/>
    <col min="14345" max="14345" width="25.85546875" style="273" customWidth="1"/>
    <col min="14346" max="14593" width="8.85546875" style="273"/>
    <col min="14594" max="14594" width="32.5703125" style="273" bestFit="1" customWidth="1"/>
    <col min="14595" max="14595" width="12.7109375" style="273" bestFit="1" customWidth="1"/>
    <col min="14596" max="14596" width="24" style="273" customWidth="1"/>
    <col min="14597" max="14597" width="22.28515625" style="273" bestFit="1" customWidth="1"/>
    <col min="14598" max="14598" width="23.85546875" style="273" customWidth="1"/>
    <col min="14599" max="14599" width="14.28515625" style="273" customWidth="1"/>
    <col min="14600" max="14600" width="18.140625" style="273" customWidth="1"/>
    <col min="14601" max="14601" width="25.85546875" style="273" customWidth="1"/>
    <col min="14602" max="14849" width="8.85546875" style="273"/>
    <col min="14850" max="14850" width="32.5703125" style="273" bestFit="1" customWidth="1"/>
    <col min="14851" max="14851" width="12.7109375" style="273" bestFit="1" customWidth="1"/>
    <col min="14852" max="14852" width="24" style="273" customWidth="1"/>
    <col min="14853" max="14853" width="22.28515625" style="273" bestFit="1" customWidth="1"/>
    <col min="14854" max="14854" width="23.85546875" style="273" customWidth="1"/>
    <col min="14855" max="14855" width="14.28515625" style="273" customWidth="1"/>
    <col min="14856" max="14856" width="18.140625" style="273" customWidth="1"/>
    <col min="14857" max="14857" width="25.85546875" style="273" customWidth="1"/>
    <col min="14858" max="15105" width="8.85546875" style="273"/>
    <col min="15106" max="15106" width="32.5703125" style="273" bestFit="1" customWidth="1"/>
    <col min="15107" max="15107" width="12.7109375" style="273" bestFit="1" customWidth="1"/>
    <col min="15108" max="15108" width="24" style="273" customWidth="1"/>
    <col min="15109" max="15109" width="22.28515625" style="273" bestFit="1" customWidth="1"/>
    <col min="15110" max="15110" width="23.85546875" style="273" customWidth="1"/>
    <col min="15111" max="15111" width="14.28515625" style="273" customWidth="1"/>
    <col min="15112" max="15112" width="18.140625" style="273" customWidth="1"/>
    <col min="15113" max="15113" width="25.85546875" style="273" customWidth="1"/>
    <col min="15114" max="15361" width="8.85546875" style="273"/>
    <col min="15362" max="15362" width="32.5703125" style="273" bestFit="1" customWidth="1"/>
    <col min="15363" max="15363" width="12.7109375" style="273" bestFit="1" customWidth="1"/>
    <col min="15364" max="15364" width="24" style="273" customWidth="1"/>
    <col min="15365" max="15365" width="22.28515625" style="273" bestFit="1" customWidth="1"/>
    <col min="15366" max="15366" width="23.85546875" style="273" customWidth="1"/>
    <col min="15367" max="15367" width="14.28515625" style="273" customWidth="1"/>
    <col min="15368" max="15368" width="18.140625" style="273" customWidth="1"/>
    <col min="15369" max="15369" width="25.85546875" style="273" customWidth="1"/>
    <col min="15370" max="15617" width="8.85546875" style="273"/>
    <col min="15618" max="15618" width="32.5703125" style="273" bestFit="1" customWidth="1"/>
    <col min="15619" max="15619" width="12.7109375" style="273" bestFit="1" customWidth="1"/>
    <col min="15620" max="15620" width="24" style="273" customWidth="1"/>
    <col min="15621" max="15621" width="22.28515625" style="273" bestFit="1" customWidth="1"/>
    <col min="15622" max="15622" width="23.85546875" style="273" customWidth="1"/>
    <col min="15623" max="15623" width="14.28515625" style="273" customWidth="1"/>
    <col min="15624" max="15624" width="18.140625" style="273" customWidth="1"/>
    <col min="15625" max="15625" width="25.85546875" style="273" customWidth="1"/>
    <col min="15626" max="15873" width="8.85546875" style="273"/>
    <col min="15874" max="15874" width="32.5703125" style="273" bestFit="1" customWidth="1"/>
    <col min="15875" max="15875" width="12.7109375" style="273" bestFit="1" customWidth="1"/>
    <col min="15876" max="15876" width="24" style="273" customWidth="1"/>
    <col min="15877" max="15877" width="22.28515625" style="273" bestFit="1" customWidth="1"/>
    <col min="15878" max="15878" width="23.85546875" style="273" customWidth="1"/>
    <col min="15879" max="15879" width="14.28515625" style="273" customWidth="1"/>
    <col min="15880" max="15880" width="18.140625" style="273" customWidth="1"/>
    <col min="15881" max="15881" width="25.85546875" style="273" customWidth="1"/>
    <col min="15882" max="16129" width="8.85546875" style="273"/>
    <col min="16130" max="16130" width="32.5703125" style="273" bestFit="1" customWidth="1"/>
    <col min="16131" max="16131" width="12.7109375" style="273" bestFit="1" customWidth="1"/>
    <col min="16132" max="16132" width="24" style="273" customWidth="1"/>
    <col min="16133" max="16133" width="22.28515625" style="273" bestFit="1" customWidth="1"/>
    <col min="16134" max="16134" width="23.85546875" style="273" customWidth="1"/>
    <col min="16135" max="16135" width="14.28515625" style="273" customWidth="1"/>
    <col min="16136" max="16136" width="18.140625" style="273" customWidth="1"/>
    <col min="16137" max="16137" width="25.85546875" style="273" customWidth="1"/>
    <col min="16138" max="16384" width="8.85546875" style="273"/>
  </cols>
  <sheetData>
    <row r="1" spans="1:9" x14ac:dyDescent="0.2">
      <c r="A1" s="272" t="s">
        <v>242</v>
      </c>
    </row>
    <row r="2" spans="1:9" x14ac:dyDescent="0.2">
      <c r="A2" s="272" t="str">
        <f>+'Significant Acctg Policies'!B2</f>
        <v>NOTES FORMING PART OF PROVISIONAL BALANCE SHEET FOR THE YEAR ENDED 31st March, 2024</v>
      </c>
    </row>
    <row r="4" spans="1:9" x14ac:dyDescent="0.2">
      <c r="A4" s="272" t="s">
        <v>293</v>
      </c>
    </row>
    <row r="5" spans="1:9" x14ac:dyDescent="0.2">
      <c r="A5" s="272"/>
      <c r="I5" s="274"/>
    </row>
    <row r="6" spans="1:9" x14ac:dyDescent="0.2">
      <c r="A6" s="272" t="s">
        <v>294</v>
      </c>
      <c r="F6" s="721" t="s">
        <v>347</v>
      </c>
      <c r="G6" s="721"/>
      <c r="H6" s="721"/>
      <c r="I6" s="721"/>
    </row>
    <row r="7" spans="1:9" ht="38.25" x14ac:dyDescent="0.2">
      <c r="A7" s="275" t="s">
        <v>295</v>
      </c>
      <c r="B7" s="276" t="s">
        <v>296</v>
      </c>
      <c r="C7" s="276" t="s">
        <v>297</v>
      </c>
      <c r="D7" s="277" t="s">
        <v>393</v>
      </c>
      <c r="E7" s="277" t="s">
        <v>299</v>
      </c>
      <c r="F7" s="277" t="s">
        <v>248</v>
      </c>
      <c r="G7" s="277" t="s">
        <v>249</v>
      </c>
      <c r="H7" s="277" t="s">
        <v>300</v>
      </c>
      <c r="I7" s="277" t="s">
        <v>394</v>
      </c>
    </row>
    <row r="8" spans="1:9" x14ac:dyDescent="0.2">
      <c r="A8" s="278"/>
      <c r="B8" s="279"/>
      <c r="C8" s="278"/>
      <c r="D8" s="278"/>
      <c r="E8" s="278"/>
      <c r="F8" s="278"/>
      <c r="G8" s="280"/>
      <c r="H8" s="279"/>
      <c r="I8" s="278"/>
    </row>
    <row r="9" spans="1:9" x14ac:dyDescent="0.2">
      <c r="A9" s="281">
        <v>1</v>
      </c>
      <c r="B9" s="279" t="s">
        <v>245</v>
      </c>
      <c r="C9" s="282">
        <v>0.5</v>
      </c>
      <c r="D9" s="283">
        <f>+I17</f>
        <v>40000000</v>
      </c>
      <c r="E9" s="283">
        <v>0</v>
      </c>
      <c r="F9" s="283">
        <v>0</v>
      </c>
      <c r="G9" s="283">
        <v>0</v>
      </c>
      <c r="H9" s="283">
        <v>0</v>
      </c>
      <c r="I9" s="284">
        <f>D9+E9+F9+G9-H9</f>
        <v>40000000</v>
      </c>
    </row>
    <row r="10" spans="1:9" x14ac:dyDescent="0.2">
      <c r="A10" s="281">
        <v>2</v>
      </c>
      <c r="B10" s="279" t="s">
        <v>267</v>
      </c>
      <c r="C10" s="282">
        <v>0.5</v>
      </c>
      <c r="D10" s="283">
        <f>+I18</f>
        <v>40000000</v>
      </c>
      <c r="E10" s="283">
        <v>0</v>
      </c>
      <c r="F10" s="283">
        <v>0</v>
      </c>
      <c r="G10" s="283">
        <v>0</v>
      </c>
      <c r="H10" s="283">
        <v>0</v>
      </c>
      <c r="I10" s="284">
        <f>D10+E10+F10+G10-H10</f>
        <v>40000000</v>
      </c>
    </row>
    <row r="11" spans="1:9" x14ac:dyDescent="0.2">
      <c r="A11" s="285"/>
      <c r="B11" s="286"/>
      <c r="C11" s="287"/>
      <c r="D11" s="288"/>
      <c r="E11" s="288"/>
      <c r="F11" s="288"/>
      <c r="G11" s="289"/>
      <c r="H11" s="289"/>
      <c r="I11" s="289"/>
    </row>
    <row r="12" spans="1:9" x14ac:dyDescent="0.2">
      <c r="A12" s="290"/>
      <c r="B12" s="291"/>
      <c r="C12" s="290"/>
      <c r="D12" s="292">
        <f t="shared" ref="D12:I12" si="0">SUM(D9:D11)</f>
        <v>80000000</v>
      </c>
      <c r="E12" s="293">
        <f t="shared" si="0"/>
        <v>0</v>
      </c>
      <c r="F12" s="294">
        <f t="shared" si="0"/>
        <v>0</v>
      </c>
      <c r="G12" s="294">
        <f t="shared" si="0"/>
        <v>0</v>
      </c>
      <c r="H12" s="294">
        <f t="shared" si="0"/>
        <v>0</v>
      </c>
      <c r="I12" s="293">
        <f t="shared" si="0"/>
        <v>80000000</v>
      </c>
    </row>
    <row r="15" spans="1:9" ht="38.25" x14ac:dyDescent="0.2">
      <c r="A15" s="275" t="s">
        <v>295</v>
      </c>
      <c r="B15" s="276" t="s">
        <v>296</v>
      </c>
      <c r="C15" s="276" t="s">
        <v>297</v>
      </c>
      <c r="D15" s="277" t="s">
        <v>298</v>
      </c>
      <c r="E15" s="277" t="s">
        <v>299</v>
      </c>
      <c r="F15" s="277" t="s">
        <v>248</v>
      </c>
      <c r="G15" s="277" t="s">
        <v>249</v>
      </c>
      <c r="H15" s="277" t="s">
        <v>300</v>
      </c>
      <c r="I15" s="277" t="s">
        <v>301</v>
      </c>
    </row>
    <row r="16" spans="1:9" x14ac:dyDescent="0.2">
      <c r="A16" s="278"/>
      <c r="B16" s="279"/>
      <c r="C16" s="278"/>
      <c r="D16" s="278"/>
      <c r="E16" s="278"/>
      <c r="F16" s="278"/>
      <c r="G16" s="280"/>
      <c r="H16" s="279"/>
      <c r="I16" s="278"/>
    </row>
    <row r="17" spans="1:9" x14ac:dyDescent="0.2">
      <c r="A17" s="281">
        <v>1</v>
      </c>
      <c r="B17" s="279" t="s">
        <v>245</v>
      </c>
      <c r="C17" s="282">
        <v>0.5</v>
      </c>
      <c r="D17" s="283">
        <v>0</v>
      </c>
      <c r="E17" s="284">
        <f>+'Trial Balance_16.04'!B10</f>
        <v>40000000</v>
      </c>
      <c r="F17" s="283">
        <v>0</v>
      </c>
      <c r="G17" s="283">
        <v>0</v>
      </c>
      <c r="H17" s="283">
        <v>0</v>
      </c>
      <c r="I17" s="284">
        <f>D17+E17+F17+G17-H17</f>
        <v>40000000</v>
      </c>
    </row>
    <row r="18" spans="1:9" x14ac:dyDescent="0.2">
      <c r="A18" s="281">
        <v>2</v>
      </c>
      <c r="B18" s="279" t="s">
        <v>267</v>
      </c>
      <c r="C18" s="282">
        <v>0.5</v>
      </c>
      <c r="D18" s="283">
        <v>0</v>
      </c>
      <c r="E18" s="284">
        <f>+'Trial Balance_16.04'!B12</f>
        <v>40000000</v>
      </c>
      <c r="F18" s="283">
        <v>0</v>
      </c>
      <c r="G18" s="283">
        <v>0</v>
      </c>
      <c r="H18" s="283">
        <v>0</v>
      </c>
      <c r="I18" s="284">
        <f>D18+E18+F18+G18-H18</f>
        <v>40000000</v>
      </c>
    </row>
    <row r="19" spans="1:9" x14ac:dyDescent="0.2">
      <c r="A19" s="285"/>
      <c r="B19" s="286"/>
      <c r="C19" s="287"/>
      <c r="D19" s="288"/>
      <c r="E19" s="288"/>
      <c r="F19" s="288"/>
      <c r="G19" s="289"/>
      <c r="H19" s="289"/>
      <c r="I19" s="289"/>
    </row>
    <row r="20" spans="1:9" x14ac:dyDescent="0.2">
      <c r="A20" s="290"/>
      <c r="B20" s="291"/>
      <c r="C20" s="290"/>
      <c r="D20" s="292">
        <f t="shared" ref="D20:I20" si="1">SUM(D17:D19)</f>
        <v>0</v>
      </c>
      <c r="E20" s="293">
        <f t="shared" si="1"/>
        <v>80000000</v>
      </c>
      <c r="F20" s="294">
        <f t="shared" si="1"/>
        <v>0</v>
      </c>
      <c r="G20" s="294">
        <f t="shared" si="1"/>
        <v>0</v>
      </c>
      <c r="H20" s="294">
        <f t="shared" si="1"/>
        <v>0</v>
      </c>
      <c r="I20" s="293">
        <f t="shared" si="1"/>
        <v>80000000</v>
      </c>
    </row>
    <row r="23" spans="1:9" x14ac:dyDescent="0.2">
      <c r="A23" s="272" t="s">
        <v>302</v>
      </c>
    </row>
    <row r="24" spans="1:9" ht="38.25" x14ac:dyDescent="0.2">
      <c r="A24" s="275" t="s">
        <v>295</v>
      </c>
      <c r="B24" s="276" t="s">
        <v>296</v>
      </c>
      <c r="C24" s="276" t="s">
        <v>297</v>
      </c>
      <c r="D24" s="277" t="s">
        <v>393</v>
      </c>
      <c r="E24" s="277" t="s">
        <v>303</v>
      </c>
      <c r="F24" s="277" t="s">
        <v>394</v>
      </c>
    </row>
    <row r="25" spans="1:9" x14ac:dyDescent="0.2">
      <c r="A25" s="278"/>
      <c r="B25" s="279"/>
      <c r="C25" s="278"/>
      <c r="D25" s="278"/>
      <c r="E25" s="278"/>
      <c r="F25" s="278"/>
    </row>
    <row r="26" spans="1:9" x14ac:dyDescent="0.2">
      <c r="A26" s="281">
        <v>1</v>
      </c>
      <c r="B26" s="279" t="s">
        <v>245</v>
      </c>
      <c r="C26" s="282">
        <v>0.5</v>
      </c>
      <c r="D26" s="284">
        <f>+F34</f>
        <v>-911530.41500000004</v>
      </c>
      <c r="E26" s="284">
        <f ca="1">C26*'P &amp; L'!D34</f>
        <v>-2291219.2171232877</v>
      </c>
      <c r="F26" s="284">
        <f ca="1">D26+E26</f>
        <v>-3202749.6321232878</v>
      </c>
    </row>
    <row r="27" spans="1:9" x14ac:dyDescent="0.2">
      <c r="A27" s="281">
        <v>2</v>
      </c>
      <c r="B27" s="279" t="s">
        <v>267</v>
      </c>
      <c r="C27" s="282">
        <v>0.5</v>
      </c>
      <c r="D27" s="284">
        <f>+F35</f>
        <v>-911530.41500000004</v>
      </c>
      <c r="E27" s="284">
        <f ca="1">C27*'P &amp; L'!D34</f>
        <v>-2291219.2171232877</v>
      </c>
      <c r="F27" s="284">
        <f ca="1">D27+E27</f>
        <v>-3202749.6321232878</v>
      </c>
    </row>
    <row r="28" spans="1:9" x14ac:dyDescent="0.2">
      <c r="A28" s="285"/>
      <c r="B28" s="286"/>
      <c r="C28" s="287"/>
      <c r="D28" s="288"/>
      <c r="E28" s="288"/>
      <c r="F28" s="289"/>
    </row>
    <row r="29" spans="1:9" x14ac:dyDescent="0.2">
      <c r="A29" s="290"/>
      <c r="B29" s="291"/>
      <c r="C29" s="290"/>
      <c r="D29" s="292">
        <f>SUM(D26:D28)</f>
        <v>-1823060.83</v>
      </c>
      <c r="E29" s="293">
        <f ca="1">SUM(E26:E28)</f>
        <v>-4582438.4342465755</v>
      </c>
      <c r="F29" s="293">
        <f ca="1">SUM(F26:F28)</f>
        <v>-6405499.2642465755</v>
      </c>
    </row>
    <row r="32" spans="1:9" ht="38.25" x14ac:dyDescent="0.2">
      <c r="A32" s="275" t="s">
        <v>295</v>
      </c>
      <c r="B32" s="276" t="s">
        <v>296</v>
      </c>
      <c r="C32" s="276" t="s">
        <v>297</v>
      </c>
      <c r="D32" s="277" t="s">
        <v>298</v>
      </c>
      <c r="E32" s="277" t="s">
        <v>303</v>
      </c>
      <c r="F32" s="277" t="s">
        <v>301</v>
      </c>
    </row>
    <row r="33" spans="1:6" x14ac:dyDescent="0.2">
      <c r="A33" s="278"/>
      <c r="B33" s="279"/>
      <c r="C33" s="278"/>
      <c r="D33" s="278"/>
      <c r="E33" s="278"/>
      <c r="F33" s="278"/>
    </row>
    <row r="34" spans="1:6" x14ac:dyDescent="0.2">
      <c r="A34" s="281">
        <v>1</v>
      </c>
      <c r="B34" s="279" t="s">
        <v>245</v>
      </c>
      <c r="C34" s="282">
        <v>0.5</v>
      </c>
      <c r="D34" s="283">
        <v>0</v>
      </c>
      <c r="E34" s="284">
        <f>C26*'P &amp; L'!E34</f>
        <v>-911530.41500000004</v>
      </c>
      <c r="F34" s="284">
        <f>D34+E34</f>
        <v>-911530.41500000004</v>
      </c>
    </row>
    <row r="35" spans="1:6" x14ac:dyDescent="0.2">
      <c r="A35" s="281">
        <v>2</v>
      </c>
      <c r="B35" s="279" t="s">
        <v>267</v>
      </c>
      <c r="C35" s="282">
        <v>0.5</v>
      </c>
      <c r="D35" s="283">
        <v>0</v>
      </c>
      <c r="E35" s="284">
        <f>C27*'P &amp; L'!E34</f>
        <v>-911530.41500000004</v>
      </c>
      <c r="F35" s="284">
        <f>D35+E35</f>
        <v>-911530.41500000004</v>
      </c>
    </row>
    <row r="36" spans="1:6" x14ac:dyDescent="0.2">
      <c r="A36" s="285"/>
      <c r="B36" s="286"/>
      <c r="C36" s="287"/>
      <c r="D36" s="288"/>
      <c r="E36" s="288"/>
      <c r="F36" s="289"/>
    </row>
    <row r="37" spans="1:6" x14ac:dyDescent="0.2">
      <c r="A37" s="290"/>
      <c r="B37" s="291"/>
      <c r="C37" s="290"/>
      <c r="D37" s="292">
        <f>SUM(D34:D36)</f>
        <v>0</v>
      </c>
      <c r="E37" s="293">
        <f>SUM(E34:E36)</f>
        <v>-1823060.83</v>
      </c>
      <c r="F37" s="293">
        <f>SUM(F34:F36)</f>
        <v>-1823060.83</v>
      </c>
    </row>
  </sheetData>
  <mergeCells count="1">
    <mergeCell ref="F6:I6"/>
  </mergeCells>
  <pageMargins left="0.70866141732283472" right="0.70866141732283472" top="0.74803149606299213" bottom="0.74803149606299213" header="0.31496062992125984" footer="0.31496062992125984"/>
  <pageSetup paperSize="9" scale="54"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195"/>
  <sheetViews>
    <sheetView showGridLines="0" view="pageBreakPreview" topLeftCell="A63" zoomScale="90" zoomScaleNormal="90" zoomScaleSheetLayoutView="90" workbookViewId="0">
      <selection activeCell="C65" sqref="C65"/>
    </sheetView>
  </sheetViews>
  <sheetFormatPr defaultColWidth="8.7109375" defaultRowHeight="12.75" x14ac:dyDescent="0.2"/>
  <cols>
    <col min="1" max="1" width="6.7109375" style="20" customWidth="1"/>
    <col min="2" max="2" width="64.140625" style="20" bestFit="1" customWidth="1"/>
    <col min="3" max="4" width="19.85546875" style="20" customWidth="1"/>
    <col min="5" max="5" width="15.7109375" style="20" customWidth="1"/>
    <col min="6" max="6" width="20.5703125" style="20" bestFit="1" customWidth="1"/>
    <col min="7" max="7" width="15" style="20" bestFit="1" customWidth="1"/>
    <col min="8" max="8" width="13.5703125" style="20" bestFit="1" customWidth="1"/>
    <col min="9" max="9" width="14" style="20" bestFit="1" customWidth="1"/>
    <col min="10" max="16384" width="8.7109375" style="20"/>
  </cols>
  <sheetData>
    <row r="1" spans="1:7" x14ac:dyDescent="0.2">
      <c r="A1" s="722" t="str">
        <f>+BS!A1</f>
        <v>SPITI TOWNSHIP LLP</v>
      </c>
      <c r="B1" s="722"/>
      <c r="C1" s="722"/>
      <c r="D1" s="722"/>
      <c r="E1" s="24"/>
      <c r="F1" s="49">
        <v>100</v>
      </c>
      <c r="G1" s="20">
        <f>1*0</f>
        <v>0</v>
      </c>
    </row>
    <row r="2" spans="1:7" x14ac:dyDescent="0.2">
      <c r="A2" s="722" t="str">
        <f>+'Significant Acctg Policies'!B2</f>
        <v>NOTES FORMING PART OF PROVISIONAL BALANCE SHEET FOR THE YEAR ENDED 31st March, 2024</v>
      </c>
      <c r="B2" s="722"/>
      <c r="C2" s="722"/>
      <c r="D2" s="722"/>
      <c r="E2" s="24"/>
    </row>
    <row r="3" spans="1:7" x14ac:dyDescent="0.2">
      <c r="A3" s="28"/>
      <c r="B3" s="28"/>
      <c r="C3" s="28"/>
      <c r="D3" s="28"/>
      <c r="E3" s="24"/>
    </row>
    <row r="4" spans="1:7" x14ac:dyDescent="0.2">
      <c r="A4" s="741" t="s">
        <v>347</v>
      </c>
      <c r="B4" s="741"/>
      <c r="C4" s="741"/>
      <c r="D4" s="741"/>
      <c r="E4" s="24"/>
    </row>
    <row r="5" spans="1:7" x14ac:dyDescent="0.2">
      <c r="A5" s="24" t="s">
        <v>391</v>
      </c>
      <c r="B5" s="28"/>
      <c r="C5" s="28"/>
      <c r="D5" s="28"/>
      <c r="E5" s="24"/>
    </row>
    <row r="6" spans="1:7" x14ac:dyDescent="0.2">
      <c r="E6" s="295"/>
    </row>
    <row r="7" spans="1:7" x14ac:dyDescent="0.2">
      <c r="A7" s="36" t="s">
        <v>29</v>
      </c>
      <c r="B7" s="36" t="s">
        <v>0</v>
      </c>
      <c r="C7" s="36" t="s">
        <v>395</v>
      </c>
      <c r="D7" s="36" t="s">
        <v>219</v>
      </c>
      <c r="E7" s="24"/>
    </row>
    <row r="8" spans="1:7" x14ac:dyDescent="0.2">
      <c r="A8" s="229">
        <v>3.1</v>
      </c>
      <c r="B8" s="227" t="s">
        <v>286</v>
      </c>
      <c r="C8" s="618"/>
      <c r="D8" s="131"/>
      <c r="E8" s="24"/>
    </row>
    <row r="9" spans="1:7" x14ac:dyDescent="0.2">
      <c r="A9" s="79"/>
      <c r="B9" s="228" t="s">
        <v>288</v>
      </c>
      <c r="C9" s="217">
        <f>+'Trial Balance_16.04'!E18</f>
        <v>2000000</v>
      </c>
      <c r="D9" s="217">
        <f>32700000</f>
        <v>32700000</v>
      </c>
      <c r="E9" s="24"/>
    </row>
    <row r="10" spans="1:7" x14ac:dyDescent="0.2">
      <c r="A10" s="79"/>
      <c r="B10" s="72" t="s">
        <v>287</v>
      </c>
      <c r="C10" s="217">
        <f>+'Trial Balance_16.04'!E22</f>
        <v>76333564</v>
      </c>
      <c r="D10" s="217">
        <f>75509344</f>
        <v>75509344</v>
      </c>
      <c r="E10" s="24"/>
    </row>
    <row r="11" spans="1:7" x14ac:dyDescent="0.2">
      <c r="A11" s="79"/>
      <c r="B11" s="72" t="s">
        <v>266</v>
      </c>
      <c r="C11" s="296">
        <f>+'Trial Balance_16.04'!E19</f>
        <v>14675000</v>
      </c>
      <c r="D11" s="43">
        <f>9675000</f>
        <v>9675000</v>
      </c>
      <c r="E11" s="24"/>
    </row>
    <row r="12" spans="1:7" x14ac:dyDescent="0.2">
      <c r="A12" s="79"/>
      <c r="B12" s="72" t="s">
        <v>555</v>
      </c>
      <c r="C12" s="296">
        <f>+'Trial Balance_16.04'!E20</f>
        <v>4000000</v>
      </c>
      <c r="D12" s="77">
        <v>0</v>
      </c>
      <c r="E12" s="24"/>
    </row>
    <row r="13" spans="1:7" x14ac:dyDescent="0.2">
      <c r="A13" s="79"/>
      <c r="B13" s="72"/>
      <c r="C13" s="296"/>
      <c r="D13" s="77"/>
      <c r="E13" s="24"/>
    </row>
    <row r="14" spans="1:7" x14ac:dyDescent="0.2">
      <c r="A14" s="79">
        <v>3.2</v>
      </c>
      <c r="B14" s="67" t="s">
        <v>289</v>
      </c>
      <c r="C14" s="619"/>
      <c r="D14" s="77"/>
      <c r="E14" s="24"/>
    </row>
    <row r="15" spans="1:7" x14ac:dyDescent="0.2">
      <c r="A15" s="79"/>
      <c r="B15" s="228" t="s">
        <v>290</v>
      </c>
      <c r="C15" s="296">
        <f>+TB!E23*0</f>
        <v>0</v>
      </c>
      <c r="D15" s="43">
        <f>52168137</f>
        <v>52168137</v>
      </c>
      <c r="E15" s="24"/>
    </row>
    <row r="16" spans="1:7" x14ac:dyDescent="0.2">
      <c r="A16" s="79"/>
      <c r="B16" s="228" t="s">
        <v>556</v>
      </c>
      <c r="C16" s="619">
        <f>+'Trial Balance_16.04'!E21</f>
        <v>3000000</v>
      </c>
      <c r="D16" s="77">
        <v>0</v>
      </c>
      <c r="E16" s="24"/>
    </row>
    <row r="17" spans="1:5" x14ac:dyDescent="0.2">
      <c r="A17" s="79"/>
      <c r="B17" s="228" t="str">
        <f>+PROPER(TB!A16)</f>
        <v>Aay Tee Logistic</v>
      </c>
      <c r="C17" s="619">
        <f>+'Trial Balance_16.04'!E16</f>
        <v>10000000</v>
      </c>
      <c r="D17" s="77">
        <v>0</v>
      </c>
      <c r="E17" s="24"/>
    </row>
    <row r="18" spans="1:5" x14ac:dyDescent="0.2">
      <c r="A18" s="79"/>
      <c r="B18" s="228" t="str">
        <f>+PROPER(TB!A17)</f>
        <v>Hot Wheels</v>
      </c>
      <c r="C18" s="619">
        <f>+'Trial Balance_16.04'!E17</f>
        <v>10000000</v>
      </c>
      <c r="D18" s="77">
        <v>0</v>
      </c>
      <c r="E18" s="24"/>
    </row>
    <row r="19" spans="1:5" x14ac:dyDescent="0.2">
      <c r="A19" s="79"/>
      <c r="B19" s="228" t="s">
        <v>440</v>
      </c>
      <c r="C19" s="619">
        <f>+'Trial Balance_16.04'!E72</f>
        <v>30000000</v>
      </c>
      <c r="D19" s="77">
        <v>0</v>
      </c>
      <c r="E19" s="24"/>
    </row>
    <row r="20" spans="1:5" x14ac:dyDescent="0.2">
      <c r="A20" s="79"/>
      <c r="B20" s="40"/>
      <c r="C20" s="619"/>
      <c r="D20" s="77"/>
      <c r="E20" s="24"/>
    </row>
    <row r="21" spans="1:5" x14ac:dyDescent="0.2">
      <c r="A21" s="79">
        <v>3.3</v>
      </c>
      <c r="B21" s="67" t="s">
        <v>369</v>
      </c>
      <c r="C21" s="619"/>
      <c r="D21" s="77"/>
      <c r="E21" s="24"/>
    </row>
    <row r="22" spans="1:5" x14ac:dyDescent="0.2">
      <c r="A22" s="71"/>
      <c r="B22" s="40" t="s">
        <v>291</v>
      </c>
      <c r="C22" s="296">
        <f>'Trial Balance_16.04'!$E$25-'Trial Balance_16.04'!B178</f>
        <v>270000000</v>
      </c>
      <c r="D22" s="43">
        <f>80000000</f>
        <v>80000000</v>
      </c>
      <c r="E22" s="24"/>
    </row>
    <row r="23" spans="1:5" x14ac:dyDescent="0.2">
      <c r="A23" s="71"/>
      <c r="B23" s="40"/>
      <c r="C23" s="296"/>
      <c r="D23" s="43"/>
      <c r="E23" s="24"/>
    </row>
    <row r="24" spans="1:5" x14ac:dyDescent="0.2">
      <c r="A24" s="71"/>
      <c r="B24" s="331"/>
      <c r="C24" s="40"/>
      <c r="D24" s="43"/>
      <c r="E24" s="24"/>
    </row>
    <row r="25" spans="1:5" x14ac:dyDescent="0.2">
      <c r="A25" s="737" t="s">
        <v>2</v>
      </c>
      <c r="B25" s="738"/>
      <c r="C25" s="115">
        <f>SUM(C9:C22)</f>
        <v>420008564</v>
      </c>
      <c r="D25" s="115">
        <f>SUM(D9:D22)</f>
        <v>250052481</v>
      </c>
      <c r="E25" s="24"/>
    </row>
    <row r="26" spans="1:5" x14ac:dyDescent="0.2">
      <c r="A26" s="28"/>
      <c r="B26" s="28"/>
      <c r="C26" s="28"/>
      <c r="D26" s="28"/>
      <c r="E26" s="24"/>
    </row>
    <row r="27" spans="1:5" x14ac:dyDescent="0.2">
      <c r="A27" s="24" t="s">
        <v>559</v>
      </c>
      <c r="B27" s="28"/>
      <c r="C27" s="28"/>
      <c r="D27" s="28"/>
      <c r="E27" s="24"/>
    </row>
    <row r="28" spans="1:5" x14ac:dyDescent="0.2">
      <c r="A28" s="24"/>
      <c r="B28" s="28"/>
      <c r="C28" s="28"/>
      <c r="D28" s="28"/>
      <c r="E28" s="24"/>
    </row>
    <row r="29" spans="1:5" x14ac:dyDescent="0.2">
      <c r="A29" s="36" t="s">
        <v>29</v>
      </c>
      <c r="B29" s="36" t="s">
        <v>0</v>
      </c>
      <c r="C29" s="36" t="s">
        <v>395</v>
      </c>
      <c r="D29" s="36" t="s">
        <v>219</v>
      </c>
      <c r="E29" s="24"/>
    </row>
    <row r="30" spans="1:5" x14ac:dyDescent="0.2">
      <c r="A30" s="79"/>
      <c r="B30" s="78" t="s">
        <v>560</v>
      </c>
      <c r="C30" s="620">
        <f>+SUM('Trial Balance_16.04'!E43,'Trial Balance_16.04'!E47,'Trial Balance_16.04'!E50)</f>
        <v>3927042</v>
      </c>
      <c r="D30" s="217">
        <v>0</v>
      </c>
      <c r="E30" s="24"/>
    </row>
    <row r="31" spans="1:5" x14ac:dyDescent="0.2">
      <c r="A31" s="737" t="s">
        <v>2</v>
      </c>
      <c r="B31" s="738"/>
      <c r="C31" s="117">
        <f>SUM(C30:C30)</f>
        <v>3927042</v>
      </c>
      <c r="D31" s="115">
        <f>SUM(D30:D30)</f>
        <v>0</v>
      </c>
      <c r="E31" s="24"/>
    </row>
    <row r="32" spans="1:5" x14ac:dyDescent="0.2">
      <c r="A32" s="28"/>
      <c r="B32" s="28"/>
      <c r="C32" s="28"/>
      <c r="D32" s="28"/>
      <c r="E32" s="24"/>
    </row>
    <row r="33" spans="1:6" x14ac:dyDescent="0.2">
      <c r="A33" s="24" t="s">
        <v>304</v>
      </c>
      <c r="B33" s="28"/>
      <c r="C33" s="28"/>
      <c r="D33" s="28"/>
      <c r="E33" s="24"/>
    </row>
    <row r="34" spans="1:6" x14ac:dyDescent="0.2">
      <c r="A34" s="28"/>
      <c r="B34" s="28"/>
      <c r="C34" s="28"/>
      <c r="D34" s="28"/>
      <c r="E34" s="24"/>
    </row>
    <row r="35" spans="1:6" x14ac:dyDescent="0.2">
      <c r="A35" s="36" t="s">
        <v>29</v>
      </c>
      <c r="B35" s="36" t="s">
        <v>0</v>
      </c>
      <c r="C35" s="36" t="s">
        <v>395</v>
      </c>
      <c r="D35" s="36" t="s">
        <v>219</v>
      </c>
    </row>
    <row r="36" spans="1:6" x14ac:dyDescent="0.2">
      <c r="A36" s="79">
        <v>5.0999999999999996</v>
      </c>
      <c r="B36" s="17" t="s">
        <v>31</v>
      </c>
      <c r="C36" s="17"/>
      <c r="D36" s="114"/>
    </row>
    <row r="37" spans="1:6" x14ac:dyDescent="0.2">
      <c r="A37" s="79"/>
      <c r="B37" s="45" t="s">
        <v>44</v>
      </c>
      <c r="C37" s="621">
        <f>+SUM('Trial Balance_16.04'!E31:E35)</f>
        <v>806470</v>
      </c>
      <c r="D37" s="43">
        <f>(240904+5000)</f>
        <v>245904</v>
      </c>
    </row>
    <row r="38" spans="1:6" x14ac:dyDescent="0.2">
      <c r="A38" s="79"/>
      <c r="B38" s="45"/>
      <c r="C38" s="45"/>
      <c r="D38" s="43"/>
    </row>
    <row r="39" spans="1:6" x14ac:dyDescent="0.2">
      <c r="A39" s="79">
        <v>5.2</v>
      </c>
      <c r="B39" s="68" t="s">
        <v>42</v>
      </c>
      <c r="C39" s="68"/>
      <c r="D39" s="296"/>
    </row>
    <row r="40" spans="1:6" x14ac:dyDescent="0.2">
      <c r="A40" s="71"/>
      <c r="B40" s="40" t="s">
        <v>43</v>
      </c>
      <c r="C40" s="622">
        <f>+'Trial Balance_16.04'!E37+'Trial Balance_16.04'!C182</f>
        <v>79000</v>
      </c>
      <c r="D40" s="43">
        <f>54000</f>
        <v>54000</v>
      </c>
      <c r="F40" s="59"/>
    </row>
    <row r="41" spans="1:6" x14ac:dyDescent="0.2">
      <c r="A41" s="71"/>
      <c r="B41" s="40"/>
      <c r="C41" s="622"/>
      <c r="D41" s="43"/>
      <c r="F41" s="59"/>
    </row>
    <row r="42" spans="1:6" x14ac:dyDescent="0.2">
      <c r="A42" s="19">
        <v>5.3</v>
      </c>
      <c r="B42" s="68" t="s">
        <v>633</v>
      </c>
      <c r="C42" s="622"/>
      <c r="D42" s="43"/>
      <c r="F42" s="59"/>
    </row>
    <row r="43" spans="1:6" x14ac:dyDescent="0.2">
      <c r="A43" s="19"/>
      <c r="B43" s="170" t="s">
        <v>634</v>
      </c>
      <c r="C43" s="622">
        <f>+'Trial Balance_16.04'!E70</f>
        <v>306681780</v>
      </c>
      <c r="D43" s="43">
        <v>0</v>
      </c>
      <c r="F43" s="59"/>
    </row>
    <row r="44" spans="1:6" x14ac:dyDescent="0.2">
      <c r="A44" s="71"/>
      <c r="B44" s="170" t="s">
        <v>635</v>
      </c>
      <c r="C44" s="622">
        <f>+'Trial Balance_16.04'!E69</f>
        <v>119078925</v>
      </c>
      <c r="D44" s="43">
        <v>0</v>
      </c>
      <c r="F44" s="59"/>
    </row>
    <row r="45" spans="1:6" x14ac:dyDescent="0.2">
      <c r="A45" s="71"/>
      <c r="B45" s="40"/>
      <c r="C45" s="40"/>
      <c r="D45" s="43"/>
      <c r="F45" s="59"/>
    </row>
    <row r="46" spans="1:6" x14ac:dyDescent="0.2">
      <c r="A46" s="19">
        <v>5.4</v>
      </c>
      <c r="B46" s="68" t="s">
        <v>737</v>
      </c>
      <c r="C46" s="40"/>
      <c r="D46" s="43"/>
      <c r="F46" s="59"/>
    </row>
    <row r="47" spans="1:6" x14ac:dyDescent="0.2">
      <c r="A47" s="71"/>
      <c r="B47" s="170" t="s">
        <v>634</v>
      </c>
      <c r="C47" s="713">
        <f>+'Trial Balance_16.04'!C173</f>
        <v>16606000</v>
      </c>
      <c r="D47" s="43">
        <v>0</v>
      </c>
      <c r="F47" s="59"/>
    </row>
    <row r="48" spans="1:6" x14ac:dyDescent="0.2">
      <c r="A48" s="71"/>
      <c r="B48" s="170" t="s">
        <v>635</v>
      </c>
      <c r="C48" s="713">
        <f>+'Trial Balance_16.04'!C176</f>
        <v>7125000</v>
      </c>
      <c r="D48" s="43">
        <v>0</v>
      </c>
      <c r="F48" s="59"/>
    </row>
    <row r="49" spans="1:9" x14ac:dyDescent="0.2">
      <c r="A49" s="71"/>
      <c r="B49" s="170"/>
      <c r="C49" s="40"/>
      <c r="D49" s="43"/>
      <c r="F49" s="59"/>
    </row>
    <row r="50" spans="1:9" x14ac:dyDescent="0.2">
      <c r="A50" s="19">
        <v>5.5</v>
      </c>
      <c r="B50" s="40" t="s">
        <v>367</v>
      </c>
      <c r="C50" s="622">
        <v>0</v>
      </c>
      <c r="D50" s="43">
        <v>30000000</v>
      </c>
      <c r="F50" s="59"/>
    </row>
    <row r="51" spans="1:9" x14ac:dyDescent="0.2">
      <c r="A51" s="19"/>
      <c r="B51" s="40"/>
      <c r="C51" s="622"/>
      <c r="D51" s="43"/>
    </row>
    <row r="52" spans="1:9" x14ac:dyDescent="0.2">
      <c r="A52" s="19">
        <v>5.6</v>
      </c>
      <c r="B52" s="40" t="s">
        <v>561</v>
      </c>
      <c r="C52" s="622">
        <f>+'Trial Balance_16.04'!E61</f>
        <v>1411516</v>
      </c>
      <c r="D52" s="43">
        <v>0</v>
      </c>
    </row>
    <row r="53" spans="1:9" x14ac:dyDescent="0.2">
      <c r="A53" s="19"/>
      <c r="B53" s="40"/>
      <c r="C53" s="622"/>
      <c r="D53" s="43"/>
    </row>
    <row r="54" spans="1:9" x14ac:dyDescent="0.2">
      <c r="A54" s="19">
        <v>5.7</v>
      </c>
      <c r="B54" s="40" t="s">
        <v>695</v>
      </c>
      <c r="C54" s="622">
        <f>+'Trial Balance_16.04'!E71</f>
        <v>19068.8</v>
      </c>
      <c r="D54" s="43">
        <v>0</v>
      </c>
    </row>
    <row r="55" spans="1:9" x14ac:dyDescent="0.2">
      <c r="A55" s="19"/>
      <c r="B55" s="40"/>
      <c r="C55" s="622"/>
      <c r="D55" s="43"/>
    </row>
    <row r="56" spans="1:9" x14ac:dyDescent="0.2">
      <c r="A56" s="19">
        <v>5.8</v>
      </c>
      <c r="B56" s="40" t="s">
        <v>564</v>
      </c>
      <c r="C56" s="622">
        <f>+'Trial Balance_16.04'!E73</f>
        <v>2500000</v>
      </c>
      <c r="D56" s="43"/>
    </row>
    <row r="57" spans="1:9" x14ac:dyDescent="0.2">
      <c r="A57" s="19"/>
      <c r="B57" s="40"/>
      <c r="C57" s="622"/>
      <c r="D57" s="43"/>
    </row>
    <row r="58" spans="1:9" x14ac:dyDescent="0.2">
      <c r="A58" s="737" t="s">
        <v>2</v>
      </c>
      <c r="B58" s="738"/>
      <c r="C58" s="115">
        <f>SUM(C37:C57)</f>
        <v>454307759.80000001</v>
      </c>
      <c r="D58" s="115">
        <f>SUM(D37:D57)</f>
        <v>30299904</v>
      </c>
      <c r="G58" s="62"/>
      <c r="I58" s="62"/>
    </row>
    <row r="59" spans="1:9" x14ac:dyDescent="0.2">
      <c r="A59" s="42"/>
      <c r="B59" s="42"/>
      <c r="C59" s="42"/>
      <c r="D59" s="116"/>
      <c r="G59" s="62"/>
      <c r="I59" s="62"/>
    </row>
    <row r="60" spans="1:9" x14ac:dyDescent="0.2">
      <c r="A60" s="24" t="s">
        <v>592</v>
      </c>
      <c r="B60" s="30" t="s">
        <v>292</v>
      </c>
      <c r="C60" s="30"/>
      <c r="D60" s="28"/>
      <c r="G60" s="62"/>
      <c r="I60" s="62"/>
    </row>
    <row r="61" spans="1:9" x14ac:dyDescent="0.2">
      <c r="A61" s="28"/>
      <c r="B61" s="28"/>
      <c r="C61" s="28"/>
      <c r="D61" s="28"/>
      <c r="G61" s="62"/>
      <c r="I61" s="62"/>
    </row>
    <row r="62" spans="1:9" x14ac:dyDescent="0.2">
      <c r="A62" s="36" t="s">
        <v>29</v>
      </c>
      <c r="B62" s="36" t="s">
        <v>0</v>
      </c>
      <c r="C62" s="36" t="s">
        <v>395</v>
      </c>
      <c r="D62" s="36" t="s">
        <v>219</v>
      </c>
      <c r="G62" s="62"/>
      <c r="I62" s="62"/>
    </row>
    <row r="63" spans="1:9" ht="24.95" customHeight="1" x14ac:dyDescent="0.2">
      <c r="A63" s="79"/>
      <c r="B63" s="72" t="s">
        <v>390</v>
      </c>
      <c r="C63" s="217">
        <f ca="1">C122</f>
        <v>761907261.3499999</v>
      </c>
      <c r="D63" s="217">
        <f>D122</f>
        <v>99079460</v>
      </c>
      <c r="G63" s="62"/>
      <c r="I63" s="62"/>
    </row>
    <row r="64" spans="1:9" x14ac:dyDescent="0.2">
      <c r="A64" s="737" t="s">
        <v>2</v>
      </c>
      <c r="B64" s="738"/>
      <c r="C64" s="115">
        <f ca="1">C63</f>
        <v>761907261.3499999</v>
      </c>
      <c r="D64" s="115">
        <f>D63</f>
        <v>99079460</v>
      </c>
      <c r="G64" s="62"/>
      <c r="I64" s="62"/>
    </row>
    <row r="65" spans="1:9" x14ac:dyDescent="0.2">
      <c r="A65" s="42"/>
      <c r="B65" s="42"/>
      <c r="C65" s="42"/>
      <c r="D65" s="116"/>
      <c r="G65" s="62"/>
      <c r="I65" s="62"/>
    </row>
    <row r="66" spans="1:9" x14ac:dyDescent="0.2">
      <c r="A66" s="30" t="s">
        <v>593</v>
      </c>
      <c r="B66" s="42"/>
      <c r="C66" s="42"/>
      <c r="D66" s="119"/>
    </row>
    <row r="67" spans="1:9" x14ac:dyDescent="0.2">
      <c r="A67" s="42"/>
      <c r="B67" s="42"/>
      <c r="C67" s="42"/>
      <c r="D67" s="119"/>
    </row>
    <row r="68" spans="1:9" x14ac:dyDescent="0.2">
      <c r="A68" s="36" t="s">
        <v>29</v>
      </c>
      <c r="B68" s="36" t="s">
        <v>0</v>
      </c>
      <c r="C68" s="36" t="s">
        <v>395</v>
      </c>
      <c r="D68" s="36" t="s">
        <v>219</v>
      </c>
    </row>
    <row r="69" spans="1:9" x14ac:dyDescent="0.2">
      <c r="A69" s="131"/>
      <c r="B69" s="131"/>
      <c r="C69" s="131"/>
      <c r="D69" s="131"/>
    </row>
    <row r="70" spans="1:9" x14ac:dyDescent="0.2">
      <c r="A70" s="131"/>
      <c r="B70" s="40" t="s">
        <v>368</v>
      </c>
      <c r="C70" s="211">
        <f>+'Trial Balance_16.04'!E76</f>
        <v>142781467</v>
      </c>
      <c r="D70" s="211">
        <f>'Annexure 2'!B21</f>
        <v>126059758</v>
      </c>
    </row>
    <row r="71" spans="1:9" x14ac:dyDescent="0.2">
      <c r="A71" s="131"/>
      <c r="B71" s="40" t="s">
        <v>247</v>
      </c>
      <c r="C71" s="211">
        <f>+SUM('Trial Balance_16.04'!E119:E123,'Trial Balance_16.04'!B168)</f>
        <v>8983906.8991780821</v>
      </c>
      <c r="D71" s="211">
        <f>'Annexure 2'!B11</f>
        <v>744067</v>
      </c>
      <c r="E71" s="59">
        <f>+C71-D71</f>
        <v>8239839.8991780821</v>
      </c>
    </row>
    <row r="72" spans="1:9" x14ac:dyDescent="0.2">
      <c r="A72" s="52"/>
      <c r="B72" s="40" t="s">
        <v>696</v>
      </c>
      <c r="C72" s="296"/>
      <c r="D72" s="43"/>
    </row>
    <row r="73" spans="1:9" x14ac:dyDescent="0.2">
      <c r="A73" s="31"/>
      <c r="B73" s="40" t="s">
        <v>714</v>
      </c>
      <c r="C73" s="296">
        <f>+'Trial Balance_16.04'!E88+'Trial Balance_16.04'!E89</f>
        <v>233808.65000000002</v>
      </c>
      <c r="D73" s="43">
        <f>91245</f>
        <v>91245</v>
      </c>
    </row>
    <row r="74" spans="1:9" x14ac:dyDescent="0.2">
      <c r="A74" s="31"/>
      <c r="B74" s="40" t="s">
        <v>246</v>
      </c>
      <c r="C74" s="296">
        <f>+'Trial Balance_16.04'!E90</f>
        <v>61211.86</v>
      </c>
      <c r="D74" s="43">
        <f>303982.17</f>
        <v>303982.17</v>
      </c>
    </row>
    <row r="75" spans="1:9" x14ac:dyDescent="0.2">
      <c r="A75" s="737" t="s">
        <v>2</v>
      </c>
      <c r="B75" s="738"/>
      <c r="C75" s="117">
        <f>SUM(C70:C74)</f>
        <v>152060394.40917811</v>
      </c>
      <c r="D75" s="117">
        <f>SUM(D70:D74)</f>
        <v>127199052.17</v>
      </c>
    </row>
    <row r="76" spans="1:9" x14ac:dyDescent="0.2">
      <c r="A76" s="742" t="s">
        <v>370</v>
      </c>
      <c r="B76" s="742"/>
      <c r="C76" s="742"/>
      <c r="D76" s="742"/>
    </row>
    <row r="77" spans="1:9" x14ac:dyDescent="0.2">
      <c r="B77" s="42"/>
      <c r="C77" s="42"/>
      <c r="D77" s="118"/>
    </row>
    <row r="78" spans="1:9" x14ac:dyDescent="0.2">
      <c r="A78" s="30" t="s">
        <v>594</v>
      </c>
      <c r="B78" s="42"/>
      <c r="C78" s="42"/>
      <c r="D78" s="118"/>
    </row>
    <row r="79" spans="1:9" x14ac:dyDescent="0.2">
      <c r="A79" s="28"/>
      <c r="B79" s="42"/>
      <c r="C79" s="42"/>
      <c r="D79" s="118"/>
    </row>
    <row r="80" spans="1:9" x14ac:dyDescent="0.2">
      <c r="A80" s="36" t="s">
        <v>29</v>
      </c>
      <c r="B80" s="36" t="s">
        <v>0</v>
      </c>
      <c r="C80" s="36" t="s">
        <v>395</v>
      </c>
      <c r="D80" s="36" t="s">
        <v>219</v>
      </c>
    </row>
    <row r="81" spans="1:6" x14ac:dyDescent="0.2">
      <c r="A81" s="226">
        <v>8.1</v>
      </c>
      <c r="B81" s="226" t="s">
        <v>718</v>
      </c>
      <c r="C81" s="226"/>
      <c r="D81" s="131"/>
    </row>
    <row r="82" spans="1:6" x14ac:dyDescent="0.2">
      <c r="A82" s="131"/>
      <c r="B82" s="33" t="s">
        <v>285</v>
      </c>
      <c r="C82" s="207">
        <v>0</v>
      </c>
      <c r="D82" s="43">
        <f>'Annexure 1'!E8+'Annexure 1'!E9+'Annexure 1'!I8+'Annexure 1'!I9</f>
        <v>75307425</v>
      </c>
    </row>
    <row r="83" spans="1:6" x14ac:dyDescent="0.2">
      <c r="A83" s="131"/>
      <c r="B83" s="33" t="s">
        <v>281</v>
      </c>
      <c r="C83" s="207">
        <v>0</v>
      </c>
      <c r="D83" s="43">
        <f>'Annexure 1'!E12+'Annexure 1'!I12</f>
        <v>9149317</v>
      </c>
    </row>
    <row r="84" spans="1:6" x14ac:dyDescent="0.2">
      <c r="A84" s="131"/>
      <c r="B84" s="33" t="s">
        <v>282</v>
      </c>
      <c r="C84" s="207">
        <v>0</v>
      </c>
      <c r="D84" s="43">
        <f>'Annexure 1'!I10</f>
        <v>39692975</v>
      </c>
    </row>
    <row r="85" spans="1:6" x14ac:dyDescent="0.2">
      <c r="A85" s="131"/>
      <c r="B85" s="33" t="s">
        <v>284</v>
      </c>
      <c r="C85" s="207">
        <v>0</v>
      </c>
      <c r="D85" s="43">
        <f>'Annexure 1'!E7+'Annexure 1'!I7</f>
        <v>1216018</v>
      </c>
    </row>
    <row r="86" spans="1:6" x14ac:dyDescent="0.2">
      <c r="A86" s="131"/>
      <c r="B86" s="33" t="s">
        <v>283</v>
      </c>
      <c r="C86" s="207">
        <v>0</v>
      </c>
      <c r="D86" s="43">
        <f>'Annexure 1'!E11+'Annexure 1'!I11</f>
        <v>6802400</v>
      </c>
    </row>
    <row r="87" spans="1:6" x14ac:dyDescent="0.2">
      <c r="A87" s="131"/>
      <c r="B87" s="33" t="s">
        <v>637</v>
      </c>
      <c r="C87" s="207">
        <f>+'Trial Balance_16.04'!E159</f>
        <v>600000</v>
      </c>
      <c r="D87" s="43"/>
      <c r="F87" s="62"/>
    </row>
    <row r="88" spans="1:6" x14ac:dyDescent="0.2">
      <c r="A88" s="131"/>
      <c r="B88" s="33"/>
      <c r="C88" s="207"/>
      <c r="D88" s="43"/>
      <c r="F88" s="62"/>
    </row>
    <row r="89" spans="1:6" x14ac:dyDescent="0.2">
      <c r="A89" s="226">
        <v>8.1999999999999993</v>
      </c>
      <c r="B89" s="226" t="s">
        <v>280</v>
      </c>
      <c r="C89" s="207">
        <v>0</v>
      </c>
      <c r="D89" s="43"/>
      <c r="F89" s="44"/>
    </row>
    <row r="90" spans="1:6" x14ac:dyDescent="0.2">
      <c r="A90" s="17"/>
      <c r="B90" s="439" t="s">
        <v>590</v>
      </c>
      <c r="C90" s="207">
        <f>+'Trial Balance_16.04'!B169</f>
        <v>915537.76657534251</v>
      </c>
      <c r="D90" s="43">
        <v>82677</v>
      </c>
      <c r="F90" s="44"/>
    </row>
    <row r="91" spans="1:6" x14ac:dyDescent="0.2">
      <c r="A91" s="17"/>
      <c r="B91" s="439" t="s">
        <v>591</v>
      </c>
      <c r="C91" s="207">
        <f>+SUM('Trial Balance_16.04'!E28:E30)</f>
        <v>4005103.01</v>
      </c>
      <c r="D91" s="43">
        <v>0</v>
      </c>
      <c r="F91" s="44"/>
    </row>
    <row r="92" spans="1:6" hidden="1" x14ac:dyDescent="0.2">
      <c r="A92" s="17"/>
      <c r="B92" s="439" t="s">
        <v>568</v>
      </c>
      <c r="C92" s="207">
        <f>+TB!E29*0</f>
        <v>0</v>
      </c>
      <c r="D92" s="43">
        <v>0</v>
      </c>
      <c r="F92" s="44"/>
    </row>
    <row r="93" spans="1:6" hidden="1" x14ac:dyDescent="0.2">
      <c r="A93" s="17"/>
      <c r="B93" s="439" t="s">
        <v>566</v>
      </c>
      <c r="C93" s="207">
        <f>+TB!E28*0</f>
        <v>0</v>
      </c>
      <c r="D93" s="43">
        <v>0</v>
      </c>
      <c r="F93" s="44"/>
    </row>
    <row r="94" spans="1:6" hidden="1" x14ac:dyDescent="0.2">
      <c r="A94" s="17"/>
      <c r="B94" s="439" t="s">
        <v>567</v>
      </c>
      <c r="C94" s="207">
        <f>+TB!E30*0</f>
        <v>0</v>
      </c>
      <c r="D94" s="43">
        <v>0</v>
      </c>
      <c r="F94" s="44"/>
    </row>
    <row r="95" spans="1:6" x14ac:dyDescent="0.2">
      <c r="A95" s="17"/>
      <c r="B95" s="439"/>
      <c r="C95" s="207"/>
      <c r="D95" s="43"/>
      <c r="F95" s="445"/>
    </row>
    <row r="96" spans="1:6" x14ac:dyDescent="0.2">
      <c r="A96" s="226">
        <v>8.3000000000000007</v>
      </c>
      <c r="B96" s="226" t="s">
        <v>587</v>
      </c>
      <c r="C96" s="207">
        <f>SUM('Trial Balance_16.04'!E46,'Trial Balance_16.04'!E52,'Trial Balance_16.04'!E59)</f>
        <v>22500118</v>
      </c>
      <c r="D96" s="43"/>
      <c r="E96" s="59">
        <f>+C96-C30</f>
        <v>18573076</v>
      </c>
      <c r="F96" s="44"/>
    </row>
    <row r="97" spans="1:6" x14ac:dyDescent="0.2">
      <c r="A97" s="17"/>
      <c r="B97" s="33"/>
      <c r="C97" s="207"/>
      <c r="D97" s="43"/>
      <c r="F97" s="44"/>
    </row>
    <row r="98" spans="1:6" x14ac:dyDescent="0.2">
      <c r="A98" s="226">
        <v>8.4</v>
      </c>
      <c r="B98" s="226" t="s">
        <v>563</v>
      </c>
      <c r="C98" s="207"/>
      <c r="D98" s="43"/>
      <c r="F98" s="44"/>
    </row>
    <row r="99" spans="1:6" x14ac:dyDescent="0.2">
      <c r="A99" s="17"/>
      <c r="B99" s="439" t="s">
        <v>565</v>
      </c>
      <c r="C99" s="207">
        <f>+'Trial Balance_16.04'!E85</f>
        <v>5000000</v>
      </c>
      <c r="D99" s="43">
        <v>0</v>
      </c>
      <c r="F99" s="44"/>
    </row>
    <row r="100" spans="1:6" x14ac:dyDescent="0.2">
      <c r="A100" s="17"/>
      <c r="B100" s="439"/>
      <c r="C100" s="207"/>
      <c r="D100" s="43"/>
      <c r="F100" s="44"/>
    </row>
    <row r="101" spans="1:6" x14ac:dyDescent="0.2">
      <c r="A101" s="226">
        <v>8.5</v>
      </c>
      <c r="B101" s="226" t="s">
        <v>483</v>
      </c>
      <c r="C101" s="207">
        <f>+'Trial Balance_16.04'!E124</f>
        <v>99452</v>
      </c>
      <c r="D101" s="43"/>
      <c r="F101" s="44"/>
    </row>
    <row r="102" spans="1:6" x14ac:dyDescent="0.2">
      <c r="A102" s="17"/>
      <c r="B102" s="226"/>
      <c r="C102" s="207"/>
      <c r="D102" s="43"/>
      <c r="F102" s="44"/>
    </row>
    <row r="103" spans="1:6" x14ac:dyDescent="0.2">
      <c r="A103" s="17">
        <v>8.6</v>
      </c>
      <c r="B103" s="226" t="s">
        <v>475</v>
      </c>
      <c r="C103" s="207"/>
      <c r="D103" s="43"/>
      <c r="F103" s="44"/>
    </row>
    <row r="104" spans="1:6" x14ac:dyDescent="0.2">
      <c r="A104" s="17"/>
      <c r="B104" s="439" t="s">
        <v>588</v>
      </c>
      <c r="C104" s="207">
        <f>+'Trial Balance_16.04'!E117</f>
        <v>4000000</v>
      </c>
      <c r="D104" s="43"/>
      <c r="F104" s="44"/>
    </row>
    <row r="105" spans="1:6" x14ac:dyDescent="0.2">
      <c r="A105" s="17"/>
      <c r="B105" s="439" t="s">
        <v>589</v>
      </c>
      <c r="C105" s="207">
        <f>+'Trial Balance_16.04'!E118</f>
        <v>750000</v>
      </c>
      <c r="D105" s="43"/>
      <c r="F105" s="44"/>
    </row>
    <row r="106" spans="1:6" x14ac:dyDescent="0.2">
      <c r="A106" s="17"/>
      <c r="B106" s="33" t="s">
        <v>562</v>
      </c>
      <c r="C106" s="207"/>
      <c r="D106" s="43"/>
      <c r="F106" s="44"/>
    </row>
    <row r="107" spans="1:6" x14ac:dyDescent="0.2">
      <c r="A107" s="739" t="s">
        <v>2</v>
      </c>
      <c r="B107" s="740"/>
      <c r="C107" s="115">
        <f>SUM(C82:C106)</f>
        <v>37870210.776575342</v>
      </c>
      <c r="D107" s="115">
        <f>SUM(D82:D106)</f>
        <v>132250812</v>
      </c>
      <c r="F107" s="44"/>
    </row>
    <row r="108" spans="1:6" x14ac:dyDescent="0.2">
      <c r="A108" s="742"/>
      <c r="B108" s="742"/>
      <c r="C108" s="623"/>
      <c r="D108" s="116"/>
      <c r="F108" s="44"/>
    </row>
    <row r="109" spans="1:6" x14ac:dyDescent="0.2">
      <c r="A109" s="50"/>
      <c r="B109" s="50"/>
      <c r="C109" s="50"/>
      <c r="D109" s="116"/>
      <c r="F109" s="44"/>
    </row>
    <row r="110" spans="1:6" x14ac:dyDescent="0.2">
      <c r="A110" s="30" t="s">
        <v>595</v>
      </c>
      <c r="B110" s="42"/>
      <c r="C110" s="42"/>
      <c r="D110" s="118"/>
      <c r="F110" s="44"/>
    </row>
    <row r="111" spans="1:6" x14ac:dyDescent="0.2">
      <c r="A111" s="28"/>
      <c r="B111" s="42"/>
      <c r="C111" s="42"/>
      <c r="D111" s="118"/>
      <c r="F111" s="44"/>
    </row>
    <row r="112" spans="1:6" ht="25.5" x14ac:dyDescent="0.2">
      <c r="A112" s="36" t="s">
        <v>29</v>
      </c>
      <c r="B112" s="36" t="s">
        <v>0</v>
      </c>
      <c r="C112" s="66" t="s">
        <v>396</v>
      </c>
      <c r="D112" s="66" t="s">
        <v>220</v>
      </c>
      <c r="E112" s="66" t="s">
        <v>526</v>
      </c>
      <c r="F112" s="66" t="s">
        <v>525</v>
      </c>
    </row>
    <row r="113" spans="1:6" x14ac:dyDescent="0.2">
      <c r="A113" s="73"/>
      <c r="B113" s="33" t="s">
        <v>50</v>
      </c>
      <c r="C113" s="296">
        <f>+'Trial Balance_16.04'!C170</f>
        <v>9155377.6657534242</v>
      </c>
      <c r="D113" s="43">
        <f>826744</f>
        <v>826744</v>
      </c>
      <c r="E113" s="48">
        <v>0</v>
      </c>
      <c r="F113" s="417">
        <f>+'Trial Balance_16.04'!C170</f>
        <v>9155377.6657534242</v>
      </c>
    </row>
    <row r="114" spans="1:6" x14ac:dyDescent="0.2">
      <c r="A114" s="73"/>
      <c r="B114" s="33" t="s">
        <v>554</v>
      </c>
      <c r="C114" s="296">
        <f>+'Trial Balance_16.04'!E139</f>
        <v>3304</v>
      </c>
      <c r="D114" s="43">
        <v>0</v>
      </c>
      <c r="E114" s="48">
        <f>+TB_Updated!E115</f>
        <v>3304</v>
      </c>
      <c r="F114" s="46">
        <v>0</v>
      </c>
    </row>
    <row r="115" spans="1:6" x14ac:dyDescent="0.2">
      <c r="A115" s="739" t="s">
        <v>2</v>
      </c>
      <c r="B115" s="740"/>
      <c r="C115" s="115">
        <f>+SUM(C113:C114)</f>
        <v>9158681.6657534242</v>
      </c>
      <c r="D115" s="115">
        <f>+SUM(D113:D114)</f>
        <v>826744</v>
      </c>
      <c r="E115" s="115">
        <f>+SUM(E113:E114)</f>
        <v>3304</v>
      </c>
      <c r="F115" s="115">
        <f>+SUM(F113:F114)</f>
        <v>9155377.6657534242</v>
      </c>
    </row>
    <row r="116" spans="1:6" x14ac:dyDescent="0.2">
      <c r="A116" s="50"/>
      <c r="B116" s="50"/>
      <c r="C116" s="50"/>
      <c r="D116" s="116"/>
      <c r="F116" s="44"/>
    </row>
    <row r="117" spans="1:6" x14ac:dyDescent="0.2">
      <c r="A117" s="218" t="s">
        <v>596</v>
      </c>
      <c r="B117" s="50"/>
      <c r="C117" s="50"/>
      <c r="D117" s="219"/>
      <c r="E117" s="124"/>
    </row>
    <row r="118" spans="1:6" x14ac:dyDescent="0.2">
      <c r="A118" s="218"/>
      <c r="B118" s="50"/>
      <c r="C118" s="50"/>
      <c r="D118" s="219"/>
      <c r="E118" s="124"/>
    </row>
    <row r="119" spans="1:6" ht="25.5" x14ac:dyDescent="0.2">
      <c r="A119" s="16"/>
      <c r="B119" s="70" t="s">
        <v>270</v>
      </c>
      <c r="C119" s="66" t="s">
        <v>396</v>
      </c>
      <c r="D119" s="352" t="s">
        <v>271</v>
      </c>
      <c r="E119" s="220"/>
    </row>
    <row r="120" spans="1:6" x14ac:dyDescent="0.2">
      <c r="A120" s="75" t="s">
        <v>272</v>
      </c>
      <c r="B120" s="324" t="s">
        <v>273</v>
      </c>
      <c r="C120" s="624"/>
      <c r="D120" s="319"/>
      <c r="E120" s="221"/>
    </row>
    <row r="121" spans="1:6" x14ac:dyDescent="0.2">
      <c r="A121" s="58"/>
      <c r="B121" s="325" t="s">
        <v>274</v>
      </c>
      <c r="C121" s="625">
        <f ca="1">+D121+'Annexure 1_Revised'!J29</f>
        <v>761907261.3499999</v>
      </c>
      <c r="D121" s="320">
        <v>99079460</v>
      </c>
      <c r="F121" s="222">
        <f ca="1">+C121-D121</f>
        <v>661868601.3499999</v>
      </c>
    </row>
    <row r="122" spans="1:6" x14ac:dyDescent="0.2">
      <c r="A122" s="58"/>
      <c r="B122" s="326"/>
      <c r="C122" s="321">
        <f ca="1">SUM(C121:C121)</f>
        <v>761907261.3499999</v>
      </c>
      <c r="D122" s="321">
        <f>SUM(D121:D121)</f>
        <v>99079460</v>
      </c>
      <c r="E122" s="223"/>
    </row>
    <row r="123" spans="1:6" x14ac:dyDescent="0.2">
      <c r="A123" s="75" t="s">
        <v>275</v>
      </c>
      <c r="B123" s="327" t="s">
        <v>276</v>
      </c>
      <c r="C123" s="322"/>
      <c r="D123" s="322"/>
      <c r="E123" s="224"/>
    </row>
    <row r="124" spans="1:6" x14ac:dyDescent="0.2">
      <c r="A124" s="52"/>
      <c r="B124" s="328" t="s">
        <v>274</v>
      </c>
      <c r="C124" s="323">
        <f>+D122</f>
        <v>99079460</v>
      </c>
      <c r="D124" s="323">
        <v>0</v>
      </c>
      <c r="E124" s="225"/>
    </row>
    <row r="125" spans="1:6" x14ac:dyDescent="0.2">
      <c r="A125" s="52"/>
      <c r="B125" s="329"/>
      <c r="C125" s="321">
        <f>SUM(C124:C124)</f>
        <v>99079460</v>
      </c>
      <c r="D125" s="321">
        <f>SUM(D124:D124)</f>
        <v>0</v>
      </c>
      <c r="E125" s="116"/>
    </row>
    <row r="126" spans="1:6" x14ac:dyDescent="0.2">
      <c r="A126" s="735" t="s">
        <v>277</v>
      </c>
      <c r="B126" s="736"/>
      <c r="C126" s="321">
        <f ca="1">C125-C122</f>
        <v>-661868601.3499999</v>
      </c>
      <c r="D126" s="321">
        <f>D125-D122</f>
        <v>-99079460</v>
      </c>
      <c r="E126" s="223"/>
    </row>
    <row r="127" spans="1:6" x14ac:dyDescent="0.2">
      <c r="A127" s="416"/>
      <c r="B127" s="416"/>
      <c r="C127" s="223"/>
      <c r="D127" s="223"/>
      <c r="E127" s="223"/>
    </row>
    <row r="129" spans="1:8" x14ac:dyDescent="0.2">
      <c r="A129" s="24" t="s">
        <v>597</v>
      </c>
    </row>
    <row r="131" spans="1:8" ht="25.5" x14ac:dyDescent="0.2">
      <c r="A131" s="36" t="s">
        <v>29</v>
      </c>
      <c r="B131" s="36" t="s">
        <v>0</v>
      </c>
      <c r="C131" s="66" t="s">
        <v>396</v>
      </c>
      <c r="D131" s="66" t="s">
        <v>220</v>
      </c>
      <c r="E131" s="66" t="s">
        <v>526</v>
      </c>
      <c r="F131" s="66" t="s">
        <v>525</v>
      </c>
    </row>
    <row r="132" spans="1:8" x14ac:dyDescent="0.2">
      <c r="A132" s="18"/>
      <c r="B132" s="45" t="s">
        <v>528</v>
      </c>
      <c r="C132" s="296">
        <f>+'Trial Balance_16.04'!E164</f>
        <v>7986854</v>
      </c>
      <c r="D132" s="43">
        <v>0</v>
      </c>
      <c r="E132" s="48">
        <f>+TB_Updated!E141</f>
        <v>6359354</v>
      </c>
      <c r="F132" s="417">
        <f>1627500*1</f>
        <v>1627500</v>
      </c>
      <c r="H132" s="48"/>
    </row>
    <row r="133" spans="1:8" x14ac:dyDescent="0.2">
      <c r="A133" s="18"/>
      <c r="B133" s="78" t="s">
        <v>529</v>
      </c>
      <c r="C133" s="296">
        <f>+SUM('Trial Balance_16.04'!E146:E148)</f>
        <v>13755</v>
      </c>
      <c r="D133" s="43">
        <v>0</v>
      </c>
      <c r="E133" s="48">
        <f>+SUM(TB_Updated!E118:E120)</f>
        <v>13755</v>
      </c>
      <c r="F133" s="46">
        <f>+E133/9*3*$G$1</f>
        <v>0</v>
      </c>
    </row>
    <row r="134" spans="1:8" x14ac:dyDescent="0.2">
      <c r="A134" s="737" t="s">
        <v>2</v>
      </c>
      <c r="B134" s="738"/>
      <c r="C134" s="117">
        <f>SUM(C132:C133)</f>
        <v>8000609</v>
      </c>
      <c r="D134" s="117">
        <f>SUM(D132:D133)</f>
        <v>0</v>
      </c>
      <c r="E134" s="117">
        <f t="shared" ref="E134:F134" si="0">SUM(E132:E133)</f>
        <v>6373109</v>
      </c>
      <c r="F134" s="117">
        <f t="shared" si="0"/>
        <v>1627500</v>
      </c>
    </row>
    <row r="136" spans="1:8" x14ac:dyDescent="0.2">
      <c r="A136" s="24" t="s">
        <v>598</v>
      </c>
    </row>
    <row r="138" spans="1:8" ht="25.5" x14ac:dyDescent="0.2">
      <c r="A138" s="36" t="s">
        <v>29</v>
      </c>
      <c r="B138" s="36" t="s">
        <v>0</v>
      </c>
      <c r="C138" s="66" t="s">
        <v>396</v>
      </c>
      <c r="D138" s="66" t="s">
        <v>220</v>
      </c>
      <c r="E138" s="66" t="s">
        <v>526</v>
      </c>
      <c r="F138" s="66" t="s">
        <v>525</v>
      </c>
    </row>
    <row r="139" spans="1:8" x14ac:dyDescent="0.2">
      <c r="A139" s="18"/>
      <c r="B139" s="45" t="s">
        <v>243</v>
      </c>
      <c r="C139" s="296">
        <v>0</v>
      </c>
      <c r="D139" s="43">
        <v>139440</v>
      </c>
      <c r="E139" s="48">
        <f>+TB!E142-TB!C163</f>
        <v>0</v>
      </c>
      <c r="F139" s="417">
        <f>+E139/9*3*$G$1*0</f>
        <v>0</v>
      </c>
    </row>
    <row r="140" spans="1:8" x14ac:dyDescent="0.2">
      <c r="A140" s="18"/>
      <c r="B140" s="78" t="s">
        <v>12</v>
      </c>
      <c r="C140" s="296">
        <f>+'Trial Balance_16.04'!E144+'Trial Balance_16.04'!B181</f>
        <v>75000</v>
      </c>
      <c r="D140" s="43">
        <f>59000</f>
        <v>59000</v>
      </c>
      <c r="E140" s="48">
        <f>-TB_Updated!E124</f>
        <v>-9000</v>
      </c>
      <c r="F140" s="43">
        <f>100000*1</f>
        <v>100000</v>
      </c>
    </row>
    <row r="141" spans="1:8" x14ac:dyDescent="0.2">
      <c r="A141" s="18"/>
      <c r="B141" s="78" t="s">
        <v>693</v>
      </c>
      <c r="C141" s="296">
        <f>+'Trial Balance_16.04'!E141</f>
        <v>11585</v>
      </c>
      <c r="D141" s="43">
        <v>0</v>
      </c>
      <c r="E141" s="48">
        <f>+TB_Updated!E121</f>
        <v>11585</v>
      </c>
      <c r="F141" s="43">
        <v>0</v>
      </c>
    </row>
    <row r="142" spans="1:8" x14ac:dyDescent="0.2">
      <c r="A142" s="18"/>
      <c r="B142" s="78" t="s">
        <v>21</v>
      </c>
      <c r="C142" s="296">
        <f>+'Trial Balance_16.04'!E145-'Trial Balance_16.04'!E163</f>
        <v>17889.5</v>
      </c>
      <c r="D142" s="43">
        <f>32892.83</f>
        <v>32892.83</v>
      </c>
      <c r="E142" s="48">
        <f>+TB_Updated!E125-TB_Updated!E140</f>
        <v>17450.989999999998</v>
      </c>
      <c r="F142" s="43">
        <f>+E142/9*3*$G$1</f>
        <v>0</v>
      </c>
    </row>
    <row r="143" spans="1:8" x14ac:dyDescent="0.2">
      <c r="A143" s="18"/>
      <c r="B143" s="78" t="s">
        <v>14</v>
      </c>
      <c r="C143" s="296">
        <f t="shared" ref="C143" si="1">+E143+F143</f>
        <v>0</v>
      </c>
      <c r="D143" s="43">
        <f>9431</f>
        <v>9431</v>
      </c>
      <c r="E143" s="48">
        <v>0</v>
      </c>
      <c r="F143" s="43">
        <f>10500*$G$1</f>
        <v>0</v>
      </c>
    </row>
    <row r="144" spans="1:8" x14ac:dyDescent="0.2">
      <c r="A144" s="18"/>
      <c r="B144" s="78" t="s">
        <v>692</v>
      </c>
      <c r="C144" s="296">
        <f>+'Trial Balance_16.04'!E157+'Trial Balance_16.04'!E158</f>
        <v>16450</v>
      </c>
      <c r="D144" s="43">
        <v>0</v>
      </c>
      <c r="E144" s="48">
        <f>+TB_Updated!E134+TB_Updated!E135</f>
        <v>16450</v>
      </c>
      <c r="F144" s="43">
        <v>0</v>
      </c>
    </row>
    <row r="145" spans="1:7" x14ac:dyDescent="0.2">
      <c r="A145" s="18"/>
      <c r="B145" s="78" t="s">
        <v>530</v>
      </c>
      <c r="C145" s="296">
        <f>+'Trial Balance_16.04'!E160</f>
        <v>2250000</v>
      </c>
      <c r="D145" s="43">
        <v>0</v>
      </c>
      <c r="E145" s="48">
        <f>+TB_Updated!E137</f>
        <v>2250000</v>
      </c>
      <c r="F145" s="43">
        <f>250000*3*$G$1</f>
        <v>0</v>
      </c>
      <c r="G145" s="59">
        <f>C145/250000</f>
        <v>9</v>
      </c>
    </row>
    <row r="146" spans="1:7" x14ac:dyDescent="0.2">
      <c r="A146" s="18"/>
      <c r="B146" s="78" t="s">
        <v>531</v>
      </c>
      <c r="C146" s="296">
        <f>+SUM('Trial Balance_16.04'!E161:E162,'Trial Balance_16.04'!E154:E156)</f>
        <v>511588.48</v>
      </c>
      <c r="D146" s="43">
        <v>0</v>
      </c>
      <c r="E146" s="48">
        <f>+TB_Updated!E138+TB_Updated!E139+TB_Updated!E132+TB_Updated!E133+TB_Updated!E131</f>
        <v>511588.48</v>
      </c>
      <c r="F146" s="43">
        <f>50000*3*$G$1</f>
        <v>0</v>
      </c>
    </row>
    <row r="147" spans="1:7" x14ac:dyDescent="0.2">
      <c r="A147" s="18"/>
      <c r="B147" s="78" t="s">
        <v>532</v>
      </c>
      <c r="C147" s="296">
        <f>+'Trial Balance_16.04'!E153+'Trial Balance_16.04'!E165</f>
        <v>55585.120000000003</v>
      </c>
      <c r="D147" s="43">
        <v>0</v>
      </c>
      <c r="E147" s="48">
        <f>+TB_Updated!E142+TB_Updated!E130</f>
        <v>55585.120000000003</v>
      </c>
      <c r="F147" s="43">
        <v>0</v>
      </c>
    </row>
    <row r="148" spans="1:7" x14ac:dyDescent="0.2">
      <c r="A148" s="18"/>
      <c r="B148" s="78" t="s">
        <v>533</v>
      </c>
      <c r="C148" s="296">
        <f>+'Trial Balance_16.04'!E149</f>
        <v>142906</v>
      </c>
      <c r="D148" s="43">
        <v>0</v>
      </c>
      <c r="E148" s="48">
        <f>TB_Updated!$E$126</f>
        <v>142906</v>
      </c>
      <c r="F148" s="43">
        <f>30000*3*$G$1</f>
        <v>0</v>
      </c>
    </row>
    <row r="149" spans="1:7" x14ac:dyDescent="0.2">
      <c r="A149" s="18"/>
      <c r="B149" s="78" t="s">
        <v>507</v>
      </c>
      <c r="C149" s="296">
        <f>+'Trial Balance_16.04'!E151</f>
        <v>16064</v>
      </c>
      <c r="D149" s="43"/>
      <c r="E149" s="48"/>
      <c r="F149" s="43"/>
    </row>
    <row r="150" spans="1:7" x14ac:dyDescent="0.2">
      <c r="A150" s="18"/>
      <c r="B150" s="78" t="s">
        <v>244</v>
      </c>
      <c r="C150" s="296">
        <f>+SUM('Trial Balance_16.04'!E152)</f>
        <v>2643443</v>
      </c>
      <c r="D150" s="43">
        <f>2409041</f>
        <v>2409041</v>
      </c>
      <c r="E150" s="48">
        <f>+TB_Updated!E129+TB_Updated!E128</f>
        <v>2659507</v>
      </c>
      <c r="F150" s="46">
        <f>+E150/9*3*$G$1*0</f>
        <v>0</v>
      </c>
    </row>
    <row r="151" spans="1:7" x14ac:dyDescent="0.2">
      <c r="A151" s="737" t="s">
        <v>2</v>
      </c>
      <c r="B151" s="738"/>
      <c r="C151" s="117">
        <f>SUM(C139:C150)</f>
        <v>5740511.0999999996</v>
      </c>
      <c r="D151" s="117">
        <f>SUM(D139:D150)</f>
        <v>2649804.83</v>
      </c>
      <c r="E151" s="117">
        <f>SUM(E139:E150)</f>
        <v>5656072.5899999999</v>
      </c>
      <c r="F151" s="117">
        <f>SUM(F139:F150)</f>
        <v>100000</v>
      </c>
    </row>
    <row r="152" spans="1:7" x14ac:dyDescent="0.2">
      <c r="B152" s="24"/>
      <c r="C152" s="24"/>
      <c r="D152" s="62"/>
    </row>
    <row r="153" spans="1:7" x14ac:dyDescent="0.2">
      <c r="D153" s="62"/>
    </row>
    <row r="176" spans="2:3" x14ac:dyDescent="0.2">
      <c r="B176" s="72"/>
      <c r="C176" s="37"/>
    </row>
    <row r="180" spans="1:4" x14ac:dyDescent="0.2">
      <c r="A180" s="21"/>
    </row>
    <row r="181" spans="1:4" x14ac:dyDescent="0.2">
      <c r="A181" s="21"/>
      <c r="B181" s="37"/>
      <c r="C181" s="37"/>
      <c r="D181" s="121"/>
    </row>
    <row r="182" spans="1:4" x14ac:dyDescent="0.2">
      <c r="B182" s="37"/>
      <c r="C182" s="37"/>
      <c r="D182" s="121"/>
    </row>
    <row r="194" spans="1:4" x14ac:dyDescent="0.2">
      <c r="A194" s="21"/>
    </row>
    <row r="195" spans="1:4" x14ac:dyDescent="0.2">
      <c r="B195" s="38"/>
      <c r="C195" s="38"/>
      <c r="D195" s="122"/>
    </row>
  </sheetData>
  <mergeCells count="15">
    <mergeCell ref="A126:B126"/>
    <mergeCell ref="A151:B151"/>
    <mergeCell ref="A115:B115"/>
    <mergeCell ref="A1:D1"/>
    <mergeCell ref="A2:D2"/>
    <mergeCell ref="A58:B58"/>
    <mergeCell ref="A107:B107"/>
    <mergeCell ref="A75:B75"/>
    <mergeCell ref="A25:B25"/>
    <mergeCell ref="A64:B64"/>
    <mergeCell ref="A4:D4"/>
    <mergeCell ref="A108:B108"/>
    <mergeCell ref="A76:D76"/>
    <mergeCell ref="A134:B134"/>
    <mergeCell ref="A31:B31"/>
  </mergeCells>
  <pageMargins left="0.70866141732283472" right="0.70866141732283472" top="0.74803149606299213" bottom="0.74803149606299213" header="0.31496062992125984" footer="0.31496062992125984"/>
  <pageSetup paperSize="9" scale="80" fitToHeight="0" orientation="portrait" r:id="rId1"/>
  <rowBreaks count="2" manualBreakCount="2">
    <brk id="65" max="3" man="1"/>
    <brk id="127" max="3" man="1"/>
  </rowBreaks>
  <ignoredErrors>
    <ignoredError sqref="C72" formulaRange="1"/>
  </ignoredError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BB5C2-5196-4EE0-A44B-32B2303ED67E}">
  <dimension ref="A1:H182"/>
  <sheetViews>
    <sheetView topLeftCell="A141" workbookViewId="0">
      <selection activeCell="D165" sqref="D165"/>
    </sheetView>
  </sheetViews>
  <sheetFormatPr defaultColWidth="9.140625" defaultRowHeight="15" x14ac:dyDescent="0.25"/>
  <cols>
    <col min="1" max="1" width="61" style="615" bestFit="1" customWidth="1"/>
    <col min="2" max="2" width="15" style="615" bestFit="1" customWidth="1"/>
    <col min="3" max="3" width="14.85546875" style="615" bestFit="1" customWidth="1"/>
    <col min="4" max="4" width="14.140625" style="615" bestFit="1" customWidth="1"/>
    <col min="5" max="5" width="15.42578125" style="615" bestFit="1" customWidth="1"/>
    <col min="6" max="6" width="9.140625" style="615"/>
    <col min="7" max="8" width="18.7109375" style="615" customWidth="1"/>
    <col min="9" max="16384" width="9.140625" style="615"/>
  </cols>
  <sheetData>
    <row r="1" spans="1:5" ht="15.75" x14ac:dyDescent="0.25">
      <c r="A1" s="626" t="s">
        <v>242</v>
      </c>
      <c r="B1" s="626"/>
      <c r="C1" s="626"/>
      <c r="D1" s="627"/>
      <c r="E1" s="627"/>
    </row>
    <row r="2" spans="1:5" x14ac:dyDescent="0.25">
      <c r="A2" s="628" t="s">
        <v>397</v>
      </c>
      <c r="B2" s="628"/>
      <c r="C2" s="628"/>
      <c r="D2" s="627"/>
      <c r="E2" s="627"/>
    </row>
    <row r="3" spans="1:5" ht="15.75" x14ac:dyDescent="0.25">
      <c r="A3" s="629" t="s">
        <v>398</v>
      </c>
      <c r="B3" s="629"/>
      <c r="C3" s="629"/>
      <c r="D3" s="627"/>
      <c r="E3" s="627"/>
    </row>
    <row r="4" spans="1:5" x14ac:dyDescent="0.25">
      <c r="A4" s="630" t="s">
        <v>691</v>
      </c>
      <c r="B4" s="630"/>
      <c r="C4" s="630"/>
      <c r="D4" s="627"/>
      <c r="E4" s="627"/>
    </row>
    <row r="5" spans="1:5" x14ac:dyDescent="0.25">
      <c r="A5" s="631" t="s">
        <v>517</v>
      </c>
      <c r="B5" s="743" t="s">
        <v>242</v>
      </c>
      <c r="C5" s="744"/>
      <c r="D5" s="744"/>
      <c r="E5" s="744"/>
    </row>
    <row r="6" spans="1:5" x14ac:dyDescent="0.25">
      <c r="A6" s="632" t="s">
        <v>0</v>
      </c>
      <c r="B6" s="745" t="s">
        <v>691</v>
      </c>
      <c r="C6" s="746"/>
      <c r="D6" s="746"/>
      <c r="E6" s="746"/>
    </row>
    <row r="7" spans="1:5" x14ac:dyDescent="0.25">
      <c r="A7" s="632" t="s">
        <v>517</v>
      </c>
      <c r="B7" s="633" t="s">
        <v>400</v>
      </c>
      <c r="C7" s="747" t="s">
        <v>401</v>
      </c>
      <c r="D7" s="748"/>
      <c r="E7" s="633" t="s">
        <v>402</v>
      </c>
    </row>
    <row r="8" spans="1:5" x14ac:dyDescent="0.25">
      <c r="A8" s="634" t="s">
        <v>517</v>
      </c>
      <c r="B8" s="635" t="s">
        <v>403</v>
      </c>
      <c r="C8" s="636" t="s">
        <v>404</v>
      </c>
      <c r="D8" s="636" t="s">
        <v>405</v>
      </c>
      <c r="E8" s="635" t="s">
        <v>403</v>
      </c>
    </row>
    <row r="9" spans="1:5" x14ac:dyDescent="0.25">
      <c r="A9" s="637" t="s">
        <v>406</v>
      </c>
      <c r="B9" s="638">
        <v>78176939.170000002</v>
      </c>
      <c r="C9" s="639"/>
      <c r="D9" s="639"/>
      <c r="E9" s="638">
        <v>78176939.170000002</v>
      </c>
    </row>
    <row r="10" spans="1:5" x14ac:dyDescent="0.25">
      <c r="A10" s="640" t="s">
        <v>407</v>
      </c>
      <c r="B10" s="641">
        <v>40000000</v>
      </c>
      <c r="C10" s="642"/>
      <c r="D10" s="642"/>
      <c r="E10" s="641">
        <v>40000000</v>
      </c>
    </row>
    <row r="11" spans="1:5" x14ac:dyDescent="0.25">
      <c r="A11" s="640" t="s">
        <v>408</v>
      </c>
      <c r="B11" s="643">
        <v>911530.41</v>
      </c>
      <c r="C11" s="642"/>
      <c r="D11" s="642"/>
      <c r="E11" s="643">
        <v>911530.41</v>
      </c>
    </row>
    <row r="12" spans="1:5" x14ac:dyDescent="0.25">
      <c r="A12" s="640" t="s">
        <v>409</v>
      </c>
      <c r="B12" s="641">
        <v>40000000</v>
      </c>
      <c r="C12" s="642"/>
      <c r="D12" s="642"/>
      <c r="E12" s="641">
        <v>40000000</v>
      </c>
    </row>
    <row r="13" spans="1:5" x14ac:dyDescent="0.25">
      <c r="A13" s="640" t="s">
        <v>410</v>
      </c>
      <c r="B13" s="643">
        <v>911530.42</v>
      </c>
      <c r="C13" s="642"/>
      <c r="D13" s="642"/>
      <c r="E13" s="643">
        <v>911530.42</v>
      </c>
    </row>
    <row r="14" spans="1:5" x14ac:dyDescent="0.25">
      <c r="A14" s="637" t="s">
        <v>411</v>
      </c>
      <c r="B14" s="644">
        <v>250052481</v>
      </c>
      <c r="C14" s="645">
        <v>180797236</v>
      </c>
      <c r="D14" s="645">
        <v>320753319</v>
      </c>
      <c r="E14" s="644">
        <v>390008564</v>
      </c>
    </row>
    <row r="15" spans="1:5" x14ac:dyDescent="0.25">
      <c r="A15" s="646" t="s">
        <v>412</v>
      </c>
      <c r="B15" s="647">
        <v>170052481</v>
      </c>
      <c r="C15" s="648">
        <v>180797236</v>
      </c>
      <c r="D15" s="648">
        <v>130753319</v>
      </c>
      <c r="E15" s="647">
        <v>120008564</v>
      </c>
    </row>
    <row r="16" spans="1:5" x14ac:dyDescent="0.25">
      <c r="A16" s="649" t="s">
        <v>413</v>
      </c>
      <c r="B16" s="642"/>
      <c r="C16" s="650"/>
      <c r="D16" s="651">
        <v>10000000</v>
      </c>
      <c r="E16" s="652">
        <v>10000000</v>
      </c>
    </row>
    <row r="17" spans="1:5" x14ac:dyDescent="0.25">
      <c r="A17" s="649" t="s">
        <v>414</v>
      </c>
      <c r="B17" s="642"/>
      <c r="C17" s="650"/>
      <c r="D17" s="651">
        <v>10000000</v>
      </c>
      <c r="E17" s="652">
        <v>10000000</v>
      </c>
    </row>
    <row r="18" spans="1:5" x14ac:dyDescent="0.25">
      <c r="A18" s="653" t="s">
        <v>415</v>
      </c>
      <c r="B18" s="652">
        <v>32700000</v>
      </c>
      <c r="C18" s="651">
        <v>34700000</v>
      </c>
      <c r="D18" s="651">
        <v>4000000</v>
      </c>
      <c r="E18" s="652">
        <v>2000000</v>
      </c>
    </row>
    <row r="19" spans="1:5" x14ac:dyDescent="0.25">
      <c r="A19" s="649" t="s">
        <v>416</v>
      </c>
      <c r="B19" s="652">
        <v>9675000</v>
      </c>
      <c r="C19" s="650"/>
      <c r="D19" s="651">
        <v>5000000</v>
      </c>
      <c r="E19" s="652">
        <v>14675000</v>
      </c>
    </row>
    <row r="20" spans="1:5" x14ac:dyDescent="0.25">
      <c r="A20" s="649" t="s">
        <v>417</v>
      </c>
      <c r="B20" s="642"/>
      <c r="C20" s="650"/>
      <c r="D20" s="651">
        <v>4000000</v>
      </c>
      <c r="E20" s="652">
        <v>4000000</v>
      </c>
    </row>
    <row r="21" spans="1:5" x14ac:dyDescent="0.25">
      <c r="A21" s="653" t="s">
        <v>418</v>
      </c>
      <c r="B21" s="642"/>
      <c r="C21" s="650"/>
      <c r="D21" s="651">
        <v>3000000</v>
      </c>
      <c r="E21" s="652">
        <v>3000000</v>
      </c>
    </row>
    <row r="22" spans="1:5" x14ac:dyDescent="0.25">
      <c r="A22" s="649" t="s">
        <v>245</v>
      </c>
      <c r="B22" s="652">
        <v>75509344</v>
      </c>
      <c r="C22" s="651">
        <v>91550000</v>
      </c>
      <c r="D22" s="651">
        <v>92374220</v>
      </c>
      <c r="E22" s="652">
        <v>76333564</v>
      </c>
    </row>
    <row r="23" spans="1:5" x14ac:dyDescent="0.25">
      <c r="A23" s="653" t="s">
        <v>419</v>
      </c>
      <c r="B23" s="652">
        <v>52168137</v>
      </c>
      <c r="C23" s="651">
        <v>54547236</v>
      </c>
      <c r="D23" s="651">
        <v>2379099</v>
      </c>
      <c r="E23" s="642"/>
    </row>
    <row r="24" spans="1:5" x14ac:dyDescent="0.25">
      <c r="A24" s="646" t="s">
        <v>420</v>
      </c>
      <c r="B24" s="654">
        <v>80000000</v>
      </c>
      <c r="C24" s="655"/>
      <c r="D24" s="656">
        <v>190000000</v>
      </c>
      <c r="E24" s="654">
        <v>270000000</v>
      </c>
    </row>
    <row r="25" spans="1:5" x14ac:dyDescent="0.25">
      <c r="A25" s="653" t="s">
        <v>421</v>
      </c>
      <c r="B25" s="652">
        <v>80000000</v>
      </c>
      <c r="C25" s="650"/>
      <c r="D25" s="651">
        <v>190000000</v>
      </c>
      <c r="E25" s="652">
        <v>270000000</v>
      </c>
    </row>
    <row r="26" spans="1:5" x14ac:dyDescent="0.25">
      <c r="A26" s="637" t="s">
        <v>135</v>
      </c>
      <c r="B26" s="644">
        <v>30299904</v>
      </c>
      <c r="C26" s="645">
        <v>57590056.109999999</v>
      </c>
      <c r="D26" s="645">
        <v>465263732.89999998</v>
      </c>
      <c r="E26" s="644">
        <v>437973580.79000002</v>
      </c>
    </row>
    <row r="27" spans="1:5" x14ac:dyDescent="0.25">
      <c r="A27" s="646" t="s">
        <v>422</v>
      </c>
      <c r="B27" s="647">
        <v>245904</v>
      </c>
      <c r="C27" s="648">
        <v>5487803.0099999998</v>
      </c>
      <c r="D27" s="648">
        <v>2043266</v>
      </c>
      <c r="E27" s="657">
        <v>3198633.01</v>
      </c>
    </row>
    <row r="28" spans="1:5" x14ac:dyDescent="0.25">
      <c r="A28" s="649" t="s">
        <v>423</v>
      </c>
      <c r="B28" s="642"/>
      <c r="C28" s="651">
        <v>1659038.44</v>
      </c>
      <c r="D28" s="650"/>
      <c r="E28" s="658">
        <v>1659038.44</v>
      </c>
    </row>
    <row r="29" spans="1:5" x14ac:dyDescent="0.25">
      <c r="A29" s="649" t="s">
        <v>424</v>
      </c>
      <c r="B29" s="642"/>
      <c r="C29" s="651">
        <v>687026.13</v>
      </c>
      <c r="D29" s="650"/>
      <c r="E29" s="658">
        <v>687026.13</v>
      </c>
    </row>
    <row r="30" spans="1:5" x14ac:dyDescent="0.25">
      <c r="A30" s="649" t="s">
        <v>425</v>
      </c>
      <c r="B30" s="642"/>
      <c r="C30" s="651">
        <v>1659038.44</v>
      </c>
      <c r="D30" s="650"/>
      <c r="E30" s="658">
        <v>1659038.44</v>
      </c>
    </row>
    <row r="31" spans="1:5" x14ac:dyDescent="0.25">
      <c r="A31" s="649" t="s">
        <v>426</v>
      </c>
      <c r="B31" s="642"/>
      <c r="C31" s="651">
        <v>7000</v>
      </c>
      <c r="D31" s="651">
        <v>309002</v>
      </c>
      <c r="E31" s="652">
        <v>302002</v>
      </c>
    </row>
    <row r="32" spans="1:5" x14ac:dyDescent="0.25">
      <c r="A32" s="649" t="s">
        <v>427</v>
      </c>
      <c r="B32" s="652">
        <v>240904</v>
      </c>
      <c r="C32" s="651">
        <v>505248</v>
      </c>
      <c r="D32" s="651">
        <v>264344</v>
      </c>
      <c r="E32" s="642"/>
    </row>
    <row r="33" spans="1:5" x14ac:dyDescent="0.25">
      <c r="A33" s="653" t="s">
        <v>698</v>
      </c>
      <c r="B33" s="652">
        <v>5000</v>
      </c>
      <c r="C33" s="651">
        <v>147500</v>
      </c>
      <c r="D33" s="651">
        <v>165000</v>
      </c>
      <c r="E33" s="652">
        <v>22500</v>
      </c>
    </row>
    <row r="34" spans="1:5" x14ac:dyDescent="0.25">
      <c r="A34" s="649" t="s">
        <v>429</v>
      </c>
      <c r="B34" s="642"/>
      <c r="C34" s="651">
        <v>175000</v>
      </c>
      <c r="D34" s="651">
        <v>225000</v>
      </c>
      <c r="E34" s="652">
        <v>50000</v>
      </c>
    </row>
    <row r="35" spans="1:5" x14ac:dyDescent="0.25">
      <c r="A35" s="649" t="s">
        <v>699</v>
      </c>
      <c r="B35" s="642"/>
      <c r="C35" s="651">
        <v>647952</v>
      </c>
      <c r="D35" s="651">
        <v>1079920</v>
      </c>
      <c r="E35" s="652">
        <v>431968</v>
      </c>
    </row>
    <row r="36" spans="1:5" x14ac:dyDescent="0.25">
      <c r="A36" s="646" t="s">
        <v>431</v>
      </c>
      <c r="B36" s="654">
        <v>54000</v>
      </c>
      <c r="C36" s="656">
        <v>59000</v>
      </c>
      <c r="D36" s="656">
        <v>59000</v>
      </c>
      <c r="E36" s="654">
        <v>54000</v>
      </c>
    </row>
    <row r="37" spans="1:5" x14ac:dyDescent="0.25">
      <c r="A37" s="649" t="s">
        <v>432</v>
      </c>
      <c r="B37" s="652">
        <v>54000</v>
      </c>
      <c r="C37" s="651">
        <v>59000</v>
      </c>
      <c r="D37" s="651">
        <v>59000</v>
      </c>
      <c r="E37" s="652">
        <v>54000</v>
      </c>
    </row>
    <row r="38" spans="1:5" x14ac:dyDescent="0.25">
      <c r="A38" s="646" t="s">
        <v>433</v>
      </c>
      <c r="B38" s="655"/>
      <c r="C38" s="656">
        <v>46115867.100000001</v>
      </c>
      <c r="D38" s="656">
        <v>27542791.100000001</v>
      </c>
      <c r="E38" s="659">
        <v>18573076</v>
      </c>
    </row>
    <row r="39" spans="1:5" x14ac:dyDescent="0.25">
      <c r="A39" s="649" t="s">
        <v>569</v>
      </c>
      <c r="B39" s="642"/>
      <c r="C39" s="651">
        <v>5943.8</v>
      </c>
      <c r="D39" s="651">
        <v>5943.8</v>
      </c>
      <c r="E39" s="642"/>
    </row>
    <row r="40" spans="1:5" x14ac:dyDescent="0.25">
      <c r="A40" s="649" t="s">
        <v>700</v>
      </c>
      <c r="B40" s="642"/>
      <c r="C40" s="651">
        <v>13670</v>
      </c>
      <c r="D40" s="651">
        <v>13670</v>
      </c>
      <c r="E40" s="642"/>
    </row>
    <row r="41" spans="1:5" x14ac:dyDescent="0.25">
      <c r="A41" s="653" t="s">
        <v>570</v>
      </c>
      <c r="B41" s="642"/>
      <c r="C41" s="651">
        <v>24498.3</v>
      </c>
      <c r="D41" s="651">
        <v>24498.3</v>
      </c>
      <c r="E41" s="642"/>
    </row>
    <row r="42" spans="1:5" x14ac:dyDescent="0.25">
      <c r="A42" s="653" t="s">
        <v>571</v>
      </c>
      <c r="B42" s="642"/>
      <c r="C42" s="651">
        <v>1180000</v>
      </c>
      <c r="D42" s="651">
        <v>1180000</v>
      </c>
      <c r="E42" s="642"/>
    </row>
    <row r="43" spans="1:5" x14ac:dyDescent="0.25">
      <c r="A43" s="649" t="s">
        <v>572</v>
      </c>
      <c r="B43" s="642"/>
      <c r="C43" s="650"/>
      <c r="D43" s="651">
        <v>3575326</v>
      </c>
      <c r="E43" s="652">
        <v>3575326</v>
      </c>
    </row>
    <row r="44" spans="1:5" x14ac:dyDescent="0.25">
      <c r="A44" s="653" t="s">
        <v>573</v>
      </c>
      <c r="B44" s="642"/>
      <c r="C44" s="651">
        <v>211809</v>
      </c>
      <c r="D44" s="651">
        <v>211809</v>
      </c>
      <c r="E44" s="642"/>
    </row>
    <row r="45" spans="1:5" x14ac:dyDescent="0.25">
      <c r="A45" s="653" t="s">
        <v>574</v>
      </c>
      <c r="B45" s="642"/>
      <c r="C45" s="651">
        <v>187016</v>
      </c>
      <c r="D45" s="651">
        <v>187016</v>
      </c>
      <c r="E45" s="642"/>
    </row>
    <row r="46" spans="1:5" x14ac:dyDescent="0.25">
      <c r="A46" s="653" t="s">
        <v>575</v>
      </c>
      <c r="B46" s="642"/>
      <c r="C46" s="651">
        <v>6500000</v>
      </c>
      <c r="D46" s="650"/>
      <c r="E46" s="658">
        <v>6500000</v>
      </c>
    </row>
    <row r="47" spans="1:5" x14ac:dyDescent="0.25">
      <c r="A47" s="653" t="s">
        <v>576</v>
      </c>
      <c r="B47" s="642"/>
      <c r="C47" s="651">
        <v>812325</v>
      </c>
      <c r="D47" s="651">
        <v>975041</v>
      </c>
      <c r="E47" s="652">
        <v>162716</v>
      </c>
    </row>
    <row r="48" spans="1:5" x14ac:dyDescent="0.25">
      <c r="A48" s="653" t="s">
        <v>577</v>
      </c>
      <c r="B48" s="642"/>
      <c r="C48" s="651">
        <v>3186000</v>
      </c>
      <c r="D48" s="651">
        <v>3186000</v>
      </c>
      <c r="E48" s="642"/>
    </row>
    <row r="49" spans="1:5" x14ac:dyDescent="0.25">
      <c r="A49" s="653" t="s">
        <v>578</v>
      </c>
      <c r="B49" s="642"/>
      <c r="C49" s="651">
        <v>15727</v>
      </c>
      <c r="D49" s="651">
        <v>15727</v>
      </c>
      <c r="E49" s="642"/>
    </row>
    <row r="50" spans="1:5" x14ac:dyDescent="0.25">
      <c r="A50" s="649" t="s">
        <v>579</v>
      </c>
      <c r="B50" s="642"/>
      <c r="C50" s="651">
        <v>519000</v>
      </c>
      <c r="D50" s="651">
        <v>708000</v>
      </c>
      <c r="E50" s="652">
        <v>189000</v>
      </c>
    </row>
    <row r="51" spans="1:5" x14ac:dyDescent="0.25">
      <c r="A51" s="653" t="s">
        <v>580</v>
      </c>
      <c r="B51" s="642"/>
      <c r="C51" s="651">
        <v>59000</v>
      </c>
      <c r="D51" s="651">
        <v>59000</v>
      </c>
      <c r="E51" s="642"/>
    </row>
    <row r="52" spans="1:5" x14ac:dyDescent="0.25">
      <c r="A52" s="649" t="s">
        <v>581</v>
      </c>
      <c r="B52" s="642"/>
      <c r="C52" s="651">
        <v>1000000</v>
      </c>
      <c r="D52" s="650"/>
      <c r="E52" s="658">
        <v>1000000</v>
      </c>
    </row>
    <row r="53" spans="1:5" x14ac:dyDescent="0.25">
      <c r="A53" s="653" t="s">
        <v>582</v>
      </c>
      <c r="B53" s="642"/>
      <c r="C53" s="651">
        <v>800000</v>
      </c>
      <c r="D53" s="651">
        <v>800000</v>
      </c>
      <c r="E53" s="642"/>
    </row>
    <row r="54" spans="1:5" x14ac:dyDescent="0.25">
      <c r="A54" s="653" t="s">
        <v>701</v>
      </c>
      <c r="B54" s="642"/>
      <c r="C54" s="651">
        <v>19215</v>
      </c>
      <c r="D54" s="651">
        <v>19215</v>
      </c>
      <c r="E54" s="642"/>
    </row>
    <row r="55" spans="1:5" x14ac:dyDescent="0.25">
      <c r="A55" s="653" t="s">
        <v>583</v>
      </c>
      <c r="B55" s="642"/>
      <c r="C55" s="651">
        <v>177000</v>
      </c>
      <c r="D55" s="651">
        <v>177000</v>
      </c>
      <c r="E55" s="642"/>
    </row>
    <row r="56" spans="1:5" x14ac:dyDescent="0.25">
      <c r="A56" s="653" t="s">
        <v>584</v>
      </c>
      <c r="B56" s="642"/>
      <c r="C56" s="651">
        <v>16267775</v>
      </c>
      <c r="D56" s="651">
        <v>16267775</v>
      </c>
      <c r="E56" s="642"/>
    </row>
    <row r="57" spans="1:5" x14ac:dyDescent="0.25">
      <c r="A57" s="653" t="s">
        <v>585</v>
      </c>
      <c r="B57" s="642"/>
      <c r="C57" s="651">
        <v>86920</v>
      </c>
      <c r="D57" s="651">
        <v>86920</v>
      </c>
      <c r="E57" s="642"/>
    </row>
    <row r="58" spans="1:5" x14ac:dyDescent="0.25">
      <c r="A58" s="649" t="s">
        <v>702</v>
      </c>
      <c r="B58" s="642"/>
      <c r="C58" s="651">
        <v>42851</v>
      </c>
      <c r="D58" s="651">
        <v>42851</v>
      </c>
      <c r="E58" s="642"/>
    </row>
    <row r="59" spans="1:5" x14ac:dyDescent="0.25">
      <c r="A59" s="653" t="s">
        <v>703</v>
      </c>
      <c r="B59" s="642"/>
      <c r="C59" s="651">
        <v>15000118</v>
      </c>
      <c r="D59" s="650"/>
      <c r="E59" s="658">
        <v>15000118</v>
      </c>
    </row>
    <row r="60" spans="1:5" x14ac:dyDescent="0.25">
      <c r="A60" s="649" t="s">
        <v>586</v>
      </c>
      <c r="B60" s="642"/>
      <c r="C60" s="651">
        <v>6999</v>
      </c>
      <c r="D60" s="651">
        <v>6999</v>
      </c>
      <c r="E60" s="642"/>
    </row>
    <row r="61" spans="1:5" x14ac:dyDescent="0.25">
      <c r="A61" s="646" t="s">
        <v>434</v>
      </c>
      <c r="B61" s="655"/>
      <c r="C61" s="656">
        <v>5927386</v>
      </c>
      <c r="D61" s="656">
        <v>7338902</v>
      </c>
      <c r="E61" s="654">
        <v>1411516</v>
      </c>
    </row>
    <row r="62" spans="1:5" x14ac:dyDescent="0.25">
      <c r="A62" s="653" t="s">
        <v>435</v>
      </c>
      <c r="B62" s="642"/>
      <c r="C62" s="651">
        <v>591613</v>
      </c>
      <c r="D62" s="651">
        <v>731613</v>
      </c>
      <c r="E62" s="652">
        <v>140000</v>
      </c>
    </row>
    <row r="63" spans="1:5" x14ac:dyDescent="0.25">
      <c r="A63" s="649" t="s">
        <v>436</v>
      </c>
      <c r="B63" s="642"/>
      <c r="C63" s="651">
        <v>2831840</v>
      </c>
      <c r="D63" s="651">
        <v>3447760</v>
      </c>
      <c r="E63" s="652">
        <v>615920</v>
      </c>
    </row>
    <row r="64" spans="1:5" x14ac:dyDescent="0.25">
      <c r="A64" s="653" t="s">
        <v>437</v>
      </c>
      <c r="B64" s="642"/>
      <c r="C64" s="651">
        <v>170162</v>
      </c>
      <c r="D64" s="651">
        <v>220162</v>
      </c>
      <c r="E64" s="652">
        <v>50000</v>
      </c>
    </row>
    <row r="65" spans="1:8" x14ac:dyDescent="0.25">
      <c r="A65" s="649" t="s">
        <v>438</v>
      </c>
      <c r="B65" s="642"/>
      <c r="C65" s="651">
        <v>1222482</v>
      </c>
      <c r="D65" s="651">
        <v>1465578</v>
      </c>
      <c r="E65" s="652">
        <v>243096</v>
      </c>
    </row>
    <row r="66" spans="1:8" x14ac:dyDescent="0.25">
      <c r="A66" s="653" t="s">
        <v>690</v>
      </c>
      <c r="B66" s="642"/>
      <c r="C66" s="651">
        <v>191128</v>
      </c>
      <c r="D66" s="651">
        <v>266128</v>
      </c>
      <c r="E66" s="652">
        <v>75000</v>
      </c>
    </row>
    <row r="67" spans="1:8" x14ac:dyDescent="0.25">
      <c r="A67" s="653" t="s">
        <v>439</v>
      </c>
      <c r="B67" s="642"/>
      <c r="C67" s="651">
        <v>516668</v>
      </c>
      <c r="D67" s="651">
        <v>645835</v>
      </c>
      <c r="E67" s="652">
        <v>129167</v>
      </c>
      <c r="G67" s="705" t="s">
        <v>731</v>
      </c>
      <c r="H67" s="706"/>
    </row>
    <row r="68" spans="1:8" x14ac:dyDescent="0.25">
      <c r="A68" s="653" t="s">
        <v>689</v>
      </c>
      <c r="B68" s="642"/>
      <c r="C68" s="651">
        <v>403493</v>
      </c>
      <c r="D68" s="651">
        <v>561826</v>
      </c>
      <c r="E68" s="652">
        <v>158333</v>
      </c>
      <c r="G68" s="707" t="s">
        <v>729</v>
      </c>
      <c r="H68" s="707" t="s">
        <v>730</v>
      </c>
    </row>
    <row r="69" spans="1:8" x14ac:dyDescent="0.25">
      <c r="A69" s="640" t="s">
        <v>688</v>
      </c>
      <c r="B69" s="650"/>
      <c r="C69" s="642"/>
      <c r="D69" s="660">
        <v>119078925</v>
      </c>
      <c r="E69" s="641">
        <v>119078925</v>
      </c>
      <c r="G69" s="708">
        <f>+(198.465*3)*10^5</f>
        <v>59539500</v>
      </c>
      <c r="H69" s="709">
        <f>+E69-G69</f>
        <v>59539425</v>
      </c>
    </row>
    <row r="70" spans="1:8" x14ac:dyDescent="0.25">
      <c r="A70" s="640" t="s">
        <v>687</v>
      </c>
      <c r="B70" s="650"/>
      <c r="C70" s="642"/>
      <c r="D70" s="660">
        <v>306681780</v>
      </c>
      <c r="E70" s="641">
        <v>306681780</v>
      </c>
      <c r="G70" s="708">
        <f>+(306.68*4)*10^5</f>
        <v>122672000</v>
      </c>
      <c r="H70" s="709">
        <f>+E70-G70</f>
        <v>184009780</v>
      </c>
    </row>
    <row r="71" spans="1:8" x14ac:dyDescent="0.25">
      <c r="A71" s="640" t="s">
        <v>686</v>
      </c>
      <c r="B71" s="650"/>
      <c r="C71" s="642"/>
      <c r="D71" s="660">
        <v>19068.8</v>
      </c>
      <c r="E71" s="641">
        <v>19068.8</v>
      </c>
    </row>
    <row r="72" spans="1:8" x14ac:dyDescent="0.25">
      <c r="A72" s="640" t="s">
        <v>440</v>
      </c>
      <c r="B72" s="641">
        <v>30000000</v>
      </c>
      <c r="C72" s="642"/>
      <c r="D72" s="642"/>
      <c r="E72" s="641">
        <v>30000000</v>
      </c>
    </row>
    <row r="73" spans="1:8" x14ac:dyDescent="0.25">
      <c r="A73" s="640" t="s">
        <v>441</v>
      </c>
      <c r="B73" s="650"/>
      <c r="C73" s="642"/>
      <c r="D73" s="660">
        <v>2500000</v>
      </c>
      <c r="E73" s="641">
        <v>2500000</v>
      </c>
    </row>
    <row r="74" spans="1:8" x14ac:dyDescent="0.25">
      <c r="A74" s="637" t="s">
        <v>139</v>
      </c>
      <c r="B74" s="661">
        <v>358529324.17000002</v>
      </c>
      <c r="C74" s="645">
        <v>818923551.16999996</v>
      </c>
      <c r="D74" s="645">
        <v>306681388.66000003</v>
      </c>
      <c r="E74" s="661">
        <v>870771486.67999995</v>
      </c>
    </row>
    <row r="75" spans="1:8" x14ac:dyDescent="0.25">
      <c r="A75" s="640" t="s">
        <v>444</v>
      </c>
      <c r="B75" s="643">
        <v>99079460</v>
      </c>
      <c r="C75" s="642"/>
      <c r="D75" s="642"/>
      <c r="E75" s="643">
        <v>99079460</v>
      </c>
    </row>
    <row r="76" spans="1:8" x14ac:dyDescent="0.25">
      <c r="A76" s="646" t="s">
        <v>445</v>
      </c>
      <c r="B76" s="659">
        <v>126059758</v>
      </c>
      <c r="C76" s="656">
        <v>16721709</v>
      </c>
      <c r="D76" s="655"/>
      <c r="E76" s="659">
        <v>142781467</v>
      </c>
    </row>
    <row r="77" spans="1:8" x14ac:dyDescent="0.25">
      <c r="A77" s="653" t="s">
        <v>446</v>
      </c>
      <c r="B77" s="642"/>
      <c r="C77" s="651">
        <v>221709</v>
      </c>
      <c r="D77" s="650"/>
      <c r="E77" s="658">
        <v>221709</v>
      </c>
    </row>
    <row r="78" spans="1:8" x14ac:dyDescent="0.25">
      <c r="A78" s="653" t="s">
        <v>518</v>
      </c>
      <c r="B78" s="642"/>
      <c r="C78" s="651">
        <v>16500000</v>
      </c>
      <c r="D78" s="650"/>
      <c r="E78" s="658">
        <v>16500000</v>
      </c>
    </row>
    <row r="79" spans="1:8" x14ac:dyDescent="0.25">
      <c r="A79" s="653" t="s">
        <v>447</v>
      </c>
      <c r="B79" s="658">
        <v>7049000</v>
      </c>
      <c r="C79" s="650"/>
      <c r="D79" s="650"/>
      <c r="E79" s="658">
        <v>7049000</v>
      </c>
    </row>
    <row r="80" spans="1:8" x14ac:dyDescent="0.25">
      <c r="A80" s="653" t="s">
        <v>448</v>
      </c>
      <c r="B80" s="658">
        <v>10000000</v>
      </c>
      <c r="C80" s="650"/>
      <c r="D80" s="650"/>
      <c r="E80" s="658">
        <v>10000000</v>
      </c>
    </row>
    <row r="81" spans="1:5" x14ac:dyDescent="0.25">
      <c r="A81" s="653" t="s">
        <v>449</v>
      </c>
      <c r="B81" s="658">
        <v>19770000</v>
      </c>
      <c r="C81" s="650"/>
      <c r="D81" s="650"/>
      <c r="E81" s="658">
        <v>19770000</v>
      </c>
    </row>
    <row r="82" spans="1:5" x14ac:dyDescent="0.25">
      <c r="A82" s="653" t="s">
        <v>450</v>
      </c>
      <c r="B82" s="658">
        <v>12570313</v>
      </c>
      <c r="C82" s="650"/>
      <c r="D82" s="650"/>
      <c r="E82" s="658">
        <v>12570313</v>
      </c>
    </row>
    <row r="83" spans="1:5" x14ac:dyDescent="0.25">
      <c r="A83" s="653" t="s">
        <v>451</v>
      </c>
      <c r="B83" s="658">
        <v>76670445</v>
      </c>
      <c r="C83" s="650"/>
      <c r="D83" s="650"/>
      <c r="E83" s="658">
        <v>76670445</v>
      </c>
    </row>
    <row r="84" spans="1:5" x14ac:dyDescent="0.25">
      <c r="A84" s="646" t="s">
        <v>452</v>
      </c>
      <c r="B84" s="655"/>
      <c r="C84" s="656">
        <v>5000000</v>
      </c>
      <c r="D84" s="655"/>
      <c r="E84" s="659">
        <v>5000000</v>
      </c>
    </row>
    <row r="85" spans="1:5" x14ac:dyDescent="0.25">
      <c r="A85" s="649" t="s">
        <v>453</v>
      </c>
      <c r="B85" s="642"/>
      <c r="C85" s="651">
        <v>5000000</v>
      </c>
      <c r="D85" s="650"/>
      <c r="E85" s="658">
        <v>5000000</v>
      </c>
    </row>
    <row r="86" spans="1:5" x14ac:dyDescent="0.25">
      <c r="A86" s="646" t="s">
        <v>454</v>
      </c>
      <c r="B86" s="659">
        <v>395227.17</v>
      </c>
      <c r="C86" s="656">
        <v>304874210</v>
      </c>
      <c r="D86" s="656">
        <v>304974416.66000003</v>
      </c>
      <c r="E86" s="659">
        <v>295020.51</v>
      </c>
    </row>
    <row r="87" spans="1:5" x14ac:dyDescent="0.25">
      <c r="A87" s="662" t="s">
        <v>704</v>
      </c>
      <c r="B87" s="639"/>
      <c r="C87" s="663">
        <v>25000</v>
      </c>
      <c r="D87" s="663">
        <v>19653.61</v>
      </c>
      <c r="E87" s="664">
        <v>5346.39</v>
      </c>
    </row>
    <row r="88" spans="1:5" x14ac:dyDescent="0.25">
      <c r="A88" s="665" t="s">
        <v>705</v>
      </c>
      <c r="B88" s="650"/>
      <c r="C88" s="660">
        <v>25000</v>
      </c>
      <c r="D88" s="660">
        <v>19653.61</v>
      </c>
      <c r="E88" s="643">
        <v>5346.39</v>
      </c>
    </row>
    <row r="89" spans="1:5" x14ac:dyDescent="0.25">
      <c r="A89" s="653" t="s">
        <v>455</v>
      </c>
      <c r="B89" s="658">
        <v>91245</v>
      </c>
      <c r="C89" s="651">
        <v>274285980</v>
      </c>
      <c r="D89" s="651">
        <v>274148762.74000001</v>
      </c>
      <c r="E89" s="658">
        <v>228462.26</v>
      </c>
    </row>
    <row r="90" spans="1:5" x14ac:dyDescent="0.25">
      <c r="A90" s="653" t="s">
        <v>456</v>
      </c>
      <c r="B90" s="658">
        <v>303982.17</v>
      </c>
      <c r="C90" s="651">
        <v>30563230</v>
      </c>
      <c r="D90" s="651">
        <v>30806000.309999999</v>
      </c>
      <c r="E90" s="658">
        <v>61211.86</v>
      </c>
    </row>
    <row r="91" spans="1:5" x14ac:dyDescent="0.25">
      <c r="A91" s="646" t="s">
        <v>457</v>
      </c>
      <c r="B91" s="659">
        <v>132168135</v>
      </c>
      <c r="C91" s="656">
        <v>486914950.17000002</v>
      </c>
      <c r="D91" s="656">
        <v>1061065</v>
      </c>
      <c r="E91" s="659">
        <v>618022020.16999996</v>
      </c>
    </row>
    <row r="92" spans="1:5" x14ac:dyDescent="0.25">
      <c r="A92" s="662" t="s">
        <v>519</v>
      </c>
      <c r="B92" s="664">
        <v>77047150</v>
      </c>
      <c r="C92" s="663">
        <v>153727950.16999999</v>
      </c>
      <c r="D92" s="663">
        <v>992202</v>
      </c>
      <c r="E92" s="664">
        <v>229782898.16999999</v>
      </c>
    </row>
    <row r="93" spans="1:5" x14ac:dyDescent="0.25">
      <c r="A93" s="666" t="s">
        <v>458</v>
      </c>
      <c r="B93" s="643">
        <v>24224000</v>
      </c>
      <c r="C93" s="642"/>
      <c r="D93" s="642"/>
      <c r="E93" s="643">
        <v>24224000</v>
      </c>
    </row>
    <row r="94" spans="1:5" x14ac:dyDescent="0.25">
      <c r="A94" s="665" t="s">
        <v>459</v>
      </c>
      <c r="B94" s="650"/>
      <c r="C94" s="660">
        <v>5645</v>
      </c>
      <c r="D94" s="642"/>
      <c r="E94" s="643">
        <v>5645</v>
      </c>
    </row>
    <row r="95" spans="1:5" x14ac:dyDescent="0.25">
      <c r="A95" s="665" t="s">
        <v>460</v>
      </c>
      <c r="B95" s="643">
        <v>2160684</v>
      </c>
      <c r="C95" s="642"/>
      <c r="D95" s="642"/>
      <c r="E95" s="643">
        <v>2160684</v>
      </c>
    </row>
    <row r="96" spans="1:5" x14ac:dyDescent="0.25">
      <c r="A96" s="665" t="s">
        <v>461</v>
      </c>
      <c r="B96" s="643">
        <v>511841</v>
      </c>
      <c r="C96" s="642"/>
      <c r="D96" s="642"/>
      <c r="E96" s="643">
        <v>511841</v>
      </c>
    </row>
    <row r="97" spans="1:5" x14ac:dyDescent="0.25">
      <c r="A97" s="665" t="s">
        <v>516</v>
      </c>
      <c r="B97" s="650"/>
      <c r="C97" s="660">
        <v>1013571.17</v>
      </c>
      <c r="D97" s="642"/>
      <c r="E97" s="643">
        <v>1013571.17</v>
      </c>
    </row>
    <row r="98" spans="1:5" x14ac:dyDescent="0.25">
      <c r="A98" s="666" t="s">
        <v>685</v>
      </c>
      <c r="B98" s="643">
        <v>39692975</v>
      </c>
      <c r="C98" s="660">
        <v>119078925</v>
      </c>
      <c r="D98" s="642"/>
      <c r="E98" s="643">
        <v>158771900</v>
      </c>
    </row>
    <row r="99" spans="1:5" x14ac:dyDescent="0.25">
      <c r="A99" s="666" t="s">
        <v>463</v>
      </c>
      <c r="B99" s="650"/>
      <c r="C99" s="660">
        <v>30596007</v>
      </c>
      <c r="D99" s="660">
        <v>992202</v>
      </c>
      <c r="E99" s="643">
        <v>29603805</v>
      </c>
    </row>
    <row r="100" spans="1:5" x14ac:dyDescent="0.25">
      <c r="A100" s="665" t="s">
        <v>684</v>
      </c>
      <c r="B100" s="650"/>
      <c r="C100" s="660">
        <v>992202</v>
      </c>
      <c r="D100" s="642"/>
      <c r="E100" s="643">
        <v>992202</v>
      </c>
    </row>
    <row r="101" spans="1:5" x14ac:dyDescent="0.25">
      <c r="A101" s="666" t="s">
        <v>464</v>
      </c>
      <c r="B101" s="643">
        <v>9824000</v>
      </c>
      <c r="C101" s="660">
        <v>29600</v>
      </c>
      <c r="D101" s="642"/>
      <c r="E101" s="643">
        <v>9853600</v>
      </c>
    </row>
    <row r="102" spans="1:5" x14ac:dyDescent="0.25">
      <c r="A102" s="665" t="s">
        <v>465</v>
      </c>
      <c r="B102" s="650"/>
      <c r="C102" s="660">
        <v>1012000</v>
      </c>
      <c r="D102" s="642"/>
      <c r="E102" s="643">
        <v>1012000</v>
      </c>
    </row>
    <row r="103" spans="1:5" x14ac:dyDescent="0.25">
      <c r="A103" s="666" t="s">
        <v>466</v>
      </c>
      <c r="B103" s="643">
        <v>633650</v>
      </c>
      <c r="C103" s="660">
        <v>1000000</v>
      </c>
      <c r="D103" s="642"/>
      <c r="E103" s="643">
        <v>1633650</v>
      </c>
    </row>
    <row r="104" spans="1:5" x14ac:dyDescent="0.25">
      <c r="A104" s="662" t="s">
        <v>520</v>
      </c>
      <c r="B104" s="667">
        <v>55120985</v>
      </c>
      <c r="C104" s="645">
        <v>333187000</v>
      </c>
      <c r="D104" s="645">
        <v>68863</v>
      </c>
      <c r="E104" s="667">
        <v>388239122</v>
      </c>
    </row>
    <row r="105" spans="1:5" x14ac:dyDescent="0.25">
      <c r="A105" s="666" t="s">
        <v>467</v>
      </c>
      <c r="B105" s="643">
        <v>30881300</v>
      </c>
      <c r="C105" s="642"/>
      <c r="D105" s="642"/>
      <c r="E105" s="643">
        <v>30881300</v>
      </c>
    </row>
    <row r="106" spans="1:5" x14ac:dyDescent="0.25">
      <c r="A106" s="665" t="s">
        <v>468</v>
      </c>
      <c r="B106" s="643">
        <v>912523</v>
      </c>
      <c r="C106" s="642"/>
      <c r="D106" s="642"/>
      <c r="E106" s="643">
        <v>912523</v>
      </c>
    </row>
    <row r="107" spans="1:5" x14ac:dyDescent="0.25">
      <c r="A107" s="665" t="s">
        <v>469</v>
      </c>
      <c r="B107" s="643">
        <v>5564269</v>
      </c>
      <c r="C107" s="642"/>
      <c r="D107" s="642"/>
      <c r="E107" s="643">
        <v>5564269</v>
      </c>
    </row>
    <row r="108" spans="1:5" x14ac:dyDescent="0.25">
      <c r="A108" s="666" t="s">
        <v>470</v>
      </c>
      <c r="B108" s="643">
        <v>6802400</v>
      </c>
      <c r="C108" s="642"/>
      <c r="D108" s="642"/>
      <c r="E108" s="643">
        <v>6802400</v>
      </c>
    </row>
    <row r="109" spans="1:5" x14ac:dyDescent="0.25">
      <c r="A109" s="666" t="s">
        <v>683</v>
      </c>
      <c r="B109" s="650"/>
      <c r="C109" s="660">
        <v>306681780</v>
      </c>
      <c r="D109" s="642"/>
      <c r="E109" s="643">
        <v>306681780</v>
      </c>
    </row>
    <row r="110" spans="1:5" x14ac:dyDescent="0.25">
      <c r="A110" s="666" t="s">
        <v>682</v>
      </c>
      <c r="B110" s="650"/>
      <c r="C110" s="660">
        <v>13863</v>
      </c>
      <c r="D110" s="642"/>
      <c r="E110" s="643">
        <v>13863</v>
      </c>
    </row>
    <row r="111" spans="1:5" x14ac:dyDescent="0.25">
      <c r="A111" s="666" t="s">
        <v>471</v>
      </c>
      <c r="B111" s="650"/>
      <c r="C111" s="660">
        <v>24720007</v>
      </c>
      <c r="D111" s="660">
        <v>68863</v>
      </c>
      <c r="E111" s="643">
        <v>24651144</v>
      </c>
    </row>
    <row r="112" spans="1:5" x14ac:dyDescent="0.25">
      <c r="A112" s="665" t="s">
        <v>681</v>
      </c>
      <c r="B112" s="650"/>
      <c r="C112" s="660">
        <v>55000</v>
      </c>
      <c r="D112" s="642"/>
      <c r="E112" s="643">
        <v>55000</v>
      </c>
    </row>
    <row r="113" spans="1:5" x14ac:dyDescent="0.25">
      <c r="A113" s="666" t="s">
        <v>472</v>
      </c>
      <c r="B113" s="643">
        <v>10378125</v>
      </c>
      <c r="C113" s="660">
        <v>29600</v>
      </c>
      <c r="D113" s="642"/>
      <c r="E113" s="643">
        <v>10407725</v>
      </c>
    </row>
    <row r="114" spans="1:5" x14ac:dyDescent="0.25">
      <c r="A114" s="665" t="s">
        <v>473</v>
      </c>
      <c r="B114" s="650"/>
      <c r="C114" s="660">
        <v>1178000</v>
      </c>
      <c r="D114" s="642"/>
      <c r="E114" s="643">
        <v>1178000</v>
      </c>
    </row>
    <row r="115" spans="1:5" x14ac:dyDescent="0.25">
      <c r="A115" s="666" t="s">
        <v>474</v>
      </c>
      <c r="B115" s="643">
        <v>582368</v>
      </c>
      <c r="C115" s="660">
        <v>508750</v>
      </c>
      <c r="D115" s="642"/>
      <c r="E115" s="643">
        <v>1091118</v>
      </c>
    </row>
    <row r="116" spans="1:5" x14ac:dyDescent="0.25">
      <c r="A116" s="646" t="s">
        <v>475</v>
      </c>
      <c r="B116" s="655"/>
      <c r="C116" s="656">
        <v>4750000</v>
      </c>
      <c r="D116" s="655"/>
      <c r="E116" s="659">
        <v>4750000</v>
      </c>
    </row>
    <row r="117" spans="1:5" x14ac:dyDescent="0.25">
      <c r="A117" s="653" t="s">
        <v>476</v>
      </c>
      <c r="B117" s="642"/>
      <c r="C117" s="651">
        <v>4000000</v>
      </c>
      <c r="D117" s="650"/>
      <c r="E117" s="658">
        <v>4000000</v>
      </c>
    </row>
    <row r="118" spans="1:5" x14ac:dyDescent="0.25">
      <c r="A118" s="653" t="s">
        <v>477</v>
      </c>
      <c r="B118" s="642"/>
      <c r="C118" s="651">
        <v>750000</v>
      </c>
      <c r="D118" s="650"/>
      <c r="E118" s="658">
        <v>750000</v>
      </c>
    </row>
    <row r="119" spans="1:5" x14ac:dyDescent="0.25">
      <c r="A119" s="640" t="s">
        <v>478</v>
      </c>
      <c r="B119" s="643">
        <v>86088</v>
      </c>
      <c r="C119" s="642"/>
      <c r="D119" s="642"/>
      <c r="E119" s="643">
        <v>86088</v>
      </c>
    </row>
    <row r="120" spans="1:5" x14ac:dyDescent="0.25">
      <c r="A120" s="640" t="s">
        <v>479</v>
      </c>
      <c r="B120" s="643">
        <v>315577</v>
      </c>
      <c r="C120" s="642"/>
      <c r="D120" s="642"/>
      <c r="E120" s="643">
        <v>315577</v>
      </c>
    </row>
    <row r="121" spans="1:5" x14ac:dyDescent="0.25">
      <c r="A121" s="640" t="s">
        <v>480</v>
      </c>
      <c r="B121" s="643">
        <v>67361</v>
      </c>
      <c r="C121" s="642"/>
      <c r="D121" s="642"/>
      <c r="E121" s="643">
        <v>67361</v>
      </c>
    </row>
    <row r="122" spans="1:5" x14ac:dyDescent="0.25">
      <c r="A122" s="640" t="s">
        <v>481</v>
      </c>
      <c r="B122" s="643">
        <v>95562</v>
      </c>
      <c r="C122" s="642"/>
      <c r="D122" s="642"/>
      <c r="E122" s="643">
        <v>95562</v>
      </c>
    </row>
    <row r="123" spans="1:5" x14ac:dyDescent="0.25">
      <c r="A123" s="640" t="s">
        <v>482</v>
      </c>
      <c r="B123" s="643">
        <v>179479</v>
      </c>
      <c r="C123" s="642"/>
      <c r="D123" s="642"/>
      <c r="E123" s="643">
        <v>179479</v>
      </c>
    </row>
    <row r="124" spans="1:5" x14ac:dyDescent="0.25">
      <c r="A124" s="640" t="s">
        <v>483</v>
      </c>
      <c r="B124" s="650"/>
      <c r="C124" s="660">
        <v>99452</v>
      </c>
      <c r="D124" s="642"/>
      <c r="E124" s="643">
        <v>99452</v>
      </c>
    </row>
    <row r="125" spans="1:5" x14ac:dyDescent="0.25">
      <c r="A125" s="640" t="s">
        <v>484</v>
      </c>
      <c r="B125" s="650"/>
      <c r="C125" s="660">
        <v>563230</v>
      </c>
      <c r="D125" s="660">
        <v>563230</v>
      </c>
      <c r="E125" s="650"/>
    </row>
    <row r="126" spans="1:5" x14ac:dyDescent="0.25">
      <c r="A126" s="640" t="s">
        <v>485</v>
      </c>
      <c r="B126" s="643">
        <v>82677</v>
      </c>
      <c r="C126" s="642"/>
      <c r="D126" s="660">
        <v>82677</v>
      </c>
      <c r="E126" s="650"/>
    </row>
    <row r="127" spans="1:5" x14ac:dyDescent="0.25">
      <c r="A127" s="637" t="s">
        <v>486</v>
      </c>
      <c r="B127" s="668"/>
      <c r="C127" s="645">
        <v>959200</v>
      </c>
      <c r="D127" s="669"/>
      <c r="E127" s="661">
        <v>959200</v>
      </c>
    </row>
    <row r="128" spans="1:5" x14ac:dyDescent="0.25">
      <c r="A128" s="640" t="s">
        <v>706</v>
      </c>
      <c r="B128" s="650"/>
      <c r="C128" s="660">
        <v>959200</v>
      </c>
      <c r="D128" s="642"/>
      <c r="E128" s="643">
        <v>959200</v>
      </c>
    </row>
    <row r="129" spans="1:6" x14ac:dyDescent="0.25">
      <c r="A129" s="637" t="s">
        <v>488</v>
      </c>
      <c r="B129" s="668"/>
      <c r="C129" s="645">
        <v>18922982.18</v>
      </c>
      <c r="D129" s="669"/>
      <c r="E129" s="661">
        <v>18922982.18</v>
      </c>
    </row>
    <row r="130" spans="1:6" x14ac:dyDescent="0.25">
      <c r="A130" s="646" t="s">
        <v>489</v>
      </c>
      <c r="B130" s="670"/>
      <c r="C130" s="648">
        <v>18922982.18</v>
      </c>
      <c r="D130" s="670"/>
      <c r="E130" s="657">
        <v>18922982.18</v>
      </c>
    </row>
    <row r="131" spans="1:6" x14ac:dyDescent="0.25">
      <c r="A131" s="649" t="s">
        <v>490</v>
      </c>
      <c r="B131" s="642"/>
      <c r="C131" s="651">
        <v>677965.5</v>
      </c>
      <c r="D131" s="650"/>
      <c r="E131" s="658">
        <v>677965.5</v>
      </c>
    </row>
    <row r="132" spans="1:6" x14ac:dyDescent="0.25">
      <c r="A132" s="649" t="s">
        <v>707</v>
      </c>
      <c r="B132" s="642"/>
      <c r="C132" s="651">
        <v>82000</v>
      </c>
      <c r="D132" s="650"/>
      <c r="E132" s="658">
        <v>82000</v>
      </c>
    </row>
    <row r="133" spans="1:6" x14ac:dyDescent="0.25">
      <c r="A133" s="649" t="s">
        <v>492</v>
      </c>
      <c r="B133" s="642"/>
      <c r="C133" s="651">
        <v>3405072</v>
      </c>
      <c r="D133" s="650"/>
      <c r="E133" s="658">
        <v>3405072</v>
      </c>
    </row>
    <row r="134" spans="1:6" x14ac:dyDescent="0.25">
      <c r="A134" s="649" t="s">
        <v>493</v>
      </c>
      <c r="B134" s="642"/>
      <c r="C134" s="651">
        <v>624594.68000000005</v>
      </c>
      <c r="D134" s="650"/>
      <c r="E134" s="658">
        <v>624594.68000000005</v>
      </c>
    </row>
    <row r="135" spans="1:6" x14ac:dyDescent="0.25">
      <c r="A135" s="649" t="s">
        <v>494</v>
      </c>
      <c r="B135" s="642"/>
      <c r="C135" s="651">
        <v>243600</v>
      </c>
      <c r="D135" s="650"/>
      <c r="E135" s="658">
        <v>243600</v>
      </c>
    </row>
    <row r="136" spans="1:6" x14ac:dyDescent="0.25">
      <c r="A136" s="640" t="s">
        <v>495</v>
      </c>
      <c r="B136" s="642"/>
      <c r="C136" s="651">
        <v>103500</v>
      </c>
      <c r="D136" s="650"/>
      <c r="E136" s="658">
        <v>103500</v>
      </c>
    </row>
    <row r="137" spans="1:6" x14ac:dyDescent="0.25">
      <c r="A137" s="649" t="s">
        <v>496</v>
      </c>
      <c r="B137" s="642"/>
      <c r="C137" s="651">
        <v>13786250</v>
      </c>
      <c r="D137" s="650"/>
      <c r="E137" s="658">
        <v>13786250</v>
      </c>
    </row>
    <row r="138" spans="1:6" x14ac:dyDescent="0.25">
      <c r="A138" s="637" t="s">
        <v>497</v>
      </c>
      <c r="B138" s="668"/>
      <c r="C138" s="669"/>
      <c r="D138" s="645">
        <v>3304</v>
      </c>
      <c r="E138" s="644">
        <v>3304</v>
      </c>
    </row>
    <row r="139" spans="1:6" x14ac:dyDescent="0.25">
      <c r="A139" s="640" t="s">
        <v>498</v>
      </c>
      <c r="B139" s="650"/>
      <c r="C139" s="642"/>
      <c r="D139" s="660">
        <v>3304</v>
      </c>
      <c r="E139" s="641">
        <v>3304</v>
      </c>
    </row>
    <row r="140" spans="1:6" x14ac:dyDescent="0.25">
      <c r="A140" s="637" t="s">
        <v>499</v>
      </c>
      <c r="B140" s="668"/>
      <c r="C140" s="645">
        <v>15671041.060000001</v>
      </c>
      <c r="D140" s="645">
        <v>162321.96</v>
      </c>
      <c r="E140" s="661">
        <v>15508719.1</v>
      </c>
    </row>
    <row r="141" spans="1:6" x14ac:dyDescent="0.25">
      <c r="A141" s="640" t="s">
        <v>680</v>
      </c>
      <c r="B141" s="650"/>
      <c r="C141" s="660">
        <v>11585</v>
      </c>
      <c r="D141" s="642"/>
      <c r="E141" s="643">
        <v>11585</v>
      </c>
    </row>
    <row r="142" spans="1:6" x14ac:dyDescent="0.25">
      <c r="A142" s="640" t="s">
        <v>500</v>
      </c>
      <c r="B142" s="650"/>
      <c r="C142" s="660">
        <v>179499</v>
      </c>
      <c r="D142" s="642"/>
      <c r="E142" s="643">
        <v>179499</v>
      </c>
    </row>
    <row r="143" spans="1:6" x14ac:dyDescent="0.25">
      <c r="A143" s="640" t="s">
        <v>649</v>
      </c>
      <c r="B143" s="650"/>
      <c r="C143" s="660">
        <v>1000000</v>
      </c>
      <c r="D143" s="642"/>
      <c r="E143" s="643">
        <v>1000000</v>
      </c>
    </row>
    <row r="144" spans="1:6" x14ac:dyDescent="0.25">
      <c r="A144" s="640" t="s">
        <v>12</v>
      </c>
      <c r="B144" s="650"/>
      <c r="C144" s="660">
        <v>109000</v>
      </c>
      <c r="D144" s="660">
        <v>59000</v>
      </c>
      <c r="E144" s="643">
        <v>50000</v>
      </c>
      <c r="F144" s="671" t="s">
        <v>711</v>
      </c>
    </row>
    <row r="145" spans="1:5" x14ac:dyDescent="0.25">
      <c r="A145" s="640" t="s">
        <v>21</v>
      </c>
      <c r="B145" s="650"/>
      <c r="C145" s="660">
        <v>21755.66</v>
      </c>
      <c r="D145" s="660">
        <v>3865.54</v>
      </c>
      <c r="E145" s="643">
        <v>17890.12</v>
      </c>
    </row>
    <row r="146" spans="1:5" x14ac:dyDescent="0.25">
      <c r="A146" s="640" t="s">
        <v>502</v>
      </c>
      <c r="B146" s="650"/>
      <c r="C146" s="660">
        <v>3760</v>
      </c>
      <c r="D146" s="642"/>
      <c r="E146" s="643">
        <v>3760</v>
      </c>
    </row>
    <row r="147" spans="1:5" x14ac:dyDescent="0.25">
      <c r="A147" s="640" t="s">
        <v>503</v>
      </c>
      <c r="B147" s="650"/>
      <c r="C147" s="660">
        <v>260</v>
      </c>
      <c r="D147" s="642"/>
      <c r="E147" s="643">
        <v>260</v>
      </c>
    </row>
    <row r="148" spans="1:5" x14ac:dyDescent="0.25">
      <c r="A148" s="640" t="s">
        <v>504</v>
      </c>
      <c r="B148" s="650"/>
      <c r="C148" s="660">
        <v>9735</v>
      </c>
      <c r="D148" s="642"/>
      <c r="E148" s="643">
        <v>9735</v>
      </c>
    </row>
    <row r="149" spans="1:5" x14ac:dyDescent="0.25">
      <c r="A149" s="640" t="s">
        <v>505</v>
      </c>
      <c r="B149" s="650"/>
      <c r="C149" s="660">
        <v>142906</v>
      </c>
      <c r="D149" s="642"/>
      <c r="E149" s="643">
        <v>142906</v>
      </c>
    </row>
    <row r="150" spans="1:5" x14ac:dyDescent="0.25">
      <c r="A150" s="640" t="s">
        <v>506</v>
      </c>
      <c r="B150" s="650"/>
      <c r="C150" s="660">
        <v>13100</v>
      </c>
      <c r="D150" s="642"/>
      <c r="E150" s="643">
        <v>13100</v>
      </c>
    </row>
    <row r="151" spans="1:5" x14ac:dyDescent="0.25">
      <c r="A151" s="640" t="s">
        <v>507</v>
      </c>
      <c r="B151" s="650"/>
      <c r="C151" s="660">
        <v>16064</v>
      </c>
      <c r="D151" s="642"/>
      <c r="E151" s="643">
        <v>16064</v>
      </c>
    </row>
    <row r="152" spans="1:5" x14ac:dyDescent="0.25">
      <c r="A152" s="640" t="s">
        <v>244</v>
      </c>
      <c r="B152" s="650"/>
      <c r="C152" s="660">
        <v>2643443</v>
      </c>
      <c r="D152" s="642"/>
      <c r="E152" s="643">
        <v>2643443</v>
      </c>
    </row>
    <row r="153" spans="1:5" x14ac:dyDescent="0.25">
      <c r="A153" s="640" t="s">
        <v>522</v>
      </c>
      <c r="B153" s="650"/>
      <c r="C153" s="660">
        <v>150000</v>
      </c>
      <c r="D153" s="660">
        <v>99452</v>
      </c>
      <c r="E153" s="643">
        <v>50548</v>
      </c>
    </row>
    <row r="154" spans="1:5" x14ac:dyDescent="0.25">
      <c r="A154" s="640" t="s">
        <v>679</v>
      </c>
      <c r="B154" s="650"/>
      <c r="C154" s="660">
        <v>2598</v>
      </c>
      <c r="D154" s="642"/>
      <c r="E154" s="643">
        <v>2598</v>
      </c>
    </row>
    <row r="155" spans="1:5" x14ac:dyDescent="0.25">
      <c r="A155" s="640" t="s">
        <v>508</v>
      </c>
      <c r="B155" s="650"/>
      <c r="C155" s="660">
        <v>450000</v>
      </c>
      <c r="D155" s="642"/>
      <c r="E155" s="643">
        <v>450000</v>
      </c>
    </row>
    <row r="156" spans="1:5" x14ac:dyDescent="0.25">
      <c r="A156" s="640" t="s">
        <v>678</v>
      </c>
      <c r="B156" s="650"/>
      <c r="C156" s="660">
        <v>5931.36</v>
      </c>
      <c r="D156" s="642"/>
      <c r="E156" s="643">
        <v>5931.36</v>
      </c>
    </row>
    <row r="157" spans="1:5" x14ac:dyDescent="0.25">
      <c r="A157" s="640" t="s">
        <v>677</v>
      </c>
      <c r="B157" s="650"/>
      <c r="C157" s="660">
        <v>13190</v>
      </c>
      <c r="D157" s="642"/>
      <c r="E157" s="643">
        <v>13190</v>
      </c>
    </row>
    <row r="158" spans="1:5" x14ac:dyDescent="0.25">
      <c r="A158" s="640" t="s">
        <v>676</v>
      </c>
      <c r="B158" s="650"/>
      <c r="C158" s="660">
        <v>3260</v>
      </c>
      <c r="D158" s="642"/>
      <c r="E158" s="643">
        <v>3260</v>
      </c>
    </row>
    <row r="159" spans="1:5" x14ac:dyDescent="0.25">
      <c r="A159" s="640" t="s">
        <v>509</v>
      </c>
      <c r="B159" s="650"/>
      <c r="C159" s="660">
        <v>600000</v>
      </c>
      <c r="D159" s="642"/>
      <c r="E159" s="643">
        <v>600000</v>
      </c>
    </row>
    <row r="160" spans="1:5" x14ac:dyDescent="0.25">
      <c r="A160" s="640" t="s">
        <v>510</v>
      </c>
      <c r="B160" s="650"/>
      <c r="C160" s="660">
        <v>2250000</v>
      </c>
      <c r="D160" s="642"/>
      <c r="E160" s="643">
        <v>2250000</v>
      </c>
    </row>
    <row r="161" spans="1:5" x14ac:dyDescent="0.25">
      <c r="A161" s="640" t="s">
        <v>511</v>
      </c>
      <c r="B161" s="650"/>
      <c r="C161" s="660">
        <v>16744.12</v>
      </c>
      <c r="D161" s="642"/>
      <c r="E161" s="643">
        <v>16744.12</v>
      </c>
    </row>
    <row r="162" spans="1:5" x14ac:dyDescent="0.25">
      <c r="A162" s="640" t="s">
        <v>675</v>
      </c>
      <c r="B162" s="650"/>
      <c r="C162" s="660">
        <v>36315</v>
      </c>
      <c r="D162" s="642"/>
      <c r="E162" s="643">
        <v>36315</v>
      </c>
    </row>
    <row r="163" spans="1:5" x14ac:dyDescent="0.25">
      <c r="A163" s="640" t="s">
        <v>512</v>
      </c>
      <c r="B163" s="650"/>
      <c r="C163" s="660">
        <v>3.8</v>
      </c>
      <c r="D163" s="660">
        <v>4.42</v>
      </c>
      <c r="E163" s="641">
        <v>0.62</v>
      </c>
    </row>
    <row r="164" spans="1:5" x14ac:dyDescent="0.25">
      <c r="A164" s="640" t="s">
        <v>708</v>
      </c>
      <c r="B164" s="650"/>
      <c r="C164" s="660">
        <v>7986854</v>
      </c>
      <c r="D164" s="642"/>
      <c r="E164" s="643">
        <v>7986854</v>
      </c>
    </row>
    <row r="165" spans="1:5" x14ac:dyDescent="0.25">
      <c r="A165" s="640" t="s">
        <v>513</v>
      </c>
      <c r="B165" s="650"/>
      <c r="C165" s="660">
        <v>5037.12</v>
      </c>
      <c r="D165" s="642"/>
      <c r="E165" s="643">
        <v>5037.12</v>
      </c>
    </row>
    <row r="166" spans="1:5" x14ac:dyDescent="0.25">
      <c r="A166" s="672" t="s">
        <v>514</v>
      </c>
      <c r="B166" s="673"/>
      <c r="C166" s="674">
        <v>1092864066.52</v>
      </c>
      <c r="D166" s="674">
        <v>1092864066.52</v>
      </c>
      <c r="E166" s="673"/>
    </row>
    <row r="168" spans="1:5" x14ac:dyDescent="0.25">
      <c r="A168" s="677" t="s">
        <v>247</v>
      </c>
      <c r="B168" s="678">
        <f>+'FD Accrued Interest'!J10-'FD Accrued Interest'!K10</f>
        <v>8239839.8991780821</v>
      </c>
    </row>
    <row r="169" spans="1:5" x14ac:dyDescent="0.25">
      <c r="A169" s="677" t="s">
        <v>709</v>
      </c>
      <c r="B169" s="678">
        <f>+'FD Accrued Interest'!K10</f>
        <v>915537.76657534251</v>
      </c>
    </row>
    <row r="170" spans="1:5" x14ac:dyDescent="0.25">
      <c r="A170" s="679" t="s">
        <v>710</v>
      </c>
      <c r="C170" s="680">
        <f>+B169+B168</f>
        <v>9155377.6657534242</v>
      </c>
    </row>
    <row r="172" spans="1:5" x14ac:dyDescent="0.25">
      <c r="A172" s="710" t="s">
        <v>733</v>
      </c>
      <c r="B172" s="683">
        <f>166.06*10^5</f>
        <v>16606000</v>
      </c>
    </row>
    <row r="173" spans="1:5" x14ac:dyDescent="0.25">
      <c r="A173" s="711" t="s">
        <v>736</v>
      </c>
      <c r="C173" s="712">
        <f>+B172</f>
        <v>16606000</v>
      </c>
    </row>
    <row r="174" spans="1:5" x14ac:dyDescent="0.25">
      <c r="A174" s="711"/>
      <c r="C174" s="712"/>
    </row>
    <row r="175" spans="1:5" x14ac:dyDescent="0.25">
      <c r="A175" s="710" t="s">
        <v>734</v>
      </c>
      <c r="B175" s="683">
        <f>71.25*10^5</f>
        <v>7125000</v>
      </c>
    </row>
    <row r="176" spans="1:5" x14ac:dyDescent="0.25">
      <c r="A176" s="711" t="s">
        <v>735</v>
      </c>
      <c r="C176" s="712">
        <f>+B175</f>
        <v>7125000</v>
      </c>
    </row>
    <row r="177" spans="1:3" x14ac:dyDescent="0.25">
      <c r="A177" s="711"/>
      <c r="C177" s="712"/>
    </row>
    <row r="178" spans="1:3" x14ac:dyDescent="0.25">
      <c r="A178" s="681" t="s">
        <v>421</v>
      </c>
      <c r="B178" s="683">
        <f>+'Distribution of TDR Amt'!C40*0</f>
        <v>0</v>
      </c>
      <c r="C178" s="683"/>
    </row>
    <row r="179" spans="1:3" x14ac:dyDescent="0.25">
      <c r="A179" s="682" t="s">
        <v>719</v>
      </c>
      <c r="B179" s="683"/>
      <c r="C179" s="683">
        <f>+B178</f>
        <v>0</v>
      </c>
    </row>
    <row r="181" spans="1:3" x14ac:dyDescent="0.25">
      <c r="A181" s="801" t="s">
        <v>738</v>
      </c>
      <c r="B181" s="683">
        <v>25000</v>
      </c>
      <c r="C181" s="683"/>
    </row>
    <row r="182" spans="1:3" x14ac:dyDescent="0.25">
      <c r="A182" s="802" t="s">
        <v>739</v>
      </c>
      <c r="B182" s="683"/>
      <c r="C182" s="683">
        <f>+B181</f>
        <v>25000</v>
      </c>
    </row>
  </sheetData>
  <autoFilter ref="A8:F166" xr:uid="{FF0BB5C2-5196-4EE0-A44B-32B2303ED67E}"/>
  <mergeCells count="3">
    <mergeCell ref="B5:E5"/>
    <mergeCell ref="B6:E6"/>
    <mergeCell ref="C7:D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15</vt:i4>
      </vt:variant>
    </vt:vector>
  </HeadingPairs>
  <TitlesOfParts>
    <vt:vector size="38" baseType="lpstr">
      <vt:lpstr>Computation</vt:lpstr>
      <vt:lpstr>comp</vt:lpstr>
      <vt:lpstr>BS</vt:lpstr>
      <vt:lpstr>P &amp; L</vt:lpstr>
      <vt:lpstr>Sheet1</vt:lpstr>
      <vt:lpstr>Significant Acctg Policies</vt:lpstr>
      <vt:lpstr>Note 2 (for Partners capital Ac</vt:lpstr>
      <vt:lpstr>Note 3-12</vt:lpstr>
      <vt:lpstr>Trial Balance_16.04</vt:lpstr>
      <vt:lpstr>TB_Updated</vt:lpstr>
      <vt:lpstr>TB</vt:lpstr>
      <vt:lpstr>Computation of Inventory Cost</vt:lpstr>
      <vt:lpstr>FD Accrued Interest</vt:lpstr>
      <vt:lpstr>Annexure 1_Revised</vt:lpstr>
      <vt:lpstr>Distribution of TDR Amt</vt:lpstr>
      <vt:lpstr>Annexure 1</vt:lpstr>
      <vt:lpstr>Note 7 - FA, Dep - Company Act</vt:lpstr>
      <vt:lpstr>Note 15 Ratios</vt:lpstr>
      <vt:lpstr>Dep - IT Act</vt:lpstr>
      <vt:lpstr>Annexure 2</vt:lpstr>
      <vt:lpstr>FD Interest</vt:lpstr>
      <vt:lpstr>Income Tax Details</vt:lpstr>
      <vt:lpstr>working</vt:lpstr>
      <vt:lpstr>'Annexure 1'!Print_Area</vt:lpstr>
      <vt:lpstr>'Annexure 1_Revised'!Print_Area</vt:lpstr>
      <vt:lpstr>BS!Print_Area</vt:lpstr>
      <vt:lpstr>comp!Print_Area</vt:lpstr>
      <vt:lpstr>Computation!Print_Area</vt:lpstr>
      <vt:lpstr>'Dep - IT Act'!Print_Area</vt:lpstr>
      <vt:lpstr>'Distribution of TDR Amt'!Print_Area</vt:lpstr>
      <vt:lpstr>'FD Accrued Interest'!Print_Area</vt:lpstr>
      <vt:lpstr>'Income Tax Details'!Print_Area</vt:lpstr>
      <vt:lpstr>'Note 2 (for Partners capital Ac'!Print_Area</vt:lpstr>
      <vt:lpstr>'Note 3-12'!Print_Area</vt:lpstr>
      <vt:lpstr>'Note 7 - FA, Dep - Company Act'!Print_Area</vt:lpstr>
      <vt:lpstr>'P &amp; L'!Print_Area</vt:lpstr>
      <vt:lpstr>'Significant Acctg Policies'!Print_Area</vt:lpstr>
      <vt:lpstr>'Note 3-12'!Print_Titles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lenovo</cp:lastModifiedBy>
  <cp:lastPrinted>2024-04-18T08:27:19Z</cp:lastPrinted>
  <dcterms:created xsi:type="dcterms:W3CDTF">2011-03-07T07:35:26Z</dcterms:created>
  <dcterms:modified xsi:type="dcterms:W3CDTF">2024-04-22T10:51:33Z</dcterms:modified>
</cp:coreProperties>
</file>