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Summary" sheetId="4" r:id="rId1"/>
    <sheet name="details" sheetId="6" r:id="rId2"/>
    <sheet name="Land" sheetId="1" r:id="rId3"/>
    <sheet name="Building Sheet" sheetId="3" r:id="rId4"/>
    <sheet name="rate reference" sheetId="2" r:id="rId5"/>
    <sheet name="Boundary Wall" sheetId="5" r:id="rId6"/>
  </sheets>
  <calcPr calcId="152511"/>
</workbook>
</file>

<file path=xl/calcChain.xml><?xml version="1.0" encoding="utf-8"?>
<calcChain xmlns="http://schemas.openxmlformats.org/spreadsheetml/2006/main">
  <c r="F10" i="3" l="1"/>
  <c r="E10" i="3"/>
  <c r="J8" i="3"/>
  <c r="M8" i="3"/>
  <c r="P8" i="3" s="1"/>
  <c r="O8" i="3"/>
  <c r="J9" i="3"/>
  <c r="M9" i="3"/>
  <c r="P9" i="3" s="1"/>
  <c r="O9" i="3"/>
  <c r="G14" i="1"/>
  <c r="D15" i="1"/>
  <c r="Q9" i="3" l="1"/>
  <c r="S9" i="3" s="1"/>
  <c r="Q8" i="3"/>
  <c r="S8" i="3" s="1"/>
  <c r="J5" i="5"/>
  <c r="H5" i="5"/>
  <c r="E5" i="5"/>
  <c r="K5" i="5" l="1"/>
  <c r="L5" i="5" s="1"/>
  <c r="N5" i="5" s="1"/>
  <c r="E6" i="4" s="1"/>
  <c r="L16" i="1" l="1"/>
  <c r="L15" i="1"/>
  <c r="O6" i="3" l="1"/>
  <c r="O7" i="3"/>
  <c r="F5" i="3"/>
  <c r="O5" i="3" s="1"/>
  <c r="O10" i="3" s="1"/>
  <c r="M7" i="3"/>
  <c r="J7" i="3"/>
  <c r="M6" i="3"/>
  <c r="J6" i="3"/>
  <c r="M5" i="3"/>
  <c r="J5" i="3"/>
  <c r="S7" i="3" l="1"/>
  <c r="P5" i="3"/>
  <c r="Q5" i="3" s="1"/>
  <c r="P7" i="3"/>
  <c r="P6" i="3"/>
  <c r="Q6" i="3" s="1"/>
  <c r="S6" i="3" s="1"/>
  <c r="Q17" i="3"/>
  <c r="Q7" i="3"/>
  <c r="E5" i="1"/>
  <c r="E15" i="1"/>
  <c r="J4" i="1"/>
  <c r="K4" i="1" s="1"/>
  <c r="S5" i="3" l="1"/>
  <c r="S10" i="3" s="1"/>
  <c r="D5" i="4" s="1"/>
  <c r="Q10" i="3"/>
  <c r="K5" i="1"/>
  <c r="D4" i="4" s="1"/>
  <c r="G15" i="1"/>
  <c r="D7" i="4" l="1"/>
  <c r="D8" i="4" s="1"/>
  <c r="D10" i="4" s="1"/>
  <c r="D9" i="4" l="1"/>
  <c r="S14" i="1"/>
  <c r="S15" i="1" s="1"/>
  <c r="T16" i="1" s="1"/>
  <c r="T17" i="1" l="1"/>
</calcChain>
</file>

<file path=xl/sharedStrings.xml><?xml version="1.0" encoding="utf-8"?>
<sst xmlns="http://schemas.openxmlformats.org/spreadsheetml/2006/main" count="113" uniqueCount="84">
  <si>
    <t>flat</t>
  </si>
  <si>
    <t>round off</t>
  </si>
  <si>
    <t>Ria</t>
  </si>
  <si>
    <t>FMV</t>
  </si>
  <si>
    <t>area</t>
  </si>
  <si>
    <t>S. No.</t>
  </si>
  <si>
    <t>Discription</t>
  </si>
  <si>
    <t>Total</t>
  </si>
  <si>
    <t xml:space="preserve">Total </t>
  </si>
  <si>
    <t>Sr No.</t>
  </si>
  <si>
    <t>Rate Range</t>
  </si>
  <si>
    <t>Basic rate on Super Area</t>
  </si>
  <si>
    <t>Discount</t>
  </si>
  <si>
    <t>Primium</t>
  </si>
  <si>
    <t>Rate Adopted</t>
  </si>
  <si>
    <t>Remark</t>
  </si>
  <si>
    <t>Remarks:</t>
  </si>
  <si>
    <t>2. Area details are mentioned above is taken from the documents provided to us by Client.</t>
  </si>
  <si>
    <t>4. The valuation is done by considering the Market Comparable Sales Method.</t>
  </si>
  <si>
    <t>Super area Area in Sq.mtr.</t>
  </si>
  <si>
    <t xml:space="preserve"> Circle rate in Rs.</t>
  </si>
  <si>
    <t>CIRCLE RATE</t>
  </si>
  <si>
    <t>Roundoff</t>
  </si>
  <si>
    <t>Dis</t>
  </si>
  <si>
    <t>3rd Floor</t>
  </si>
  <si>
    <t>VALUATION OF KK SPUN</t>
  </si>
  <si>
    <t>BUILDING VALUATION FOR M/S. Trading Engineers Private Limited</t>
  </si>
  <si>
    <t>SR. No.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</si>
  <si>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</si>
  <si>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</si>
  <si>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</si>
  <si>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</si>
  <si>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</si>
  <si>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</si>
  <si>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</si>
  <si>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</si>
  <si>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</si>
  <si>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</si>
  <si>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</si>
  <si>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</si>
  <si>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</si>
  <si>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</si>
  <si>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</si>
  <si>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</si>
  <si>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
(INR)</t>
  </si>
  <si>
    <t>Ground Floor</t>
  </si>
  <si>
    <t xml:space="preserve">RCC </t>
  </si>
  <si>
    <t>First Floor</t>
  </si>
  <si>
    <t>2. Construction year of the building is taken as per the details mentioned by the owner's representative.</t>
  </si>
  <si>
    <r>
      <t>4.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</si>
  <si>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Land</t>
  </si>
  <si>
    <t>Building</t>
  </si>
  <si>
    <t>Boundary Wall</t>
  </si>
  <si>
    <t>LAND</t>
  </si>
  <si>
    <t>rate/sq.yr.</t>
  </si>
  <si>
    <t>Super area Area in Sq.yrd.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</si>
  <si>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</si>
  <si>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</si>
  <si>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</si>
  <si>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Depreciation
(INR) </t>
  </si>
  <si>
    <t>Depreciated Value
(INR)</t>
  </si>
  <si>
    <t xml:space="preserve">1. The subject property is situated at </t>
  </si>
  <si>
    <t xml:space="preserve">3. Basement and Ground floor building and structures belongs to Mr. </t>
  </si>
  <si>
    <t xml:space="preserve">Sl. </t>
  </si>
  <si>
    <t>Floor</t>
  </si>
  <si>
    <t>Rooms</t>
  </si>
  <si>
    <t>Toilets</t>
  </si>
  <si>
    <t>Drawing Room</t>
  </si>
  <si>
    <t>Kitchen</t>
  </si>
  <si>
    <t>Ground Rear</t>
  </si>
  <si>
    <t>Ground Front</t>
  </si>
  <si>
    <t>First Rear</t>
  </si>
  <si>
    <t>First Front</t>
  </si>
  <si>
    <t>Second Rear</t>
  </si>
  <si>
    <t>Second Front</t>
  </si>
  <si>
    <t>Occupied by Employee</t>
  </si>
  <si>
    <t>Occupied by Tenant</t>
  </si>
  <si>
    <t>Circle rate per sq.yrd.</t>
  </si>
  <si>
    <r>
      <t xml:space="preserve">3. </t>
    </r>
    <r>
      <rPr>
        <b/>
        <i/>
        <sz val="10"/>
        <color theme="1"/>
        <rFont val="Calibri"/>
        <family val="2"/>
        <scheme val="minor"/>
      </rPr>
      <t>All the structure that has been taken as per site survey measurment and approved map.</t>
    </r>
  </si>
  <si>
    <t>15000-18000</t>
  </si>
  <si>
    <t>Tin Shed</t>
  </si>
  <si>
    <t>Guard Room</t>
  </si>
  <si>
    <t>Meter Room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</si>
  <si>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floor,type of structure, age of the building etc. has been taken as per the Site Survey.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</si>
</sst>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_ * #,##0.0_ ;_ * \-#,##0.0_ ;_ * &quot;-&quot;??_ ;_ @_ "/>
    <numFmt numFmtId="167" formatCode="0.000"/>
    <numFmt numFmtId="168" formatCode="_ * #,##0.000_ ;_ * \-#,##0.000_ ;_ * &quot;-&quot;??_ ;_ @_ "/>
    <numFmt numFmtId="169" formatCode="0.0000"/>
    <numFmt numFmtId="170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164" fontId="0" fillId="0" borderId="2" xfId="1" applyNumberFormat="1" applyFont="1" applyBorder="1"/>
    <xf numFmtId="0" fontId="0" fillId="0" borderId="3" xfId="0" applyBorder="1"/>
    <xf numFmtId="164" fontId="0" fillId="0" borderId="4" xfId="1" applyNumberFormat="1" applyFont="1" applyBorder="1"/>
    <xf numFmtId="0" fontId="0" fillId="0" borderId="7" xfId="0" applyBorder="1"/>
    <xf numFmtId="164" fontId="0" fillId="0" borderId="6" xfId="0" applyNumberForma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0" fontId="0" fillId="0" borderId="11" xfId="0" applyBorder="1"/>
    <xf numFmtId="164" fontId="0" fillId="0" borderId="11" xfId="1" applyNumberFormat="1" applyFont="1" applyBorder="1"/>
    <xf numFmtId="0" fontId="2" fillId="2" borderId="11" xfId="0" applyFont="1" applyFill="1" applyBorder="1"/>
    <xf numFmtId="0" fontId="2" fillId="4" borderId="11" xfId="0" applyFont="1" applyFill="1" applyBorder="1"/>
    <xf numFmtId="164" fontId="0" fillId="0" borderId="11" xfId="1" applyNumberFormat="1" applyFont="1" applyBorder="1" applyAlignment="1">
      <alignment horizontal="center" vertical="center"/>
    </xf>
    <xf numFmtId="0" fontId="0" fillId="2" borderId="1" xfId="0" applyFill="1" applyBorder="1"/>
    <xf numFmtId="0" fontId="2" fillId="3" borderId="0" xfId="0" applyFont="1" applyFill="1"/>
    <xf numFmtId="43" fontId="0" fillId="0" borderId="0" xfId="0" applyNumberFormat="1"/>
    <xf numFmtId="0" fontId="3" fillId="5" borderId="11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 wrapText="1"/>
    </xf>
    <xf numFmtId="0" fontId="1" fillId="0" borderId="11" xfId="2" applyBorder="1" applyAlignment="1">
      <alignment horizontal="center" vertical="center"/>
    </xf>
    <xf numFmtId="164" fontId="1" fillId="0" borderId="11" xfId="3" applyNumberFormat="1" applyFont="1" applyBorder="1" applyAlignment="1">
      <alignment horizontal="center" vertical="center"/>
    </xf>
    <xf numFmtId="165" fontId="1" fillId="0" borderId="11" xfId="1" applyNumberFormat="1" applyFont="1" applyBorder="1" applyAlignment="1">
      <alignment horizontal="center" vertical="center"/>
    </xf>
    <xf numFmtId="10" fontId="1" fillId="0" borderId="11" xfId="2" applyNumberFormat="1" applyBorder="1" applyAlignment="1">
      <alignment horizontal="center" vertical="center"/>
    </xf>
    <xf numFmtId="164" fontId="1" fillId="0" borderId="11" xfId="3" applyNumberFormat="1" applyFont="1" applyBorder="1" applyAlignment="1">
      <alignment horizontal="center" vertical="center" wrapText="1"/>
    </xf>
    <xf numFmtId="164" fontId="0" fillId="0" borderId="11" xfId="3" applyNumberFormat="1" applyFont="1" applyBorder="1" applyAlignment="1">
      <alignment horizontal="center" vertical="center"/>
    </xf>
    <xf numFmtId="164" fontId="0" fillId="0" borderId="11" xfId="3" applyNumberFormat="1" applyFont="1" applyBorder="1" applyAlignment="1">
      <alignment horizontal="center" vertical="center" wrapText="1"/>
    </xf>
    <xf numFmtId="0" fontId="3" fillId="5" borderId="15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11" xfId="0" applyNumberFormat="1" applyFont="1" applyBorder="1"/>
    <xf numFmtId="166" fontId="2" fillId="0" borderId="11" xfId="0" applyNumberFormat="1" applyFont="1" applyBorder="1"/>
    <xf numFmtId="164" fontId="0" fillId="6" borderId="11" xfId="1" applyNumberFormat="1" applyFont="1" applyFill="1" applyBorder="1" applyAlignment="1">
      <alignment horizontal="centerContinuous"/>
    </xf>
    <xf numFmtId="0" fontId="2" fillId="6" borderId="11" xfId="0" applyFont="1" applyFill="1" applyBorder="1" applyAlignment="1">
      <alignment horizontal="centerContinuous"/>
    </xf>
    <xf numFmtId="0" fontId="0" fillId="6" borderId="11" xfId="0" applyFill="1" applyBorder="1" applyAlignment="1">
      <alignment horizontal="centerContinuous"/>
    </xf>
    <xf numFmtId="1" fontId="0" fillId="0" borderId="0" xfId="0" applyNumberFormat="1"/>
    <xf numFmtId="164" fontId="2" fillId="0" borderId="11" xfId="3" applyNumberFormat="1" applyFont="1" applyBorder="1" applyAlignment="1">
      <alignment horizontal="center" vertical="center"/>
    </xf>
    <xf numFmtId="164" fontId="2" fillId="0" borderId="11" xfId="1" applyNumberFormat="1" applyFont="1" applyBorder="1"/>
    <xf numFmtId="0" fontId="2" fillId="0" borderId="13" xfId="2" applyFont="1" applyBorder="1" applyAlignment="1">
      <alignment vertical="center"/>
    </xf>
    <xf numFmtId="164" fontId="2" fillId="0" borderId="11" xfId="2" applyNumberFormat="1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164" fontId="2" fillId="0" borderId="0" xfId="1" applyNumberFormat="1" applyFont="1"/>
    <xf numFmtId="0" fontId="2" fillId="7" borderId="11" xfId="0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Continuous"/>
    </xf>
    <xf numFmtId="0" fontId="0" fillId="6" borderId="13" xfId="0" applyFill="1" applyBorder="1" applyAlignment="1">
      <alignment horizontal="centerContinuous"/>
    </xf>
    <xf numFmtId="0" fontId="0" fillId="6" borderId="14" xfId="0" applyFill="1" applyBorder="1" applyAlignment="1">
      <alignment horizontal="centerContinuous"/>
    </xf>
    <xf numFmtId="0" fontId="7" fillId="9" borderId="1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9" fontId="9" fillId="0" borderId="11" xfId="0" applyNumberFormat="1" applyFont="1" applyBorder="1" applyAlignment="1">
      <alignment horizontal="center" vertical="center" wrapText="1"/>
    </xf>
    <xf numFmtId="167" fontId="9" fillId="0" borderId="11" xfId="0" applyNumberFormat="1" applyFont="1" applyBorder="1" applyAlignment="1">
      <alignment horizontal="center" vertic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168" fontId="9" fillId="0" borderId="11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3" fontId="7" fillId="0" borderId="15" xfId="1" applyFont="1" applyFill="1" applyBorder="1" applyAlignment="1">
      <alignment horizontal="center" vertical="center" wrapText="1"/>
    </xf>
    <xf numFmtId="43" fontId="7" fillId="0" borderId="11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Continuous" vertical="center" wrapText="1"/>
    </xf>
    <xf numFmtId="0" fontId="6" fillId="8" borderId="13" xfId="0" applyFont="1" applyFill="1" applyBorder="1" applyAlignment="1">
      <alignment horizontal="centerContinuous" vertical="center" wrapText="1"/>
    </xf>
    <xf numFmtId="0" fontId="6" fillId="8" borderId="14" xfId="0" applyFont="1" applyFill="1" applyBorder="1" applyAlignment="1">
      <alignment horizontal="centerContinuous" vertical="center" wrapText="1"/>
    </xf>
    <xf numFmtId="164" fontId="11" fillId="2" borderId="11" xfId="0" applyNumberFormat="1" applyFont="1" applyFill="1" applyBorder="1" applyAlignment="1">
      <alignment horizontal="center" vertical="center"/>
    </xf>
    <xf numFmtId="164" fontId="11" fillId="2" borderId="11" xfId="1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169" fontId="0" fillId="0" borderId="11" xfId="0" applyNumberFormat="1" applyBorder="1" applyAlignment="1">
      <alignment horizontal="center" vertical="center"/>
    </xf>
    <xf numFmtId="170" fontId="0" fillId="0" borderId="11" xfId="5" applyNumberFormat="1" applyFont="1" applyBorder="1" applyAlignment="1">
      <alignment horizontal="center" vertical="center"/>
    </xf>
    <xf numFmtId="9" fontId="0" fillId="0" borderId="11" xfId="4" applyFont="1" applyBorder="1" applyAlignment="1">
      <alignment horizontal="center" vertical="center"/>
    </xf>
    <xf numFmtId="43" fontId="0" fillId="0" borderId="11" xfId="1" applyFont="1" applyBorder="1"/>
    <xf numFmtId="0" fontId="3" fillId="5" borderId="11" xfId="0" applyFont="1" applyFill="1" applyBorder="1"/>
    <xf numFmtId="9" fontId="9" fillId="3" borderId="11" xfId="4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164" fontId="0" fillId="0" borderId="15" xfId="1" applyNumberFormat="1" applyFont="1" applyBorder="1"/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4" fillId="0" borderId="12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8" borderId="18" xfId="0" applyFont="1" applyFill="1" applyBorder="1" applyAlignment="1">
      <alignment horizontal="center" vertical="center" wrapText="1"/>
    </xf>
  </cellXfs>
  <cellStyles count="6">
    <cellStyle name="Comma" xfId="1" builtinId="3"/>
    <cellStyle name="Comma 3" xfId="3"/>
    <cellStyle name="Currency" xfId="5" builtinId="4"/>
    <cellStyle name="Normal" xfId="0" builtinId="0"/>
    <cellStyle name="Normal 2 2" xfId="2"/>
    <cellStyle name="Percent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0"/>
  <sheetViews>
    <sheetView workbookViewId="0">
      <selection activeCell="D10" sqref="D10"/>
    </sheetView>
  </sheetViews>
  <sheetFormatPr defaultRowHeight="15" x14ac:dyDescent="0.25"/>
  <cols>
    <col min="3" max="3" width="15.42578125" customWidth="1"/>
    <col min="4" max="4" width="13.42578125" customWidth="1"/>
  </cols>
  <sheetData>
    <row r="4" spans="3:5" x14ac:dyDescent="0.25">
      <c r="C4" s="39" t="s">
        <v>50</v>
      </c>
      <c r="D4" s="63">
        <f>Land!K5</f>
        <v>12800000</v>
      </c>
    </row>
    <row r="5" spans="3:5" x14ac:dyDescent="0.25">
      <c r="C5" s="39" t="s">
        <v>51</v>
      </c>
      <c r="D5" s="63">
        <f>'Building Sheet'!S10</f>
        <v>8161254.409</v>
      </c>
    </row>
    <row r="6" spans="3:5" x14ac:dyDescent="0.25">
      <c r="C6" s="39" t="s">
        <v>52</v>
      </c>
      <c r="D6" s="63">
        <v>0</v>
      </c>
      <c r="E6" s="63">
        <f>'Boundary Wall'!N5</f>
        <v>0</v>
      </c>
    </row>
    <row r="7" spans="3:5" x14ac:dyDescent="0.25">
      <c r="C7" s="39" t="s">
        <v>7</v>
      </c>
      <c r="D7" s="63">
        <f>SUM(D4:D6)</f>
        <v>20961254.409000002</v>
      </c>
    </row>
    <row r="8" spans="3:5" x14ac:dyDescent="0.25">
      <c r="C8" s="39" t="s">
        <v>22</v>
      </c>
      <c r="D8" s="63">
        <f>ROUND(D7,-5)</f>
        <v>21000000</v>
      </c>
    </row>
    <row r="9" spans="3:5" x14ac:dyDescent="0.25">
      <c r="C9" s="39" t="s">
        <v>2</v>
      </c>
      <c r="D9" s="64">
        <f>D8*0.85</f>
        <v>17850000</v>
      </c>
    </row>
    <row r="10" spans="3:5" x14ac:dyDescent="0.25">
      <c r="C10" s="39" t="s">
        <v>23</v>
      </c>
      <c r="D10" s="64">
        <f>D8*0.75</f>
        <v>15750000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0"/>
  <sheetViews>
    <sheetView workbookViewId="0">
      <selection activeCell="C9" sqref="C9"/>
    </sheetView>
  </sheetViews>
  <sheetFormatPr defaultRowHeight="15" x14ac:dyDescent="0.25"/>
  <cols>
    <col min="4" max="4" width="12.7109375" bestFit="1" customWidth="1"/>
    <col min="5" max="5" width="10.5703125" bestFit="1" customWidth="1"/>
    <col min="7" max="7" width="14" bestFit="1" customWidth="1"/>
    <col min="9" max="9" width="21.5703125" bestFit="1" customWidth="1"/>
  </cols>
  <sheetData>
    <row r="4" spans="3:9" x14ac:dyDescent="0.25">
      <c r="C4" s="71" t="s">
        <v>63</v>
      </c>
      <c r="D4" s="71" t="s">
        <v>64</v>
      </c>
      <c r="E4" s="71" t="s">
        <v>65</v>
      </c>
      <c r="F4" s="71" t="s">
        <v>66</v>
      </c>
      <c r="G4" s="71" t="s">
        <v>67</v>
      </c>
      <c r="H4" s="71" t="s">
        <v>68</v>
      </c>
      <c r="I4" s="71" t="s">
        <v>15</v>
      </c>
    </row>
    <row r="5" spans="3:9" x14ac:dyDescent="0.25">
      <c r="C5" s="8">
        <v>1</v>
      </c>
      <c r="D5" s="8" t="s">
        <v>69</v>
      </c>
      <c r="E5" s="8">
        <v>4</v>
      </c>
      <c r="F5" s="8">
        <v>3</v>
      </c>
      <c r="G5" s="8">
        <v>1</v>
      </c>
      <c r="H5" s="8">
        <v>1</v>
      </c>
      <c r="I5" s="8" t="s">
        <v>76</v>
      </c>
    </row>
    <row r="6" spans="3:9" x14ac:dyDescent="0.25">
      <c r="C6" s="8">
        <v>2</v>
      </c>
      <c r="D6" s="8" t="s">
        <v>70</v>
      </c>
      <c r="E6" s="8">
        <v>3</v>
      </c>
      <c r="F6" s="8">
        <v>2</v>
      </c>
      <c r="G6" s="8">
        <v>1</v>
      </c>
      <c r="H6" s="8">
        <v>1</v>
      </c>
      <c r="I6" s="8" t="s">
        <v>75</v>
      </c>
    </row>
    <row r="7" spans="3:9" x14ac:dyDescent="0.25">
      <c r="C7" s="8">
        <v>3</v>
      </c>
      <c r="D7" s="8" t="s">
        <v>71</v>
      </c>
      <c r="E7" s="8">
        <v>4</v>
      </c>
      <c r="F7" s="8">
        <v>3</v>
      </c>
      <c r="G7" s="8">
        <v>1</v>
      </c>
      <c r="H7" s="8">
        <v>1</v>
      </c>
      <c r="I7" s="8" t="s">
        <v>76</v>
      </c>
    </row>
    <row r="8" spans="3:9" x14ac:dyDescent="0.25">
      <c r="C8" s="8">
        <v>4</v>
      </c>
      <c r="D8" s="8" t="s">
        <v>72</v>
      </c>
      <c r="E8" s="8">
        <v>3</v>
      </c>
      <c r="F8" s="8">
        <v>2</v>
      </c>
      <c r="G8" s="8">
        <v>1</v>
      </c>
      <c r="H8" s="8">
        <v>1</v>
      </c>
      <c r="I8" s="8" t="s">
        <v>76</v>
      </c>
    </row>
    <row r="9" spans="3:9" x14ac:dyDescent="0.25">
      <c r="C9" s="8">
        <v>5</v>
      </c>
      <c r="D9" s="8" t="s">
        <v>73</v>
      </c>
      <c r="E9" s="8">
        <v>4</v>
      </c>
      <c r="F9" s="8">
        <v>3</v>
      </c>
      <c r="G9" s="8">
        <v>1</v>
      </c>
      <c r="H9" s="8">
        <v>1</v>
      </c>
      <c r="I9" s="8" t="s">
        <v>76</v>
      </c>
    </row>
    <row r="10" spans="3:9" x14ac:dyDescent="0.25">
      <c r="C10" s="8">
        <v>6</v>
      </c>
      <c r="D10" s="8" t="s">
        <v>74</v>
      </c>
      <c r="E10" s="8">
        <v>3</v>
      </c>
      <c r="F10" s="8">
        <v>2</v>
      </c>
      <c r="G10" s="8">
        <v>1</v>
      </c>
      <c r="H10" s="8">
        <v>1</v>
      </c>
      <c r="I10" s="8" t="s">
        <v>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workbookViewId="0">
      <selection activeCell="K5" sqref="K5"/>
    </sheetView>
  </sheetViews>
  <sheetFormatPr defaultRowHeight="15" x14ac:dyDescent="0.25"/>
  <cols>
    <col min="2" max="2" width="9.85546875" bestFit="1" customWidth="1"/>
    <col min="3" max="3" width="12.5703125" customWidth="1"/>
    <col min="4" max="4" width="17.85546875" customWidth="1"/>
    <col min="5" max="5" width="17.7109375" customWidth="1"/>
    <col min="6" max="6" width="17.85546875" customWidth="1"/>
    <col min="7" max="7" width="15.7109375" customWidth="1"/>
    <col min="8" max="8" width="10" bestFit="1" customWidth="1"/>
    <col min="9" max="9" width="15.28515625" bestFit="1" customWidth="1"/>
    <col min="10" max="10" width="19.28515625" customWidth="1"/>
    <col min="11" max="11" width="18.85546875" customWidth="1"/>
    <col min="12" max="12" width="16.28515625" bestFit="1" customWidth="1"/>
    <col min="13" max="13" width="17.28515625" customWidth="1"/>
    <col min="14" max="14" width="16.7109375" bestFit="1" customWidth="1"/>
    <col min="15" max="15" width="13.28515625" bestFit="1" customWidth="1"/>
    <col min="16" max="16" width="11.5703125" bestFit="1" customWidth="1"/>
    <col min="17" max="17" width="17.28515625" customWidth="1"/>
    <col min="19" max="20" width="11.5703125" bestFit="1" customWidth="1"/>
  </cols>
  <sheetData>
    <row r="2" spans="2:20" x14ac:dyDescent="0.25">
      <c r="B2" s="41" t="s">
        <v>25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20" ht="30" x14ac:dyDescent="0.25">
      <c r="B3" s="25" t="s">
        <v>9</v>
      </c>
      <c r="C3" s="25" t="s">
        <v>6</v>
      </c>
      <c r="D3" s="40" t="s">
        <v>55</v>
      </c>
      <c r="E3" s="40" t="s">
        <v>19</v>
      </c>
      <c r="F3" s="40" t="s">
        <v>10</v>
      </c>
      <c r="G3" s="40" t="s">
        <v>11</v>
      </c>
      <c r="H3" s="25" t="s">
        <v>12</v>
      </c>
      <c r="I3" s="25" t="s">
        <v>13</v>
      </c>
      <c r="J3" s="25" t="s">
        <v>14</v>
      </c>
      <c r="K3" s="25" t="s">
        <v>3</v>
      </c>
      <c r="L3" s="25" t="s">
        <v>15</v>
      </c>
    </row>
    <row r="4" spans="2:20" x14ac:dyDescent="0.25">
      <c r="B4" s="18">
        <v>1</v>
      </c>
      <c r="C4" s="26">
        <v>0</v>
      </c>
      <c r="D4" s="26">
        <v>0</v>
      </c>
      <c r="E4" s="12">
        <v>800</v>
      </c>
      <c r="F4" s="23" t="s">
        <v>79</v>
      </c>
      <c r="G4" s="20">
        <v>16000</v>
      </c>
      <c r="H4" s="21">
        <v>0</v>
      </c>
      <c r="I4" s="21">
        <v>0</v>
      </c>
      <c r="J4" s="19">
        <f>G4*(1+I4)*(1-H4)</f>
        <v>16000</v>
      </c>
      <c r="K4" s="19">
        <f>J4*E4</f>
        <v>12800000</v>
      </c>
      <c r="L4" s="24">
        <v>0</v>
      </c>
    </row>
    <row r="5" spans="2:20" x14ac:dyDescent="0.25">
      <c r="B5" s="79" t="s">
        <v>7</v>
      </c>
      <c r="C5" s="80"/>
      <c r="D5" s="35"/>
      <c r="E5" s="36">
        <f>SUM(E4:E4)</f>
        <v>800</v>
      </c>
      <c r="F5" s="37"/>
      <c r="G5" s="37"/>
      <c r="H5" s="37"/>
      <c r="I5" s="37"/>
      <c r="J5" s="37"/>
      <c r="K5" s="33">
        <f>SUM(K4:K4)</f>
        <v>12800000</v>
      </c>
      <c r="L5" s="22"/>
      <c r="N5" s="38"/>
    </row>
    <row r="6" spans="2:20" x14ac:dyDescent="0.25">
      <c r="B6" s="82" t="s">
        <v>16</v>
      </c>
      <c r="C6" s="83"/>
      <c r="D6" s="83"/>
      <c r="E6" s="83"/>
      <c r="F6" s="83"/>
      <c r="G6" s="83"/>
      <c r="H6" s="83"/>
      <c r="I6" s="83"/>
      <c r="J6" s="83"/>
      <c r="K6" s="83"/>
      <c r="L6" s="84"/>
    </row>
    <row r="7" spans="2:20" x14ac:dyDescent="0.25">
      <c r="B7" s="85" t="s">
        <v>61</v>
      </c>
      <c r="C7" s="86"/>
      <c r="D7" s="86"/>
      <c r="E7" s="86"/>
      <c r="F7" s="86"/>
      <c r="G7" s="86"/>
      <c r="H7" s="86"/>
      <c r="I7" s="86"/>
      <c r="J7" s="86"/>
      <c r="K7" s="86"/>
      <c r="L7" s="87"/>
      <c r="N7" s="32"/>
    </row>
    <row r="8" spans="2:20" x14ac:dyDescent="0.25">
      <c r="B8" s="82" t="s">
        <v>17</v>
      </c>
      <c r="C8" s="83"/>
      <c r="D8" s="83"/>
      <c r="E8" s="83"/>
      <c r="F8" s="83"/>
      <c r="G8" s="83"/>
      <c r="H8" s="83"/>
      <c r="I8" s="83"/>
      <c r="J8" s="83"/>
      <c r="K8" s="83"/>
      <c r="L8" s="84"/>
    </row>
    <row r="9" spans="2:20" ht="15" customHeight="1" x14ac:dyDescent="0.25">
      <c r="B9" s="85" t="s">
        <v>62</v>
      </c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2:20" x14ac:dyDescent="0.25">
      <c r="B10" s="82" t="s">
        <v>18</v>
      </c>
      <c r="C10" s="83"/>
      <c r="D10" s="83"/>
      <c r="E10" s="83"/>
      <c r="F10" s="83"/>
      <c r="G10" s="83"/>
      <c r="H10" s="83"/>
      <c r="I10" s="83"/>
      <c r="J10" s="83"/>
      <c r="K10" s="83"/>
      <c r="L10" s="84"/>
    </row>
    <row r="12" spans="2:20" ht="15.75" thickBot="1" x14ac:dyDescent="0.3">
      <c r="B12" s="30" t="s">
        <v>21</v>
      </c>
      <c r="C12" s="31"/>
      <c r="D12" s="31"/>
      <c r="E12" s="31"/>
      <c r="F12" s="31"/>
      <c r="G12" s="29"/>
      <c r="M12" s="32"/>
    </row>
    <row r="13" spans="2:20" ht="30.75" thickBot="1" x14ac:dyDescent="0.3">
      <c r="B13" s="16" t="s">
        <v>9</v>
      </c>
      <c r="C13" s="16" t="s">
        <v>6</v>
      </c>
      <c r="D13" s="17" t="s">
        <v>19</v>
      </c>
      <c r="E13" s="17" t="s">
        <v>77</v>
      </c>
      <c r="F13" s="17" t="s">
        <v>77</v>
      </c>
      <c r="G13" s="16" t="s">
        <v>20</v>
      </c>
      <c r="R13" s="13" t="s">
        <v>3</v>
      </c>
    </row>
    <row r="14" spans="2:20" x14ac:dyDescent="0.25">
      <c r="B14" s="18">
        <v>1</v>
      </c>
      <c r="C14" s="26" t="s">
        <v>24</v>
      </c>
      <c r="D14" s="12">
        <v>800</v>
      </c>
      <c r="F14" s="12">
        <v>10000</v>
      </c>
      <c r="G14" s="9">
        <f>F14*D14</f>
        <v>8000000</v>
      </c>
      <c r="R14" s="4" t="s">
        <v>0</v>
      </c>
      <c r="S14" s="1" t="e">
        <f>#REF!</f>
        <v>#REF!</v>
      </c>
    </row>
    <row r="15" spans="2:20" x14ac:dyDescent="0.25">
      <c r="B15" s="81" t="s">
        <v>7</v>
      </c>
      <c r="C15" s="81"/>
      <c r="D15" s="73">
        <f>SUM(D14)</f>
        <v>800</v>
      </c>
      <c r="E15" s="27">
        <f>SUM(D14:D14)</f>
        <v>800</v>
      </c>
      <c r="F15" s="28"/>
      <c r="G15" s="34">
        <f>SUM(G14:G14)</f>
        <v>8000000</v>
      </c>
      <c r="J15" s="8">
        <v>356</v>
      </c>
      <c r="K15" s="8">
        <v>30000000</v>
      </c>
      <c r="L15" s="70">
        <f>K15/J15</f>
        <v>84269.66292134831</v>
      </c>
      <c r="R15" s="2" t="s">
        <v>8</v>
      </c>
      <c r="S15" s="3" t="e">
        <f>SUM(S14:S14)</f>
        <v>#REF!</v>
      </c>
    </row>
    <row r="16" spans="2:20" x14ac:dyDescent="0.25">
      <c r="J16" s="8">
        <v>375</v>
      </c>
      <c r="K16" s="8">
        <v>35000000</v>
      </c>
      <c r="L16" s="70">
        <f>K16/J16</f>
        <v>93333.333333333328</v>
      </c>
      <c r="S16" s="2" t="s">
        <v>1</v>
      </c>
      <c r="T16" s="3" t="e">
        <f>ROUNDUP(S15,-5)</f>
        <v>#REF!</v>
      </c>
    </row>
    <row r="17" spans="19:20" x14ac:dyDescent="0.25">
      <c r="S17" s="2" t="s">
        <v>2</v>
      </c>
      <c r="T17" s="3" t="e">
        <f>T16*0.85</f>
        <v>#REF!</v>
      </c>
    </row>
  </sheetData>
  <mergeCells count="7">
    <mergeCell ref="B5:C5"/>
    <mergeCell ref="B15:C15"/>
    <mergeCell ref="B6:L6"/>
    <mergeCell ref="B7:L7"/>
    <mergeCell ref="B8:L8"/>
    <mergeCell ref="B9:L9"/>
    <mergeCell ref="B10:L10"/>
  </mergeCells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tabSelected="1" workbookViewId="0">
      <selection activeCell="F10" sqref="F10"/>
    </sheetView>
  </sheetViews>
  <sheetFormatPr defaultRowHeight="15" x14ac:dyDescent="0.25"/>
  <cols>
    <col min="2" max="2" width="4.140625" bestFit="1" customWidth="1"/>
    <col min="3" max="3" width="12.5703125" bestFit="1" customWidth="1"/>
    <col min="4" max="4" width="8.5703125" bestFit="1" customWidth="1"/>
    <col min="5" max="5" width="7" hidden="1" customWidth="1"/>
    <col min="6" max="6" width="7.7109375" bestFit="1" customWidth="1"/>
    <col min="7" max="7" width="6.140625" bestFit="1" customWidth="1"/>
    <col min="8" max="8" width="7.85546875" bestFit="1" customWidth="1"/>
    <col min="9" max="9" width="9.5703125" customWidth="1"/>
    <col min="10" max="10" width="10.42578125" hidden="1" customWidth="1"/>
    <col min="11" max="11" width="11" hidden="1" customWidth="1"/>
    <col min="12" max="12" width="7.7109375" hidden="1" customWidth="1"/>
    <col min="13" max="13" width="12.42578125" hidden="1" customWidth="1"/>
    <col min="14" max="14" width="10.85546875" bestFit="1" customWidth="1"/>
    <col min="15" max="15" width="12.7109375" bestFit="1" customWidth="1"/>
    <col min="16" max="16" width="10.140625" hidden="1" customWidth="1"/>
    <col min="17" max="17" width="14.28515625" hidden="1" customWidth="1"/>
    <col min="18" max="18" width="10.42578125" hidden="1" customWidth="1"/>
    <col min="19" max="19" width="12.5703125" bestFit="1" customWidth="1"/>
  </cols>
  <sheetData>
    <row r="3" spans="2:19" ht="15.6" customHeight="1" x14ac:dyDescent="0.25">
      <c r="B3" s="60" t="s">
        <v>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</row>
    <row r="4" spans="2:19" ht="75" x14ac:dyDescent="0.25">
      <c r="B4" s="44" t="s">
        <v>27</v>
      </c>
      <c r="C4" s="44" t="s">
        <v>28</v>
      </c>
      <c r="D4" s="44" t="s">
        <v>29</v>
      </c>
      <c r="E4" s="44" t="s">
        <v>30</v>
      </c>
      <c r="F4" s="44" t="s">
        <v>31</v>
      </c>
      <c r="G4" s="44" t="s">
        <v>32</v>
      </c>
      <c r="H4" s="44" t="s">
        <v>33</v>
      </c>
      <c r="I4" s="44" t="s">
        <v>34</v>
      </c>
      <c r="J4" s="44" t="s">
        <v>35</v>
      </c>
      <c r="K4" s="44" t="s">
        <v>36</v>
      </c>
      <c r="L4" s="44" t="s">
        <v>37</v>
      </c>
      <c r="M4" s="44" t="s">
        <v>38</v>
      </c>
      <c r="N4" s="44" t="s">
        <v>39</v>
      </c>
      <c r="O4" s="44" t="s">
        <v>40</v>
      </c>
      <c r="P4" s="44" t="s">
        <v>41</v>
      </c>
      <c r="Q4" s="44" t="s">
        <v>42</v>
      </c>
      <c r="R4" s="44" t="s">
        <v>43</v>
      </c>
      <c r="S4" s="45" t="s">
        <v>44</v>
      </c>
    </row>
    <row r="5" spans="2:19" x14ac:dyDescent="0.25">
      <c r="B5" s="46">
        <v>1</v>
      </c>
      <c r="C5" s="47" t="s">
        <v>45</v>
      </c>
      <c r="D5" s="26" t="s">
        <v>80</v>
      </c>
      <c r="E5" s="8">
        <v>628</v>
      </c>
      <c r="F5" s="9">
        <f>E5*10.7639</f>
        <v>6759.7291999999998</v>
      </c>
      <c r="G5" s="48">
        <v>10</v>
      </c>
      <c r="H5" s="26">
        <v>2011</v>
      </c>
      <c r="I5" s="48">
        <v>2024</v>
      </c>
      <c r="J5" s="48">
        <f>I5-H5</f>
        <v>13</v>
      </c>
      <c r="K5" s="48">
        <v>40</v>
      </c>
      <c r="L5" s="49">
        <v>0.1</v>
      </c>
      <c r="M5" s="50">
        <f>(1-L5)/K5</f>
        <v>2.2499999999999999E-2</v>
      </c>
      <c r="N5" s="48">
        <v>1000</v>
      </c>
      <c r="O5" s="51">
        <f>N5*F5</f>
        <v>6759729.2000000002</v>
      </c>
      <c r="P5" s="52">
        <f>M5*J5</f>
        <v>0.29249999999999998</v>
      </c>
      <c r="Q5" s="53">
        <f>O5*P5</f>
        <v>1977220.791</v>
      </c>
      <c r="R5" s="72">
        <v>0</v>
      </c>
      <c r="S5" s="54">
        <f>(O5-Q5)*(1-R5)</f>
        <v>4782508.409</v>
      </c>
    </row>
    <row r="6" spans="2:19" x14ac:dyDescent="0.25">
      <c r="B6" s="46">
        <v>2</v>
      </c>
      <c r="C6" s="47" t="s">
        <v>45</v>
      </c>
      <c r="D6" s="26" t="s">
        <v>46</v>
      </c>
      <c r="E6" s="8">
        <v>0</v>
      </c>
      <c r="F6" s="9">
        <v>1400</v>
      </c>
      <c r="G6" s="48">
        <v>14</v>
      </c>
      <c r="H6" s="26">
        <v>2011</v>
      </c>
      <c r="I6" s="48">
        <v>2024</v>
      </c>
      <c r="J6" s="48">
        <f t="shared" ref="J6:J7" si="0">I6-H6</f>
        <v>13</v>
      </c>
      <c r="K6" s="48">
        <v>60</v>
      </c>
      <c r="L6" s="49">
        <v>0.1</v>
      </c>
      <c r="M6" s="50">
        <f t="shared" ref="M6:M7" si="1">(1-L6)/K6</f>
        <v>1.5000000000000001E-2</v>
      </c>
      <c r="N6" s="48">
        <v>1400</v>
      </c>
      <c r="O6" s="51">
        <f>N6*F6</f>
        <v>1960000</v>
      </c>
      <c r="P6" s="52">
        <f t="shared" ref="P6:P7" si="2">M6*J6</f>
        <v>0.19500000000000001</v>
      </c>
      <c r="Q6" s="53">
        <f t="shared" ref="Q6:Q7" si="3">O6*P6</f>
        <v>382200</v>
      </c>
      <c r="R6" s="72">
        <v>0</v>
      </c>
      <c r="S6" s="54">
        <f t="shared" ref="S6:S7" si="4">(O6-Q6)*(1-R6)</f>
        <v>1577800</v>
      </c>
    </row>
    <row r="7" spans="2:19" x14ac:dyDescent="0.25">
      <c r="B7" s="46">
        <v>3</v>
      </c>
      <c r="C7" s="47" t="s">
        <v>47</v>
      </c>
      <c r="D7" s="26" t="s">
        <v>46</v>
      </c>
      <c r="E7" s="8">
        <v>93.5</v>
      </c>
      <c r="F7" s="9">
        <v>1400</v>
      </c>
      <c r="G7" s="48">
        <v>14</v>
      </c>
      <c r="H7" s="26">
        <v>2011</v>
      </c>
      <c r="I7" s="48">
        <v>2024</v>
      </c>
      <c r="J7" s="48">
        <f t="shared" si="0"/>
        <v>13</v>
      </c>
      <c r="K7" s="48">
        <v>60</v>
      </c>
      <c r="L7" s="49">
        <v>0.1</v>
      </c>
      <c r="M7" s="50">
        <f t="shared" si="1"/>
        <v>1.5000000000000001E-2</v>
      </c>
      <c r="N7" s="48">
        <v>1400</v>
      </c>
      <c r="O7" s="51">
        <f>N7*F7</f>
        <v>1960000</v>
      </c>
      <c r="P7" s="52">
        <f t="shared" si="2"/>
        <v>0.19500000000000001</v>
      </c>
      <c r="Q7" s="53">
        <f t="shared" si="3"/>
        <v>382200</v>
      </c>
      <c r="R7" s="72">
        <v>0</v>
      </c>
      <c r="S7" s="54">
        <f t="shared" si="4"/>
        <v>1577800</v>
      </c>
    </row>
    <row r="8" spans="2:19" x14ac:dyDescent="0.25">
      <c r="B8" s="74">
        <v>4</v>
      </c>
      <c r="C8" s="75" t="s">
        <v>81</v>
      </c>
      <c r="D8" s="76" t="s">
        <v>46</v>
      </c>
      <c r="E8" s="77"/>
      <c r="F8" s="78">
        <v>99</v>
      </c>
      <c r="G8" s="48">
        <v>10</v>
      </c>
      <c r="H8" s="26">
        <v>2011</v>
      </c>
      <c r="I8" s="48">
        <v>2024</v>
      </c>
      <c r="J8" s="48">
        <f t="shared" ref="J8:J9" si="5">I8-H8</f>
        <v>13</v>
      </c>
      <c r="K8" s="48">
        <v>60</v>
      </c>
      <c r="L8" s="49">
        <v>0.1</v>
      </c>
      <c r="M8" s="50">
        <f t="shared" ref="M8:M9" si="6">(1-L8)/K8</f>
        <v>1.5000000000000001E-2</v>
      </c>
      <c r="N8" s="48">
        <v>1400</v>
      </c>
      <c r="O8" s="51">
        <f t="shared" ref="O8:O9" si="7">N8*F8</f>
        <v>138600</v>
      </c>
      <c r="P8" s="52">
        <f t="shared" ref="P8:P9" si="8">M8*J8</f>
        <v>0.19500000000000001</v>
      </c>
      <c r="Q8" s="53">
        <f t="shared" ref="Q8:Q9" si="9">O8*P8</f>
        <v>27027</v>
      </c>
      <c r="R8" s="72">
        <v>0</v>
      </c>
      <c r="S8" s="54">
        <f t="shared" ref="S8:S9" si="10">(O8-Q8)*(1-R8)</f>
        <v>111573</v>
      </c>
    </row>
    <row r="9" spans="2:19" x14ac:dyDescent="0.25">
      <c r="B9" s="74">
        <v>5</v>
      </c>
      <c r="C9" s="75" t="s">
        <v>82</v>
      </c>
      <c r="D9" s="76" t="s">
        <v>46</v>
      </c>
      <c r="E9" s="77"/>
      <c r="F9" s="78">
        <v>99</v>
      </c>
      <c r="G9" s="48">
        <v>10</v>
      </c>
      <c r="H9" s="26">
        <v>2011</v>
      </c>
      <c r="I9" s="48">
        <v>2024</v>
      </c>
      <c r="J9" s="48">
        <f t="shared" si="5"/>
        <v>13</v>
      </c>
      <c r="K9" s="48">
        <v>60</v>
      </c>
      <c r="L9" s="49">
        <v>0.1</v>
      </c>
      <c r="M9" s="50">
        <f t="shared" si="6"/>
        <v>1.5000000000000001E-2</v>
      </c>
      <c r="N9" s="48">
        <v>1400</v>
      </c>
      <c r="O9" s="51">
        <f t="shared" si="7"/>
        <v>138600</v>
      </c>
      <c r="P9" s="52">
        <f t="shared" si="8"/>
        <v>0.19500000000000001</v>
      </c>
      <c r="Q9" s="53">
        <f t="shared" si="9"/>
        <v>27027</v>
      </c>
      <c r="R9" s="72">
        <v>0</v>
      </c>
      <c r="S9" s="54">
        <f t="shared" si="10"/>
        <v>111573</v>
      </c>
    </row>
    <row r="10" spans="2:19" x14ac:dyDescent="0.25">
      <c r="B10" s="55"/>
      <c r="C10" s="55"/>
      <c r="D10" s="55"/>
      <c r="E10" s="55">
        <f>SUM(E5:E9)</f>
        <v>721.5</v>
      </c>
      <c r="F10" s="58">
        <f>SUM(F5:F9)</f>
        <v>9757.7291999999998</v>
      </c>
      <c r="G10" s="56"/>
      <c r="H10" s="57"/>
      <c r="I10" s="56"/>
      <c r="J10" s="56"/>
      <c r="K10" s="56"/>
      <c r="L10" s="56"/>
      <c r="M10" s="56"/>
      <c r="N10" s="56"/>
      <c r="O10" s="58">
        <f>SUM(O5:O9)</f>
        <v>10956929.199999999</v>
      </c>
      <c r="P10" s="58"/>
      <c r="Q10" s="58">
        <f>SUM(Q5:Q9)</f>
        <v>2795674.7910000002</v>
      </c>
      <c r="R10" s="58"/>
      <c r="S10" s="59">
        <f>SUM(S5:S9)</f>
        <v>8161254.409</v>
      </c>
    </row>
    <row r="11" spans="2:19" x14ac:dyDescent="0.25">
      <c r="B11" s="88" t="s">
        <v>16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</row>
    <row r="12" spans="2:19" x14ac:dyDescent="0.25">
      <c r="B12" s="91" t="s">
        <v>83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</row>
    <row r="13" spans="2:19" x14ac:dyDescent="0.25">
      <c r="B13" s="94" t="s">
        <v>48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</row>
    <row r="14" spans="2:19" x14ac:dyDescent="0.25">
      <c r="B14" s="91" t="s">
        <v>78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3"/>
    </row>
    <row r="15" spans="2:19" x14ac:dyDescent="0.25">
      <c r="B15" s="88" t="s">
        <v>49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7"/>
    </row>
    <row r="17" spans="17:17" x14ac:dyDescent="0.25">
      <c r="Q17" s="15">
        <f>O10*0.8</f>
        <v>8765543.3599999994</v>
      </c>
    </row>
  </sheetData>
  <mergeCells count="5">
    <mergeCell ref="B11:S11"/>
    <mergeCell ref="B12:S12"/>
    <mergeCell ref="B13:S13"/>
    <mergeCell ref="B14:S14"/>
    <mergeCell ref="B15:S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workbookViewId="0">
      <selection activeCell="E19" sqref="E19"/>
    </sheetView>
  </sheetViews>
  <sheetFormatPr defaultRowHeight="15" x14ac:dyDescent="0.25"/>
  <cols>
    <col min="2" max="2" width="8.140625" bestFit="1" customWidth="1"/>
    <col min="3" max="3" width="11.5703125" bestFit="1" customWidth="1"/>
    <col min="4" max="4" width="7.42578125" customWidth="1"/>
    <col min="5" max="5" width="15.28515625" bestFit="1" customWidth="1"/>
    <col min="6" max="6" width="13.5703125" bestFit="1" customWidth="1"/>
    <col min="9" max="9" width="10" bestFit="1" customWidth="1"/>
  </cols>
  <sheetData>
    <row r="1" spans="2:9" ht="15.75" thickBot="1" x14ac:dyDescent="0.3"/>
    <row r="2" spans="2:9" x14ac:dyDescent="0.25">
      <c r="D2" s="98"/>
      <c r="E2" s="6"/>
      <c r="F2" s="1"/>
    </row>
    <row r="3" spans="2:9" ht="15.75" thickBot="1" x14ac:dyDescent="0.3">
      <c r="D3" s="99"/>
      <c r="E3" s="7"/>
      <c r="F3" s="5"/>
    </row>
    <row r="5" spans="2:9" x14ac:dyDescent="0.25">
      <c r="B5" s="11" t="s">
        <v>53</v>
      </c>
      <c r="C5" s="14"/>
    </row>
    <row r="6" spans="2:9" x14ac:dyDescent="0.25">
      <c r="B6" s="10" t="s">
        <v>5</v>
      </c>
      <c r="C6" s="10" t="s">
        <v>6</v>
      </c>
      <c r="D6" s="10" t="s">
        <v>4</v>
      </c>
      <c r="E6" s="10" t="s">
        <v>54</v>
      </c>
      <c r="F6" s="10" t="s">
        <v>3</v>
      </c>
    </row>
    <row r="7" spans="2:9" x14ac:dyDescent="0.25">
      <c r="B7" s="12">
        <v>1</v>
      </c>
      <c r="C7" s="12"/>
      <c r="D7" s="12"/>
      <c r="E7" s="12"/>
      <c r="F7" s="12"/>
      <c r="I7" s="15"/>
    </row>
    <row r="8" spans="2:9" x14ac:dyDescent="0.25">
      <c r="B8" s="12">
        <v>2</v>
      </c>
      <c r="C8" s="12"/>
      <c r="D8" s="12"/>
      <c r="E8" s="12"/>
      <c r="F8" s="12"/>
    </row>
  </sheetData>
  <mergeCells count="1">
    <mergeCell ref="D2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"/>
  <sheetViews>
    <sheetView workbookViewId="0">
      <selection activeCell="H12" sqref="H12"/>
    </sheetView>
  </sheetViews>
  <sheetFormatPr defaultRowHeight="15" x14ac:dyDescent="0.25"/>
  <cols>
    <col min="10" max="10" width="11.5703125" bestFit="1" customWidth="1"/>
    <col min="11" max="12" width="10.5703125" bestFit="1" customWidth="1"/>
    <col min="14" max="14" width="10.5703125" bestFit="1" customWidth="1"/>
  </cols>
  <sheetData>
    <row r="3" spans="2:14" ht="15.75" x14ac:dyDescent="0.25">
      <c r="B3" s="100" t="s">
        <v>56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ht="105" x14ac:dyDescent="0.25">
      <c r="B4" s="44" t="s">
        <v>57</v>
      </c>
      <c r="C4" s="44" t="s">
        <v>33</v>
      </c>
      <c r="D4" s="44" t="s">
        <v>34</v>
      </c>
      <c r="E4" s="44" t="s">
        <v>35</v>
      </c>
      <c r="F4" s="44" t="s">
        <v>36</v>
      </c>
      <c r="G4" s="44" t="s">
        <v>37</v>
      </c>
      <c r="H4" s="44" t="s">
        <v>38</v>
      </c>
      <c r="I4" s="44" t="s">
        <v>58</v>
      </c>
      <c r="J4" s="44" t="s">
        <v>40</v>
      </c>
      <c r="K4" s="44" t="s">
        <v>59</v>
      </c>
      <c r="L4" s="44" t="s">
        <v>60</v>
      </c>
      <c r="M4" s="44" t="s">
        <v>43</v>
      </c>
      <c r="N4" s="44" t="s">
        <v>44</v>
      </c>
    </row>
    <row r="5" spans="2:14" x14ac:dyDescent="0.25">
      <c r="B5" s="65">
        <v>0</v>
      </c>
      <c r="C5" s="26">
        <v>2010</v>
      </c>
      <c r="D5" s="26">
        <v>2024</v>
      </c>
      <c r="E5" s="26">
        <f>D5-C5</f>
        <v>14</v>
      </c>
      <c r="F5" s="26">
        <v>60</v>
      </c>
      <c r="G5" s="66">
        <v>0.1</v>
      </c>
      <c r="H5" s="67">
        <f>(1-G5)/F5</f>
        <v>1.5000000000000001E-2</v>
      </c>
      <c r="I5" s="68">
        <v>4000</v>
      </c>
      <c r="J5" s="68">
        <f>I5*B5</f>
        <v>0</v>
      </c>
      <c r="K5" s="68">
        <f>J5*H5*E5</f>
        <v>0</v>
      </c>
      <c r="L5" s="68">
        <f>MAX(J5-K5,0)</f>
        <v>0</v>
      </c>
      <c r="M5" s="69">
        <v>0</v>
      </c>
      <c r="N5" s="68">
        <f>IF(L5&gt;G5*J5,L5*(1-M5),J5*G5)</f>
        <v>0</v>
      </c>
    </row>
  </sheetData>
  <mergeCells count="1"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details</vt:lpstr>
      <vt:lpstr>Land</vt:lpstr>
      <vt:lpstr>Building Sheet</vt:lpstr>
      <vt:lpstr>rate reference</vt:lpstr>
      <vt:lpstr>Boundary Wall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2024-11-21T13:27:24Z</dcterms:modified>
</cp:coreProperties>
</file>